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120" yWindow="300" windowWidth="21320" windowHeight="8780" tabRatio="927" firstSheet="8" activeTab="20"/>
  </bookViews>
  <sheets>
    <sheet name="Synthèse" sheetId="22" r:id="rId1"/>
    <sheet name="Jour 1" sheetId="5" r:id="rId2"/>
    <sheet name="Jour 2" sheetId="6" r:id="rId3"/>
    <sheet name="Jour 3" sheetId="7" r:id="rId4"/>
    <sheet name="Jour 4" sheetId="9" r:id="rId5"/>
    <sheet name="Jour 5" sheetId="10" r:id="rId6"/>
    <sheet name="Jour 6" sheetId="11" r:id="rId7"/>
    <sheet name="Jour 7" sheetId="13" r:id="rId8"/>
    <sheet name="Jour 8" sheetId="14" r:id="rId9"/>
    <sheet name="Jour 9" sheetId="15" r:id="rId10"/>
    <sheet name="Jour 10" sheetId="16" r:id="rId11"/>
    <sheet name="Jour 11" sheetId="17" r:id="rId12"/>
    <sheet name="Jour 12" sheetId="18" r:id="rId13"/>
    <sheet name="Jour 13" sheetId="19" r:id="rId14"/>
    <sheet name="Jour 14" sheetId="20" r:id="rId15"/>
    <sheet name="Jour 15" sheetId="21" r:id="rId16"/>
    <sheet name="Recap Edition" sheetId="8" r:id="rId17"/>
    <sheet name="Recap Analyse" sheetId="4" r:id="rId18"/>
    <sheet name="Listes" sheetId="2" r:id="rId19"/>
    <sheet name="Observations" sheetId="23" r:id="rId20"/>
    <sheet name="Evaluation" sheetId="24" r:id="rId21"/>
    <sheet name="Feuil1" sheetId="25" r:id="rId22"/>
    <sheet name="Feuil2" sheetId="26" r:id="rId23"/>
    <sheet name="Feuil3" sheetId="27" r:id="rId24"/>
  </sheets>
  <definedNames>
    <definedName name="_xlnm._FilterDatabase" localSheetId="1" hidden="1">'Jour 1'!$K$10:$Z$48</definedName>
    <definedName name="_xlnm._FilterDatabase" localSheetId="10" hidden="1">'Jour 10'!$K$10:$Z$48</definedName>
    <definedName name="_xlnm._FilterDatabase" localSheetId="11" hidden="1">'Jour 11'!$K$10:$Z$48</definedName>
    <definedName name="_xlnm._FilterDatabase" localSheetId="12" hidden="1">'Jour 12'!$K$10:$Z$48</definedName>
    <definedName name="_xlnm._FilterDatabase" localSheetId="13" hidden="1">'Jour 13'!$K$10:$Z$48</definedName>
    <definedName name="_xlnm._FilterDatabase" localSheetId="14" hidden="1">'Jour 14'!$K$10:$Z$48</definedName>
    <definedName name="_xlnm._FilterDatabase" localSheetId="15" hidden="1">'Jour 15'!$K$10:$Z$48</definedName>
    <definedName name="_xlnm._FilterDatabase" localSheetId="2" hidden="1">'Jour 2'!$K$10:$Z$48</definedName>
    <definedName name="_xlnm._FilterDatabase" localSheetId="3" hidden="1">'Jour 3'!$K$10:$Z$48</definedName>
    <definedName name="_xlnm._FilterDatabase" localSheetId="4" hidden="1">'Jour 4'!$K$10:$Z$48</definedName>
    <definedName name="_xlnm._FilterDatabase" localSheetId="5" hidden="1">'Jour 5'!$K$10:$Z$48</definedName>
    <definedName name="_xlnm._FilterDatabase" localSheetId="6" hidden="1">'Jour 6'!$K$10:$Z$48</definedName>
    <definedName name="_xlnm._FilterDatabase" localSheetId="7" hidden="1">'Jour 7'!$K$10:$Z$48</definedName>
    <definedName name="_xlnm._FilterDatabase" localSheetId="8" hidden="1">'Jour 8'!$K$10:$Z$48</definedName>
    <definedName name="_xlnm._FilterDatabase" localSheetId="9" hidden="1">'Jour 9'!$K$10:$Z$48</definedName>
    <definedName name="_xlnm._FilterDatabase" localSheetId="17" hidden="1">'Recap Analyse'!$A$2:$A$18</definedName>
    <definedName name="analyse">Listes!$C$22:$D$39</definedName>
    <definedName name="analyse1">Listes!$C$20:$C$20</definedName>
    <definedName name="_xlnm.Criteria" localSheetId="17">'Recap Analyse'!$A$2:$A$19</definedName>
    <definedName name="Date_jours">Listes!$E$1:$E$8</definedName>
    <definedName name="Jours">Listes!$D$1</definedName>
    <definedName name="N°_colonne">Listes!$A$1:$A$4</definedName>
    <definedName name="N°_relevé">Listes!$J$2:$J$4</definedName>
    <definedName name="N°_stage">Listes!$K$2:$K$6</definedName>
    <definedName name="Nom_Responsable_stage">Listes!$I$2:$I$17</definedName>
    <definedName name="nom_stagiaires">Listes!$G$2:$G$17</definedName>
    <definedName name="Nom_tuteurs">Listes!$H$2:$H$17</definedName>
    <definedName name="Oui_Non">Listes!$B$1:$B$3</definedName>
    <definedName name="Tableau2">#REF!</definedName>
    <definedName name="_xlnm.Print_Area" localSheetId="1">'Jour 1'!$A$1:$Z$48</definedName>
    <definedName name="_xlnm.Print_Area" localSheetId="10">'Jour 10'!$A$1:$T$95</definedName>
    <definedName name="_xlnm.Print_Area" localSheetId="11">'Jour 11'!$A$1:$T$95</definedName>
    <definedName name="_xlnm.Print_Area" localSheetId="12">'Jour 12'!$A$1:$T$95</definedName>
    <definedName name="_xlnm.Print_Area" localSheetId="13">'Jour 13'!$A$1:$T$95</definedName>
    <definedName name="_xlnm.Print_Area" localSheetId="14">'Jour 14'!$A$1:$T$95</definedName>
    <definedName name="_xlnm.Print_Area" localSheetId="15">'Jour 15'!$A$1:$T$95</definedName>
    <definedName name="_xlnm.Print_Area" localSheetId="2">'Jour 2'!$A$1:$T$95</definedName>
    <definedName name="_xlnm.Print_Area" localSheetId="3">'Jour 3'!$A$1:$T$95</definedName>
    <definedName name="_xlnm.Print_Area" localSheetId="4">'Jour 4'!$A$1:$T$95</definedName>
    <definedName name="_xlnm.Print_Area" localSheetId="5">'Jour 5'!$A$1:$T$95</definedName>
    <definedName name="_xlnm.Print_Area" localSheetId="6">'Jour 6'!$A$1:$T$95</definedName>
    <definedName name="_xlnm.Print_Area" localSheetId="7">'Jour 7'!$A$1:$T$95</definedName>
    <definedName name="_xlnm.Print_Area" localSheetId="8">'Jour 8'!$A$1:$T$95</definedName>
    <definedName name="_xlnm.Print_Area" localSheetId="9">'Jour 9'!$A$1:$T$95</definedName>
    <definedName name="_xlnm.Print_Area" localSheetId="18">Listes!$A$1:$K$21</definedName>
    <definedName name="_xlnm.Print_Area" localSheetId="17">'Recap Analyse'!$A$1:$T$25</definedName>
    <definedName name="_xlnm.Print_Area" localSheetId="16">'Recap Edition'!$A$1:$Y$98</definedName>
    <definedName name="_xlnm.Print_Area" localSheetId="0">Synthèse!$A$1:$N$62</definedName>
  </definedNames>
  <calcPr calcId="145621"/>
</workbook>
</file>

<file path=xl/calcChain.xml><?xml version="1.0" encoding="utf-8"?>
<calcChain xmlns="http://schemas.openxmlformats.org/spreadsheetml/2006/main">
  <c r="B32" i="24" l="1"/>
  <c r="C32" i="24"/>
  <c r="C10" i="24" l="1"/>
  <c r="P19" i="25" l="1"/>
  <c r="O19" i="25"/>
  <c r="N19" i="25"/>
  <c r="M19" i="25"/>
  <c r="L19" i="25"/>
  <c r="K19" i="25"/>
  <c r="J19" i="25"/>
  <c r="I19" i="25"/>
  <c r="H19" i="25"/>
  <c r="G19" i="25"/>
  <c r="F19" i="25"/>
  <c r="E19" i="25"/>
  <c r="D19" i="25"/>
  <c r="C19" i="25"/>
  <c r="B19" i="25"/>
  <c r="R19" i="25" l="1"/>
  <c r="P18" i="25"/>
  <c r="O18" i="25"/>
  <c r="N18" i="25"/>
  <c r="M18" i="25"/>
  <c r="L18" i="25"/>
  <c r="K18" i="25"/>
  <c r="J18" i="25"/>
  <c r="I18" i="25"/>
  <c r="H18" i="25"/>
  <c r="G18" i="25"/>
  <c r="F18" i="25"/>
  <c r="E18" i="25"/>
  <c r="D18" i="25"/>
  <c r="C18" i="25"/>
  <c r="B18" i="25"/>
  <c r="R18" i="25" l="1"/>
  <c r="P15" i="25"/>
  <c r="P16" i="25"/>
  <c r="P17" i="25"/>
  <c r="O15" i="25"/>
  <c r="O16" i="25"/>
  <c r="O17" i="25"/>
  <c r="N15" i="25"/>
  <c r="N16" i="25"/>
  <c r="N17" i="25"/>
  <c r="M15" i="25"/>
  <c r="M16" i="25"/>
  <c r="M17" i="25"/>
  <c r="L15" i="25"/>
  <c r="L16" i="25"/>
  <c r="L17" i="25"/>
  <c r="K15" i="25"/>
  <c r="K16" i="25"/>
  <c r="K17" i="25"/>
  <c r="J15" i="25"/>
  <c r="J16" i="25"/>
  <c r="J17" i="25"/>
  <c r="I15" i="25"/>
  <c r="I16" i="25"/>
  <c r="I17" i="25"/>
  <c r="H15" i="25"/>
  <c r="H16" i="25"/>
  <c r="H17" i="25"/>
  <c r="G15" i="25"/>
  <c r="G16" i="25"/>
  <c r="G17" i="25"/>
  <c r="F15" i="25"/>
  <c r="F16" i="25"/>
  <c r="F17" i="25"/>
  <c r="E15" i="25"/>
  <c r="E16" i="25"/>
  <c r="E17" i="25"/>
  <c r="D15" i="25"/>
  <c r="D16" i="25"/>
  <c r="D17" i="25"/>
  <c r="C15" i="25"/>
  <c r="C16" i="25"/>
  <c r="C17" i="25"/>
  <c r="B15" i="25"/>
  <c r="B16" i="25"/>
  <c r="B17" i="25"/>
  <c r="R16" i="25" l="1"/>
  <c r="R17" i="25"/>
  <c r="R15" i="25"/>
  <c r="P13" i="25"/>
  <c r="P14" i="25"/>
  <c r="O13" i="25"/>
  <c r="O14" i="25"/>
  <c r="N13" i="25"/>
  <c r="N14" i="25"/>
  <c r="M13" i="25"/>
  <c r="M14" i="25"/>
  <c r="L13" i="25"/>
  <c r="L14" i="25"/>
  <c r="K13" i="25"/>
  <c r="K14" i="25"/>
  <c r="J13" i="25"/>
  <c r="J14" i="25"/>
  <c r="I13" i="25"/>
  <c r="I14" i="25"/>
  <c r="H13" i="25"/>
  <c r="H14" i="25"/>
  <c r="G13" i="25"/>
  <c r="G14" i="25"/>
  <c r="F13" i="25"/>
  <c r="F14" i="25"/>
  <c r="E13" i="25"/>
  <c r="E14" i="25"/>
  <c r="C14" i="25"/>
  <c r="D13" i="25"/>
  <c r="D14" i="25"/>
  <c r="C13" i="25"/>
  <c r="B14" i="25"/>
  <c r="B13" i="25"/>
  <c r="R13" i="25" l="1"/>
  <c r="R14" i="25"/>
  <c r="R16" i="5"/>
  <c r="R14" i="5"/>
  <c r="P6" i="25"/>
  <c r="P7" i="25"/>
  <c r="P8" i="25"/>
  <c r="P9" i="25"/>
  <c r="P10" i="25"/>
  <c r="P11" i="25"/>
  <c r="P12" i="25"/>
  <c r="P5" i="25"/>
  <c r="O6" i="25"/>
  <c r="O7" i="25"/>
  <c r="O8" i="25"/>
  <c r="O9" i="25"/>
  <c r="O10" i="25"/>
  <c r="O11" i="25"/>
  <c r="O12" i="25"/>
  <c r="O5" i="25"/>
  <c r="N6" i="25"/>
  <c r="N7" i="25"/>
  <c r="N8" i="25"/>
  <c r="N9" i="25"/>
  <c r="N10" i="25"/>
  <c r="N11" i="25"/>
  <c r="N12" i="25"/>
  <c r="N5" i="25"/>
  <c r="M6" i="25"/>
  <c r="M7" i="25"/>
  <c r="M8" i="25"/>
  <c r="M9" i="25"/>
  <c r="M10" i="25"/>
  <c r="M11" i="25"/>
  <c r="M12" i="25"/>
  <c r="M5" i="25"/>
  <c r="L6" i="25"/>
  <c r="L7" i="25"/>
  <c r="L8" i="25"/>
  <c r="L9" i="25"/>
  <c r="L10" i="25"/>
  <c r="L11" i="25"/>
  <c r="L12" i="25"/>
  <c r="L5" i="25"/>
  <c r="K6" i="25"/>
  <c r="K7" i="25"/>
  <c r="K8" i="25"/>
  <c r="K9" i="25"/>
  <c r="K10" i="25"/>
  <c r="K11" i="25"/>
  <c r="K12" i="25"/>
  <c r="K5" i="25"/>
  <c r="J6" i="25"/>
  <c r="J7" i="25"/>
  <c r="J8" i="25"/>
  <c r="J9" i="25"/>
  <c r="J10" i="25"/>
  <c r="J11" i="25"/>
  <c r="J12" i="25"/>
  <c r="J5" i="25"/>
  <c r="I6" i="25"/>
  <c r="I7" i="25"/>
  <c r="I8" i="25"/>
  <c r="I9" i="25"/>
  <c r="I10" i="25"/>
  <c r="I11" i="25"/>
  <c r="I12" i="25"/>
  <c r="H12" i="25"/>
  <c r="H6" i="25"/>
  <c r="H7" i="25"/>
  <c r="H8" i="25"/>
  <c r="H9" i="25"/>
  <c r="H10" i="25"/>
  <c r="H11" i="25"/>
  <c r="G6" i="25"/>
  <c r="G7" i="25"/>
  <c r="G8" i="25"/>
  <c r="G9" i="25"/>
  <c r="G10" i="25"/>
  <c r="G11" i="25"/>
  <c r="G12" i="25"/>
  <c r="F6" i="25"/>
  <c r="F7" i="25"/>
  <c r="F8" i="25"/>
  <c r="F9" i="25"/>
  <c r="F10" i="25"/>
  <c r="F11" i="25"/>
  <c r="F12" i="25"/>
  <c r="I5" i="25"/>
  <c r="H5" i="25"/>
  <c r="G5" i="25"/>
  <c r="F5" i="25"/>
  <c r="E5" i="25"/>
  <c r="O21" i="25" l="1"/>
  <c r="N21" i="25"/>
  <c r="M21" i="25"/>
  <c r="K21" i="25"/>
  <c r="F21" i="25"/>
  <c r="P21" i="25"/>
  <c r="L21" i="25"/>
  <c r="H21" i="25"/>
  <c r="J21" i="25"/>
  <c r="G21" i="25"/>
  <c r="I21" i="25"/>
  <c r="E6" i="25"/>
  <c r="E7" i="25"/>
  <c r="E8" i="25"/>
  <c r="E9" i="25"/>
  <c r="E10" i="25"/>
  <c r="E11" i="25"/>
  <c r="E12" i="25"/>
  <c r="D6" i="25"/>
  <c r="D7" i="25"/>
  <c r="D8" i="25"/>
  <c r="D9" i="25"/>
  <c r="D10" i="25"/>
  <c r="D11" i="25"/>
  <c r="D12" i="25"/>
  <c r="D5" i="25"/>
  <c r="C6" i="25"/>
  <c r="C7" i="25"/>
  <c r="C8" i="25"/>
  <c r="C9" i="25"/>
  <c r="C10" i="25"/>
  <c r="C11" i="25"/>
  <c r="C12" i="25"/>
  <c r="C5" i="25"/>
  <c r="B6" i="25"/>
  <c r="B7" i="25"/>
  <c r="B8" i="25"/>
  <c r="B9" i="25"/>
  <c r="B10" i="25"/>
  <c r="B11" i="25"/>
  <c r="B12" i="25"/>
  <c r="B5" i="25"/>
  <c r="E2" i="4"/>
  <c r="B21" i="25" l="1"/>
  <c r="D21" i="25"/>
  <c r="R12" i="25"/>
  <c r="R10" i="25"/>
  <c r="R8" i="25"/>
  <c r="R6" i="25"/>
  <c r="R11" i="25"/>
  <c r="R9" i="25"/>
  <c r="R7" i="25"/>
  <c r="E21" i="25"/>
  <c r="R5" i="25"/>
  <c r="C21" i="25"/>
  <c r="B5" i="24" l="1"/>
  <c r="B3" i="24"/>
  <c r="B4" i="24"/>
  <c r="F2" i="24"/>
  <c r="B2" i="24"/>
  <c r="O8" i="5"/>
  <c r="G64" i="24" l="1"/>
  <c r="F57" i="24"/>
  <c r="G56" i="24"/>
  <c r="F55" i="24"/>
  <c r="D59" i="24" s="1"/>
  <c r="G59" i="24" s="1"/>
  <c r="F34" i="24"/>
  <c r="G33" i="24" s="1"/>
  <c r="C11" i="24"/>
  <c r="G54" i="24" l="1"/>
  <c r="W3" i="21"/>
  <c r="W3" i="20"/>
  <c r="W3" i="19"/>
  <c r="W3" i="18"/>
  <c r="W3" i="17"/>
  <c r="W3" i="16"/>
  <c r="W3" i="15"/>
  <c r="W3" i="14"/>
  <c r="W3" i="13"/>
  <c r="W3" i="11"/>
  <c r="W3" i="10"/>
  <c r="W3" i="9"/>
  <c r="W3" i="7"/>
  <c r="W3" i="6"/>
  <c r="W3" i="5"/>
  <c r="G12" i="24" l="1"/>
  <c r="K7" i="22"/>
  <c r="R5" i="8" l="1"/>
  <c r="S6" i="14" l="1"/>
  <c r="S6" i="13"/>
  <c r="S6" i="11"/>
  <c r="S6" i="10"/>
  <c r="S6" i="9"/>
  <c r="S6" i="7"/>
  <c r="S6" i="6"/>
  <c r="S6" i="5"/>
  <c r="O4" i="5"/>
  <c r="O4" i="21" l="1"/>
  <c r="S6" i="21" s="1"/>
  <c r="O4" i="20"/>
  <c r="S6" i="20" s="1"/>
  <c r="O4" i="19"/>
  <c r="S6" i="19" s="1"/>
  <c r="O4" i="18"/>
  <c r="S6" i="18" s="1"/>
  <c r="O4" i="17"/>
  <c r="S6" i="17" s="1"/>
  <c r="O4" i="16"/>
  <c r="O4" i="15"/>
  <c r="O4" i="14"/>
  <c r="O4" i="13"/>
  <c r="O4" i="11"/>
  <c r="O4" i="10"/>
  <c r="O4" i="9"/>
  <c r="O4" i="7"/>
  <c r="O4" i="6"/>
  <c r="M5" i="22" l="1"/>
  <c r="R29" i="5"/>
  <c r="R30" i="5"/>
  <c r="R8" i="21" l="1"/>
  <c r="R8" i="19"/>
  <c r="R8" i="17"/>
  <c r="R8" i="15"/>
  <c r="R8" i="13"/>
  <c r="R8" i="10"/>
  <c r="R8" i="20"/>
  <c r="R8" i="18"/>
  <c r="R8" i="16"/>
  <c r="R8" i="14"/>
  <c r="R8" i="11"/>
  <c r="R8" i="9"/>
  <c r="O8" i="20"/>
  <c r="O8" i="18"/>
  <c r="O8" i="16"/>
  <c r="O8" i="14"/>
  <c r="O8" i="11"/>
  <c r="O8" i="9"/>
  <c r="O8" i="6"/>
  <c r="O8" i="21"/>
  <c r="O8" i="19"/>
  <c r="O8" i="17"/>
  <c r="O8" i="15"/>
  <c r="O8" i="13"/>
  <c r="O8" i="10"/>
  <c r="O8" i="7"/>
  <c r="D4" i="5"/>
  <c r="D4" i="7"/>
  <c r="D4" i="6"/>
  <c r="D4" i="21"/>
  <c r="D4" i="20"/>
  <c r="D4" i="19"/>
  <c r="D4" i="18"/>
  <c r="D4" i="17"/>
  <c r="D4" i="16"/>
  <c r="D4" i="15"/>
  <c r="D4" i="14"/>
  <c r="D4" i="13"/>
  <c r="D4" i="11"/>
  <c r="D4" i="10"/>
  <c r="D4" i="9"/>
  <c r="E8" i="5"/>
  <c r="E8" i="7"/>
  <c r="E8" i="21"/>
  <c r="E8" i="20"/>
  <c r="E8" i="19"/>
  <c r="E8" i="18"/>
  <c r="E8" i="17"/>
  <c r="E8" i="16"/>
  <c r="E8" i="15"/>
  <c r="E8" i="14"/>
  <c r="E8" i="13"/>
  <c r="E8" i="11"/>
  <c r="E8" i="10"/>
  <c r="E8" i="9"/>
  <c r="E8" i="6"/>
  <c r="D6" i="5"/>
  <c r="D6" i="21"/>
  <c r="D6" i="20"/>
  <c r="D6" i="19"/>
  <c r="D6" i="18"/>
  <c r="D6" i="17"/>
  <c r="D6" i="16"/>
  <c r="D6" i="15"/>
  <c r="D6" i="14"/>
  <c r="D6" i="13"/>
  <c r="D6" i="11"/>
  <c r="D6" i="10"/>
  <c r="D6" i="9"/>
  <c r="D6" i="6"/>
  <c r="D6" i="7"/>
  <c r="R8" i="5"/>
  <c r="R8" i="7"/>
  <c r="R8" i="6"/>
  <c r="P5" i="8" l="1"/>
  <c r="S1" i="4" l="1"/>
  <c r="R1" i="4"/>
  <c r="Q1" i="4"/>
  <c r="P1" i="4"/>
  <c r="O1" i="4"/>
  <c r="N1" i="4"/>
  <c r="M1" i="4"/>
  <c r="L1" i="4"/>
  <c r="K1" i="4"/>
  <c r="J1" i="4"/>
  <c r="S6" i="16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S6" i="15"/>
  <c r="E84" i="9"/>
  <c r="L84" i="9"/>
  <c r="C87" i="9"/>
  <c r="G87" i="9"/>
  <c r="I87" i="9"/>
  <c r="F7" i="8" l="1"/>
  <c r="D3" i="8"/>
  <c r="R45" i="21" l="1"/>
  <c r="R44" i="21"/>
  <c r="R43" i="21"/>
  <c r="R42" i="21"/>
  <c r="R41" i="21"/>
  <c r="R40" i="21"/>
  <c r="R39" i="21"/>
  <c r="R38" i="21"/>
  <c r="R37" i="21"/>
  <c r="R36" i="21"/>
  <c r="R35" i="21"/>
  <c r="R34" i="21"/>
  <c r="R33" i="21"/>
  <c r="R32" i="21"/>
  <c r="R31" i="21"/>
  <c r="R30" i="21"/>
  <c r="R29" i="21"/>
  <c r="R28" i="21"/>
  <c r="R27" i="21"/>
  <c r="R26" i="21"/>
  <c r="R25" i="21"/>
  <c r="R24" i="21"/>
  <c r="R23" i="21"/>
  <c r="R22" i="21"/>
  <c r="R21" i="21"/>
  <c r="R20" i="21"/>
  <c r="R19" i="21"/>
  <c r="R18" i="21"/>
  <c r="R17" i="21"/>
  <c r="R16" i="21"/>
  <c r="R15" i="21"/>
  <c r="R14" i="21"/>
  <c r="R13" i="21"/>
  <c r="B46" i="21"/>
  <c r="B26" i="8" s="1"/>
  <c r="R45" i="20"/>
  <c r="R44" i="20"/>
  <c r="R43" i="20"/>
  <c r="R42" i="20"/>
  <c r="R41" i="20"/>
  <c r="R40" i="20"/>
  <c r="R39" i="20"/>
  <c r="R38" i="20"/>
  <c r="R37" i="20"/>
  <c r="R36" i="20"/>
  <c r="R35" i="20"/>
  <c r="R34" i="20"/>
  <c r="R33" i="20"/>
  <c r="R32" i="20"/>
  <c r="R31" i="20"/>
  <c r="R30" i="20"/>
  <c r="R29" i="20"/>
  <c r="R28" i="20"/>
  <c r="R27" i="20"/>
  <c r="R26" i="20"/>
  <c r="R25" i="20"/>
  <c r="R24" i="20"/>
  <c r="R23" i="20"/>
  <c r="R22" i="20"/>
  <c r="R21" i="20"/>
  <c r="R20" i="20"/>
  <c r="R19" i="20"/>
  <c r="R18" i="20"/>
  <c r="R17" i="20"/>
  <c r="R16" i="20"/>
  <c r="R15" i="20"/>
  <c r="R14" i="20"/>
  <c r="R13" i="20"/>
  <c r="B46" i="20"/>
  <c r="B25" i="8" s="1"/>
  <c r="R45" i="19"/>
  <c r="R44" i="19"/>
  <c r="R43" i="19"/>
  <c r="R42" i="19"/>
  <c r="R41" i="19"/>
  <c r="R40" i="19"/>
  <c r="R39" i="19"/>
  <c r="R38" i="19"/>
  <c r="R37" i="19"/>
  <c r="R36" i="19"/>
  <c r="R35" i="19"/>
  <c r="R34" i="19"/>
  <c r="R33" i="19"/>
  <c r="R32" i="19"/>
  <c r="R31" i="19"/>
  <c r="R30" i="19"/>
  <c r="R29" i="19"/>
  <c r="R28" i="19"/>
  <c r="R27" i="19"/>
  <c r="R26" i="19"/>
  <c r="R25" i="19"/>
  <c r="R24" i="19"/>
  <c r="R23" i="19"/>
  <c r="R22" i="19"/>
  <c r="R21" i="19"/>
  <c r="R20" i="19"/>
  <c r="R19" i="19"/>
  <c r="R18" i="19"/>
  <c r="R17" i="19"/>
  <c r="R16" i="19"/>
  <c r="R15" i="19"/>
  <c r="R14" i="19"/>
  <c r="R13" i="19"/>
  <c r="B46" i="19"/>
  <c r="B24" i="8" s="1"/>
  <c r="R45" i="18"/>
  <c r="R44" i="18"/>
  <c r="R43" i="18"/>
  <c r="R42" i="18"/>
  <c r="R41" i="18"/>
  <c r="R40" i="18"/>
  <c r="R39" i="18"/>
  <c r="R38" i="18"/>
  <c r="R37" i="18"/>
  <c r="R36" i="18"/>
  <c r="R35" i="18"/>
  <c r="R34" i="18"/>
  <c r="R33" i="18"/>
  <c r="R32" i="18"/>
  <c r="R31" i="18"/>
  <c r="R30" i="18"/>
  <c r="R29" i="18"/>
  <c r="R28" i="18"/>
  <c r="R27" i="18"/>
  <c r="R26" i="18"/>
  <c r="R25" i="18"/>
  <c r="R24" i="18"/>
  <c r="R23" i="18"/>
  <c r="R22" i="18"/>
  <c r="R21" i="18"/>
  <c r="R20" i="18"/>
  <c r="R19" i="18"/>
  <c r="R18" i="18"/>
  <c r="R17" i="18"/>
  <c r="R16" i="18"/>
  <c r="R15" i="18"/>
  <c r="R14" i="18"/>
  <c r="R13" i="18"/>
  <c r="B46" i="18"/>
  <c r="B23" i="8" s="1"/>
  <c r="R45" i="17"/>
  <c r="R44" i="17"/>
  <c r="R43" i="17"/>
  <c r="R42" i="17"/>
  <c r="R41" i="17"/>
  <c r="R40" i="17"/>
  <c r="R39" i="17"/>
  <c r="R38" i="17"/>
  <c r="R37" i="17"/>
  <c r="R36" i="17"/>
  <c r="R35" i="17"/>
  <c r="R34" i="17"/>
  <c r="R33" i="17"/>
  <c r="R32" i="17"/>
  <c r="R31" i="17"/>
  <c r="R30" i="17"/>
  <c r="R29" i="17"/>
  <c r="R28" i="17"/>
  <c r="R27" i="17"/>
  <c r="R26" i="17"/>
  <c r="R25" i="17"/>
  <c r="R24" i="17"/>
  <c r="R23" i="17"/>
  <c r="R22" i="17"/>
  <c r="R21" i="17"/>
  <c r="R20" i="17"/>
  <c r="R19" i="17"/>
  <c r="R18" i="17"/>
  <c r="R17" i="17"/>
  <c r="R16" i="17"/>
  <c r="R15" i="17"/>
  <c r="R14" i="17"/>
  <c r="R13" i="17"/>
  <c r="B46" i="17"/>
  <c r="B22" i="8" s="1"/>
  <c r="R45" i="16"/>
  <c r="R44" i="16"/>
  <c r="R43" i="16"/>
  <c r="R42" i="16"/>
  <c r="R41" i="16"/>
  <c r="R40" i="16"/>
  <c r="R39" i="16"/>
  <c r="R38" i="16"/>
  <c r="R37" i="16"/>
  <c r="R36" i="16"/>
  <c r="R35" i="16"/>
  <c r="R34" i="16"/>
  <c r="R33" i="16"/>
  <c r="R32" i="16"/>
  <c r="R31" i="16"/>
  <c r="R30" i="16"/>
  <c r="R29" i="16"/>
  <c r="R28" i="16"/>
  <c r="R27" i="16"/>
  <c r="R26" i="16"/>
  <c r="R25" i="16"/>
  <c r="R24" i="16"/>
  <c r="R23" i="16"/>
  <c r="R22" i="16"/>
  <c r="R21" i="16"/>
  <c r="R20" i="16"/>
  <c r="R19" i="16"/>
  <c r="R18" i="16"/>
  <c r="R17" i="16"/>
  <c r="R16" i="16"/>
  <c r="R15" i="16"/>
  <c r="R14" i="16"/>
  <c r="R13" i="16"/>
  <c r="B46" i="16"/>
  <c r="B21" i="8" s="1"/>
  <c r="B46" i="15"/>
  <c r="B20" i="8" s="1"/>
  <c r="R45" i="15"/>
  <c r="R44" i="15"/>
  <c r="R43" i="15"/>
  <c r="R42" i="15"/>
  <c r="R41" i="15"/>
  <c r="R40" i="15"/>
  <c r="R39" i="15"/>
  <c r="R38" i="15"/>
  <c r="R37" i="15"/>
  <c r="R36" i="15"/>
  <c r="R35" i="15"/>
  <c r="R34" i="15"/>
  <c r="R33" i="15"/>
  <c r="R32" i="15"/>
  <c r="R31" i="15"/>
  <c r="R30" i="15"/>
  <c r="R29" i="15"/>
  <c r="R28" i="15"/>
  <c r="R45" i="14"/>
  <c r="R44" i="14"/>
  <c r="R43" i="14"/>
  <c r="R42" i="14"/>
  <c r="R41" i="14"/>
  <c r="R40" i="14"/>
  <c r="R39" i="14"/>
  <c r="R38" i="14"/>
  <c r="R37" i="14"/>
  <c r="R36" i="14"/>
  <c r="R35" i="14"/>
  <c r="R34" i="14"/>
  <c r="R33" i="14"/>
  <c r="R32" i="14"/>
  <c r="R31" i="14"/>
  <c r="R30" i="14"/>
  <c r="R29" i="14"/>
  <c r="R28" i="14"/>
  <c r="R27" i="14"/>
  <c r="R26" i="14"/>
  <c r="R25" i="14"/>
  <c r="R24" i="14"/>
  <c r="R23" i="14"/>
  <c r="R22" i="14"/>
  <c r="R21" i="14"/>
  <c r="R20" i="14"/>
  <c r="R19" i="14"/>
  <c r="R18" i="14"/>
  <c r="R17" i="14"/>
  <c r="R16" i="14"/>
  <c r="R15" i="14"/>
  <c r="R14" i="14"/>
  <c r="R13" i="14"/>
  <c r="B46" i="14"/>
  <c r="B19" i="8" s="1"/>
  <c r="R45" i="13"/>
  <c r="R44" i="13"/>
  <c r="R43" i="13"/>
  <c r="R42" i="13"/>
  <c r="R41" i="13"/>
  <c r="R40" i="13"/>
  <c r="R39" i="13"/>
  <c r="R38" i="13"/>
  <c r="R37" i="13"/>
  <c r="R36" i="13"/>
  <c r="R35" i="13"/>
  <c r="R34" i="13"/>
  <c r="R33" i="13"/>
  <c r="R32" i="13"/>
  <c r="R31" i="13"/>
  <c r="R30" i="13"/>
  <c r="R29" i="13"/>
  <c r="R28" i="13"/>
  <c r="R27" i="13"/>
  <c r="R26" i="13"/>
  <c r="R25" i="13"/>
  <c r="R24" i="13"/>
  <c r="R23" i="13"/>
  <c r="R22" i="13"/>
  <c r="R21" i="13"/>
  <c r="R20" i="13"/>
  <c r="R19" i="13"/>
  <c r="R18" i="13"/>
  <c r="R17" i="13"/>
  <c r="R16" i="13"/>
  <c r="R15" i="13"/>
  <c r="R14" i="13"/>
  <c r="R13" i="13"/>
  <c r="B46" i="13"/>
  <c r="B18" i="8" s="1"/>
  <c r="R45" i="11"/>
  <c r="R44" i="11"/>
  <c r="R43" i="11"/>
  <c r="R42" i="11"/>
  <c r="R41" i="11"/>
  <c r="R40" i="11"/>
  <c r="R39" i="11"/>
  <c r="R38" i="11"/>
  <c r="R37" i="11"/>
  <c r="R36" i="11"/>
  <c r="R35" i="11"/>
  <c r="R34" i="11"/>
  <c r="R33" i="11"/>
  <c r="R32" i="11"/>
  <c r="R31" i="11"/>
  <c r="R30" i="11"/>
  <c r="R29" i="11"/>
  <c r="R28" i="11"/>
  <c r="R27" i="11"/>
  <c r="R26" i="11"/>
  <c r="R25" i="11"/>
  <c r="R24" i="11"/>
  <c r="R23" i="11"/>
  <c r="R22" i="11"/>
  <c r="R21" i="11"/>
  <c r="R20" i="11"/>
  <c r="R19" i="11"/>
  <c r="R18" i="11"/>
  <c r="R17" i="11"/>
  <c r="R16" i="11"/>
  <c r="R15" i="11"/>
  <c r="R14" i="11"/>
  <c r="R13" i="11"/>
  <c r="B46" i="11"/>
  <c r="B17" i="8" s="1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R32" i="7"/>
  <c r="R33" i="7"/>
  <c r="R34" i="7"/>
  <c r="R35" i="7"/>
  <c r="R36" i="7"/>
  <c r="R37" i="7"/>
  <c r="R38" i="7"/>
  <c r="R39" i="7"/>
  <c r="R40" i="7"/>
  <c r="R41" i="7"/>
  <c r="R42" i="7"/>
  <c r="R43" i="7"/>
  <c r="R44" i="7"/>
  <c r="R45" i="7"/>
  <c r="R15" i="7"/>
  <c r="R16" i="7"/>
  <c r="R14" i="7"/>
  <c r="R13" i="7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15" i="6"/>
  <c r="R14" i="6"/>
  <c r="R15" i="10"/>
  <c r="R16" i="10"/>
  <c r="R17" i="10"/>
  <c r="R18" i="10"/>
  <c r="R19" i="10"/>
  <c r="R20" i="10"/>
  <c r="R21" i="10"/>
  <c r="R22" i="10"/>
  <c r="R23" i="10"/>
  <c r="R24" i="10"/>
  <c r="R25" i="10"/>
  <c r="R26" i="10"/>
  <c r="R27" i="10"/>
  <c r="R28" i="10"/>
  <c r="R29" i="10"/>
  <c r="R30" i="10"/>
  <c r="R31" i="10"/>
  <c r="R32" i="10"/>
  <c r="R33" i="10"/>
  <c r="R34" i="10"/>
  <c r="R35" i="10"/>
  <c r="R36" i="10"/>
  <c r="R37" i="10"/>
  <c r="R38" i="10"/>
  <c r="R39" i="10"/>
  <c r="R40" i="10"/>
  <c r="R41" i="10"/>
  <c r="R42" i="10"/>
  <c r="R43" i="10"/>
  <c r="R44" i="10"/>
  <c r="R45" i="10"/>
  <c r="R14" i="10"/>
  <c r="R13" i="10"/>
  <c r="B46" i="10"/>
  <c r="B16" i="8" s="1"/>
  <c r="B46" i="9"/>
  <c r="B15" i="8" s="1"/>
  <c r="B46" i="7"/>
  <c r="B14" i="8" s="1"/>
  <c r="B46" i="6"/>
  <c r="B13" i="8" s="1"/>
  <c r="C46" i="6"/>
  <c r="C13" i="8" s="1"/>
  <c r="B46" i="5"/>
  <c r="B12" i="8" s="1"/>
  <c r="C77" i="5"/>
  <c r="G30" i="8" l="1"/>
  <c r="H13" i="22" s="1"/>
  <c r="D13" i="22"/>
  <c r="B28" i="8"/>
  <c r="R17" i="5" l="1"/>
  <c r="R18" i="5"/>
  <c r="R19" i="5"/>
  <c r="R20" i="5"/>
  <c r="R21" i="5"/>
  <c r="R22" i="5"/>
  <c r="R23" i="5"/>
  <c r="R24" i="5"/>
  <c r="R25" i="5"/>
  <c r="R26" i="5"/>
  <c r="R27" i="5"/>
  <c r="R28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15" i="5"/>
  <c r="R13" i="5"/>
  <c r="G46" i="5" l="1"/>
  <c r="P3" i="8" l="1"/>
  <c r="D5" i="8"/>
  <c r="A26" i="8"/>
  <c r="A25" i="8"/>
  <c r="A24" i="8"/>
  <c r="A23" i="8"/>
  <c r="AK26" i="8" l="1"/>
  <c r="AK25" i="8"/>
  <c r="AK24" i="8"/>
  <c r="AK23" i="8"/>
  <c r="AK22" i="8"/>
  <c r="AK21" i="8"/>
  <c r="AK20" i="8"/>
  <c r="AK19" i="8"/>
  <c r="AK18" i="8"/>
  <c r="AK17" i="8"/>
  <c r="AK16" i="8"/>
  <c r="AK15" i="8"/>
  <c r="AK14" i="8"/>
  <c r="AK13" i="8"/>
  <c r="AK12" i="8"/>
  <c r="AJ26" i="8"/>
  <c r="AJ25" i="8"/>
  <c r="AJ24" i="8"/>
  <c r="AJ23" i="8"/>
  <c r="AJ22" i="8"/>
  <c r="AJ21" i="8"/>
  <c r="AJ20" i="8"/>
  <c r="AJ19" i="8"/>
  <c r="AJ18" i="8"/>
  <c r="AJ17" i="8"/>
  <c r="AJ16" i="8"/>
  <c r="AJ15" i="8"/>
  <c r="AJ14" i="8"/>
  <c r="AJ13" i="8"/>
  <c r="AJ12" i="8"/>
  <c r="AI26" i="8"/>
  <c r="AI25" i="8"/>
  <c r="AI24" i="8"/>
  <c r="AI23" i="8"/>
  <c r="AI22" i="8"/>
  <c r="AI21" i="8"/>
  <c r="AI20" i="8"/>
  <c r="AI19" i="8"/>
  <c r="AI18" i="8"/>
  <c r="AI17" i="8"/>
  <c r="AI16" i="8"/>
  <c r="AI15" i="8"/>
  <c r="AI14" i="8"/>
  <c r="AI13" i="8"/>
  <c r="AI12" i="8"/>
  <c r="AH26" i="8"/>
  <c r="AH25" i="8"/>
  <c r="AH24" i="8"/>
  <c r="AH23" i="8"/>
  <c r="AH22" i="8"/>
  <c r="AH21" i="8"/>
  <c r="AH20" i="8"/>
  <c r="AH19" i="8"/>
  <c r="AH18" i="8"/>
  <c r="AH17" i="8"/>
  <c r="AH16" i="8"/>
  <c r="AH15" i="8"/>
  <c r="AH14" i="8"/>
  <c r="AH13" i="8"/>
  <c r="AH12" i="8"/>
  <c r="AG26" i="8"/>
  <c r="AG25" i="8"/>
  <c r="AG24" i="8"/>
  <c r="AG23" i="8"/>
  <c r="AG22" i="8"/>
  <c r="AG21" i="8"/>
  <c r="AG20" i="8"/>
  <c r="AG19" i="8"/>
  <c r="AG18" i="8"/>
  <c r="AG17" i="8"/>
  <c r="AG16" i="8"/>
  <c r="AG15" i="8"/>
  <c r="AG14" i="8"/>
  <c r="AG13" i="8"/>
  <c r="AG12" i="8"/>
  <c r="AF26" i="8"/>
  <c r="AF25" i="8"/>
  <c r="AF24" i="8"/>
  <c r="AF23" i="8"/>
  <c r="AF22" i="8"/>
  <c r="AF21" i="8"/>
  <c r="AF20" i="8"/>
  <c r="AF19" i="8"/>
  <c r="AF18" i="8"/>
  <c r="AF17" i="8"/>
  <c r="AF16" i="8"/>
  <c r="AF15" i="8"/>
  <c r="AF14" i="8"/>
  <c r="AF13" i="8"/>
  <c r="AF12" i="8"/>
  <c r="AE26" i="8"/>
  <c r="AE25" i="8"/>
  <c r="AE24" i="8"/>
  <c r="AE23" i="8"/>
  <c r="AE22" i="8"/>
  <c r="AE21" i="8"/>
  <c r="AE20" i="8"/>
  <c r="AE19" i="8"/>
  <c r="AE18" i="8"/>
  <c r="AE17" i="8"/>
  <c r="AE16" i="8"/>
  <c r="AE15" i="8"/>
  <c r="AE14" i="8"/>
  <c r="AE13" i="8"/>
  <c r="AE12" i="8"/>
  <c r="AD26" i="8"/>
  <c r="AD25" i="8"/>
  <c r="AD24" i="8"/>
  <c r="AD23" i="8"/>
  <c r="AD22" i="8"/>
  <c r="AD21" i="8"/>
  <c r="AD20" i="8"/>
  <c r="AD19" i="8"/>
  <c r="AD18" i="8"/>
  <c r="AD17" i="8"/>
  <c r="AD16" i="8"/>
  <c r="AD15" i="8"/>
  <c r="AD14" i="8"/>
  <c r="AD13" i="8"/>
  <c r="AD12" i="8"/>
  <c r="AC26" i="8"/>
  <c r="AC25" i="8"/>
  <c r="AC24" i="8"/>
  <c r="AC23" i="8"/>
  <c r="AC22" i="8"/>
  <c r="AC21" i="8"/>
  <c r="AC20" i="8"/>
  <c r="AC19" i="8"/>
  <c r="AC18" i="8"/>
  <c r="AC17" i="8"/>
  <c r="AC16" i="8"/>
  <c r="AC15" i="8"/>
  <c r="AC14" i="8"/>
  <c r="AC13" i="8"/>
  <c r="AC12" i="8"/>
  <c r="AB26" i="8"/>
  <c r="AB25" i="8"/>
  <c r="AB24" i="8"/>
  <c r="AB23" i="8"/>
  <c r="AB22" i="8"/>
  <c r="AB21" i="8"/>
  <c r="AB20" i="8"/>
  <c r="AB19" i="8"/>
  <c r="AB18" i="8"/>
  <c r="AB17" i="8"/>
  <c r="AB16" i="8"/>
  <c r="AB15" i="8"/>
  <c r="AB14" i="8"/>
  <c r="AB13" i="8"/>
  <c r="AB12" i="8"/>
  <c r="AA26" i="8"/>
  <c r="AA25" i="8"/>
  <c r="AA24" i="8"/>
  <c r="AA23" i="8"/>
  <c r="AA22" i="8"/>
  <c r="AA21" i="8"/>
  <c r="AA20" i="8"/>
  <c r="AA19" i="8"/>
  <c r="AA18" i="8"/>
  <c r="AA17" i="8"/>
  <c r="AA16" i="8"/>
  <c r="AA15" i="8"/>
  <c r="AA14" i="8"/>
  <c r="AA13" i="8"/>
  <c r="AA12" i="8"/>
  <c r="A13" i="8"/>
  <c r="A12" i="8"/>
  <c r="A14" i="8"/>
  <c r="A15" i="8"/>
  <c r="A16" i="8"/>
  <c r="A17" i="8"/>
  <c r="A18" i="8"/>
  <c r="A19" i="8"/>
  <c r="A20" i="8"/>
  <c r="A21" i="8"/>
  <c r="A22" i="8"/>
  <c r="F1" i="4" l="1"/>
  <c r="G1" i="4"/>
  <c r="H1" i="4"/>
  <c r="I1" i="4"/>
  <c r="E1" i="4"/>
  <c r="C90" i="21" l="1"/>
  <c r="L87" i="21"/>
  <c r="I87" i="21"/>
  <c r="G87" i="21"/>
  <c r="C87" i="21"/>
  <c r="L84" i="21"/>
  <c r="E84" i="21"/>
  <c r="C74" i="21"/>
  <c r="L71" i="21"/>
  <c r="I71" i="21"/>
  <c r="G71" i="21"/>
  <c r="C71" i="21"/>
  <c r="L68" i="21"/>
  <c r="F48" i="21"/>
  <c r="G26" i="8" s="1"/>
  <c r="F47" i="21"/>
  <c r="F26" i="8" s="1"/>
  <c r="Z46" i="21"/>
  <c r="Y46" i="21"/>
  <c r="X46" i="21"/>
  <c r="W46" i="21"/>
  <c r="V46" i="21"/>
  <c r="P46" i="21"/>
  <c r="O46" i="21"/>
  <c r="P26" i="8" s="1"/>
  <c r="N46" i="21"/>
  <c r="O26" i="8" s="1"/>
  <c r="M46" i="21"/>
  <c r="N26" i="8" s="1"/>
  <c r="L46" i="21"/>
  <c r="M26" i="8" s="1"/>
  <c r="K46" i="21"/>
  <c r="L26" i="8" s="1"/>
  <c r="I46" i="21"/>
  <c r="H46" i="21"/>
  <c r="G46" i="21"/>
  <c r="H26" i="8" s="1"/>
  <c r="F46" i="21"/>
  <c r="E26" i="8" s="1"/>
  <c r="C46" i="21"/>
  <c r="C26" i="8" s="1"/>
  <c r="C90" i="20"/>
  <c r="L87" i="20"/>
  <c r="I87" i="20"/>
  <c r="G87" i="20"/>
  <c r="C87" i="20"/>
  <c r="L84" i="20"/>
  <c r="E84" i="20"/>
  <c r="C74" i="20"/>
  <c r="L71" i="20"/>
  <c r="I71" i="20"/>
  <c r="G71" i="20"/>
  <c r="C71" i="20"/>
  <c r="L68" i="20"/>
  <c r="F48" i="20"/>
  <c r="G25" i="8" s="1"/>
  <c r="F47" i="20"/>
  <c r="F25" i="8" s="1"/>
  <c r="Z46" i="20"/>
  <c r="Y46" i="20"/>
  <c r="X46" i="20"/>
  <c r="W46" i="20"/>
  <c r="V46" i="20"/>
  <c r="P46" i="20"/>
  <c r="O46" i="20"/>
  <c r="P25" i="8" s="1"/>
  <c r="N46" i="20"/>
  <c r="O25" i="8" s="1"/>
  <c r="M46" i="20"/>
  <c r="N25" i="8" s="1"/>
  <c r="L46" i="20"/>
  <c r="M25" i="8" s="1"/>
  <c r="K46" i="20"/>
  <c r="L25" i="8" s="1"/>
  <c r="I46" i="20"/>
  <c r="H46" i="20"/>
  <c r="G46" i="20"/>
  <c r="H25" i="8" s="1"/>
  <c r="F46" i="20"/>
  <c r="E25" i="8" s="1"/>
  <c r="C46" i="20"/>
  <c r="C25" i="8" s="1"/>
  <c r="C90" i="19"/>
  <c r="L87" i="19"/>
  <c r="I87" i="19"/>
  <c r="G87" i="19"/>
  <c r="C87" i="19"/>
  <c r="L84" i="19"/>
  <c r="E84" i="19"/>
  <c r="C74" i="19"/>
  <c r="L71" i="19"/>
  <c r="I71" i="19"/>
  <c r="G71" i="19"/>
  <c r="C71" i="19"/>
  <c r="L68" i="19"/>
  <c r="F48" i="19"/>
  <c r="G24" i="8" s="1"/>
  <c r="F47" i="19"/>
  <c r="F24" i="8" s="1"/>
  <c r="Z46" i="19"/>
  <c r="Y46" i="19"/>
  <c r="X46" i="19"/>
  <c r="W46" i="19"/>
  <c r="V46" i="19"/>
  <c r="P46" i="19"/>
  <c r="O46" i="19"/>
  <c r="P24" i="8" s="1"/>
  <c r="N46" i="19"/>
  <c r="O24" i="8" s="1"/>
  <c r="M46" i="19"/>
  <c r="N24" i="8" s="1"/>
  <c r="L46" i="19"/>
  <c r="M24" i="8" s="1"/>
  <c r="K46" i="19"/>
  <c r="L24" i="8" s="1"/>
  <c r="I46" i="19"/>
  <c r="H46" i="19"/>
  <c r="G46" i="19"/>
  <c r="H24" i="8" s="1"/>
  <c r="F46" i="19"/>
  <c r="E24" i="8" s="1"/>
  <c r="C46" i="19"/>
  <c r="C24" i="8" s="1"/>
  <c r="C90" i="18"/>
  <c r="L87" i="18"/>
  <c r="I87" i="18"/>
  <c r="G87" i="18"/>
  <c r="C87" i="18"/>
  <c r="L84" i="18"/>
  <c r="E84" i="18"/>
  <c r="C74" i="18"/>
  <c r="L71" i="18"/>
  <c r="I71" i="18"/>
  <c r="G71" i="18"/>
  <c r="C71" i="18"/>
  <c r="L68" i="18"/>
  <c r="F48" i="18"/>
  <c r="G23" i="8" s="1"/>
  <c r="F47" i="18"/>
  <c r="F23" i="8" s="1"/>
  <c r="Z46" i="18"/>
  <c r="Y46" i="18"/>
  <c r="X46" i="18"/>
  <c r="W46" i="18"/>
  <c r="V46" i="18"/>
  <c r="P46" i="18"/>
  <c r="O46" i="18"/>
  <c r="P23" i="8" s="1"/>
  <c r="N46" i="18"/>
  <c r="O23" i="8" s="1"/>
  <c r="M46" i="18"/>
  <c r="N23" i="8" s="1"/>
  <c r="L46" i="18"/>
  <c r="M23" i="8" s="1"/>
  <c r="K46" i="18"/>
  <c r="L23" i="8" s="1"/>
  <c r="I46" i="18"/>
  <c r="H46" i="18"/>
  <c r="G46" i="18"/>
  <c r="H23" i="8" s="1"/>
  <c r="F46" i="18"/>
  <c r="E23" i="8" s="1"/>
  <c r="C46" i="18"/>
  <c r="C23" i="8" s="1"/>
  <c r="C90" i="17"/>
  <c r="L87" i="17"/>
  <c r="I87" i="17"/>
  <c r="I88" i="17" s="1"/>
  <c r="G87" i="17"/>
  <c r="C87" i="17"/>
  <c r="C88" i="17" s="1"/>
  <c r="L84" i="17"/>
  <c r="E84" i="17"/>
  <c r="C74" i="17"/>
  <c r="L71" i="17"/>
  <c r="I71" i="17"/>
  <c r="G71" i="17"/>
  <c r="C71" i="17"/>
  <c r="L68" i="17"/>
  <c r="F48" i="17"/>
  <c r="G22" i="8" s="1"/>
  <c r="F47" i="17"/>
  <c r="F22" i="8" s="1"/>
  <c r="Z46" i="17"/>
  <c r="Y46" i="17"/>
  <c r="X46" i="17"/>
  <c r="W46" i="17"/>
  <c r="V46" i="17"/>
  <c r="P46" i="17"/>
  <c r="O46" i="17"/>
  <c r="P22" i="8" s="1"/>
  <c r="N46" i="17"/>
  <c r="O22" i="8" s="1"/>
  <c r="M46" i="17"/>
  <c r="N22" i="8" s="1"/>
  <c r="L46" i="17"/>
  <c r="M22" i="8" s="1"/>
  <c r="K46" i="17"/>
  <c r="L22" i="8" s="1"/>
  <c r="I46" i="17"/>
  <c r="H46" i="17"/>
  <c r="G46" i="17"/>
  <c r="H22" i="8" s="1"/>
  <c r="F46" i="17"/>
  <c r="E22" i="8" s="1"/>
  <c r="C46" i="17"/>
  <c r="C22" i="8" s="1"/>
  <c r="C90" i="16"/>
  <c r="L87" i="16"/>
  <c r="I87" i="16"/>
  <c r="G87" i="16"/>
  <c r="C87" i="16"/>
  <c r="C88" i="16" s="1"/>
  <c r="L84" i="16"/>
  <c r="E84" i="16"/>
  <c r="C74" i="16"/>
  <c r="L71" i="16"/>
  <c r="I71" i="16"/>
  <c r="G71" i="16"/>
  <c r="C71" i="16"/>
  <c r="L68" i="16"/>
  <c r="F48" i="16"/>
  <c r="G21" i="8" s="1"/>
  <c r="F47" i="16"/>
  <c r="F21" i="8" s="1"/>
  <c r="Z46" i="16"/>
  <c r="Y21" i="8" s="1"/>
  <c r="Y46" i="16"/>
  <c r="X46" i="16"/>
  <c r="W46" i="16"/>
  <c r="V46" i="16"/>
  <c r="P46" i="16"/>
  <c r="T46" i="16" s="1"/>
  <c r="O46" i="16"/>
  <c r="P21" i="8" s="1"/>
  <c r="N46" i="16"/>
  <c r="O21" i="8" s="1"/>
  <c r="M46" i="16"/>
  <c r="N21" i="8" s="1"/>
  <c r="L46" i="16"/>
  <c r="M21" i="8" s="1"/>
  <c r="K46" i="16"/>
  <c r="L21" i="8" s="1"/>
  <c r="I46" i="16"/>
  <c r="H46" i="16"/>
  <c r="G46" i="16"/>
  <c r="H21" i="8" s="1"/>
  <c r="F46" i="16"/>
  <c r="E21" i="8" s="1"/>
  <c r="C46" i="16"/>
  <c r="C21" i="8" s="1"/>
  <c r="C90" i="15"/>
  <c r="L87" i="15"/>
  <c r="I87" i="15"/>
  <c r="G87" i="15"/>
  <c r="C87" i="15"/>
  <c r="L84" i="15"/>
  <c r="E84" i="15"/>
  <c r="C74" i="15"/>
  <c r="L71" i="15"/>
  <c r="I71" i="15"/>
  <c r="G71" i="15"/>
  <c r="C71" i="15"/>
  <c r="L68" i="15"/>
  <c r="F48" i="15"/>
  <c r="G20" i="8" s="1"/>
  <c r="F47" i="15"/>
  <c r="F20" i="8" s="1"/>
  <c r="Z46" i="15"/>
  <c r="Y46" i="15"/>
  <c r="X46" i="15"/>
  <c r="W46" i="15"/>
  <c r="V46" i="15"/>
  <c r="P46" i="15"/>
  <c r="O46" i="15"/>
  <c r="P20" i="8" s="1"/>
  <c r="N46" i="15"/>
  <c r="O20" i="8" s="1"/>
  <c r="M46" i="15"/>
  <c r="N20" i="8" s="1"/>
  <c r="L46" i="15"/>
  <c r="M20" i="8" s="1"/>
  <c r="K46" i="15"/>
  <c r="L20" i="8" s="1"/>
  <c r="I46" i="15"/>
  <c r="J20" i="8" s="1"/>
  <c r="H46" i="15"/>
  <c r="G46" i="15"/>
  <c r="H20" i="8" s="1"/>
  <c r="F46" i="15"/>
  <c r="E20" i="8" s="1"/>
  <c r="C46" i="15"/>
  <c r="C20" i="8" s="1"/>
  <c r="C90" i="14"/>
  <c r="L87" i="14"/>
  <c r="I87" i="14"/>
  <c r="G87" i="14"/>
  <c r="C87" i="14"/>
  <c r="L84" i="14"/>
  <c r="E84" i="14"/>
  <c r="C74" i="14"/>
  <c r="L71" i="14"/>
  <c r="I71" i="14"/>
  <c r="G71" i="14"/>
  <c r="C71" i="14"/>
  <c r="L68" i="14"/>
  <c r="F48" i="14"/>
  <c r="G19" i="8" s="1"/>
  <c r="F47" i="14"/>
  <c r="F19" i="8" s="1"/>
  <c r="Z46" i="14"/>
  <c r="Y19" i="8" s="1"/>
  <c r="Y46" i="14"/>
  <c r="X46" i="14"/>
  <c r="W46" i="14"/>
  <c r="V46" i="14"/>
  <c r="P46" i="14"/>
  <c r="T46" i="14" s="1"/>
  <c r="O46" i="14"/>
  <c r="P19" i="8" s="1"/>
  <c r="N46" i="14"/>
  <c r="O19" i="8" s="1"/>
  <c r="M46" i="14"/>
  <c r="N19" i="8" s="1"/>
  <c r="L46" i="14"/>
  <c r="M19" i="8" s="1"/>
  <c r="K46" i="14"/>
  <c r="L19" i="8" s="1"/>
  <c r="I46" i="14"/>
  <c r="H46" i="14"/>
  <c r="G46" i="14"/>
  <c r="H19" i="8" s="1"/>
  <c r="F46" i="14"/>
  <c r="E19" i="8" s="1"/>
  <c r="C46" i="14"/>
  <c r="C19" i="8" s="1"/>
  <c r="C90" i="13"/>
  <c r="L87" i="13"/>
  <c r="I87" i="13"/>
  <c r="G87" i="13"/>
  <c r="C87" i="13"/>
  <c r="C88" i="13" s="1"/>
  <c r="L84" i="13"/>
  <c r="E84" i="13"/>
  <c r="C74" i="13"/>
  <c r="L71" i="13"/>
  <c r="I71" i="13"/>
  <c r="G71" i="13"/>
  <c r="C71" i="13"/>
  <c r="L68" i="13"/>
  <c r="F48" i="13"/>
  <c r="G18" i="8" s="1"/>
  <c r="F47" i="13"/>
  <c r="F18" i="8" s="1"/>
  <c r="Z46" i="13"/>
  <c r="Y46" i="13"/>
  <c r="X46" i="13"/>
  <c r="W46" i="13"/>
  <c r="V46" i="13"/>
  <c r="P46" i="13"/>
  <c r="T46" i="13" s="1"/>
  <c r="O46" i="13"/>
  <c r="P18" i="8" s="1"/>
  <c r="N46" i="13"/>
  <c r="O18" i="8" s="1"/>
  <c r="M46" i="13"/>
  <c r="N18" i="8" s="1"/>
  <c r="L46" i="13"/>
  <c r="M18" i="8" s="1"/>
  <c r="K46" i="13"/>
  <c r="L18" i="8" s="1"/>
  <c r="I46" i="13"/>
  <c r="H46" i="13"/>
  <c r="G46" i="13"/>
  <c r="H18" i="8" s="1"/>
  <c r="F46" i="13"/>
  <c r="E18" i="8" s="1"/>
  <c r="C46" i="13"/>
  <c r="C18" i="8" s="1"/>
  <c r="C90" i="11"/>
  <c r="L87" i="11"/>
  <c r="I87" i="11"/>
  <c r="I88" i="11" s="1"/>
  <c r="G87" i="11"/>
  <c r="C87" i="11"/>
  <c r="L84" i="11"/>
  <c r="E84" i="11"/>
  <c r="C74" i="11"/>
  <c r="L71" i="11"/>
  <c r="I71" i="11"/>
  <c r="G71" i="11"/>
  <c r="C71" i="11"/>
  <c r="L68" i="11"/>
  <c r="F48" i="11"/>
  <c r="G17" i="8" s="1"/>
  <c r="F47" i="11"/>
  <c r="F17" i="8" s="1"/>
  <c r="Z46" i="11"/>
  <c r="Y46" i="11"/>
  <c r="X46" i="11"/>
  <c r="W46" i="11"/>
  <c r="V46" i="11"/>
  <c r="P46" i="11"/>
  <c r="O46" i="11"/>
  <c r="P17" i="8" s="1"/>
  <c r="N46" i="11"/>
  <c r="O17" i="8" s="1"/>
  <c r="M46" i="11"/>
  <c r="N17" i="8" s="1"/>
  <c r="L46" i="11"/>
  <c r="M17" i="8" s="1"/>
  <c r="K46" i="11"/>
  <c r="L17" i="8" s="1"/>
  <c r="I46" i="11"/>
  <c r="H46" i="11"/>
  <c r="G46" i="11"/>
  <c r="H17" i="8" s="1"/>
  <c r="F46" i="11"/>
  <c r="E17" i="8" s="1"/>
  <c r="C46" i="11"/>
  <c r="C17" i="8" s="1"/>
  <c r="C90" i="10"/>
  <c r="L87" i="10"/>
  <c r="I87" i="10"/>
  <c r="G87" i="10"/>
  <c r="C87" i="10"/>
  <c r="C88" i="10" s="1"/>
  <c r="L84" i="10"/>
  <c r="E84" i="10"/>
  <c r="C74" i="10"/>
  <c r="L71" i="10"/>
  <c r="I71" i="10"/>
  <c r="G71" i="10"/>
  <c r="C71" i="10"/>
  <c r="L68" i="10"/>
  <c r="F48" i="10"/>
  <c r="G16" i="8" s="1"/>
  <c r="F47" i="10"/>
  <c r="F16" i="8" s="1"/>
  <c r="Z46" i="10"/>
  <c r="Y46" i="10"/>
  <c r="X46" i="10"/>
  <c r="W46" i="10"/>
  <c r="V46" i="10"/>
  <c r="P46" i="10"/>
  <c r="T46" i="10" s="1"/>
  <c r="O46" i="10"/>
  <c r="P16" i="8" s="1"/>
  <c r="N46" i="10"/>
  <c r="O16" i="8" s="1"/>
  <c r="M46" i="10"/>
  <c r="N16" i="8" s="1"/>
  <c r="L46" i="10"/>
  <c r="M16" i="8" s="1"/>
  <c r="K46" i="10"/>
  <c r="L16" i="8" s="1"/>
  <c r="I46" i="10"/>
  <c r="H46" i="10"/>
  <c r="AA13" i="10" s="1"/>
  <c r="G46" i="10"/>
  <c r="H16" i="8" s="1"/>
  <c r="F46" i="10"/>
  <c r="E16" i="8" s="1"/>
  <c r="C46" i="10"/>
  <c r="C16" i="8" s="1"/>
  <c r="C90" i="9"/>
  <c r="L87" i="9"/>
  <c r="M88" i="9" s="1"/>
  <c r="I88" i="9"/>
  <c r="G88" i="9"/>
  <c r="C88" i="9"/>
  <c r="C74" i="9"/>
  <c r="L71" i="9"/>
  <c r="I71" i="9"/>
  <c r="G71" i="9"/>
  <c r="C71" i="9"/>
  <c r="L68" i="9"/>
  <c r="F48" i="9"/>
  <c r="G15" i="8" s="1"/>
  <c r="F47" i="9"/>
  <c r="F15" i="8" s="1"/>
  <c r="Z46" i="9"/>
  <c r="Y46" i="9"/>
  <c r="X46" i="9"/>
  <c r="W46" i="9"/>
  <c r="V46" i="9"/>
  <c r="P46" i="9"/>
  <c r="O46" i="9"/>
  <c r="P15" i="8" s="1"/>
  <c r="N46" i="9"/>
  <c r="O15" i="8" s="1"/>
  <c r="M46" i="9"/>
  <c r="N15" i="8" s="1"/>
  <c r="L46" i="9"/>
  <c r="M15" i="8" s="1"/>
  <c r="K46" i="9"/>
  <c r="L15" i="8" s="1"/>
  <c r="I46" i="9"/>
  <c r="H46" i="9"/>
  <c r="G46" i="9"/>
  <c r="H15" i="8" s="1"/>
  <c r="F46" i="9"/>
  <c r="E15" i="8" s="1"/>
  <c r="C46" i="9"/>
  <c r="C15" i="8" s="1"/>
  <c r="T46" i="15" l="1"/>
  <c r="T46" i="11"/>
  <c r="Q15" i="8"/>
  <c r="T46" i="9"/>
  <c r="R15" i="8" s="1"/>
  <c r="C88" i="11"/>
  <c r="Q25" i="8"/>
  <c r="T46" i="20"/>
  <c r="C88" i="15"/>
  <c r="Q24" i="8"/>
  <c r="T46" i="19"/>
  <c r="Q23" i="8"/>
  <c r="T46" i="18"/>
  <c r="Q26" i="8"/>
  <c r="T46" i="21"/>
  <c r="Q22" i="8"/>
  <c r="T46" i="17"/>
  <c r="G88" i="21"/>
  <c r="M88" i="21"/>
  <c r="C88" i="21"/>
  <c r="I88" i="21"/>
  <c r="K53" i="21"/>
  <c r="U26" i="8"/>
  <c r="G56" i="21"/>
  <c r="G57" i="21" s="1"/>
  <c r="W26" i="8"/>
  <c r="L56" i="21"/>
  <c r="Y26" i="8"/>
  <c r="C56" i="21"/>
  <c r="C57" i="21" s="1"/>
  <c r="V26" i="8"/>
  <c r="I56" i="21"/>
  <c r="I57" i="21" s="1"/>
  <c r="X26" i="8"/>
  <c r="G53" i="21"/>
  <c r="J26" i="8"/>
  <c r="R26" i="8"/>
  <c r="AA13" i="21"/>
  <c r="I26" i="8"/>
  <c r="C88" i="20"/>
  <c r="I88" i="20"/>
  <c r="G88" i="20"/>
  <c r="M88" i="20"/>
  <c r="C56" i="20"/>
  <c r="V25" i="8"/>
  <c r="I56" i="20"/>
  <c r="X25" i="8"/>
  <c r="K53" i="20"/>
  <c r="U25" i="8"/>
  <c r="G56" i="20"/>
  <c r="G57" i="20" s="1"/>
  <c r="W25" i="8"/>
  <c r="L56" i="20"/>
  <c r="Y25" i="8"/>
  <c r="AA13" i="20"/>
  <c r="I25" i="8"/>
  <c r="G53" i="20"/>
  <c r="J25" i="8"/>
  <c r="R25" i="8"/>
  <c r="K53" i="19"/>
  <c r="U24" i="8"/>
  <c r="G56" i="19"/>
  <c r="G57" i="19" s="1"/>
  <c r="W24" i="8"/>
  <c r="L56" i="19"/>
  <c r="Y24" i="8"/>
  <c r="C56" i="19"/>
  <c r="C57" i="19" s="1"/>
  <c r="V24" i="8"/>
  <c r="I56" i="19"/>
  <c r="I57" i="19" s="1"/>
  <c r="X24" i="8"/>
  <c r="G88" i="19"/>
  <c r="M88" i="19"/>
  <c r="C88" i="19"/>
  <c r="I88" i="19"/>
  <c r="G53" i="19"/>
  <c r="J24" i="8"/>
  <c r="R24" i="8"/>
  <c r="AA13" i="19"/>
  <c r="I24" i="8"/>
  <c r="C88" i="18"/>
  <c r="I88" i="18"/>
  <c r="G88" i="18"/>
  <c r="M88" i="18"/>
  <c r="C56" i="18"/>
  <c r="V23" i="8"/>
  <c r="I56" i="18"/>
  <c r="X23" i="8"/>
  <c r="K53" i="18"/>
  <c r="U23" i="8"/>
  <c r="G56" i="18"/>
  <c r="W23" i="8"/>
  <c r="L56" i="18"/>
  <c r="Y23" i="8"/>
  <c r="AA13" i="18"/>
  <c r="I23" i="8"/>
  <c r="G53" i="18"/>
  <c r="J23" i="8"/>
  <c r="R23" i="8"/>
  <c r="I88" i="16"/>
  <c r="I88" i="15"/>
  <c r="M88" i="14"/>
  <c r="I88" i="13"/>
  <c r="I88" i="10"/>
  <c r="K53" i="9"/>
  <c r="U15" i="8"/>
  <c r="G56" i="9"/>
  <c r="G57" i="9" s="1"/>
  <c r="W15" i="8"/>
  <c r="L56" i="9"/>
  <c r="Y15" i="8"/>
  <c r="C56" i="9"/>
  <c r="C57" i="9" s="1"/>
  <c r="V15" i="8"/>
  <c r="I56" i="9"/>
  <c r="I57" i="9" s="1"/>
  <c r="X15" i="8"/>
  <c r="G53" i="9"/>
  <c r="N53" i="9" s="1"/>
  <c r="J15" i="8"/>
  <c r="AA13" i="9"/>
  <c r="I15" i="8"/>
  <c r="G53" i="17"/>
  <c r="J22" i="8"/>
  <c r="C56" i="17"/>
  <c r="V22" i="8"/>
  <c r="I56" i="17"/>
  <c r="X22" i="8"/>
  <c r="G88" i="17"/>
  <c r="M88" i="17"/>
  <c r="AA13" i="17"/>
  <c r="I22" i="8"/>
  <c r="K53" i="17"/>
  <c r="U22" i="8"/>
  <c r="G56" i="17"/>
  <c r="G57" i="17" s="1"/>
  <c r="W22" i="8"/>
  <c r="L56" i="17"/>
  <c r="Y22" i="8"/>
  <c r="G53" i="16"/>
  <c r="J21" i="8"/>
  <c r="R21" i="8"/>
  <c r="Q21" i="8"/>
  <c r="C56" i="16"/>
  <c r="V21" i="8"/>
  <c r="I56" i="16"/>
  <c r="X21" i="8"/>
  <c r="L56" i="16"/>
  <c r="AA13" i="16"/>
  <c r="I21" i="8"/>
  <c r="K53" i="16"/>
  <c r="U21" i="8"/>
  <c r="G56" i="16"/>
  <c r="W21" i="8"/>
  <c r="G88" i="16"/>
  <c r="M88" i="16"/>
  <c r="AA13" i="15"/>
  <c r="I20" i="8"/>
  <c r="K53" i="15"/>
  <c r="U20" i="8"/>
  <c r="G56" i="15"/>
  <c r="W20" i="8"/>
  <c r="L56" i="15"/>
  <c r="Y20" i="8"/>
  <c r="G53" i="15"/>
  <c r="R20" i="8"/>
  <c r="Q20" i="8"/>
  <c r="C56" i="15"/>
  <c r="C57" i="15" s="1"/>
  <c r="V20" i="8"/>
  <c r="I56" i="15"/>
  <c r="I57" i="15" s="1"/>
  <c r="X20" i="8"/>
  <c r="G88" i="15"/>
  <c r="M88" i="15"/>
  <c r="G53" i="14"/>
  <c r="J19" i="8"/>
  <c r="R19" i="8"/>
  <c r="Q19" i="8"/>
  <c r="C56" i="14"/>
  <c r="V19" i="8"/>
  <c r="I56" i="14"/>
  <c r="X19" i="8"/>
  <c r="L56" i="14"/>
  <c r="C88" i="14"/>
  <c r="I88" i="14"/>
  <c r="AA13" i="14"/>
  <c r="I19" i="8"/>
  <c r="K53" i="14"/>
  <c r="U19" i="8"/>
  <c r="G56" i="14"/>
  <c r="W19" i="8"/>
  <c r="G88" i="14"/>
  <c r="L88" i="14"/>
  <c r="AA13" i="13"/>
  <c r="I18" i="8"/>
  <c r="K53" i="13"/>
  <c r="U18" i="8"/>
  <c r="G56" i="13"/>
  <c r="W18" i="8"/>
  <c r="L56" i="13"/>
  <c r="Y18" i="8"/>
  <c r="G53" i="13"/>
  <c r="N53" i="13" s="1"/>
  <c r="J18" i="8"/>
  <c r="R18" i="8"/>
  <c r="Q18" i="8"/>
  <c r="C56" i="13"/>
  <c r="C57" i="13" s="1"/>
  <c r="V18" i="8"/>
  <c r="I56" i="13"/>
  <c r="I57" i="13" s="1"/>
  <c r="X18" i="8"/>
  <c r="G88" i="13"/>
  <c r="M88" i="13"/>
  <c r="G53" i="11"/>
  <c r="J17" i="8"/>
  <c r="R17" i="8"/>
  <c r="Q17" i="8"/>
  <c r="C56" i="11"/>
  <c r="V17" i="8"/>
  <c r="I56" i="11"/>
  <c r="X17" i="8"/>
  <c r="G88" i="11"/>
  <c r="M88" i="11"/>
  <c r="AA13" i="11"/>
  <c r="I17" i="8"/>
  <c r="K53" i="11"/>
  <c r="U17" i="8"/>
  <c r="G56" i="11"/>
  <c r="G57" i="11" s="1"/>
  <c r="W17" i="8"/>
  <c r="L56" i="11"/>
  <c r="Y17" i="8"/>
  <c r="I16" i="8"/>
  <c r="K53" i="10"/>
  <c r="U16" i="8"/>
  <c r="G56" i="10"/>
  <c r="G57" i="10" s="1"/>
  <c r="W16" i="8"/>
  <c r="L56" i="10"/>
  <c r="Y16" i="8"/>
  <c r="G53" i="10"/>
  <c r="J16" i="8"/>
  <c r="R16" i="8"/>
  <c r="Q16" i="8"/>
  <c r="C56" i="10"/>
  <c r="V16" i="8"/>
  <c r="I56" i="10"/>
  <c r="I57" i="10" s="1"/>
  <c r="X16" i="8"/>
  <c r="G88" i="10"/>
  <c r="M88" i="10"/>
  <c r="H5" i="4"/>
  <c r="H13" i="4"/>
  <c r="H6" i="4"/>
  <c r="H10" i="4"/>
  <c r="H14" i="4"/>
  <c r="H18" i="4"/>
  <c r="H4" i="4"/>
  <c r="H8" i="4"/>
  <c r="H12" i="4"/>
  <c r="H16" i="4"/>
  <c r="H2" i="4"/>
  <c r="H9" i="4"/>
  <c r="H17" i="4"/>
  <c r="H7" i="4"/>
  <c r="H19" i="4"/>
  <c r="H11" i="4"/>
  <c r="H3" i="4"/>
  <c r="H15" i="4"/>
  <c r="L5" i="4"/>
  <c r="L9" i="4"/>
  <c r="L13" i="4"/>
  <c r="L17" i="4"/>
  <c r="L6" i="4"/>
  <c r="L10" i="4"/>
  <c r="L14" i="4"/>
  <c r="L18" i="4"/>
  <c r="L4" i="4"/>
  <c r="L8" i="4"/>
  <c r="L12" i="4"/>
  <c r="L16" i="4"/>
  <c r="L2" i="4"/>
  <c r="L15" i="4"/>
  <c r="L3" i="4"/>
  <c r="L19" i="4"/>
  <c r="L7" i="4"/>
  <c r="L11" i="4"/>
  <c r="K3" i="4"/>
  <c r="K7" i="4"/>
  <c r="K11" i="4"/>
  <c r="K15" i="4"/>
  <c r="K19" i="4"/>
  <c r="K4" i="4"/>
  <c r="K8" i="4"/>
  <c r="K12" i="4"/>
  <c r="K16" i="4"/>
  <c r="K2" i="4"/>
  <c r="K6" i="4"/>
  <c r="K10" i="4"/>
  <c r="K14" i="4"/>
  <c r="K18" i="4"/>
  <c r="K13" i="4"/>
  <c r="K17" i="4"/>
  <c r="K5" i="4"/>
  <c r="K9" i="4"/>
  <c r="N5" i="4"/>
  <c r="N9" i="4"/>
  <c r="N13" i="4"/>
  <c r="N17" i="4"/>
  <c r="N7" i="4"/>
  <c r="N15" i="4"/>
  <c r="N6" i="4"/>
  <c r="N10" i="4"/>
  <c r="N14" i="4"/>
  <c r="N18" i="4"/>
  <c r="N3" i="4"/>
  <c r="N19" i="4"/>
  <c r="N4" i="4"/>
  <c r="N8" i="4"/>
  <c r="N12" i="4"/>
  <c r="N16" i="4"/>
  <c r="N2" i="4"/>
  <c r="N11" i="4"/>
  <c r="O3" i="4"/>
  <c r="O7" i="4"/>
  <c r="O11" i="4"/>
  <c r="O15" i="4"/>
  <c r="O19" i="4"/>
  <c r="O13" i="4"/>
  <c r="O4" i="4"/>
  <c r="O8" i="4"/>
  <c r="O12" i="4"/>
  <c r="O16" i="4"/>
  <c r="O2" i="4"/>
  <c r="O5" i="4"/>
  <c r="O6" i="4"/>
  <c r="O10" i="4"/>
  <c r="O14" i="4"/>
  <c r="O18" i="4"/>
  <c r="O9" i="4"/>
  <c r="O17" i="4"/>
  <c r="S3" i="4"/>
  <c r="S7" i="4"/>
  <c r="S11" i="4"/>
  <c r="S15" i="4"/>
  <c r="S19" i="4"/>
  <c r="S9" i="4"/>
  <c r="S4" i="4"/>
  <c r="S8" i="4"/>
  <c r="S12" i="4"/>
  <c r="S16" i="4"/>
  <c r="S2" i="4"/>
  <c r="S13" i="4"/>
  <c r="S6" i="4"/>
  <c r="S10" i="4"/>
  <c r="S14" i="4"/>
  <c r="S18" i="4"/>
  <c r="S5" i="4"/>
  <c r="S17" i="4"/>
  <c r="J5" i="4"/>
  <c r="J9" i="4"/>
  <c r="J13" i="4"/>
  <c r="J17" i="4"/>
  <c r="J6" i="4"/>
  <c r="J10" i="4"/>
  <c r="J14" i="4"/>
  <c r="J18" i="4"/>
  <c r="J4" i="4"/>
  <c r="J8" i="4"/>
  <c r="J12" i="4"/>
  <c r="J16" i="4"/>
  <c r="J2" i="4"/>
  <c r="J11" i="4"/>
  <c r="J7" i="4"/>
  <c r="J15" i="4"/>
  <c r="J3" i="4"/>
  <c r="J19" i="4"/>
  <c r="M3" i="4"/>
  <c r="M7" i="4"/>
  <c r="M11" i="4"/>
  <c r="M15" i="4"/>
  <c r="M19" i="4"/>
  <c r="M9" i="4"/>
  <c r="M4" i="4"/>
  <c r="M8" i="4"/>
  <c r="M12" i="4"/>
  <c r="M16" i="4"/>
  <c r="M2" i="4"/>
  <c r="M13" i="4"/>
  <c r="M6" i="4"/>
  <c r="M10" i="4"/>
  <c r="M14" i="4"/>
  <c r="M18" i="4"/>
  <c r="M5" i="4"/>
  <c r="M17" i="4"/>
  <c r="R5" i="4"/>
  <c r="R9" i="4"/>
  <c r="R13" i="4"/>
  <c r="R17" i="4"/>
  <c r="R3" i="4"/>
  <c r="R15" i="4"/>
  <c r="R6" i="4"/>
  <c r="R10" i="4"/>
  <c r="R14" i="4"/>
  <c r="R18" i="4"/>
  <c r="R7" i="4"/>
  <c r="R4" i="4"/>
  <c r="R8" i="4"/>
  <c r="R12" i="4"/>
  <c r="R16" i="4"/>
  <c r="R2" i="4"/>
  <c r="R11" i="4"/>
  <c r="R19" i="4"/>
  <c r="P5" i="4"/>
  <c r="P9" i="4"/>
  <c r="P13" i="4"/>
  <c r="P17" i="4"/>
  <c r="P3" i="4"/>
  <c r="P15" i="4"/>
  <c r="P6" i="4"/>
  <c r="P10" i="4"/>
  <c r="P14" i="4"/>
  <c r="P18" i="4"/>
  <c r="P11" i="4"/>
  <c r="P4" i="4"/>
  <c r="P8" i="4"/>
  <c r="P12" i="4"/>
  <c r="P16" i="4"/>
  <c r="P2" i="4"/>
  <c r="P7" i="4"/>
  <c r="P19" i="4"/>
  <c r="Q3" i="4"/>
  <c r="Q7" i="4"/>
  <c r="Q11" i="4"/>
  <c r="Q15" i="4"/>
  <c r="Q19" i="4"/>
  <c r="Q9" i="4"/>
  <c r="Q4" i="4"/>
  <c r="Q8" i="4"/>
  <c r="Q12" i="4"/>
  <c r="Q16" i="4"/>
  <c r="Q2" i="4"/>
  <c r="Q5" i="4"/>
  <c r="Q17" i="4"/>
  <c r="Q6" i="4"/>
  <c r="Q10" i="4"/>
  <c r="Q14" i="4"/>
  <c r="Q18" i="4"/>
  <c r="Q13" i="4"/>
  <c r="R22" i="8"/>
  <c r="N53" i="21"/>
  <c r="L57" i="21"/>
  <c r="L88" i="21"/>
  <c r="N53" i="20"/>
  <c r="L57" i="20"/>
  <c r="L88" i="20"/>
  <c r="N53" i="19"/>
  <c r="L57" i="19"/>
  <c r="L88" i="19"/>
  <c r="N53" i="18"/>
  <c r="L57" i="18"/>
  <c r="L88" i="18"/>
  <c r="N53" i="17"/>
  <c r="L57" i="17"/>
  <c r="L88" i="17"/>
  <c r="C57" i="16"/>
  <c r="L88" i="16"/>
  <c r="N53" i="15"/>
  <c r="L57" i="15"/>
  <c r="L88" i="15"/>
  <c r="N53" i="14"/>
  <c r="L57" i="13"/>
  <c r="L88" i="13"/>
  <c r="N53" i="11"/>
  <c r="L57" i="11"/>
  <c r="L88" i="11"/>
  <c r="C57" i="10"/>
  <c r="L57" i="10"/>
  <c r="L88" i="10"/>
  <c r="L57" i="9"/>
  <c r="L88" i="9"/>
  <c r="AK28" i="8"/>
  <c r="AJ28" i="8"/>
  <c r="AI28" i="8"/>
  <c r="AH28" i="8"/>
  <c r="AG28" i="8"/>
  <c r="AF28" i="8"/>
  <c r="AE28" i="8"/>
  <c r="AD28" i="8"/>
  <c r="AC28" i="8"/>
  <c r="AB28" i="8"/>
  <c r="AA28" i="8"/>
  <c r="C90" i="7"/>
  <c r="L87" i="7"/>
  <c r="I87" i="7"/>
  <c r="G87" i="7"/>
  <c r="C87" i="7"/>
  <c r="C88" i="7" s="1"/>
  <c r="L84" i="7"/>
  <c r="E84" i="7"/>
  <c r="C74" i="7"/>
  <c r="L71" i="7"/>
  <c r="I71" i="7"/>
  <c r="G71" i="7"/>
  <c r="C71" i="7"/>
  <c r="M68" i="7"/>
  <c r="F48" i="7"/>
  <c r="G14" i="8" s="1"/>
  <c r="F47" i="7"/>
  <c r="F14" i="8" s="1"/>
  <c r="Z46" i="7"/>
  <c r="Y46" i="7"/>
  <c r="X46" i="7"/>
  <c r="W14" i="8" s="1"/>
  <c r="W46" i="7"/>
  <c r="V46" i="7"/>
  <c r="P46" i="7"/>
  <c r="O46" i="7"/>
  <c r="P14" i="8" s="1"/>
  <c r="N46" i="7"/>
  <c r="O14" i="8" s="1"/>
  <c r="M46" i="7"/>
  <c r="N14" i="8" s="1"/>
  <c r="L46" i="7"/>
  <c r="M14" i="8" s="1"/>
  <c r="K46" i="7"/>
  <c r="L14" i="8" s="1"/>
  <c r="I46" i="7"/>
  <c r="J14" i="8" s="1"/>
  <c r="H46" i="7"/>
  <c r="G46" i="7"/>
  <c r="F46" i="7"/>
  <c r="E14" i="8" s="1"/>
  <c r="C46" i="7"/>
  <c r="C14" i="8" s="1"/>
  <c r="C90" i="6"/>
  <c r="L87" i="6"/>
  <c r="I87" i="6"/>
  <c r="G87" i="6"/>
  <c r="C87" i="6"/>
  <c r="L84" i="6"/>
  <c r="E84" i="6"/>
  <c r="C74" i="6"/>
  <c r="L71" i="6"/>
  <c r="I71" i="6"/>
  <c r="G71" i="6"/>
  <c r="C71" i="6"/>
  <c r="L68" i="6"/>
  <c r="F48" i="6"/>
  <c r="G13" i="8" s="1"/>
  <c r="F47" i="6"/>
  <c r="F13" i="8" s="1"/>
  <c r="Z46" i="6"/>
  <c r="Y46" i="6"/>
  <c r="X46" i="6"/>
  <c r="W46" i="6"/>
  <c r="V46" i="6"/>
  <c r="P46" i="6"/>
  <c r="O46" i="6"/>
  <c r="P13" i="8" s="1"/>
  <c r="N46" i="6"/>
  <c r="O13" i="8" s="1"/>
  <c r="M46" i="6"/>
  <c r="N13" i="8" s="1"/>
  <c r="L46" i="6"/>
  <c r="M13" i="8" s="1"/>
  <c r="K46" i="6"/>
  <c r="L13" i="8" s="1"/>
  <c r="I46" i="6"/>
  <c r="J13" i="8" s="1"/>
  <c r="H46" i="6"/>
  <c r="G46" i="6"/>
  <c r="F46" i="6"/>
  <c r="E13" i="8" s="1"/>
  <c r="C93" i="5"/>
  <c r="L90" i="5"/>
  <c r="L91" i="5" s="1"/>
  <c r="I90" i="5"/>
  <c r="I91" i="5" s="1"/>
  <c r="G90" i="5"/>
  <c r="G91" i="5" s="1"/>
  <c r="C90" i="5"/>
  <c r="C91" i="5" s="1"/>
  <c r="L87" i="5"/>
  <c r="E87" i="5"/>
  <c r="L74" i="5"/>
  <c r="L75" i="5" s="1"/>
  <c r="I74" i="5"/>
  <c r="I75" i="5" s="1"/>
  <c r="G74" i="5"/>
  <c r="G75" i="5" s="1"/>
  <c r="C74" i="5"/>
  <c r="C75" i="5" s="1"/>
  <c r="L71" i="5"/>
  <c r="F48" i="5"/>
  <c r="G12" i="8" s="1"/>
  <c r="F47" i="5"/>
  <c r="F12" i="8" s="1"/>
  <c r="Z46" i="5"/>
  <c r="Y46" i="5"/>
  <c r="X46" i="5"/>
  <c r="W46" i="5"/>
  <c r="V46" i="5"/>
  <c r="K56" i="5" s="1"/>
  <c r="P46" i="5"/>
  <c r="Q12" i="8" s="1"/>
  <c r="O46" i="5"/>
  <c r="P12" i="8" s="1"/>
  <c r="N46" i="5"/>
  <c r="O12" i="8" s="1"/>
  <c r="M46" i="5"/>
  <c r="N12" i="8" s="1"/>
  <c r="L46" i="5"/>
  <c r="M12" i="8" s="1"/>
  <c r="K46" i="5"/>
  <c r="L12" i="8" s="1"/>
  <c r="I46" i="5"/>
  <c r="H46" i="5"/>
  <c r="F46" i="5"/>
  <c r="E12" i="8" s="1"/>
  <c r="C46" i="5"/>
  <c r="C12" i="8" s="1"/>
  <c r="N53" i="16" l="1"/>
  <c r="G57" i="13"/>
  <c r="G57" i="14"/>
  <c r="G57" i="15"/>
  <c r="G57" i="16"/>
  <c r="L57" i="16"/>
  <c r="G57" i="18"/>
  <c r="L57" i="14"/>
  <c r="O28" i="8"/>
  <c r="P28" i="8"/>
  <c r="Q13" i="8"/>
  <c r="T46" i="6"/>
  <c r="R13" i="8" s="1"/>
  <c r="M28" i="8"/>
  <c r="T46" i="7"/>
  <c r="R14" i="8" s="1"/>
  <c r="T46" i="5"/>
  <c r="R12" i="8" s="1"/>
  <c r="O48" i="8"/>
  <c r="I47" i="22"/>
  <c r="G51" i="8"/>
  <c r="F51" i="22"/>
  <c r="F52" i="22" s="1"/>
  <c r="O51" i="8"/>
  <c r="J51" i="22"/>
  <c r="J52" i="22" s="1"/>
  <c r="O59" i="8"/>
  <c r="M28" i="22"/>
  <c r="H56" i="22"/>
  <c r="G62" i="8"/>
  <c r="F60" i="22"/>
  <c r="F61" i="22" s="1"/>
  <c r="O62" i="8"/>
  <c r="J60" i="22"/>
  <c r="J61" i="22" s="1"/>
  <c r="C28" i="8"/>
  <c r="A51" i="8"/>
  <c r="D51" i="22"/>
  <c r="D52" i="22" s="1"/>
  <c r="L51" i="8"/>
  <c r="H51" i="22"/>
  <c r="H52" i="22" s="1"/>
  <c r="E59" i="8"/>
  <c r="D56" i="22"/>
  <c r="A62" i="8"/>
  <c r="D60" i="22"/>
  <c r="D61" i="22" s="1"/>
  <c r="L62" i="8"/>
  <c r="L63" i="8" s="1"/>
  <c r="H60" i="22"/>
  <c r="H61" i="22" s="1"/>
  <c r="N28" i="8"/>
  <c r="L28" i="8"/>
  <c r="Z26" i="8"/>
  <c r="G68" i="21"/>
  <c r="I57" i="20"/>
  <c r="C57" i="20"/>
  <c r="Z25" i="8"/>
  <c r="G68" i="20"/>
  <c r="Z24" i="8"/>
  <c r="G68" i="19"/>
  <c r="I57" i="18"/>
  <c r="C57" i="18"/>
  <c r="Z23" i="8"/>
  <c r="G68" i="18"/>
  <c r="I57" i="14"/>
  <c r="Z15" i="8"/>
  <c r="G68" i="9"/>
  <c r="I12" i="8"/>
  <c r="AA13" i="5"/>
  <c r="Z12" i="8" s="1"/>
  <c r="Z22" i="8"/>
  <c r="G68" i="17"/>
  <c r="I57" i="17"/>
  <c r="C57" i="17"/>
  <c r="Z21" i="8"/>
  <c r="G68" i="16"/>
  <c r="I57" i="16"/>
  <c r="Z20" i="8"/>
  <c r="G68" i="15"/>
  <c r="Z19" i="8"/>
  <c r="G68" i="14"/>
  <c r="C57" i="14"/>
  <c r="Z18" i="8"/>
  <c r="G68" i="13"/>
  <c r="Z17" i="8"/>
  <c r="G68" i="11"/>
  <c r="I57" i="11"/>
  <c r="C57" i="11"/>
  <c r="N53" i="10"/>
  <c r="Z16" i="8"/>
  <c r="G68" i="10"/>
  <c r="Q14" i="8"/>
  <c r="C56" i="7"/>
  <c r="V14" i="8"/>
  <c r="I56" i="7"/>
  <c r="X14" i="8"/>
  <c r="G56" i="7"/>
  <c r="G88" i="7"/>
  <c r="M88" i="7"/>
  <c r="I14" i="8"/>
  <c r="AA13" i="7"/>
  <c r="K53" i="7"/>
  <c r="U14" i="8"/>
  <c r="L56" i="7"/>
  <c r="Y14" i="8"/>
  <c r="I88" i="7"/>
  <c r="I13" i="8"/>
  <c r="AA13" i="6"/>
  <c r="K53" i="6"/>
  <c r="U13" i="8"/>
  <c r="G56" i="6"/>
  <c r="W13" i="8"/>
  <c r="L56" i="6"/>
  <c r="Y13" i="8"/>
  <c r="G88" i="6"/>
  <c r="C56" i="6"/>
  <c r="V13" i="8"/>
  <c r="I56" i="6"/>
  <c r="X13" i="8"/>
  <c r="G56" i="5"/>
  <c r="N56" i="5" s="1"/>
  <c r="J12" i="8"/>
  <c r="J28" i="8" s="1"/>
  <c r="C59" i="5"/>
  <c r="C60" i="5" s="1"/>
  <c r="V12" i="8"/>
  <c r="I59" i="5"/>
  <c r="I60" i="5" s="1"/>
  <c r="X12" i="8"/>
  <c r="G71" i="5"/>
  <c r="M75" i="5" s="1"/>
  <c r="U12" i="8"/>
  <c r="G59" i="5"/>
  <c r="G60" i="5" s="1"/>
  <c r="W12" i="8"/>
  <c r="L59" i="5"/>
  <c r="L60" i="5" s="1"/>
  <c r="Y12" i="8"/>
  <c r="G53" i="7"/>
  <c r="N53" i="7" s="1"/>
  <c r="H14" i="8"/>
  <c r="E28" i="8"/>
  <c r="G53" i="6"/>
  <c r="N53" i="6" s="1"/>
  <c r="R21" i="4"/>
  <c r="O21" i="4"/>
  <c r="N21" i="4"/>
  <c r="L21" i="4"/>
  <c r="H21" i="4"/>
  <c r="P21" i="4"/>
  <c r="K21" i="4"/>
  <c r="Q21" i="4"/>
  <c r="M21" i="4"/>
  <c r="J21" i="4"/>
  <c r="S21" i="4"/>
  <c r="F9" i="4"/>
  <c r="F14" i="4"/>
  <c r="F6" i="4"/>
  <c r="F4" i="4"/>
  <c r="F8" i="4"/>
  <c r="F12" i="4"/>
  <c r="F16" i="4"/>
  <c r="F2" i="4"/>
  <c r="F5" i="4"/>
  <c r="F13" i="4"/>
  <c r="F17" i="4"/>
  <c r="F10" i="4"/>
  <c r="F18" i="4"/>
  <c r="F3" i="4"/>
  <c r="F19" i="4"/>
  <c r="F7" i="4"/>
  <c r="F15" i="4"/>
  <c r="F11" i="4"/>
  <c r="G3" i="4"/>
  <c r="G15" i="4"/>
  <c r="G2" i="4"/>
  <c r="G4" i="4"/>
  <c r="G8" i="4"/>
  <c r="G12" i="4"/>
  <c r="G6" i="4"/>
  <c r="G10" i="4"/>
  <c r="G14" i="4"/>
  <c r="G18" i="4"/>
  <c r="G7" i="4"/>
  <c r="G11" i="4"/>
  <c r="G19" i="4"/>
  <c r="G16" i="4"/>
  <c r="G5" i="4"/>
  <c r="G9" i="4"/>
  <c r="G13" i="4"/>
  <c r="G17" i="4"/>
  <c r="C88" i="6"/>
  <c r="I88" i="6"/>
  <c r="M88" i="6"/>
  <c r="I57" i="6"/>
  <c r="M91" i="5"/>
  <c r="I57" i="7"/>
  <c r="L57" i="7"/>
  <c r="G57" i="7"/>
  <c r="C57" i="7"/>
  <c r="L88" i="7"/>
  <c r="L57" i="6"/>
  <c r="G57" i="6"/>
  <c r="C57" i="6"/>
  <c r="L88" i="6"/>
  <c r="Q28" i="8" l="1"/>
  <c r="F22" i="22" s="1"/>
  <c r="G52" i="8"/>
  <c r="W28" i="8"/>
  <c r="G40" i="8" s="1"/>
  <c r="X28" i="8"/>
  <c r="L40" i="8" s="1"/>
  <c r="V28" i="8"/>
  <c r="A40" i="8" s="1"/>
  <c r="G11" i="24"/>
  <c r="E18" i="22"/>
  <c r="G9" i="24"/>
  <c r="D12" i="22"/>
  <c r="E37" i="22"/>
  <c r="E28" i="22"/>
  <c r="H41" i="22"/>
  <c r="Y28" i="8"/>
  <c r="F41" i="22"/>
  <c r="U28" i="8"/>
  <c r="Y29" i="8" s="1"/>
  <c r="H18" i="22"/>
  <c r="U59" i="8"/>
  <c r="I31" i="22" s="1"/>
  <c r="E31" i="8"/>
  <c r="E14" i="22" s="1"/>
  <c r="Q33" i="8"/>
  <c r="L24" i="22" s="1"/>
  <c r="I28" i="8"/>
  <c r="I72" i="21"/>
  <c r="M72" i="21"/>
  <c r="L72" i="21"/>
  <c r="C72" i="21"/>
  <c r="G72" i="21"/>
  <c r="G72" i="20"/>
  <c r="C72" i="20"/>
  <c r="M72" i="20"/>
  <c r="I72" i="20"/>
  <c r="L72" i="20"/>
  <c r="I72" i="19"/>
  <c r="M72" i="19"/>
  <c r="L72" i="19"/>
  <c r="C72" i="19"/>
  <c r="G72" i="19"/>
  <c r="G72" i="18"/>
  <c r="C72" i="18"/>
  <c r="M72" i="18"/>
  <c r="I72" i="18"/>
  <c r="L72" i="18"/>
  <c r="M72" i="9"/>
  <c r="I72" i="9"/>
  <c r="L72" i="9"/>
  <c r="G72" i="9"/>
  <c r="C72" i="9"/>
  <c r="C72" i="17"/>
  <c r="G72" i="17"/>
  <c r="I72" i="17"/>
  <c r="M72" i="17"/>
  <c r="L72" i="17"/>
  <c r="G72" i="16"/>
  <c r="C72" i="16"/>
  <c r="L72" i="16"/>
  <c r="M72" i="16"/>
  <c r="I72" i="16"/>
  <c r="M72" i="15"/>
  <c r="I72" i="15"/>
  <c r="G72" i="15"/>
  <c r="C72" i="15"/>
  <c r="L72" i="15"/>
  <c r="M72" i="14"/>
  <c r="I72" i="14"/>
  <c r="L72" i="14"/>
  <c r="C72" i="14"/>
  <c r="G72" i="14"/>
  <c r="C72" i="13"/>
  <c r="G72" i="13"/>
  <c r="I72" i="13"/>
  <c r="M72" i="13"/>
  <c r="L72" i="13"/>
  <c r="G72" i="11"/>
  <c r="C72" i="11"/>
  <c r="M72" i="11"/>
  <c r="I72" i="11"/>
  <c r="L72" i="11"/>
  <c r="C72" i="10"/>
  <c r="G72" i="10"/>
  <c r="I72" i="10"/>
  <c r="M72" i="10"/>
  <c r="L72" i="10"/>
  <c r="Z14" i="8"/>
  <c r="G68" i="7"/>
  <c r="G29" i="8"/>
  <c r="Z13" i="8"/>
  <c r="G68" i="6"/>
  <c r="G37" i="8"/>
  <c r="G28" i="8"/>
  <c r="H28" i="8"/>
  <c r="C31" i="8" s="1"/>
  <c r="F28" i="8"/>
  <c r="G21" i="4"/>
  <c r="O63" i="8"/>
  <c r="A63" i="8"/>
  <c r="F21" i="4"/>
  <c r="G63" i="8"/>
  <c r="H12" i="22" l="1"/>
  <c r="H33" i="8"/>
  <c r="F32" i="24" s="1"/>
  <c r="G31" i="24" s="1"/>
  <c r="R28" i="8"/>
  <c r="Q29" i="8" s="1"/>
  <c r="L22" i="22" s="1"/>
  <c r="D41" i="22"/>
  <c r="D43" i="22" s="1"/>
  <c r="I14" i="22"/>
  <c r="G10" i="24"/>
  <c r="H43" i="22"/>
  <c r="H42" i="22"/>
  <c r="F43" i="22"/>
  <c r="F42" i="22"/>
  <c r="U37" i="8"/>
  <c r="E31" i="22" s="1"/>
  <c r="N37" i="8"/>
  <c r="Q37" i="8" s="1"/>
  <c r="I37" i="22"/>
  <c r="L37" i="22" s="1"/>
  <c r="H48" i="8"/>
  <c r="V43" i="8" s="1"/>
  <c r="E32" i="22" s="1"/>
  <c r="E47" i="22"/>
  <c r="L47" i="22" s="1"/>
  <c r="I28" i="22"/>
  <c r="O40" i="8"/>
  <c r="J41" i="22"/>
  <c r="Z28" i="8"/>
  <c r="I72" i="7"/>
  <c r="L72" i="7"/>
  <c r="C72" i="7"/>
  <c r="G72" i="7"/>
  <c r="M72" i="7"/>
  <c r="G72" i="6"/>
  <c r="C72" i="6"/>
  <c r="L72" i="6"/>
  <c r="I72" i="6"/>
  <c r="M72" i="6"/>
  <c r="E10" i="4"/>
  <c r="E13" i="4"/>
  <c r="E7" i="4"/>
  <c r="E5" i="4"/>
  <c r="E11" i="4"/>
  <c r="E9" i="4"/>
  <c r="E18" i="4"/>
  <c r="E4" i="4"/>
  <c r="E16" i="4"/>
  <c r="E15" i="4"/>
  <c r="E12" i="4"/>
  <c r="E17" i="4"/>
  <c r="E6" i="4"/>
  <c r="E8" i="4"/>
  <c r="E19" i="4"/>
  <c r="E3" i="4"/>
  <c r="E14" i="4"/>
  <c r="A41" i="8" l="1"/>
  <c r="D42" i="22"/>
  <c r="L41" i="8"/>
  <c r="G41" i="8"/>
  <c r="O41" i="8"/>
  <c r="L52" i="8"/>
  <c r="A52" i="8"/>
  <c r="J43" i="22"/>
  <c r="J42" i="22"/>
  <c r="V45" i="8"/>
  <c r="I32" i="22" s="1"/>
  <c r="O52" i="8"/>
  <c r="V44" i="8"/>
  <c r="G32" i="22" s="1"/>
  <c r="U48" i="8"/>
  <c r="G31" i="22" s="1"/>
  <c r="P52" i="8"/>
  <c r="E21" i="4"/>
  <c r="I2" i="4"/>
  <c r="C2" i="4" s="1"/>
  <c r="D2" i="4" l="1"/>
  <c r="I3" i="4"/>
  <c r="C3" i="4" s="1"/>
  <c r="D3" i="4" s="1"/>
  <c r="I5" i="4"/>
  <c r="C5" i="4" s="1"/>
  <c r="D5" i="4" s="1"/>
  <c r="D21" i="24" s="1"/>
  <c r="I13" i="4"/>
  <c r="C13" i="4" s="1"/>
  <c r="D13" i="4" s="1"/>
  <c r="I19" i="4"/>
  <c r="C19" i="4" s="1"/>
  <c r="D19" i="4" s="1"/>
  <c r="I9" i="4"/>
  <c r="C9" i="4" s="1"/>
  <c r="D9" i="4" s="1"/>
  <c r="I7" i="4"/>
  <c r="C7" i="4" s="1"/>
  <c r="D7" i="4" s="1"/>
  <c r="D23" i="24" s="1"/>
  <c r="I10" i="4"/>
  <c r="C10" i="4" s="1"/>
  <c r="I11" i="4"/>
  <c r="C11" i="4" s="1"/>
  <c r="D11" i="4" s="1"/>
  <c r="I8" i="4"/>
  <c r="C8" i="4" s="1"/>
  <c r="D8" i="4" s="1"/>
  <c r="D25" i="24" s="1"/>
  <c r="I12" i="4"/>
  <c r="C12" i="4" s="1"/>
  <c r="D12" i="4" s="1"/>
  <c r="D29" i="24" s="1"/>
  <c r="I16" i="4"/>
  <c r="C16" i="4" s="1"/>
  <c r="D16" i="4" s="1"/>
  <c r="I6" i="4"/>
  <c r="C6" i="4" s="1"/>
  <c r="D6" i="4" s="1"/>
  <c r="D22" i="24" s="1"/>
  <c r="I14" i="4"/>
  <c r="C14" i="4" s="1"/>
  <c r="D14" i="4" s="1"/>
  <c r="D42" i="24" s="1"/>
  <c r="I15" i="4"/>
  <c r="C15" i="4" s="1"/>
  <c r="D15" i="4" s="1"/>
  <c r="I4" i="4"/>
  <c r="C4" i="4" s="1"/>
  <c r="D4" i="4" s="1"/>
  <c r="E19" i="24" s="1"/>
  <c r="I18" i="4"/>
  <c r="C18" i="4" s="1"/>
  <c r="D18" i="4" s="1"/>
  <c r="N79" i="8"/>
  <c r="I17" i="4"/>
  <c r="C17" i="4" s="1"/>
  <c r="D17" i="4" s="1"/>
  <c r="E26" i="24" l="1"/>
  <c r="D26" i="24"/>
  <c r="E18" i="24"/>
  <c r="D18" i="24"/>
  <c r="E28" i="24"/>
  <c r="D28" i="24"/>
  <c r="E17" i="24"/>
  <c r="D17" i="24"/>
  <c r="C17" i="24"/>
  <c r="C43" i="24"/>
  <c r="E43" i="24"/>
  <c r="E30" i="24"/>
  <c r="E42" i="24"/>
  <c r="D10" i="4"/>
  <c r="B27" i="24" s="1"/>
  <c r="B17" i="24"/>
  <c r="D30" i="24"/>
  <c r="B19" i="24"/>
  <c r="D19" i="24"/>
  <c r="C19" i="24"/>
  <c r="C42" i="24"/>
  <c r="B18" i="24"/>
  <c r="C18" i="24"/>
  <c r="C30" i="24"/>
  <c r="B30" i="24"/>
  <c r="B42" i="24"/>
  <c r="B26" i="24"/>
  <c r="B22" i="24"/>
  <c r="D48" i="24"/>
  <c r="E48" i="24"/>
  <c r="C48" i="24"/>
  <c r="E25" i="24"/>
  <c r="B25" i="24"/>
  <c r="D47" i="24"/>
  <c r="E47" i="24"/>
  <c r="B48" i="24"/>
  <c r="C47" i="24"/>
  <c r="B28" i="24"/>
  <c r="D44" i="24"/>
  <c r="B46" i="24"/>
  <c r="B44" i="24"/>
  <c r="E44" i="24"/>
  <c r="B41" i="24"/>
  <c r="E41" i="24"/>
  <c r="D46" i="24"/>
  <c r="E46" i="24"/>
  <c r="B47" i="24"/>
  <c r="D43" i="24"/>
  <c r="B43" i="24"/>
  <c r="E29" i="24"/>
  <c r="B29" i="24"/>
  <c r="E23" i="24"/>
  <c r="B23" i="24"/>
  <c r="B21" i="24"/>
  <c r="C26" i="24"/>
  <c r="C28" i="24"/>
  <c r="D41" i="24"/>
  <c r="C29" i="24"/>
  <c r="C25" i="24"/>
  <c r="C22" i="24"/>
  <c r="E22" i="24"/>
  <c r="C23" i="24"/>
  <c r="C21" i="24"/>
  <c r="E21" i="24"/>
  <c r="C46" i="24"/>
  <c r="C44" i="24"/>
  <c r="C41" i="24"/>
  <c r="N94" i="8"/>
  <c r="N95" i="8"/>
  <c r="N81" i="8"/>
  <c r="N92" i="8"/>
  <c r="N91" i="8"/>
  <c r="N83" i="8"/>
  <c r="N93" i="8"/>
  <c r="N89" i="8"/>
  <c r="N85" i="8"/>
  <c r="N88" i="8"/>
  <c r="N87" i="8"/>
  <c r="N84" i="8"/>
  <c r="N86" i="8"/>
  <c r="N96" i="8"/>
  <c r="N90" i="8"/>
  <c r="N82" i="8"/>
  <c r="N80" i="8"/>
  <c r="I21" i="4"/>
  <c r="T21" i="4" s="1"/>
  <c r="C21" i="4" s="1"/>
  <c r="Q31" i="8" s="1"/>
  <c r="F17" i="24" l="1"/>
  <c r="F21" i="24"/>
  <c r="C27" i="24"/>
  <c r="D27" i="24"/>
  <c r="E27" i="24"/>
  <c r="F29" i="24"/>
  <c r="F30" i="24"/>
  <c r="F19" i="24"/>
  <c r="F28" i="24"/>
  <c r="F25" i="24"/>
  <c r="F18" i="24"/>
  <c r="F47" i="24"/>
  <c r="F43" i="24"/>
  <c r="F46" i="24"/>
  <c r="F41" i="24"/>
  <c r="F48" i="24"/>
  <c r="F26" i="24"/>
  <c r="F44" i="24"/>
  <c r="F42" i="24"/>
  <c r="F22" i="24"/>
  <c r="F23" i="24"/>
  <c r="L23" i="22"/>
  <c r="E19" i="22"/>
  <c r="C25" i="4"/>
  <c r="I19" i="22" s="1"/>
  <c r="C24" i="4"/>
  <c r="I20" i="22" s="1"/>
  <c r="N98" i="8"/>
  <c r="O79" i="8"/>
  <c r="O96" i="8"/>
  <c r="O95" i="8"/>
  <c r="O94" i="8"/>
  <c r="O93" i="8"/>
  <c r="O92" i="8"/>
  <c r="O91" i="8"/>
  <c r="O90" i="8"/>
  <c r="O89" i="8"/>
  <c r="O88" i="8"/>
  <c r="O87" i="8"/>
  <c r="O86" i="8"/>
  <c r="O85" i="8"/>
  <c r="O84" i="8"/>
  <c r="O82" i="8"/>
  <c r="O83" i="8"/>
  <c r="O81" i="8"/>
  <c r="O80" i="8"/>
  <c r="D21" i="4"/>
  <c r="F27" i="24" l="1"/>
  <c r="G24" i="24" s="1"/>
  <c r="G16" i="24"/>
  <c r="G45" i="24"/>
  <c r="G40" i="24"/>
  <c r="G20" i="24"/>
  <c r="O98" i="8"/>
  <c r="A50" i="24" l="1"/>
  <c r="D50" i="24" s="1"/>
  <c r="G50" i="24" s="1"/>
  <c r="C9" i="24" s="1"/>
  <c r="A36" i="24"/>
  <c r="C36" i="24" s="1"/>
  <c r="G36" i="24" s="1"/>
  <c r="C8" i="24" s="1"/>
  <c r="C12" i="24" l="1"/>
</calcChain>
</file>

<file path=xl/sharedStrings.xml><?xml version="1.0" encoding="utf-8"?>
<sst xmlns="http://schemas.openxmlformats.org/spreadsheetml/2006/main" count="2196" uniqueCount="297">
  <si>
    <t>Nature des opérations</t>
  </si>
  <si>
    <t>Autonomie</t>
  </si>
  <si>
    <t xml:space="preserve"> Erreurs</t>
  </si>
  <si>
    <t>Incidences financières</t>
  </si>
  <si>
    <t>Savoir</t>
  </si>
  <si>
    <t>Attention</t>
  </si>
  <si>
    <t>Organisation</t>
  </si>
  <si>
    <t>Manipulation outils</t>
  </si>
  <si>
    <t>N° alloc</t>
  </si>
  <si>
    <t>Total</t>
  </si>
  <si>
    <t>N° col.</t>
  </si>
  <si>
    <t xml:space="preserve">Courriers réalisés </t>
  </si>
  <si>
    <t>Bon contrôlé</t>
  </si>
  <si>
    <t xml:space="preserve">Analyse </t>
  </si>
  <si>
    <t>Communication écrite</t>
  </si>
  <si>
    <t>Nature du problème</t>
  </si>
  <si>
    <t>Choix du document</t>
  </si>
  <si>
    <t>Argumentation</t>
  </si>
  <si>
    <t>Présentation Orthographe - syntaxe</t>
  </si>
  <si>
    <t>Observations :</t>
  </si>
  <si>
    <t>Communication téléphonique</t>
  </si>
  <si>
    <t>Présentation</t>
  </si>
  <si>
    <t>Clôture</t>
  </si>
  <si>
    <t>Communication accueil physique</t>
  </si>
  <si>
    <t>Temps d'accueil :</t>
  </si>
  <si>
    <t>Nombre d'entretiens :</t>
  </si>
  <si>
    <t>Ecoute active</t>
  </si>
  <si>
    <t>Réponse</t>
  </si>
  <si>
    <t>Oui</t>
  </si>
  <si>
    <t>Non</t>
  </si>
  <si>
    <t>libelle</t>
  </si>
  <si>
    <t>code</t>
  </si>
  <si>
    <t>Applique les procédures de travail spécifiques à la Caf</t>
  </si>
  <si>
    <t>Apprécie la validité des pièces</t>
  </si>
  <si>
    <t>Apprécie l'opportunité d'une coproduction</t>
  </si>
  <si>
    <t>Choisit les Fg pertinents</t>
  </si>
  <si>
    <t>Détermine les droits potentiels</t>
  </si>
  <si>
    <t>Détermine les droits réels</t>
  </si>
  <si>
    <t>Exploitation simultanée (Navigation)</t>
  </si>
  <si>
    <t>Lit et analyse l'ensemble des pièces</t>
  </si>
  <si>
    <t>Met à jour le Sdp</t>
  </si>
  <si>
    <t>Met en instance le dossier à bon escient</t>
  </si>
  <si>
    <t>Outils de production (Cristal, Sdp…)</t>
  </si>
  <si>
    <t>Outils documentaires (@doc)</t>
  </si>
  <si>
    <t>S'adapte au circuit interne de travail</t>
  </si>
  <si>
    <t>Saisit correctement les informations</t>
  </si>
  <si>
    <t>Sait organiser son travail pour gagner en efficacité de traitement</t>
  </si>
  <si>
    <t>Sait planifier son activité et ses priorités</t>
  </si>
  <si>
    <t>Vérifie la cohérence droits attendus et réels</t>
  </si>
  <si>
    <t>Vérifie l'exhaustivité des pièces ( à réclamer ou dans le Sdp)</t>
  </si>
  <si>
    <t>Relation de service</t>
  </si>
  <si>
    <t>Nombre de courriers émis :</t>
  </si>
  <si>
    <t>Taux :</t>
  </si>
  <si>
    <t>Nbre courriers rendus :</t>
  </si>
  <si>
    <t>Structuration Plan  Ordre</t>
  </si>
  <si>
    <t>Nbre incidences financières / nbre opérations :</t>
  </si>
  <si>
    <t xml:space="preserve"> Nombre de coproductions :</t>
  </si>
  <si>
    <t>Nombre appels reçus :</t>
  </si>
  <si>
    <t>Présentation :</t>
  </si>
  <si>
    <t xml:space="preserve"> </t>
  </si>
  <si>
    <t>Relevé N° :</t>
  </si>
  <si>
    <t>Date :</t>
  </si>
  <si>
    <t>Formation des gestionnaires conseil - Rapport journalier</t>
  </si>
  <si>
    <t>Nom et prénom du resposable de stage</t>
  </si>
  <si>
    <t xml:space="preserve">Stage du             </t>
  </si>
  <si>
    <t>au</t>
  </si>
  <si>
    <t>Courriers rendus</t>
  </si>
  <si>
    <t>Présentation Orthographe syntaxe</t>
  </si>
  <si>
    <t>Coprod.</t>
  </si>
  <si>
    <t>Nbre appels entrants</t>
  </si>
  <si>
    <t>Nbre d'entretiens</t>
  </si>
  <si>
    <t>Nbre coprod.</t>
  </si>
  <si>
    <t xml:space="preserve"> Communication téléphonique</t>
  </si>
  <si>
    <t>Nature des problèmes</t>
  </si>
  <si>
    <t xml:space="preserve">  Observations :</t>
  </si>
  <si>
    <t>Accueil</t>
  </si>
  <si>
    <t>Nom et prénom du stagiaire :</t>
  </si>
  <si>
    <t>Nom et prénom du tuteur :</t>
  </si>
  <si>
    <t>Responsable stage</t>
  </si>
  <si>
    <t>Code</t>
  </si>
  <si>
    <t>Jour</t>
  </si>
  <si>
    <t>Nombre d'opérations</t>
  </si>
  <si>
    <t>Formation des gestionnaires conseil - Bilan stage</t>
  </si>
  <si>
    <t>Taux incidences financière / opérations</t>
  </si>
  <si>
    <t>Temps d'accueil (en heure)</t>
  </si>
  <si>
    <t>TOTAL</t>
  </si>
  <si>
    <t>ANALYSE ERREUR</t>
  </si>
  <si>
    <t>Taux</t>
  </si>
  <si>
    <t xml:space="preserve">Stage du  </t>
  </si>
  <si>
    <t>Moyenne opérations / jour</t>
  </si>
  <si>
    <t>Incidence financière / Nbre opérations</t>
  </si>
  <si>
    <t>Taux courriers rendus / courriers émis</t>
  </si>
  <si>
    <t>date jours</t>
  </si>
  <si>
    <t>N°_relevé</t>
  </si>
  <si>
    <t>Stage N° :</t>
  </si>
  <si>
    <t>N°_Stage</t>
  </si>
  <si>
    <t>Caf :</t>
  </si>
  <si>
    <t>A compléter par tuteur</t>
  </si>
  <si>
    <t>A saisir</t>
  </si>
  <si>
    <t>Nbre de pièces</t>
  </si>
  <si>
    <t>Nom et prénom du resposable de stage :</t>
  </si>
  <si>
    <t>Incidence financière / Nbre erreurs</t>
  </si>
  <si>
    <t>Taux erreur sur BT traités</t>
  </si>
  <si>
    <t>Taux erreur sur bons contrôlés</t>
  </si>
  <si>
    <t>Incidence financière / Nbre bons contrôlés</t>
  </si>
  <si>
    <t>TAUX COURRIER/ ENSEMBLE COMM</t>
  </si>
  <si>
    <t>TAUX COPROD/ ENSEMBLE COMM</t>
  </si>
  <si>
    <t>TAUX COURRIER/PROD</t>
  </si>
  <si>
    <t>TAUX COPROD/PROD</t>
  </si>
  <si>
    <t>N°</t>
  </si>
  <si>
    <t xml:space="preserve">soit </t>
  </si>
  <si>
    <t>jours</t>
  </si>
  <si>
    <t>Nbre jours d'absence :</t>
  </si>
  <si>
    <t>1 - Production</t>
  </si>
  <si>
    <t>Nbre d'opérations :</t>
  </si>
  <si>
    <t>soit moyenne opérations / jour :</t>
  </si>
  <si>
    <t>Autonomie prév isionnelle :</t>
  </si>
  <si>
    <t>Autonomie réelle :</t>
  </si>
  <si>
    <t>Nbre de courriers émis :</t>
  </si>
  <si>
    <t>Nbre de co productions :</t>
  </si>
  <si>
    <t>Taux /nb d'opérations</t>
  </si>
  <si>
    <t>Taux / rel. de service</t>
  </si>
  <si>
    <t>Nbre d'opérations contrôlées :</t>
  </si>
  <si>
    <t>Taux de contrôle :</t>
  </si>
  <si>
    <t>Nbre de signalements :</t>
  </si>
  <si>
    <t>Taux d'erreur / bons contrôlés :</t>
  </si>
  <si>
    <t>Taux d'erreur / bons traités :</t>
  </si>
  <si>
    <t xml:space="preserve">Nbre d'erreurs avec incidence financière : </t>
  </si>
  <si>
    <t>Incidence financière/nbre opérations :</t>
  </si>
  <si>
    <t>Incidence financière/nbre erreurs :</t>
  </si>
  <si>
    <t>Incidence financière/nbre bons contrôlés :</t>
  </si>
  <si>
    <t>2 - Supervision tutorat</t>
  </si>
  <si>
    <t>3 - Relation de service :</t>
  </si>
  <si>
    <t>31 - Courrier</t>
  </si>
  <si>
    <t>Nbre de courriers réalisés :</t>
  </si>
  <si>
    <t>Nbre de courriers rendus :</t>
  </si>
  <si>
    <t xml:space="preserve">Taux : </t>
  </si>
  <si>
    <t>Nature du problème :</t>
  </si>
  <si>
    <t>Nbre</t>
  </si>
  <si>
    <t>Taux / courriers rendus</t>
  </si>
  <si>
    <t>Taux / courriers émis</t>
  </si>
  <si>
    <t>Nbre d'appels entrants :</t>
  </si>
  <si>
    <t xml:space="preserve">Total : </t>
  </si>
  <si>
    <t xml:space="preserve">32 - Communication téléphonique </t>
  </si>
  <si>
    <t>Taux / Total com. tel.</t>
  </si>
  <si>
    <t>33 - Accueil</t>
  </si>
  <si>
    <t>Nbre d'entretiens :</t>
  </si>
  <si>
    <t>Taux / Nbre entretiens</t>
  </si>
  <si>
    <t>Nbre entretiens :</t>
  </si>
  <si>
    <t>courriers</t>
  </si>
  <si>
    <t>entretiens</t>
  </si>
  <si>
    <t>co productions</t>
  </si>
  <si>
    <t>TAUX ENTRETIENS/ ENSEMBLE COMM</t>
  </si>
  <si>
    <t>TAUX ACCUEIL/PROD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</si>
  <si>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</si>
  <si>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</si>
  <si>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</si>
  <si>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</si>
  <si>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</si>
  <si>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</si>
  <si>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</si>
  <si>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</si>
  <si>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</si>
  <si>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X</t>
  </si>
  <si>
    <t>Y</t>
  </si>
  <si>
    <t>Z</t>
  </si>
  <si>
    <t>Stagiaires (nom et prénom)</t>
  </si>
  <si>
    <t>Tuteurs(nom et prénom)</t>
  </si>
  <si>
    <t>OBSERVATIONS</t>
  </si>
  <si>
    <t>DESBONNE Stevie</t>
  </si>
  <si>
    <t xml:space="preserve">VAL D'OISE </t>
  </si>
  <si>
    <t xml:space="preserve">Formation des gestionnaires conseil - Bilan stage </t>
  </si>
  <si>
    <t>Stagiaire absent</t>
  </si>
  <si>
    <t>V1</t>
  </si>
  <si>
    <t>du :</t>
  </si>
  <si>
    <t>au :</t>
  </si>
  <si>
    <t>Stagiaire :</t>
  </si>
  <si>
    <t>Responsable stage :</t>
  </si>
  <si>
    <t>Tuteur :</t>
  </si>
  <si>
    <t>Note alternance</t>
  </si>
  <si>
    <t>Dernières prestations étudiées :</t>
  </si>
  <si>
    <t>1. traitement des dossiers</t>
  </si>
  <si>
    <t>(sur 11)</t>
  </si>
  <si>
    <t>Prestations réputées acquises  :</t>
  </si>
  <si>
    <t>2. appropriation du poste</t>
  </si>
  <si>
    <t>(sur 4)</t>
  </si>
  <si>
    <t xml:space="preserve">Nombre global de bons de travail  traités durant la période :    </t>
  </si>
  <si>
    <t xml:space="preserve">3. relation de service </t>
  </si>
  <si>
    <t>(sur 3)</t>
  </si>
  <si>
    <t xml:space="preserve"> en autonomie :</t>
  </si>
  <si>
    <t>4. posture professionnelle</t>
  </si>
  <si>
    <t>(sur 2)</t>
  </si>
  <si>
    <t>supervisés par tuteur :</t>
  </si>
  <si>
    <t>Global</t>
  </si>
  <si>
    <t>sur 20</t>
  </si>
  <si>
    <t>Nombre de jours d'absence durant la période :</t>
  </si>
  <si>
    <t xml:space="preserve">1 - LE TRAITEMENT DES DOSSIERS </t>
  </si>
  <si>
    <t>Non acquis      0 à 6 pts</t>
  </si>
  <si>
    <t xml:space="preserve">En cours </t>
  </si>
  <si>
    <t>Acquis            16 à 20 pts</t>
  </si>
  <si>
    <t>Note</t>
  </si>
  <si>
    <t>Commentaires</t>
  </si>
  <si>
    <t>Aidé                 7 à 10 pts</t>
  </si>
  <si>
    <t>Seul               11 à 15 pts</t>
  </si>
  <si>
    <t>L'étude des pièces (note sur 20)</t>
  </si>
  <si>
    <t>Vérifie l'exhaustivité des pièces (à réclamer ou présentes dans le SDP)</t>
  </si>
  <si>
    <t>L'étude des droits (note sur 20)</t>
  </si>
  <si>
    <t>Liquidation du dossier  (note sur 20)</t>
  </si>
  <si>
    <t>Choisit les FG pertinents</t>
  </si>
  <si>
    <t>Met à jour le SDP</t>
  </si>
  <si>
    <t>Connaît les processus et applique les bonnes pratiques</t>
  </si>
  <si>
    <t>Bons de Travail / Jour (note sur 20)</t>
  </si>
  <si>
    <t>BT ( - de 10)          = 0 à 5 pts</t>
  </si>
  <si>
    <t>BT (10 à 15)           = 6 à 10 pts</t>
  </si>
  <si>
    <t>BT (16 à 19)           = 11 à 15 pts</t>
  </si>
  <si>
    <t>BT (20 et +)          = 16 à 20 pts</t>
  </si>
  <si>
    <t xml:space="preserve">Note / Moyenne journalière pour la période : </t>
  </si>
  <si>
    <t>Erreurs  (note sur 20) - coefficient 2</t>
  </si>
  <si>
    <t>Plus de 15 %     = 0 à 5 pts</t>
  </si>
  <si>
    <t>entre 10,1 et 15 %      = 6 et 10 pts</t>
  </si>
  <si>
    <t>entre 5,1 et 10%     = 11 à 15 pts</t>
  </si>
  <si>
    <t>- de 5%                  = 16 à 20 pts</t>
  </si>
  <si>
    <t>Note / % moyen d'erreurs pour la période</t>
  </si>
  <si>
    <t>Note sur 110</t>
  </si>
  <si>
    <t>Note sur 20</t>
  </si>
  <si>
    <t>Note ramenée sur 11</t>
  </si>
  <si>
    <t xml:space="preserve">2 - L'APPROPRIATION DU POSTE </t>
  </si>
  <si>
    <t>Acquis           16 à 20 pts</t>
  </si>
  <si>
    <t>Aidé                7 à 10 pts</t>
  </si>
  <si>
    <t>Seul            11 à 15 pts</t>
  </si>
  <si>
    <t>Applique une méthodologie de travail appropriée (note sur 20)</t>
  </si>
  <si>
    <t>S'adapte aux circuits internes de travail</t>
  </si>
  <si>
    <t>Utilise de manière optimale les outils informatiques à sa disposition (note sur 20)</t>
  </si>
  <si>
    <t>Outils de production
(Nims Sdp …)</t>
  </si>
  <si>
    <t>Outils documentaires
(@doc)</t>
  </si>
  <si>
    <t>Exploitation simultanée
(Navigation)</t>
  </si>
  <si>
    <t>Note sur 40</t>
  </si>
  <si>
    <t>Note ramenée sur 4</t>
  </si>
  <si>
    <t>3 -  RELATION SERVICE</t>
  </si>
  <si>
    <t>Non acquis          0 à 6 pts</t>
  </si>
  <si>
    <t>Aidé                   7 à 10 pts</t>
  </si>
  <si>
    <t>Seul                11 à 15 pts</t>
  </si>
  <si>
    <t>Communique avec les allocataires et les tiers à l'écrit (note sur 20)</t>
  </si>
  <si>
    <t>Par écrit (courriers, courriels)</t>
  </si>
  <si>
    <t>indiquer le nombre de courriers rendus :</t>
  </si>
  <si>
    <t>Communique avec les allocataires et les tiers à l'oral (note sur 20)</t>
  </si>
  <si>
    <t>A l'oral (téléphone/accueil)</t>
  </si>
  <si>
    <t>Note ramenée sur 3</t>
  </si>
  <si>
    <t>Note ramenée sur 2</t>
  </si>
  <si>
    <t>Observations du stagiaire :</t>
  </si>
  <si>
    <t>Observations du responsable de stage :</t>
  </si>
  <si>
    <t>4 - POSTURE DE TRAVAIL ET ADAPTATION A L'ENVIRONNEMENT PROFESSIONNEL (Note sur 20)</t>
  </si>
  <si>
    <t xml:space="preserve">Absentéisme (respect du règlement intérieur concernant les absences et retards )                                     - Coopération (disponibilité, solidarité, sens du travail en équipe…)                                                  - Implication (capacité à se concentrer, à tenir compte des remarques, à prendre des notes pour éviter de répéter les erreurs …)                                                                                                                                 - Posture et intégration dans groupe de travail (respect des consignes, des règles, de la hiérarchie, des collègues…) : </t>
  </si>
  <si>
    <t>Observations du responsable de stage / pilote Caf, en vue de la certification :</t>
  </si>
  <si>
    <t>Moyenne pièces / jour</t>
  </si>
  <si>
    <t>soit moyenne pièces / jour :</t>
  </si>
  <si>
    <t>GRILLE D'APPRECIATION STAGE 4</t>
  </si>
  <si>
    <t>SITFAM</t>
  </si>
  <si>
    <t>SITPRO</t>
  </si>
  <si>
    <t>TITSEJ</t>
  </si>
  <si>
    <t>Prestations
Situations</t>
  </si>
  <si>
    <t>AF</t>
  </si>
  <si>
    <t>AB</t>
  </si>
  <si>
    <t>PN</t>
  </si>
  <si>
    <t>RESS</t>
  </si>
  <si>
    <t>CF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</si>
  <si>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</si>
  <si>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</si>
  <si>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</si>
  <si>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</si>
  <si>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</si>
  <si>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</si>
  <si>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</si>
  <si>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</si>
  <si>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</si>
  <si>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</si>
  <si>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</si>
  <si>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</si>
  <si>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</si>
  <si>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</si>
  <si>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</si>
  <si>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MUT</t>
  </si>
  <si>
    <t>AL</t>
  </si>
  <si>
    <t>CMG</t>
  </si>
  <si>
    <t>ASF</t>
  </si>
  <si>
    <t>PPE</t>
  </si>
  <si>
    <t>RSA</t>
  </si>
  <si>
    <t>PPA</t>
  </si>
  <si>
    <t>Note par item</t>
  </si>
  <si>
    <t>Pourcentage 
d'erreurs</t>
  </si>
  <si>
    <t>xx</t>
  </si>
  <si>
    <t>x</t>
  </si>
  <si>
    <t>NBRE BT TRAITES</t>
  </si>
  <si>
    <t>NBRE DE POINTS OBTENUS</t>
  </si>
  <si>
    <t>Prod</t>
  </si>
  <si>
    <t>% ERREUR</t>
  </si>
  <si>
    <t>Erreurs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</si>
</sst>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0.0%"/>
  </numFmts>
  <fonts count="7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2"/>
      <color theme="1"/>
      <name val="Arial"/>
      <family val="2"/>
    </font>
    <font>
      <sz val="11"/>
      <color theme="3"/>
      <name val="Arial"/>
      <family val="2"/>
    </font>
    <font>
      <sz val="11"/>
      <color theme="6" tint="-0.499984740745262"/>
      <name val="Arial"/>
      <family val="2"/>
    </font>
    <font>
      <sz val="11"/>
      <color theme="5" tint="-0.499984740745262"/>
      <name val="Arial"/>
      <family val="2"/>
    </font>
    <font>
      <sz val="11"/>
      <color theme="5" tint="-0.249977111117893"/>
      <name val="Arial"/>
      <family val="2"/>
    </font>
    <font>
      <sz val="11"/>
      <color theme="4" tint="-0.249977111117893"/>
      <name val="Arial"/>
      <family val="2"/>
    </font>
    <font>
      <b/>
      <sz val="14"/>
      <color theme="3"/>
      <name val="Arial"/>
      <family val="2"/>
    </font>
    <font>
      <b/>
      <sz val="11"/>
      <color theme="3"/>
      <name val="Arial"/>
      <family val="2"/>
    </font>
    <font>
      <b/>
      <sz val="12"/>
      <color theme="3"/>
      <name val="Arial"/>
      <family val="2"/>
    </font>
    <font>
      <b/>
      <sz val="11"/>
      <color theme="6" tint="-0.499984740745262"/>
      <name val="Arial"/>
      <family val="2"/>
    </font>
    <font>
      <b/>
      <sz val="14"/>
      <color theme="6" tint="-0.499984740745262"/>
      <name val="Arial"/>
      <family val="2"/>
    </font>
    <font>
      <b/>
      <sz val="14"/>
      <color theme="5" tint="-0.499984740745262"/>
      <name val="Arial"/>
      <family val="2"/>
    </font>
    <font>
      <b/>
      <sz val="11"/>
      <color theme="5" tint="-0.499984740745262"/>
      <name val="Arial"/>
      <family val="2"/>
    </font>
    <font>
      <sz val="11"/>
      <name val="Calibri"/>
      <family val="2"/>
      <scheme val="minor"/>
    </font>
    <font>
      <b/>
      <sz val="11"/>
      <color theme="5" tint="-0.249977111117893"/>
      <name val="Arial"/>
      <family val="2"/>
    </font>
    <font>
      <b/>
      <sz val="12"/>
      <color theme="5" tint="-0.499984740745262"/>
      <name val="Arial"/>
      <family val="2"/>
    </font>
    <font>
      <b/>
      <sz val="12"/>
      <color theme="6" tint="-0.499984740745262"/>
      <name val="Arial"/>
      <family val="2"/>
    </font>
    <font>
      <b/>
      <sz val="12"/>
      <color theme="5" tint="-0.249977111117893"/>
      <name val="Arial"/>
      <family val="2"/>
    </font>
    <font>
      <sz val="12"/>
      <color theme="5" tint="-0.249977111117893"/>
      <name val="Arial"/>
      <family val="2"/>
    </font>
    <font>
      <b/>
      <sz val="11"/>
      <color theme="3" tint="0.79998168889431442"/>
      <name val="Arial"/>
      <family val="2"/>
    </font>
    <font>
      <b/>
      <sz val="11"/>
      <color rgb="FFC00000"/>
      <name val="Arial"/>
      <family val="2"/>
    </font>
    <font>
      <sz val="12"/>
      <name val="Arial"/>
      <family val="2"/>
    </font>
    <font>
      <sz val="12"/>
      <color theme="3"/>
      <name val="Arial"/>
      <family val="2"/>
    </font>
    <font>
      <b/>
      <sz val="12"/>
      <color theme="4" tint="-0.249977111117893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sz val="11"/>
      <color rgb="FFC00000"/>
      <name val="Arial"/>
      <family val="2"/>
    </font>
    <font>
      <b/>
      <sz val="14"/>
      <color theme="3" tint="-0.249977111117893"/>
      <name val="Arial"/>
      <family val="2"/>
    </font>
    <font>
      <sz val="12"/>
      <color theme="3" tint="-0.249977111117893"/>
      <name val="Arial"/>
      <family val="2"/>
    </font>
    <font>
      <sz val="12"/>
      <color theme="1"/>
      <name val="Calibri"/>
      <family val="2"/>
      <scheme val="minor"/>
    </font>
    <font>
      <sz val="12"/>
      <color theme="5" tint="-0.499984740745262"/>
      <name val="Arial"/>
      <family val="2"/>
    </font>
    <font>
      <sz val="12"/>
      <color theme="6" tint="-0.499984740745262"/>
      <name val="Arial"/>
      <family val="2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sz val="14"/>
      <color theme="0"/>
      <name val="Arial"/>
      <family val="2"/>
    </font>
    <font>
      <b/>
      <sz val="14"/>
      <color theme="4" tint="-0.499984740745262"/>
      <name val="Arial"/>
      <family val="2"/>
    </font>
    <font>
      <b/>
      <sz val="14"/>
      <color theme="5" tint="-0.249977111117893"/>
      <name val="Arial"/>
      <family val="2"/>
    </font>
    <font>
      <b/>
      <sz val="13"/>
      <color rgb="FF0070C0"/>
      <name val="Arial"/>
      <family val="2"/>
    </font>
    <font>
      <sz val="11"/>
      <color rgb="FF0070C0"/>
      <name val="Calibri"/>
      <family val="2"/>
      <scheme val="minor"/>
    </font>
    <font>
      <sz val="11"/>
      <color theme="3" tint="-0.249977111117893"/>
      <name val="Arial"/>
      <family val="2"/>
    </font>
    <font>
      <b/>
      <sz val="11.5"/>
      <color theme="6" tint="-0.499984740745262"/>
      <name val="Arial"/>
      <family val="2"/>
    </font>
    <font>
      <b/>
      <sz val="14"/>
      <color theme="4" tint="-0.249977111117893"/>
      <name val="Arial"/>
      <family val="2"/>
    </font>
    <font>
      <b/>
      <sz val="1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4" tint="-0.249977111117893"/>
      <name val="Arial"/>
      <family val="2"/>
    </font>
    <font>
      <b/>
      <u/>
      <sz val="14"/>
      <color theme="3"/>
      <name val="Arial"/>
      <family val="2"/>
    </font>
    <font>
      <b/>
      <sz val="16"/>
      <color rgb="FFFFFF00"/>
      <name val="Arial"/>
      <family val="2"/>
    </font>
    <font>
      <sz val="12"/>
      <color theme="4" tint="-0.249977111117893"/>
      <name val="Arial"/>
      <family val="2"/>
    </font>
    <font>
      <sz val="11"/>
      <color rgb="FFFF0000"/>
      <name val="Calibri"/>
      <family val="2"/>
      <scheme val="minor"/>
    </font>
    <font>
      <b/>
      <sz val="14"/>
      <color indexed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b/>
      <sz val="7"/>
      <color indexed="8"/>
      <name val="Arial"/>
      <family val="2"/>
    </font>
    <font>
      <i/>
      <sz val="10"/>
      <color indexed="8"/>
      <name val="Arial"/>
      <family val="2"/>
    </font>
    <font>
      <sz val="8"/>
      <color indexed="8"/>
      <name val="Arial"/>
      <family val="2"/>
    </font>
    <font>
      <sz val="12"/>
      <color rgb="FF002060"/>
      <name val="Arial"/>
      <family val="2"/>
    </font>
    <font>
      <sz val="11"/>
      <color rgb="FFFF0000"/>
      <name val="Arial"/>
      <family val="2"/>
    </font>
    <font>
      <sz val="9"/>
      <color theme="1"/>
      <name val="Arial"/>
      <family val="2"/>
    </font>
    <font>
      <b/>
      <sz val="11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1F5E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0"/>
        <bgColor indexed="51"/>
      </patternFill>
    </fill>
    <fill>
      <patternFill patternType="solid">
        <fgColor indexed="22"/>
        <bgColor indexed="31"/>
      </patternFill>
    </fill>
    <fill>
      <patternFill patternType="solid">
        <fgColor indexed="11"/>
        <bgColor indexed="49"/>
      </patternFill>
    </fill>
    <fill>
      <patternFill patternType="solid">
        <fgColor indexed="9"/>
        <bgColor indexed="26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52A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2BEE2"/>
        <bgColor indexed="64"/>
      </patternFill>
    </fill>
  </fills>
  <borders count="13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 style="thin">
        <color theme="4" tint="0.39997558519241921"/>
      </left>
      <right style="thin">
        <color theme="4" tint="0.39994506668294322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4506668294322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medium">
        <color theme="4" tint="0.39994506668294322"/>
      </right>
      <top/>
      <bottom/>
      <diagonal/>
    </border>
    <border>
      <left style="thin">
        <color indexed="64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ck">
        <color theme="4" tint="-0.499984740745262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915">
    <xf numFmtId="0" fontId="0" fillId="0" borderId="0" xfId="0"/>
    <xf numFmtId="0" fontId="0" fillId="0" borderId="0" xfId="0" applyBorder="1"/>
    <xf numFmtId="0" fontId="6" fillId="0" borderId="1" xfId="0" applyFont="1" applyBorder="1"/>
    <xf numFmtId="0" fontId="6" fillId="0" borderId="2" xfId="0" applyFont="1" applyBorder="1"/>
    <xf numFmtId="0" fontId="6" fillId="0" borderId="0" xfId="0" applyFont="1" applyBorder="1"/>
    <xf numFmtId="0" fontId="6" fillId="0" borderId="6" xfId="0" applyFont="1" applyBorder="1" applyAlignment="1">
      <alignment horizontal="left" vertical="center"/>
    </xf>
    <xf numFmtId="10" fontId="9" fillId="10" borderId="4" xfId="0" applyNumberFormat="1" applyFont="1" applyFill="1" applyBorder="1" applyAlignment="1">
      <alignment horizontal="center" vertical="center"/>
    </xf>
    <xf numFmtId="0" fontId="15" fillId="10" borderId="3" xfId="0" applyFont="1" applyFill="1" applyBorder="1" applyAlignment="1">
      <alignment horizontal="right" vertical="center"/>
    </xf>
    <xf numFmtId="0" fontId="15" fillId="0" borderId="15" xfId="0" applyFont="1" applyBorder="1" applyAlignment="1">
      <alignment vertical="center"/>
    </xf>
    <xf numFmtId="0" fontId="6" fillId="0" borderId="0" xfId="0" applyFont="1"/>
    <xf numFmtId="0" fontId="8" fillId="0" borderId="6" xfId="0" applyFont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5" fillId="3" borderId="16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 wrapText="1"/>
    </xf>
    <xf numFmtId="0" fontId="6" fillId="0" borderId="15" xfId="0" applyFont="1" applyBorder="1" applyAlignment="1">
      <alignment horizontal="center"/>
    </xf>
    <xf numFmtId="0" fontId="12" fillId="9" borderId="23" xfId="0" applyFont="1" applyFill="1" applyBorder="1" applyAlignment="1">
      <alignment horizontal="center" vertical="center" wrapText="1"/>
    </xf>
    <xf numFmtId="0" fontId="12" fillId="9" borderId="50" xfId="0" applyFont="1" applyFill="1" applyBorder="1" applyAlignment="1">
      <alignment horizontal="center" vertical="center" wrapText="1"/>
    </xf>
    <xf numFmtId="0" fontId="12" fillId="9" borderId="2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vertical="center" wrapText="1"/>
    </xf>
    <xf numFmtId="0" fontId="6" fillId="2" borderId="8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vertical="center" wrapText="1"/>
    </xf>
    <xf numFmtId="0" fontId="20" fillId="0" borderId="7" xfId="0" applyFont="1" applyBorder="1" applyAlignment="1">
      <alignment vertical="center"/>
    </xf>
    <xf numFmtId="0" fontId="7" fillId="0" borderId="37" xfId="0" applyFont="1" applyFill="1" applyBorder="1" applyAlignment="1">
      <alignment horizontal="center" vertical="center" wrapText="1"/>
    </xf>
    <xf numFmtId="0" fontId="17" fillId="0" borderId="7" xfId="0" applyFont="1" applyBorder="1" applyAlignment="1">
      <alignment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horizontal="center"/>
    </xf>
    <xf numFmtId="0" fontId="6" fillId="5" borderId="5" xfId="0" applyFont="1" applyFill="1" applyBorder="1"/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42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13" xfId="0" applyFont="1" applyBorder="1"/>
    <xf numFmtId="0" fontId="6" fillId="5" borderId="13" xfId="0" applyFont="1" applyFill="1" applyBorder="1"/>
    <xf numFmtId="0" fontId="6" fillId="0" borderId="40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6" fillId="0" borderId="11" xfId="0" applyFont="1" applyBorder="1"/>
    <xf numFmtId="0" fontId="6" fillId="0" borderId="11" xfId="0" applyFont="1" applyBorder="1" applyAlignment="1">
      <alignment horizontal="center"/>
    </xf>
    <xf numFmtId="0" fontId="6" fillId="5" borderId="11" xfId="0" applyFont="1" applyFill="1" applyBorder="1"/>
    <xf numFmtId="0" fontId="6" fillId="0" borderId="44" xfId="0" applyFont="1" applyBorder="1" applyAlignment="1">
      <alignment horizontal="center"/>
    </xf>
    <xf numFmtId="0" fontId="6" fillId="0" borderId="45" xfId="0" applyFont="1" applyBorder="1" applyAlignment="1">
      <alignment horizontal="center"/>
    </xf>
    <xf numFmtId="0" fontId="6" fillId="0" borderId="46" xfId="0" applyFont="1" applyBorder="1" applyAlignment="1">
      <alignment horizontal="center"/>
    </xf>
    <xf numFmtId="0" fontId="6" fillId="0" borderId="47" xfId="0" applyFont="1" applyBorder="1" applyAlignment="1">
      <alignment horizontal="center"/>
    </xf>
    <xf numFmtId="0" fontId="27" fillId="7" borderId="18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27" fillId="7" borderId="19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0" borderId="0" xfId="0" applyFont="1" applyFill="1"/>
    <xf numFmtId="0" fontId="13" fillId="10" borderId="50" xfId="0" applyFont="1" applyFill="1" applyBorder="1" applyAlignment="1">
      <alignment horizontal="center" vertical="center" wrapText="1"/>
    </xf>
    <xf numFmtId="0" fontId="13" fillId="10" borderId="61" xfId="0" applyFont="1" applyFill="1" applyBorder="1" applyAlignment="1">
      <alignment horizontal="center" vertical="center" wrapText="1"/>
    </xf>
    <xf numFmtId="0" fontId="13" fillId="10" borderId="23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14" fontId="30" fillId="0" borderId="0" xfId="0" applyNumberFormat="1" applyFont="1" applyAlignment="1">
      <alignment horizontal="left"/>
    </xf>
    <xf numFmtId="0" fontId="32" fillId="2" borderId="38" xfId="0" applyFont="1" applyFill="1" applyBorder="1" applyAlignment="1">
      <alignment horizontal="center" vertical="center" wrapText="1"/>
    </xf>
    <xf numFmtId="0" fontId="32" fillId="2" borderId="3" xfId="0" applyFont="1" applyFill="1" applyBorder="1" applyAlignment="1">
      <alignment horizontal="center" vertical="center" wrapText="1"/>
    </xf>
    <xf numFmtId="0" fontId="32" fillId="2" borderId="4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 wrapText="1"/>
    </xf>
    <xf numFmtId="0" fontId="6" fillId="0" borderId="49" xfId="0" applyFont="1" applyBorder="1" applyAlignment="1">
      <alignment horizontal="center"/>
    </xf>
    <xf numFmtId="0" fontId="6" fillId="0" borderId="66" xfId="0" applyFont="1" applyBorder="1" applyAlignment="1">
      <alignment horizontal="center"/>
    </xf>
    <xf numFmtId="0" fontId="6" fillId="0" borderId="65" xfId="0" applyFont="1" applyBorder="1" applyAlignment="1">
      <alignment horizontal="center"/>
    </xf>
    <xf numFmtId="0" fontId="12" fillId="9" borderId="22" xfId="0" applyFont="1" applyFill="1" applyBorder="1" applyAlignment="1">
      <alignment horizontal="center" vertical="center" wrapText="1"/>
    </xf>
    <xf numFmtId="0" fontId="12" fillId="9" borderId="49" xfId="0" applyFont="1" applyFill="1" applyBorder="1" applyAlignment="1">
      <alignment horizontal="center" vertical="center" wrapText="1"/>
    </xf>
    <xf numFmtId="0" fontId="12" fillId="9" borderId="66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68" xfId="0" applyFont="1" applyFill="1" applyBorder="1" applyAlignment="1">
      <alignment horizontal="center" vertical="center" wrapText="1"/>
    </xf>
    <xf numFmtId="0" fontId="10" fillId="2" borderId="38" xfId="0" applyFont="1" applyFill="1" applyBorder="1" applyAlignment="1">
      <alignment horizontal="center" vertical="center" wrapText="1"/>
    </xf>
    <xf numFmtId="0" fontId="7" fillId="0" borderId="40" xfId="0" applyFont="1" applyFill="1" applyBorder="1" applyAlignment="1">
      <alignment horizontal="center" vertical="center" wrapText="1"/>
    </xf>
    <xf numFmtId="0" fontId="7" fillId="0" borderId="30" xfId="0" applyFont="1" applyFill="1" applyBorder="1" applyAlignment="1">
      <alignment horizontal="center" vertical="center" wrapText="1"/>
    </xf>
    <xf numFmtId="0" fontId="7" fillId="0" borderId="41" xfId="0" applyFont="1" applyFill="1" applyBorder="1" applyAlignment="1">
      <alignment horizontal="center" vertical="center" wrapText="1"/>
    </xf>
    <xf numFmtId="0" fontId="13" fillId="10" borderId="21" xfId="0" applyFont="1" applyFill="1" applyBorder="1" applyAlignment="1">
      <alignment horizontal="center" vertical="center" wrapText="1"/>
    </xf>
    <xf numFmtId="14" fontId="6" fillId="0" borderId="65" xfId="0" applyNumberFormat="1" applyFont="1" applyBorder="1"/>
    <xf numFmtId="14" fontId="6" fillId="0" borderId="72" xfId="0" applyNumberFormat="1" applyFont="1" applyBorder="1" applyAlignment="1">
      <alignment horizontal="left"/>
    </xf>
    <xf numFmtId="0" fontId="6" fillId="0" borderId="57" xfId="0" applyFont="1" applyBorder="1" applyAlignment="1">
      <alignment horizontal="center"/>
    </xf>
    <xf numFmtId="0" fontId="6" fillId="0" borderId="72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67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7" fillId="0" borderId="64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2" fontId="7" fillId="0" borderId="40" xfId="0" applyNumberFormat="1" applyFont="1" applyFill="1" applyBorder="1" applyAlignment="1">
      <alignment horizontal="center" vertical="center" wrapText="1"/>
    </xf>
    <xf numFmtId="0" fontId="29" fillId="0" borderId="0" xfId="0" applyFont="1" applyAlignment="1"/>
    <xf numFmtId="0" fontId="7" fillId="0" borderId="0" xfId="0" applyFont="1" applyAlignment="1"/>
    <xf numFmtId="0" fontId="8" fillId="0" borderId="4" xfId="0" applyFont="1" applyBorder="1" applyAlignment="1">
      <alignment vertical="center"/>
    </xf>
    <xf numFmtId="0" fontId="40" fillId="0" borderId="1" xfId="0" applyFont="1" applyBorder="1"/>
    <xf numFmtId="0" fontId="16" fillId="10" borderId="3" xfId="0" applyFont="1" applyFill="1" applyBorder="1" applyAlignment="1">
      <alignment horizontal="right" vertical="center"/>
    </xf>
    <xf numFmtId="10" fontId="30" fillId="10" borderId="4" xfId="0" applyNumberFormat="1" applyFont="1" applyFill="1" applyBorder="1" applyAlignment="1">
      <alignment horizontal="center" vertical="center"/>
    </xf>
    <xf numFmtId="0" fontId="39" fillId="0" borderId="6" xfId="0" applyFont="1" applyBorder="1" applyAlignment="1">
      <alignment horizontal="center" vertical="center"/>
    </xf>
    <xf numFmtId="0" fontId="23" fillId="6" borderId="3" xfId="0" applyFont="1" applyFill="1" applyBorder="1" applyAlignment="1">
      <alignment vertical="center"/>
    </xf>
    <xf numFmtId="0" fontId="23" fillId="6" borderId="6" xfId="0" applyFont="1" applyFill="1" applyBorder="1" applyAlignment="1">
      <alignment vertical="center"/>
    </xf>
    <xf numFmtId="0" fontId="24" fillId="2" borderId="3" xfId="0" applyFont="1" applyFill="1" applyBorder="1" applyAlignment="1">
      <alignment vertical="center"/>
    </xf>
    <xf numFmtId="0" fontId="24" fillId="2" borderId="6" xfId="0" applyFont="1" applyFill="1" applyBorder="1" applyAlignment="1">
      <alignment vertical="center"/>
    </xf>
    <xf numFmtId="0" fontId="37" fillId="0" borderId="45" xfId="0" applyFont="1" applyFill="1" applyBorder="1" applyAlignment="1">
      <alignment vertical="top" wrapText="1"/>
    </xf>
    <xf numFmtId="0" fontId="37" fillId="0" borderId="73" xfId="0" applyFont="1" applyFill="1" applyBorder="1" applyAlignment="1">
      <alignment vertical="top" wrapText="1"/>
    </xf>
    <xf numFmtId="0" fontId="6" fillId="0" borderId="22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43" fillId="12" borderId="24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4" fontId="6" fillId="0" borderId="0" xfId="0" applyNumberFormat="1" applyFont="1"/>
    <xf numFmtId="0" fontId="6" fillId="8" borderId="74" xfId="0" applyFont="1" applyFill="1" applyBorder="1" applyAlignment="1">
      <alignment horizontal="center"/>
    </xf>
    <xf numFmtId="0" fontId="6" fillId="8" borderId="24" xfId="0" applyFont="1" applyFill="1" applyBorder="1"/>
    <xf numFmtId="0" fontId="6" fillId="0" borderId="74" xfId="0" applyFont="1" applyBorder="1" applyAlignment="1">
      <alignment horizontal="center"/>
    </xf>
    <xf numFmtId="0" fontId="6" fillId="0" borderId="24" xfId="0" applyFont="1" applyBorder="1"/>
    <xf numFmtId="0" fontId="6" fillId="0" borderId="25" xfId="0" applyFont="1" applyBorder="1" applyAlignment="1">
      <alignment horizontal="center"/>
    </xf>
    <xf numFmtId="0" fontId="6" fillId="0" borderId="24" xfId="0" applyFont="1" applyFill="1" applyBorder="1"/>
    <xf numFmtId="0" fontId="6" fillId="0" borderId="26" xfId="0" applyFont="1" applyFill="1" applyBorder="1"/>
    <xf numFmtId="0" fontId="34" fillId="0" borderId="0" xfId="0" applyFont="1" applyAlignment="1">
      <alignment horizontal="center"/>
    </xf>
    <xf numFmtId="0" fontId="44" fillId="14" borderId="75" xfId="0" applyFont="1" applyFill="1" applyBorder="1" applyAlignment="1">
      <alignment horizontal="right"/>
    </xf>
    <xf numFmtId="0" fontId="45" fillId="14" borderId="75" xfId="0" applyFont="1" applyFill="1" applyBorder="1" applyAlignment="1">
      <alignment horizontal="center"/>
    </xf>
    <xf numFmtId="0" fontId="6" fillId="8" borderId="25" xfId="0" applyFont="1" applyFill="1" applyBorder="1" applyAlignment="1">
      <alignment horizontal="center"/>
    </xf>
    <xf numFmtId="10" fontId="45" fillId="14" borderId="75" xfId="0" applyNumberFormat="1" applyFont="1" applyFill="1" applyBorder="1" applyAlignment="1">
      <alignment horizontal="center"/>
    </xf>
    <xf numFmtId="10" fontId="6" fillId="0" borderId="0" xfId="0" applyNumberFormat="1" applyFont="1" applyAlignment="1">
      <alignment horizontal="center" vertical="center" wrapText="1"/>
    </xf>
    <xf numFmtId="0" fontId="6" fillId="0" borderId="76" xfId="0" applyFont="1" applyBorder="1" applyAlignment="1">
      <alignment horizontal="center"/>
    </xf>
    <xf numFmtId="0" fontId="6" fillId="0" borderId="77" xfId="0" applyFont="1" applyBorder="1" applyAlignment="1">
      <alignment horizontal="center"/>
    </xf>
    <xf numFmtId="0" fontId="6" fillId="0" borderId="78" xfId="0" applyFont="1" applyBorder="1" applyAlignment="1">
      <alignment horizontal="center"/>
    </xf>
    <xf numFmtId="0" fontId="6" fillId="15" borderId="0" xfId="0" applyFont="1" applyFill="1" applyBorder="1"/>
    <xf numFmtId="0" fontId="45" fillId="14" borderId="75" xfId="0" applyNumberFormat="1" applyFont="1" applyFill="1" applyBorder="1" applyAlignment="1">
      <alignment horizontal="center"/>
    </xf>
    <xf numFmtId="10" fontId="45" fillId="14" borderId="75" xfId="1" applyNumberFormat="1" applyFont="1" applyFill="1" applyBorder="1" applyAlignment="1">
      <alignment horizontal="center"/>
    </xf>
    <xf numFmtId="0" fontId="6" fillId="0" borderId="80" xfId="0" applyFont="1" applyBorder="1" applyAlignment="1">
      <alignment horizontal="center"/>
    </xf>
    <xf numFmtId="10" fontId="6" fillId="0" borderId="80" xfId="0" applyNumberFormat="1" applyFont="1" applyBorder="1" applyAlignment="1">
      <alignment horizontal="center" vertical="center" wrapText="1"/>
    </xf>
    <xf numFmtId="0" fontId="6" fillId="16" borderId="80" xfId="0" applyFont="1" applyFill="1" applyBorder="1" applyAlignment="1">
      <alignment horizontal="center"/>
    </xf>
    <xf numFmtId="10" fontId="6" fillId="16" borderId="80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Alignment="1">
      <alignment horizontal="left"/>
    </xf>
    <xf numFmtId="0" fontId="46" fillId="0" borderId="0" xfId="0" applyFont="1" applyFill="1" applyAlignment="1">
      <alignment horizontal="center"/>
    </xf>
    <xf numFmtId="0" fontId="7" fillId="0" borderId="37" xfId="0" applyFont="1" applyFill="1" applyBorder="1" applyAlignment="1">
      <alignment horizontal="center" vertical="center" wrapText="1"/>
    </xf>
    <xf numFmtId="0" fontId="6" fillId="0" borderId="41" xfId="0" applyFont="1" applyBorder="1" applyAlignment="1">
      <alignment horizontal="center"/>
    </xf>
    <xf numFmtId="0" fontId="5" fillId="3" borderId="38" xfId="0" applyFont="1" applyFill="1" applyBorder="1" applyAlignment="1">
      <alignment vertical="center" wrapText="1"/>
    </xf>
    <xf numFmtId="0" fontId="7" fillId="0" borderId="67" xfId="0" applyFont="1" applyFill="1" applyBorder="1" applyAlignment="1">
      <alignment horizontal="center" vertical="center" wrapText="1"/>
    </xf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37" fillId="0" borderId="47" xfId="0" applyFont="1" applyFill="1" applyBorder="1" applyAlignment="1">
      <alignment vertical="top" wrapText="1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36" xfId="0" applyFont="1" applyBorder="1" applyAlignment="1">
      <alignment horizontal="center"/>
    </xf>
    <xf numFmtId="14" fontId="38" fillId="2" borderId="10" xfId="0" applyNumberFormat="1" applyFont="1" applyFill="1" applyBorder="1" applyAlignment="1">
      <alignment horizontal="center"/>
    </xf>
    <xf numFmtId="0" fontId="38" fillId="10" borderId="16" xfId="0" applyFont="1" applyFill="1" applyBorder="1" applyAlignment="1">
      <alignment horizontal="center"/>
    </xf>
    <xf numFmtId="0" fontId="38" fillId="10" borderId="38" xfId="0" applyFont="1" applyFill="1" applyBorder="1" applyAlignment="1">
      <alignment horizontal="center"/>
    </xf>
    <xf numFmtId="0" fontId="38" fillId="10" borderId="39" xfId="0" applyFont="1" applyFill="1" applyBorder="1" applyAlignment="1">
      <alignment horizontal="center"/>
    </xf>
    <xf numFmtId="0" fontId="47" fillId="9" borderId="16" xfId="0" applyFont="1" applyFill="1" applyBorder="1" applyAlignment="1">
      <alignment horizontal="center" vertical="top" wrapText="1"/>
    </xf>
    <xf numFmtId="0" fontId="47" fillId="9" borderId="38" xfId="0" applyFont="1" applyFill="1" applyBorder="1" applyAlignment="1">
      <alignment horizontal="center" vertical="top" wrapText="1"/>
    </xf>
    <xf numFmtId="0" fontId="47" fillId="9" borderId="39" xfId="0" applyFont="1" applyFill="1" applyBorder="1" applyAlignment="1">
      <alignment horizontal="center" vertical="top" wrapText="1"/>
    </xf>
    <xf numFmtId="2" fontId="18" fillId="2" borderId="16" xfId="0" applyNumberFormat="1" applyFont="1" applyFill="1" applyBorder="1" applyAlignment="1">
      <alignment horizontal="center"/>
    </xf>
    <xf numFmtId="0" fontId="18" fillId="2" borderId="38" xfId="0" applyFont="1" applyFill="1" applyBorder="1" applyAlignment="1">
      <alignment horizontal="center"/>
    </xf>
    <xf numFmtId="0" fontId="18" fillId="2" borderId="3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3" borderId="68" xfId="0" applyFont="1" applyFill="1" applyBorder="1" applyAlignment="1">
      <alignment horizontal="center"/>
    </xf>
    <xf numFmtId="0" fontId="4" fillId="3" borderId="38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38" xfId="0" applyFont="1" applyFill="1" applyBorder="1" applyAlignment="1">
      <alignment horizontal="center"/>
    </xf>
    <xf numFmtId="0" fontId="4" fillId="2" borderId="3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68" xfId="0" applyFont="1" applyFill="1" applyBorder="1" applyAlignment="1">
      <alignment horizontal="center"/>
    </xf>
    <xf numFmtId="0" fontId="49" fillId="2" borderId="4" xfId="0" applyFont="1" applyFill="1" applyBorder="1"/>
    <xf numFmtId="0" fontId="49" fillId="5" borderId="10" xfId="0" applyFont="1" applyFill="1" applyBorder="1"/>
    <xf numFmtId="10" fontId="48" fillId="3" borderId="6" xfId="0" applyNumberFormat="1" applyFont="1" applyFill="1" applyBorder="1" applyAlignment="1">
      <alignment vertical="center" wrapText="1"/>
    </xf>
    <xf numFmtId="10" fontId="48" fillId="10" borderId="4" xfId="1" applyNumberFormat="1" applyFont="1" applyFill="1" applyBorder="1" applyAlignment="1">
      <alignment horizontal="center" vertical="center"/>
    </xf>
    <xf numFmtId="0" fontId="48" fillId="2" borderId="3" xfId="0" applyFont="1" applyFill="1" applyBorder="1" applyAlignment="1">
      <alignment vertical="center"/>
    </xf>
    <xf numFmtId="0" fontId="6" fillId="0" borderId="5" xfId="0" applyFont="1" applyBorder="1" applyProtection="1">
      <protection locked="0"/>
    </xf>
    <xf numFmtId="0" fontId="6" fillId="0" borderId="13" xfId="0" applyFont="1" applyBorder="1" applyAlignment="1" applyProtection="1">
      <alignment horizontal="left"/>
      <protection locked="0"/>
    </xf>
    <xf numFmtId="0" fontId="6" fillId="0" borderId="13" xfId="0" applyFont="1" applyBorder="1" applyProtection="1">
      <protection locked="0"/>
    </xf>
    <xf numFmtId="0" fontId="30" fillId="0" borderId="0" xfId="0" applyFont="1" applyAlignment="1" applyProtection="1">
      <alignment horizontal="left"/>
      <protection locked="0"/>
    </xf>
    <xf numFmtId="0" fontId="50" fillId="0" borderId="0" xfId="0" applyFont="1" applyAlignment="1" applyProtection="1">
      <alignment horizontal="left"/>
      <protection locked="0"/>
    </xf>
    <xf numFmtId="0" fontId="6" fillId="0" borderId="5" xfId="0" applyFont="1" applyBorder="1" applyAlignment="1" applyProtection="1">
      <alignment horizontal="center"/>
      <protection locked="0"/>
    </xf>
    <xf numFmtId="0" fontId="6" fillId="0" borderId="13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31" xfId="0" applyFont="1" applyBorder="1" applyAlignment="1" applyProtection="1">
      <alignment horizontal="center"/>
      <protection locked="0"/>
    </xf>
    <xf numFmtId="0" fontId="6" fillId="0" borderId="32" xfId="0" applyFont="1" applyBorder="1" applyAlignment="1" applyProtection="1">
      <alignment horizontal="center"/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40" xfId="0" applyFont="1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/>
      <protection locked="0"/>
    </xf>
    <xf numFmtId="0" fontId="6" fillId="0" borderId="42" xfId="0" applyFont="1" applyBorder="1" applyAlignment="1" applyProtection="1">
      <alignment horizontal="center"/>
      <protection locked="0"/>
    </xf>
    <xf numFmtId="0" fontId="6" fillId="0" borderId="43" xfId="0" applyFont="1" applyBorder="1" applyAlignment="1" applyProtection="1">
      <alignment horizontal="center"/>
      <protection locked="0"/>
    </xf>
    <xf numFmtId="0" fontId="6" fillId="0" borderId="33" xfId="0" applyFont="1" applyBorder="1" applyAlignment="1" applyProtection="1">
      <alignment horizontal="center"/>
      <protection locked="0"/>
    </xf>
    <xf numFmtId="0" fontId="6" fillId="0" borderId="41" xfId="0" applyFont="1" applyBorder="1" applyAlignment="1" applyProtection="1">
      <alignment horizontal="center"/>
      <protection locked="0"/>
    </xf>
    <xf numFmtId="0" fontId="15" fillId="0" borderId="15" xfId="0" applyFont="1" applyBorder="1" applyAlignment="1" applyProtection="1">
      <alignment vertical="center"/>
    </xf>
    <xf numFmtId="0" fontId="6" fillId="0" borderId="0" xfId="0" applyFont="1" applyBorder="1" applyProtection="1"/>
    <xf numFmtId="0" fontId="4" fillId="0" borderId="0" xfId="0" applyFont="1" applyAlignment="1">
      <alignment horizontal="center" vertical="center"/>
    </xf>
    <xf numFmtId="0" fontId="30" fillId="0" borderId="0" xfId="0" applyFont="1" applyAlignment="1" applyProtection="1">
      <alignment horizontal="left"/>
      <protection locked="0"/>
    </xf>
    <xf numFmtId="0" fontId="7" fillId="0" borderId="0" xfId="0" applyFont="1" applyAlignment="1">
      <alignment horizontal="right"/>
    </xf>
    <xf numFmtId="0" fontId="8" fillId="0" borderId="6" xfId="0" applyFont="1" applyBorder="1" applyAlignment="1">
      <alignment horizontal="left"/>
    </xf>
    <xf numFmtId="0" fontId="6" fillId="0" borderId="56" xfId="0" applyFont="1" applyBorder="1" applyAlignment="1">
      <alignment horizontal="center"/>
    </xf>
    <xf numFmtId="0" fontId="6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0" fontId="6" fillId="0" borderId="0" xfId="0" applyFont="1" applyBorder="1" applyProtection="1">
      <protection locked="0"/>
    </xf>
    <xf numFmtId="0" fontId="6" fillId="0" borderId="14" xfId="0" applyFont="1" applyBorder="1" applyProtection="1">
      <protection locked="0"/>
    </xf>
    <xf numFmtId="0" fontId="44" fillId="0" borderId="0" xfId="0" applyFont="1" applyFill="1" applyBorder="1" applyAlignment="1"/>
    <xf numFmtId="0" fontId="52" fillId="0" borderId="0" xfId="0" applyFont="1" applyAlignment="1" applyProtection="1">
      <alignment vertical="center"/>
      <protection locked="0"/>
    </xf>
    <xf numFmtId="0" fontId="0" fillId="0" borderId="0" xfId="0" applyProtection="1"/>
    <xf numFmtId="0" fontId="50" fillId="0" borderId="0" xfId="0" applyFont="1" applyAlignment="1" applyProtection="1">
      <alignment horizontal="left"/>
    </xf>
    <xf numFmtId="0" fontId="6" fillId="0" borderId="4" xfId="0" applyFont="1" applyBorder="1" applyAlignment="1"/>
    <xf numFmtId="0" fontId="6" fillId="0" borderId="51" xfId="0" applyFont="1" applyBorder="1" applyAlignment="1" applyProtection="1">
      <alignment horizontal="center"/>
      <protection locked="0"/>
    </xf>
    <xf numFmtId="0" fontId="6" fillId="0" borderId="53" xfId="0" applyFont="1" applyBorder="1" applyAlignment="1" applyProtection="1">
      <alignment horizontal="center"/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11" xfId="0" applyFont="1" applyBorder="1" applyProtection="1">
      <protection locked="0"/>
    </xf>
    <xf numFmtId="0" fontId="6" fillId="0" borderId="44" xfId="0" applyFont="1" applyBorder="1" applyAlignment="1" applyProtection="1">
      <alignment horizontal="center"/>
      <protection locked="0"/>
    </xf>
    <xf numFmtId="0" fontId="6" fillId="0" borderId="45" xfId="0" applyFont="1" applyBorder="1" applyAlignment="1" applyProtection="1">
      <alignment horizontal="center"/>
      <protection locked="0"/>
    </xf>
    <xf numFmtId="0" fontId="6" fillId="0" borderId="56" xfId="0" applyFont="1" applyBorder="1" applyAlignment="1" applyProtection="1">
      <alignment horizontal="center"/>
      <protection locked="0"/>
    </xf>
    <xf numFmtId="0" fontId="6" fillId="0" borderId="46" xfId="0" applyFont="1" applyBorder="1" applyAlignment="1" applyProtection="1">
      <alignment horizontal="center"/>
      <protection locked="0"/>
    </xf>
    <xf numFmtId="0" fontId="6" fillId="0" borderId="11" xfId="0" applyFont="1" applyBorder="1" applyAlignment="1" applyProtection="1">
      <alignment horizontal="center"/>
      <protection locked="0"/>
    </xf>
    <xf numFmtId="0" fontId="6" fillId="0" borderId="5" xfId="0" applyFont="1" applyBorder="1" applyAlignment="1" applyProtection="1">
      <alignment horizontal="left"/>
      <protection locked="0"/>
    </xf>
    <xf numFmtId="0" fontId="6" fillId="0" borderId="15" xfId="0" applyFont="1" applyBorder="1" applyProtection="1">
      <protection locked="0"/>
    </xf>
    <xf numFmtId="0" fontId="5" fillId="3" borderId="19" xfId="0" applyFont="1" applyFill="1" applyBorder="1" applyAlignment="1">
      <alignment horizontal="center" vertical="center"/>
    </xf>
    <xf numFmtId="0" fontId="5" fillId="3" borderId="50" xfId="0" applyFont="1" applyFill="1" applyBorder="1" applyAlignment="1">
      <alignment horizontal="center" vertical="center"/>
    </xf>
    <xf numFmtId="0" fontId="5" fillId="3" borderId="5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vertical="center" wrapText="1"/>
    </xf>
    <xf numFmtId="0" fontId="0" fillId="16" borderId="80" xfId="0" applyFill="1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80" xfId="0" applyFill="1" applyBorder="1" applyAlignment="1">
      <alignment horizontal="center"/>
    </xf>
    <xf numFmtId="0" fontId="54" fillId="17" borderId="80" xfId="0" applyFont="1" applyFill="1" applyBorder="1" applyAlignment="1">
      <alignment horizontal="center"/>
    </xf>
    <xf numFmtId="0" fontId="54" fillId="17" borderId="80" xfId="0" applyFont="1" applyFill="1" applyBorder="1" applyAlignment="1"/>
    <xf numFmtId="0" fontId="0" fillId="16" borderId="80" xfId="0" applyFill="1" applyBorder="1" applyAlignment="1"/>
    <xf numFmtId="0" fontId="0" fillId="0" borderId="80" xfId="0" applyBorder="1" applyAlignment="1"/>
    <xf numFmtId="0" fontId="0" fillId="0" borderId="80" xfId="0" applyFill="1" applyBorder="1" applyAlignment="1"/>
    <xf numFmtId="0" fontId="6" fillId="0" borderId="5" xfId="0" applyFont="1" applyBorder="1"/>
    <xf numFmtId="14" fontId="0" fillId="0" borderId="0" xfId="0" applyNumberFormat="1" applyAlignment="1">
      <alignment horizontal="center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12" xfId="0" applyFont="1" applyBorder="1" applyAlignment="1">
      <alignment horizontal="center"/>
    </xf>
    <xf numFmtId="0" fontId="6" fillId="0" borderId="12" xfId="0" applyFont="1" applyBorder="1" applyAlignment="1" applyProtection="1">
      <alignment horizontal="center"/>
      <protection locked="0"/>
    </xf>
    <xf numFmtId="1" fontId="6" fillId="0" borderId="58" xfId="0" applyNumberFormat="1" applyFont="1" applyBorder="1" applyAlignment="1">
      <alignment horizontal="center"/>
    </xf>
    <xf numFmtId="1" fontId="4" fillId="2" borderId="10" xfId="0" applyNumberFormat="1" applyFont="1" applyFill="1" applyBorder="1" applyAlignment="1">
      <alignment horizontal="center"/>
    </xf>
    <xf numFmtId="0" fontId="29" fillId="0" borderId="0" xfId="0" applyFont="1" applyAlignment="1" applyProtection="1"/>
    <xf numFmtId="0" fontId="30" fillId="0" borderId="0" xfId="0" applyFont="1" applyAlignment="1" applyProtection="1"/>
    <xf numFmtId="0" fontId="6" fillId="0" borderId="12" xfId="0" applyFont="1" applyBorder="1" applyProtection="1">
      <protection locked="0"/>
    </xf>
    <xf numFmtId="0" fontId="6" fillId="0" borderId="86" xfId="0" applyFont="1" applyBorder="1" applyAlignment="1" applyProtection="1">
      <alignment horizontal="center"/>
      <protection locked="0"/>
    </xf>
    <xf numFmtId="0" fontId="6" fillId="0" borderId="87" xfId="0" applyFont="1" applyBorder="1" applyAlignment="1" applyProtection="1">
      <alignment horizontal="center"/>
      <protection locked="0"/>
    </xf>
    <xf numFmtId="0" fontId="6" fillId="0" borderId="88" xfId="0" applyFont="1" applyBorder="1" applyAlignment="1" applyProtection="1">
      <alignment horizontal="center"/>
      <protection locked="0"/>
    </xf>
    <xf numFmtId="0" fontId="6" fillId="0" borderId="65" xfId="0" applyFont="1" applyBorder="1" applyAlignment="1" applyProtection="1">
      <alignment horizontal="center"/>
      <protection locked="0"/>
    </xf>
    <xf numFmtId="0" fontId="6" fillId="0" borderId="89" xfId="0" applyFont="1" applyBorder="1" applyAlignment="1" applyProtection="1">
      <alignment horizontal="center"/>
      <protection locked="0"/>
    </xf>
    <xf numFmtId="10" fontId="48" fillId="16" borderId="4" xfId="0" applyNumberFormat="1" applyFont="1" applyFill="1" applyBorder="1" applyAlignment="1">
      <alignment vertical="center" wrapText="1"/>
    </xf>
    <xf numFmtId="0" fontId="55" fillId="10" borderId="0" xfId="0" applyFont="1" applyFill="1" applyAlignment="1">
      <alignment horizontal="right"/>
    </xf>
    <xf numFmtId="10" fontId="55" fillId="10" borderId="0" xfId="0" applyNumberFormat="1" applyFont="1" applyFill="1"/>
    <xf numFmtId="0" fontId="6" fillId="0" borderId="15" xfId="0" applyFont="1" applyBorder="1" applyAlignment="1" applyProtection="1">
      <alignment horizontal="center"/>
      <protection locked="0"/>
    </xf>
    <xf numFmtId="10" fontId="0" fillId="0" borderId="0" xfId="0" applyNumberFormat="1"/>
    <xf numFmtId="0" fontId="6" fillId="0" borderId="72" xfId="0" applyFont="1" applyBorder="1" applyAlignment="1" applyProtection="1">
      <alignment horizontal="center"/>
      <protection locked="0"/>
    </xf>
    <xf numFmtId="0" fontId="6" fillId="0" borderId="90" xfId="0" applyFont="1" applyBorder="1" applyAlignment="1" applyProtection="1">
      <alignment horizontal="center"/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14" xfId="0" applyFon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15" xfId="0" applyFont="1" applyBorder="1" applyAlignment="1" applyProtection="1">
      <alignment horizontal="center"/>
      <protection locked="0"/>
    </xf>
    <xf numFmtId="0" fontId="2" fillId="0" borderId="30" xfId="0" applyFont="1" applyBorder="1" applyAlignment="1" applyProtection="1">
      <alignment horizontal="center"/>
      <protection locked="0"/>
    </xf>
    <xf numFmtId="0" fontId="1" fillId="0" borderId="15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0" fontId="48" fillId="18" borderId="4" xfId="0" applyNumberFormat="1" applyFont="1" applyFill="1" applyBorder="1" applyAlignment="1">
      <alignment vertical="center" wrapText="1"/>
    </xf>
    <xf numFmtId="10" fontId="0" fillId="0" borderId="0" xfId="1" applyNumberFormat="1" applyFont="1" applyAlignment="1">
      <alignment horizontal="center"/>
    </xf>
    <xf numFmtId="0" fontId="30" fillId="0" borderId="0" xfId="0" applyFont="1" applyAlignment="1" applyProtection="1">
      <alignment horizontal="left"/>
      <protection locked="0"/>
    </xf>
    <xf numFmtId="0" fontId="7" fillId="0" borderId="0" xfId="0" applyFont="1" applyAlignment="1">
      <alignment horizontal="left"/>
    </xf>
    <xf numFmtId="0" fontId="6" fillId="0" borderId="15" xfId="0" applyFon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9" fillId="0" borderId="0" xfId="0" applyNumberFormat="1" applyFont="1" applyAlignment="1">
      <alignment horizontal="left"/>
    </xf>
    <xf numFmtId="10" fontId="0" fillId="0" borderId="0" xfId="1" applyNumberFormat="1" applyFont="1"/>
    <xf numFmtId="0" fontId="6" fillId="0" borderId="15" xfId="0" applyFont="1" applyBorder="1" applyAlignment="1" applyProtection="1">
      <alignment horizontal="center"/>
      <protection locked="0"/>
    </xf>
    <xf numFmtId="1" fontId="0" fillId="0" borderId="0" xfId="0" applyNumberFormat="1" applyAlignment="1">
      <alignment horizontal="center"/>
    </xf>
    <xf numFmtId="0" fontId="0" fillId="0" borderId="0" xfId="0" applyAlignment="1"/>
    <xf numFmtId="0" fontId="30" fillId="0" borderId="0" xfId="0" applyFont="1" applyAlignment="1"/>
    <xf numFmtId="14" fontId="9" fillId="0" borderId="0" xfId="0" applyNumberFormat="1" applyFont="1" applyAlignment="1"/>
    <xf numFmtId="1" fontId="9" fillId="0" borderId="0" xfId="0" applyNumberFormat="1" applyFont="1" applyAlignment="1">
      <alignment horizontal="center"/>
    </xf>
    <xf numFmtId="0" fontId="53" fillId="0" borderId="0" xfId="0" applyFont="1" applyAlignment="1">
      <alignment vertical="center"/>
    </xf>
    <xf numFmtId="0" fontId="0" fillId="0" borderId="91" xfId="0" applyBorder="1"/>
    <xf numFmtId="0" fontId="1" fillId="0" borderId="0" xfId="0" applyFont="1"/>
    <xf numFmtId="0" fontId="8" fillId="0" borderId="0" xfId="0" applyFont="1"/>
    <xf numFmtId="0" fontId="56" fillId="11" borderId="0" xfId="0" applyFont="1" applyFill="1"/>
    <xf numFmtId="0" fontId="0" fillId="11" borderId="0" xfId="0" applyFill="1"/>
    <xf numFmtId="0" fontId="8" fillId="11" borderId="0" xfId="0" applyFont="1" applyFill="1"/>
    <xf numFmtId="1" fontId="30" fillId="11" borderId="0" xfId="0" applyNumberFormat="1" applyFont="1" applyFill="1" applyAlignment="1">
      <alignment horizontal="center"/>
    </xf>
    <xf numFmtId="0" fontId="8" fillId="11" borderId="0" xfId="0" applyFont="1" applyFill="1" applyAlignment="1">
      <alignment horizontal="left"/>
    </xf>
    <xf numFmtId="0" fontId="1" fillId="11" borderId="0" xfId="0" applyFont="1" applyFill="1"/>
    <xf numFmtId="10" fontId="30" fillId="11" borderId="0" xfId="0" applyNumberFormat="1" applyFont="1" applyFill="1" applyAlignment="1">
      <alignment horizontal="center"/>
    </xf>
    <xf numFmtId="0" fontId="56" fillId="16" borderId="0" xfId="0" applyFont="1" applyFill="1"/>
    <xf numFmtId="0" fontId="0" fillId="16" borderId="0" xfId="0" applyFill="1"/>
    <xf numFmtId="0" fontId="8" fillId="16" borderId="0" xfId="0" applyFont="1" applyFill="1"/>
    <xf numFmtId="0" fontId="1" fillId="16" borderId="0" xfId="0" applyFont="1" applyFill="1"/>
    <xf numFmtId="0" fontId="30" fillId="16" borderId="0" xfId="0" applyFont="1" applyFill="1" applyAlignment="1">
      <alignment horizontal="center"/>
    </xf>
    <xf numFmtId="0" fontId="56" fillId="18" borderId="0" xfId="0" applyFont="1" applyFill="1"/>
    <xf numFmtId="0" fontId="8" fillId="18" borderId="0" xfId="0" applyFont="1" applyFill="1"/>
    <xf numFmtId="0" fontId="1" fillId="18" borderId="0" xfId="0" applyFont="1" applyFill="1"/>
    <xf numFmtId="0" fontId="0" fillId="18" borderId="0" xfId="0" applyFill="1"/>
    <xf numFmtId="0" fontId="30" fillId="18" borderId="0" xfId="0" applyFont="1" applyFill="1" applyAlignment="1">
      <alignment horizontal="center"/>
    </xf>
    <xf numFmtId="0" fontId="8" fillId="2" borderId="0" xfId="0" applyFont="1" applyFill="1"/>
    <xf numFmtId="0" fontId="0" fillId="2" borderId="0" xfId="0" applyFill="1"/>
    <xf numFmtId="10" fontId="30" fillId="16" borderId="0" xfId="0" applyNumberFormat="1" applyFont="1" applyFill="1" applyAlignment="1">
      <alignment horizontal="center"/>
    </xf>
    <xf numFmtId="10" fontId="30" fillId="16" borderId="0" xfId="0" applyNumberFormat="1" applyFont="1" applyFill="1"/>
    <xf numFmtId="10" fontId="30" fillId="2" borderId="0" xfId="0" applyNumberFormat="1" applyFont="1" applyFill="1" applyAlignment="1"/>
    <xf numFmtId="0" fontId="0" fillId="2" borderId="0" xfId="0" applyFill="1" applyAlignment="1">
      <alignment wrapText="1"/>
    </xf>
    <xf numFmtId="0" fontId="8" fillId="0" borderId="0" xfId="0" applyFont="1" applyFill="1"/>
    <xf numFmtId="0" fontId="55" fillId="0" borderId="0" xfId="0" applyFont="1" applyFill="1" applyAlignment="1"/>
    <xf numFmtId="0" fontId="55" fillId="0" borderId="0" xfId="0" applyFont="1" applyFill="1" applyAlignment="1">
      <alignment horizontal="center"/>
    </xf>
    <xf numFmtId="0" fontId="56" fillId="20" borderId="0" xfId="0" applyFont="1" applyFill="1"/>
    <xf numFmtId="0" fontId="0" fillId="20" borderId="0" xfId="0" applyFill="1"/>
    <xf numFmtId="0" fontId="8" fillId="20" borderId="0" xfId="0" applyFont="1" applyFill="1"/>
    <xf numFmtId="0" fontId="30" fillId="20" borderId="0" xfId="0" applyFont="1" applyFill="1" applyAlignment="1">
      <alignment horizontal="center"/>
    </xf>
    <xf numFmtId="0" fontId="8" fillId="20" borderId="0" xfId="0" applyFont="1" applyFill="1" applyAlignment="1">
      <alignment horizontal="left"/>
    </xf>
    <xf numFmtId="0" fontId="8" fillId="20" borderId="0" xfId="0" applyFont="1" applyFill="1" applyAlignment="1">
      <alignment horizontal="center"/>
    </xf>
    <xf numFmtId="10" fontId="30" fillId="20" borderId="0" xfId="0" applyNumberFormat="1" applyFont="1" applyFill="1" applyAlignment="1"/>
    <xf numFmtId="0" fontId="0" fillId="20" borderId="0" xfId="0" applyFill="1" applyAlignment="1">
      <alignment wrapText="1"/>
    </xf>
    <xf numFmtId="0" fontId="58" fillId="20" borderId="0" xfId="0" applyFont="1" applyFill="1" applyAlignment="1">
      <alignment horizontal="center"/>
    </xf>
    <xf numFmtId="2" fontId="58" fillId="20" borderId="0" xfId="0" applyNumberFormat="1" applyFont="1" applyFill="1"/>
    <xf numFmtId="0" fontId="58" fillId="20" borderId="0" xfId="0" applyFont="1" applyFill="1"/>
    <xf numFmtId="0" fontId="1" fillId="18" borderId="0" xfId="0" applyFont="1" applyFill="1" applyAlignment="1">
      <alignment horizontal="center"/>
    </xf>
    <xf numFmtId="0" fontId="1" fillId="0" borderId="15" xfId="0" applyFont="1" applyBorder="1" applyAlignment="1" applyProtection="1">
      <alignment horizont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5" xfId="0" applyFont="1" applyBorder="1" applyProtection="1">
      <protection locked="0"/>
    </xf>
    <xf numFmtId="0" fontId="1" fillId="0" borderId="13" xfId="0" applyFont="1" applyBorder="1" applyAlignment="1" applyProtection="1">
      <alignment horizontal="left"/>
      <protection locked="0"/>
    </xf>
    <xf numFmtId="0" fontId="1" fillId="0" borderId="13" xfId="0" applyFont="1" applyBorder="1" applyProtection="1">
      <protection locked="0"/>
    </xf>
    <xf numFmtId="0" fontId="0" fillId="21" borderId="0" xfId="0" applyFill="1"/>
    <xf numFmtId="14" fontId="0" fillId="21" borderId="0" xfId="0" applyNumberFormat="1" applyFill="1" applyAlignment="1">
      <alignment horizontal="center"/>
    </xf>
    <xf numFmtId="0" fontId="0" fillId="21" borderId="0" xfId="0" applyFill="1" applyAlignment="1">
      <alignment horizontal="left"/>
    </xf>
    <xf numFmtId="0" fontId="1" fillId="0" borderId="0" xfId="0" applyFont="1" applyAlignment="1">
      <alignment horizontal="left"/>
    </xf>
    <xf numFmtId="0" fontId="59" fillId="0" borderId="0" xfId="0" applyFont="1"/>
    <xf numFmtId="0" fontId="0" fillId="0" borderId="0" xfId="0" applyNumberFormat="1" applyAlignment="1"/>
    <xf numFmtId="0" fontId="61" fillId="0" borderId="93" xfId="0" applyFont="1" applyBorder="1" applyAlignment="1">
      <alignment horizontal="right" vertical="center"/>
    </xf>
    <xf numFmtId="0" fontId="61" fillId="0" borderId="93" xfId="0" applyFont="1" applyBorder="1" applyAlignment="1">
      <alignment vertical="center"/>
    </xf>
    <xf numFmtId="0" fontId="62" fillId="0" borderId="0" xfId="0" applyFont="1" applyAlignment="1">
      <alignment horizontal="left" vertical="center"/>
    </xf>
    <xf numFmtId="0" fontId="62" fillId="0" borderId="0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62" fillId="0" borderId="0" xfId="0" applyFont="1" applyBorder="1" applyAlignment="1">
      <alignment vertical="center"/>
    </xf>
    <xf numFmtId="0" fontId="64" fillId="23" borderId="95" xfId="0" applyFont="1" applyFill="1" applyBorder="1" applyAlignment="1">
      <alignment horizontal="left" vertical="center"/>
    </xf>
    <xf numFmtId="0" fontId="0" fillId="23" borderId="0" xfId="0" applyFont="1" applyFill="1" applyBorder="1" applyAlignment="1">
      <alignment vertical="center"/>
    </xf>
    <xf numFmtId="164" fontId="0" fillId="23" borderId="96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60" fillId="23" borderId="97" xfId="0" applyFont="1" applyFill="1" applyBorder="1" applyAlignment="1">
      <alignment horizontal="left" vertical="center"/>
    </xf>
    <xf numFmtId="0" fontId="60" fillId="23" borderId="98" xfId="0" applyFont="1" applyFill="1" applyBorder="1" applyAlignment="1">
      <alignment vertical="center"/>
    </xf>
    <xf numFmtId="164" fontId="60" fillId="23" borderId="99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65" fillId="24" borderId="94" xfId="0" applyFont="1" applyFill="1" applyBorder="1" applyAlignment="1">
      <alignment horizontal="center" vertical="center" wrapText="1"/>
    </xf>
    <xf numFmtId="164" fontId="65" fillId="23" borderId="106" xfId="0" applyNumberFormat="1" applyFont="1" applyFill="1" applyBorder="1" applyAlignment="1">
      <alignment horizontal="center" vertical="center" wrapText="1"/>
    </xf>
    <xf numFmtId="0" fontId="66" fillId="0" borderId="107" xfId="0" applyFont="1" applyBorder="1" applyAlignment="1">
      <alignment horizontal="left" vertical="center" wrapText="1"/>
    </xf>
    <xf numFmtId="0" fontId="67" fillId="0" borderId="108" xfId="0" applyFont="1" applyBorder="1" applyAlignment="1">
      <alignment horizontal="center" vertical="center"/>
    </xf>
    <xf numFmtId="0" fontId="65" fillId="23" borderId="108" xfId="0" applyFont="1" applyFill="1" applyBorder="1" applyAlignment="1">
      <alignment horizontal="center" vertical="center"/>
    </xf>
    <xf numFmtId="0" fontId="67" fillId="0" borderId="109" xfId="0" applyFont="1" applyBorder="1" applyAlignment="1">
      <alignment vertical="center"/>
    </xf>
    <xf numFmtId="0" fontId="67" fillId="0" borderId="109" xfId="0" applyFont="1" applyBorder="1" applyAlignment="1">
      <alignment horizontal="left" vertical="center"/>
    </xf>
    <xf numFmtId="0" fontId="66" fillId="0" borderId="110" xfId="0" applyFont="1" applyBorder="1" applyAlignment="1">
      <alignment horizontal="left" vertical="center" wrapText="1"/>
    </xf>
    <xf numFmtId="0" fontId="67" fillId="0" borderId="94" xfId="0" applyFont="1" applyBorder="1" applyAlignment="1">
      <alignment horizontal="center" vertical="center"/>
    </xf>
    <xf numFmtId="0" fontId="65" fillId="23" borderId="94" xfId="0" applyFont="1" applyFill="1" applyBorder="1" applyAlignment="1">
      <alignment horizontal="center" vertical="center"/>
    </xf>
    <xf numFmtId="0" fontId="67" fillId="0" borderId="111" xfId="0" applyFont="1" applyBorder="1" applyAlignment="1">
      <alignment vertical="center"/>
    </xf>
    <xf numFmtId="0" fontId="67" fillId="0" borderId="109" xfId="0" applyFont="1" applyBorder="1" applyAlignment="1">
      <alignment horizontal="center" vertical="center"/>
    </xf>
    <xf numFmtId="0" fontId="67" fillId="0" borderId="111" xfId="0" applyFont="1" applyBorder="1" applyAlignment="1">
      <alignment horizontal="center" vertical="center"/>
    </xf>
    <xf numFmtId="0" fontId="67" fillId="25" borderId="109" xfId="0" applyFont="1" applyFill="1" applyBorder="1" applyAlignment="1">
      <alignment horizontal="center" vertical="center"/>
    </xf>
    <xf numFmtId="0" fontId="67" fillId="25" borderId="111" xfId="0" applyFont="1" applyFill="1" applyBorder="1" applyAlignment="1">
      <alignment horizontal="center" vertical="center"/>
    </xf>
    <xf numFmtId="0" fontId="65" fillId="23" borderId="105" xfId="0" applyFont="1" applyFill="1" applyBorder="1" applyAlignment="1">
      <alignment horizontal="left" vertical="center" wrapText="1"/>
    </xf>
    <xf numFmtId="0" fontId="68" fillId="23" borderId="102" xfId="0" applyFont="1" applyFill="1" applyBorder="1" applyAlignment="1">
      <alignment horizontal="center" vertical="center" wrapText="1"/>
    </xf>
    <xf numFmtId="0" fontId="65" fillId="23" borderId="102" xfId="0" applyFont="1" applyFill="1" applyBorder="1" applyAlignment="1">
      <alignment horizontal="center" vertical="center" wrapText="1"/>
    </xf>
    <xf numFmtId="0" fontId="67" fillId="23" borderId="106" xfId="0" applyFont="1" applyFill="1" applyBorder="1" applyAlignment="1">
      <alignment horizontal="center" vertical="center" wrapText="1"/>
    </xf>
    <xf numFmtId="0" fontId="67" fillId="0" borderId="94" xfId="0" applyFont="1" applyBorder="1" applyAlignment="1">
      <alignment horizontal="center" vertical="center" wrapText="1"/>
    </xf>
    <xf numFmtId="0" fontId="65" fillId="23" borderId="94" xfId="0" applyFont="1" applyFill="1" applyBorder="1" applyAlignment="1">
      <alignment horizontal="center" vertical="center" wrapText="1"/>
    </xf>
    <xf numFmtId="0" fontId="67" fillId="0" borderId="111" xfId="0" applyFont="1" applyBorder="1" applyAlignment="1">
      <alignment horizontal="center" vertical="center" wrapText="1"/>
    </xf>
    <xf numFmtId="49" fontId="68" fillId="23" borderId="102" xfId="0" applyNumberFormat="1" applyFont="1" applyFill="1" applyBorder="1" applyAlignment="1">
      <alignment horizontal="center" vertical="center" wrapText="1"/>
    </xf>
    <xf numFmtId="0" fontId="65" fillId="23" borderId="102" xfId="0" applyFont="1" applyFill="1" applyBorder="1" applyAlignment="1">
      <alignment vertical="center" wrapText="1"/>
    </xf>
    <xf numFmtId="0" fontId="66" fillId="0" borderId="112" xfId="0" applyFont="1" applyBorder="1" applyAlignment="1">
      <alignment horizontal="left" vertical="center" wrapText="1"/>
    </xf>
    <xf numFmtId="0" fontId="67" fillId="0" borderId="113" xfId="0" applyFont="1" applyFill="1" applyBorder="1" applyAlignment="1">
      <alignment horizontal="center" vertical="center" wrapText="1"/>
    </xf>
    <xf numFmtId="0" fontId="65" fillId="23" borderId="113" xfId="0" applyFont="1" applyFill="1" applyBorder="1" applyAlignment="1">
      <alignment horizontal="center" vertical="center" wrapText="1"/>
    </xf>
    <xf numFmtId="0" fontId="67" fillId="0" borderId="114" xfId="0" applyFont="1" applyBorder="1" applyAlignment="1">
      <alignment vertical="center" wrapText="1"/>
    </xf>
    <xf numFmtId="0" fontId="65" fillId="23" borderId="116" xfId="0" applyFont="1" applyFill="1" applyBorder="1" applyAlignment="1">
      <alignment horizontal="center" vertical="center" wrapText="1"/>
    </xf>
    <xf numFmtId="164" fontId="65" fillId="23" borderId="118" xfId="0" applyNumberFormat="1" applyFont="1" applyFill="1" applyBorder="1" applyAlignment="1">
      <alignment horizontal="center" vertical="center"/>
    </xf>
    <xf numFmtId="164" fontId="65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4" fontId="65" fillId="0" borderId="0" xfId="0" applyNumberFormat="1" applyFont="1" applyFill="1" applyBorder="1" applyAlignment="1">
      <alignment horizontal="center" vertical="center"/>
    </xf>
    <xf numFmtId="0" fontId="65" fillId="24" borderId="113" xfId="0" applyFont="1" applyFill="1" applyBorder="1" applyAlignment="1">
      <alignment horizontal="center" vertical="center" wrapText="1"/>
    </xf>
    <xf numFmtId="0" fontId="67" fillId="0" borderId="107" xfId="0" applyFont="1" applyBorder="1" applyAlignment="1">
      <alignment horizontal="left" vertical="center" wrapText="1"/>
    </xf>
    <xf numFmtId="0" fontId="67" fillId="0" borderId="110" xfId="0" applyFont="1" applyBorder="1" applyAlignment="1">
      <alignment horizontal="left" vertical="center" wrapText="1"/>
    </xf>
    <xf numFmtId="0" fontId="65" fillId="23" borderId="121" xfId="0" applyFont="1" applyFill="1" applyBorder="1" applyAlignment="1">
      <alignment horizontal="center" vertical="center"/>
    </xf>
    <xf numFmtId="164" fontId="65" fillId="23" borderId="122" xfId="0" applyNumberFormat="1" applyFont="1" applyFill="1" applyBorder="1" applyAlignment="1">
      <alignment horizontal="center" vertical="center"/>
    </xf>
    <xf numFmtId="0" fontId="67" fillId="0" borderId="0" xfId="0" applyFont="1" applyAlignment="1">
      <alignment horizontal="left" vertical="center"/>
    </xf>
    <xf numFmtId="0" fontId="67" fillId="0" borderId="0" xfId="0" applyFont="1" applyAlignment="1">
      <alignment vertical="center"/>
    </xf>
    <xf numFmtId="0" fontId="65" fillId="0" borderId="0" xfId="0" applyFont="1" applyAlignment="1">
      <alignment horizontal="center" vertical="center"/>
    </xf>
    <xf numFmtId="0" fontId="65" fillId="23" borderId="106" xfId="0" applyFont="1" applyFill="1" applyBorder="1" applyAlignment="1">
      <alignment horizontal="center" vertical="center" wrapText="1"/>
    </xf>
    <xf numFmtId="0" fontId="67" fillId="0" borderId="113" xfId="0" applyFont="1" applyBorder="1" applyAlignment="1">
      <alignment horizontal="center" vertical="center"/>
    </xf>
    <xf numFmtId="0" fontId="65" fillId="23" borderId="113" xfId="0" applyFont="1" applyFill="1" applyBorder="1" applyAlignment="1">
      <alignment horizontal="center" vertical="center"/>
    </xf>
    <xf numFmtId="0" fontId="67" fillId="0" borderId="114" xfId="0" applyFont="1" applyBorder="1" applyAlignment="1">
      <alignment horizontal="center" vertical="center"/>
    </xf>
    <xf numFmtId="0" fontId="65" fillId="23" borderId="125" xfId="0" applyFont="1" applyFill="1" applyBorder="1" applyAlignment="1">
      <alignment horizontal="center" vertical="center"/>
    </xf>
    <xf numFmtId="0" fontId="65" fillId="24" borderId="106" xfId="0" applyFont="1" applyFill="1" applyBorder="1" applyAlignment="1">
      <alignment horizontal="center" vertical="center"/>
    </xf>
    <xf numFmtId="0" fontId="65" fillId="23" borderId="116" xfId="0" applyFont="1" applyFill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62" fillId="0" borderId="0" xfId="0" applyFont="1" applyAlignment="1">
      <alignment horizontal="center" vertical="center"/>
    </xf>
    <xf numFmtId="10" fontId="62" fillId="0" borderId="0" xfId="0" applyNumberFormat="1" applyFont="1" applyBorder="1" applyAlignment="1">
      <alignment horizontal="center" vertical="center"/>
    </xf>
    <xf numFmtId="1" fontId="9" fillId="11" borderId="0" xfId="0" applyNumberFormat="1" applyFont="1" applyFill="1" applyAlignment="1">
      <alignment horizontal="center" vertical="center"/>
    </xf>
    <xf numFmtId="1" fontId="71" fillId="11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3" borderId="20" xfId="0" applyFont="1" applyFill="1" applyBorder="1" applyAlignment="1">
      <alignment horizontal="center" vertical="center"/>
    </xf>
    <xf numFmtId="0" fontId="6" fillId="3" borderId="66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59" fillId="0" borderId="30" xfId="0" applyFont="1" applyBorder="1"/>
    <xf numFmtId="0" fontId="59" fillId="0" borderId="30" xfId="0" applyFont="1" applyBorder="1" applyAlignment="1">
      <alignment horizontal="center" vertical="center"/>
    </xf>
    <xf numFmtId="0" fontId="72" fillId="0" borderId="30" xfId="0" applyFont="1" applyBorder="1" applyAlignment="1">
      <alignment horizontal="center"/>
    </xf>
    <xf numFmtId="0" fontId="72" fillId="0" borderId="0" xfId="0" applyFont="1"/>
    <xf numFmtId="0" fontId="0" fillId="26" borderId="30" xfId="0" applyFill="1" applyBorder="1" applyAlignment="1">
      <alignment horizontal="center" vertical="center"/>
    </xf>
    <xf numFmtId="0" fontId="0" fillId="27" borderId="30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9" fontId="0" fillId="0" borderId="30" xfId="0" applyNumberFormat="1" applyBorder="1" applyAlignment="1">
      <alignment horizontal="center" vertical="center"/>
    </xf>
    <xf numFmtId="165" fontId="0" fillId="0" borderId="30" xfId="1" applyNumberFormat="1" applyFont="1" applyBorder="1" applyAlignment="1">
      <alignment horizontal="center"/>
    </xf>
    <xf numFmtId="165" fontId="0" fillId="0" borderId="30" xfId="1" applyNumberFormat="1" applyFont="1" applyBorder="1" applyAlignment="1">
      <alignment horizontal="center" vertical="center"/>
    </xf>
    <xf numFmtId="9" fontId="0" fillId="0" borderId="30" xfId="1" applyNumberFormat="1" applyFont="1" applyBorder="1" applyAlignment="1">
      <alignment horizontal="center"/>
    </xf>
    <xf numFmtId="0" fontId="6" fillId="0" borderId="66" xfId="0" applyFont="1" applyBorder="1" applyAlignment="1" applyProtection="1">
      <alignment horizontal="center"/>
      <protection locked="0"/>
    </xf>
    <xf numFmtId="0" fontId="6" fillId="0" borderId="128" xfId="0" applyFont="1" applyBorder="1" applyAlignment="1" applyProtection="1">
      <alignment horizontal="center"/>
      <protection locked="0"/>
    </xf>
    <xf numFmtId="0" fontId="73" fillId="3" borderId="8" xfId="0" applyFont="1" applyFill="1" applyBorder="1" applyAlignment="1">
      <alignment horizontal="center" vertical="center" wrapText="1"/>
    </xf>
    <xf numFmtId="0" fontId="6" fillId="0" borderId="15" xfId="0" applyFont="1" applyBorder="1" applyAlignment="1" applyProtection="1">
      <alignment horizontal="center"/>
      <protection locked="0"/>
    </xf>
    <xf numFmtId="0" fontId="2" fillId="0" borderId="15" xfId="0" applyFont="1" applyBorder="1" applyAlignment="1" applyProtection="1">
      <alignment horizontal="center"/>
      <protection locked="0"/>
    </xf>
    <xf numFmtId="0" fontId="0" fillId="4" borderId="129" xfId="0" applyFill="1" applyBorder="1" applyAlignment="1">
      <alignment horizontal="center" vertical="center"/>
    </xf>
    <xf numFmtId="0" fontId="0" fillId="30" borderId="130" xfId="0" applyFill="1" applyBorder="1" applyAlignment="1">
      <alignment horizontal="center" vertical="center"/>
    </xf>
    <xf numFmtId="0" fontId="0" fillId="4" borderId="131" xfId="0" applyFill="1" applyBorder="1" applyAlignment="1">
      <alignment horizontal="center" vertical="center"/>
    </xf>
    <xf numFmtId="0" fontId="0" fillId="30" borderId="132" xfId="0" applyFill="1" applyBorder="1" applyAlignment="1">
      <alignment horizontal="center" vertical="center"/>
    </xf>
    <xf numFmtId="0" fontId="0" fillId="4" borderId="133" xfId="0" applyFill="1" applyBorder="1" applyAlignment="1">
      <alignment horizontal="center" vertical="center"/>
    </xf>
    <xf numFmtId="0" fontId="0" fillId="30" borderId="134" xfId="0" applyFill="1" applyBorder="1" applyAlignment="1">
      <alignment horizontal="center" vertical="center"/>
    </xf>
    <xf numFmtId="0" fontId="74" fillId="28" borderId="135" xfId="0" applyFont="1" applyFill="1" applyBorder="1" applyAlignment="1">
      <alignment horizontal="center" vertical="center" wrapText="1"/>
    </xf>
    <xf numFmtId="0" fontId="74" fillId="29" borderId="135" xfId="0" applyFont="1" applyFill="1" applyBorder="1" applyAlignment="1">
      <alignment horizontal="center" vertical="center" wrapText="1"/>
    </xf>
    <xf numFmtId="0" fontId="0" fillId="33" borderId="129" xfId="0" applyFill="1" applyBorder="1" applyAlignment="1">
      <alignment horizontal="center" vertical="center"/>
    </xf>
    <xf numFmtId="0" fontId="0" fillId="34" borderId="130" xfId="0" applyFill="1" applyBorder="1" applyAlignment="1">
      <alignment horizontal="center" vertical="center"/>
    </xf>
    <xf numFmtId="0" fontId="0" fillId="33" borderId="131" xfId="0" applyFill="1" applyBorder="1" applyAlignment="1">
      <alignment horizontal="center" vertical="center"/>
    </xf>
    <xf numFmtId="0" fontId="0" fillId="34" borderId="132" xfId="0" applyFill="1" applyBorder="1" applyAlignment="1">
      <alignment horizontal="center" vertical="center"/>
    </xf>
    <xf numFmtId="0" fontId="0" fillId="33" borderId="133" xfId="0" applyFill="1" applyBorder="1" applyAlignment="1">
      <alignment horizontal="center" vertical="center"/>
    </xf>
    <xf numFmtId="0" fontId="0" fillId="34" borderId="134" xfId="0" applyFill="1" applyBorder="1" applyAlignment="1">
      <alignment horizontal="center" vertical="center"/>
    </xf>
    <xf numFmtId="0" fontId="74" fillId="31" borderId="135" xfId="0" applyFont="1" applyFill="1" applyBorder="1" applyAlignment="1">
      <alignment horizontal="center" vertical="center" wrapText="1"/>
    </xf>
    <xf numFmtId="0" fontId="74" fillId="32" borderId="135" xfId="0" applyFont="1" applyFill="1" applyBorder="1" applyAlignment="1">
      <alignment horizontal="center" vertical="center" wrapText="1"/>
    </xf>
    <xf numFmtId="1" fontId="0" fillId="0" borderId="0" xfId="0" applyNumberFormat="1"/>
    <xf numFmtId="2" fontId="67" fillId="0" borderId="94" xfId="0" applyNumberFormat="1" applyFont="1" applyBorder="1" applyAlignment="1">
      <alignment horizontal="center" vertical="center" wrapText="1"/>
    </xf>
    <xf numFmtId="0" fontId="8" fillId="20" borderId="34" xfId="0" applyFont="1" applyFill="1" applyBorder="1" applyAlignment="1">
      <alignment horizontal="center" wrapText="1"/>
    </xf>
    <xf numFmtId="0" fontId="8" fillId="20" borderId="35" xfId="0" applyFont="1" applyFill="1" applyBorder="1" applyAlignment="1">
      <alignment horizontal="center" wrapText="1"/>
    </xf>
    <xf numFmtId="0" fontId="8" fillId="20" borderId="36" xfId="0" applyFont="1" applyFill="1" applyBorder="1" applyAlignment="1">
      <alignment horizontal="center" wrapText="1"/>
    </xf>
    <xf numFmtId="10" fontId="58" fillId="20" borderId="85" xfId="1" applyNumberFormat="1" applyFont="1" applyFill="1" applyBorder="1" applyAlignment="1">
      <alignment horizontal="center"/>
    </xf>
    <xf numFmtId="10" fontId="58" fillId="20" borderId="35" xfId="1" applyNumberFormat="1" applyFont="1" applyFill="1" applyBorder="1" applyAlignment="1">
      <alignment horizontal="center"/>
    </xf>
    <xf numFmtId="10" fontId="58" fillId="20" borderId="36" xfId="1" applyNumberFormat="1" applyFont="1" applyFill="1" applyBorder="1" applyAlignment="1">
      <alignment horizontal="center"/>
    </xf>
    <xf numFmtId="0" fontId="57" fillId="19" borderId="0" xfId="0" applyFont="1" applyFill="1" applyAlignment="1" applyProtection="1">
      <alignment horizontal="center" vertical="center"/>
      <protection locked="0"/>
    </xf>
    <xf numFmtId="0" fontId="30" fillId="20" borderId="0" xfId="0" applyNumberFormat="1" applyFont="1" applyFill="1" applyAlignment="1">
      <alignment horizontal="center"/>
    </xf>
    <xf numFmtId="0" fontId="8" fillId="20" borderId="3" xfId="0" applyFont="1" applyFill="1" applyBorder="1" applyAlignment="1">
      <alignment horizontal="center"/>
    </xf>
    <xf numFmtId="0" fontId="8" fillId="20" borderId="68" xfId="0" applyFont="1" applyFill="1" applyBorder="1" applyAlignment="1">
      <alignment horizontal="center"/>
    </xf>
    <xf numFmtId="0" fontId="8" fillId="20" borderId="48" xfId="0" applyFont="1" applyFill="1" applyBorder="1" applyAlignment="1">
      <alignment horizontal="center"/>
    </xf>
    <xf numFmtId="0" fontId="8" fillId="20" borderId="6" xfId="0" applyFont="1" applyFill="1" applyBorder="1" applyAlignment="1">
      <alignment horizontal="center"/>
    </xf>
    <xf numFmtId="0" fontId="8" fillId="20" borderId="4" xfId="0" applyFont="1" applyFill="1" applyBorder="1" applyAlignment="1">
      <alignment horizontal="center"/>
    </xf>
    <xf numFmtId="0" fontId="58" fillId="20" borderId="32" xfId="0" applyFont="1" applyFill="1" applyBorder="1" applyAlignment="1">
      <alignment horizontal="center"/>
    </xf>
    <xf numFmtId="0" fontId="58" fillId="20" borderId="33" xfId="0" applyFont="1" applyFill="1" applyBorder="1" applyAlignment="1">
      <alignment horizontal="center"/>
    </xf>
    <xf numFmtId="10" fontId="58" fillId="20" borderId="87" xfId="1" applyNumberFormat="1" applyFont="1" applyFill="1" applyBorder="1" applyAlignment="1">
      <alignment horizontal="center"/>
    </xf>
    <xf numFmtId="10" fontId="58" fillId="20" borderId="30" xfId="1" applyNumberFormat="1" applyFont="1" applyFill="1" applyBorder="1" applyAlignment="1">
      <alignment horizontal="center"/>
    </xf>
    <xf numFmtId="10" fontId="58" fillId="20" borderId="41" xfId="1" applyNumberFormat="1" applyFont="1" applyFill="1" applyBorder="1" applyAlignment="1">
      <alignment horizontal="center"/>
    </xf>
    <xf numFmtId="0" fontId="8" fillId="20" borderId="31" xfId="0" applyFont="1" applyFill="1" applyBorder="1" applyAlignment="1">
      <alignment horizontal="center" wrapText="1"/>
    </xf>
    <xf numFmtId="0" fontId="8" fillId="20" borderId="32" xfId="0" applyFont="1" applyFill="1" applyBorder="1" applyAlignment="1">
      <alignment horizontal="center" wrapText="1"/>
    </xf>
    <xf numFmtId="0" fontId="8" fillId="20" borderId="33" xfId="0" applyFont="1" applyFill="1" applyBorder="1" applyAlignment="1">
      <alignment horizontal="center" wrapText="1"/>
    </xf>
    <xf numFmtId="0" fontId="58" fillId="20" borderId="60" xfId="0" applyFont="1" applyFill="1" applyBorder="1" applyAlignment="1">
      <alignment horizontal="center"/>
    </xf>
    <xf numFmtId="0" fontId="8" fillId="20" borderId="40" xfId="0" applyFont="1" applyFill="1" applyBorder="1" applyAlignment="1">
      <alignment horizontal="center" wrapText="1"/>
    </xf>
    <xf numFmtId="0" fontId="8" fillId="20" borderId="30" xfId="0" applyFont="1" applyFill="1" applyBorder="1" applyAlignment="1">
      <alignment horizontal="center" wrapText="1"/>
    </xf>
    <xf numFmtId="0" fontId="8" fillId="20" borderId="41" xfId="0" applyFont="1" applyFill="1" applyBorder="1" applyAlignment="1">
      <alignment horizontal="center" wrapText="1"/>
    </xf>
    <xf numFmtId="0" fontId="53" fillId="0" borderId="0" xfId="0" applyFont="1" applyAlignment="1">
      <alignment horizontal="center" vertical="center"/>
    </xf>
    <xf numFmtId="0" fontId="8" fillId="20" borderId="37" xfId="0" applyFont="1" applyFill="1" applyBorder="1" applyAlignment="1">
      <alignment horizontal="center" vertical="center" wrapText="1"/>
    </xf>
    <xf numFmtId="0" fontId="8" fillId="20" borderId="20" xfId="0" applyFont="1" applyFill="1" applyBorder="1" applyAlignment="1">
      <alignment horizontal="center" vertical="center" wrapText="1"/>
    </xf>
    <xf numFmtId="0" fontId="8" fillId="20" borderId="17" xfId="0" applyFont="1" applyFill="1" applyBorder="1" applyAlignment="1">
      <alignment horizontal="center" vertical="center" wrapText="1"/>
    </xf>
    <xf numFmtId="10" fontId="30" fillId="16" borderId="0" xfId="0" applyNumberFormat="1" applyFont="1" applyFill="1" applyAlignment="1">
      <alignment horizontal="center"/>
    </xf>
    <xf numFmtId="10" fontId="58" fillId="20" borderId="0" xfId="0" applyNumberFormat="1" applyFont="1" applyFill="1" applyAlignment="1">
      <alignment horizontal="center"/>
    </xf>
    <xf numFmtId="10" fontId="30" fillId="18" borderId="0" xfId="0" applyNumberFormat="1" applyFont="1" applyFill="1" applyAlignment="1">
      <alignment horizontal="center"/>
    </xf>
    <xf numFmtId="0" fontId="8" fillId="18" borderId="0" xfId="0" applyFont="1" applyFill="1" applyAlignment="1">
      <alignment horizontal="center"/>
    </xf>
    <xf numFmtId="0" fontId="8" fillId="11" borderId="0" xfId="0" applyFont="1" applyFill="1" applyAlignment="1">
      <alignment horizontal="center"/>
    </xf>
    <xf numFmtId="14" fontId="9" fillId="0" borderId="0" xfId="0" applyNumberFormat="1" applyFont="1" applyAlignment="1">
      <alignment horizontal="left"/>
    </xf>
    <xf numFmtId="0" fontId="1" fillId="18" borderId="0" xfId="0" applyFont="1" applyFill="1" applyAlignment="1">
      <alignment horizontal="center"/>
    </xf>
    <xf numFmtId="10" fontId="58" fillId="18" borderId="0" xfId="0" applyNumberFormat="1" applyFont="1" applyFill="1" applyAlignment="1">
      <alignment horizontal="center"/>
    </xf>
    <xf numFmtId="0" fontId="58" fillId="18" borderId="0" xfId="0" applyFont="1" applyFill="1" applyAlignment="1">
      <alignment horizontal="center"/>
    </xf>
    <xf numFmtId="0" fontId="52" fillId="0" borderId="0" xfId="0" applyFont="1" applyAlignment="1" applyProtection="1">
      <alignment horizontal="left" vertical="center"/>
      <protection locked="0"/>
    </xf>
    <xf numFmtId="0" fontId="33" fillId="3" borderId="7" xfId="0" applyFont="1" applyFill="1" applyBorder="1" applyAlignment="1">
      <alignment horizontal="center" vertical="center"/>
    </xf>
    <xf numFmtId="0" fontId="33" fillId="3" borderId="1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2" xfId="0" applyFont="1" applyFill="1" applyBorder="1" applyAlignment="1">
      <alignment horizontal="center" vertical="center"/>
    </xf>
    <xf numFmtId="0" fontId="33" fillId="3" borderId="8" xfId="0" applyFont="1" applyFill="1" applyBorder="1" applyAlignment="1">
      <alignment horizontal="center" vertical="center"/>
    </xf>
    <xf numFmtId="0" fontId="33" fillId="3" borderId="9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32" fillId="2" borderId="5" xfId="0" applyFont="1" applyFill="1" applyBorder="1" applyAlignment="1">
      <alignment horizontal="center" vertical="center"/>
    </xf>
    <xf numFmtId="0" fontId="32" fillId="2" borderId="13" xfId="0" applyFont="1" applyFill="1" applyBorder="1" applyAlignment="1">
      <alignment horizontal="center" vertical="center"/>
    </xf>
    <xf numFmtId="0" fontId="32" fillId="2" borderId="11" xfId="0" applyFont="1" applyFill="1" applyBorder="1" applyAlignment="1"/>
    <xf numFmtId="0" fontId="32" fillId="2" borderId="1" xfId="0" applyFont="1" applyFill="1" applyBorder="1" applyAlignment="1">
      <alignment horizontal="center" vertical="center"/>
    </xf>
    <xf numFmtId="0" fontId="32" fillId="2" borderId="2" xfId="0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center" vertical="center"/>
    </xf>
    <xf numFmtId="0" fontId="32" fillId="2" borderId="14" xfId="0" applyFont="1" applyFill="1" applyBorder="1" applyAlignment="1">
      <alignment horizontal="center" vertical="center"/>
    </xf>
    <xf numFmtId="0" fontId="32" fillId="2" borderId="8" xfId="0" applyFont="1" applyFill="1" applyBorder="1" applyAlignment="1"/>
    <xf numFmtId="0" fontId="32" fillId="2" borderId="9" xfId="0" applyFont="1" applyFill="1" applyBorder="1" applyAlignment="1"/>
    <xf numFmtId="0" fontId="32" fillId="2" borderId="7" xfId="0" applyFont="1" applyFill="1" applyBorder="1" applyAlignment="1">
      <alignment horizontal="center" vertical="center" wrapText="1"/>
    </xf>
    <xf numFmtId="0" fontId="32" fillId="2" borderId="2" xfId="0" applyFont="1" applyFill="1" applyBorder="1" applyAlignment="1">
      <alignment horizontal="center" vertical="center" wrapText="1"/>
    </xf>
    <xf numFmtId="0" fontId="32" fillId="2" borderId="15" xfId="0" applyFont="1" applyFill="1" applyBorder="1" applyAlignment="1">
      <alignment horizontal="center" vertical="center" wrapText="1"/>
    </xf>
    <xf numFmtId="0" fontId="32" fillId="2" borderId="14" xfId="0" applyFont="1" applyFill="1" applyBorder="1" applyAlignment="1">
      <alignment horizontal="center" vertical="center" wrapText="1"/>
    </xf>
    <xf numFmtId="0" fontId="32" fillId="2" borderId="14" xfId="0" applyFont="1" applyFill="1" applyBorder="1" applyAlignment="1"/>
    <xf numFmtId="0" fontId="32" fillId="2" borderId="7" xfId="0" applyFont="1" applyFill="1" applyBorder="1" applyAlignment="1">
      <alignment horizontal="center" vertical="center"/>
    </xf>
    <xf numFmtId="0" fontId="32" fillId="2" borderId="12" xfId="0" applyFont="1" applyFill="1" applyBorder="1" applyAlignment="1">
      <alignment horizontal="center" vertical="center"/>
    </xf>
    <xf numFmtId="0" fontId="32" fillId="2" borderId="9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/>
    <xf numFmtId="0" fontId="36" fillId="3" borderId="5" xfId="0" applyFont="1" applyFill="1" applyBorder="1" applyAlignment="1">
      <alignment horizontal="center" vertical="center" wrapText="1"/>
    </xf>
    <xf numFmtId="0" fontId="36" fillId="3" borderId="15" xfId="0" applyFont="1" applyFill="1" applyBorder="1" applyAlignment="1">
      <alignment horizontal="center" vertical="center" wrapText="1"/>
    </xf>
    <xf numFmtId="0" fontId="36" fillId="3" borderId="12" xfId="0" applyFont="1" applyFill="1" applyBorder="1" applyAlignment="1">
      <alignment horizontal="center" vertical="center" wrapText="1"/>
    </xf>
    <xf numFmtId="0" fontId="32" fillId="2" borderId="5" xfId="0" applyFont="1" applyFill="1" applyBorder="1" applyAlignment="1">
      <alignment horizontal="center" vertical="center" wrapText="1"/>
    </xf>
    <xf numFmtId="0" fontId="32" fillId="2" borderId="13" xfId="0" applyFont="1" applyFill="1" applyBorder="1" applyAlignment="1">
      <alignment horizontal="center" vertical="center" wrapText="1"/>
    </xf>
    <xf numFmtId="0" fontId="32" fillId="2" borderId="11" xfId="0" applyFont="1" applyFill="1" applyBorder="1" applyAlignment="1">
      <alignment horizontal="center" vertical="center" wrapText="1"/>
    </xf>
    <xf numFmtId="0" fontId="30" fillId="0" borderId="0" xfId="0" applyFont="1" applyAlignment="1" applyProtection="1">
      <alignment horizontal="left"/>
    </xf>
    <xf numFmtId="0" fontId="7" fillId="0" borderId="0" xfId="0" applyFont="1" applyAlignment="1">
      <alignment horizontal="left"/>
    </xf>
    <xf numFmtId="0" fontId="6" fillId="3" borderId="5" xfId="0" applyFont="1" applyFill="1" applyBorder="1" applyAlignment="1">
      <alignment horizontal="center" vertical="center" textRotation="255" wrapText="1"/>
    </xf>
    <xf numFmtId="0" fontId="6" fillId="3" borderId="13" xfId="0" applyFont="1" applyFill="1" applyBorder="1" applyAlignment="1">
      <alignment horizontal="center" vertical="center" textRotation="255" wrapText="1"/>
    </xf>
    <xf numFmtId="0" fontId="6" fillId="3" borderId="11" xfId="0" applyFont="1" applyFill="1" applyBorder="1" applyAlignment="1">
      <alignment horizontal="center" vertical="center" textRotation="255" wrapText="1"/>
    </xf>
    <xf numFmtId="0" fontId="31" fillId="10" borderId="3" xfId="0" applyFont="1" applyFill="1" applyBorder="1" applyAlignment="1">
      <alignment horizontal="center" vertical="center" wrapText="1"/>
    </xf>
    <xf numFmtId="0" fontId="31" fillId="10" borderId="6" xfId="0" applyFont="1" applyFill="1" applyBorder="1" applyAlignment="1">
      <alignment horizontal="center" vertical="center" wrapText="1"/>
    </xf>
    <xf numFmtId="0" fontId="31" fillId="10" borderId="4" xfId="0" applyFont="1" applyFill="1" applyBorder="1" applyAlignment="1">
      <alignment horizontal="center" vertical="center" wrapText="1"/>
    </xf>
    <xf numFmtId="0" fontId="25" fillId="9" borderId="7" xfId="0" applyFont="1" applyFill="1" applyBorder="1" applyAlignment="1">
      <alignment horizontal="center" vertical="center" wrapText="1"/>
    </xf>
    <xf numFmtId="0" fontId="26" fillId="9" borderId="1" xfId="0" applyFont="1" applyFill="1" applyBorder="1" applyAlignment="1">
      <alignment horizontal="center" vertical="center" wrapText="1"/>
    </xf>
    <xf numFmtId="0" fontId="26" fillId="9" borderId="2" xfId="0" applyFont="1" applyFill="1" applyBorder="1" applyAlignment="1">
      <alignment horizontal="center" vertical="center" wrapText="1"/>
    </xf>
    <xf numFmtId="0" fontId="13" fillId="10" borderId="17" xfId="0" applyFont="1" applyFill="1" applyBorder="1" applyAlignment="1">
      <alignment horizontal="center" vertical="center" wrapText="1"/>
    </xf>
    <xf numFmtId="0" fontId="13" fillId="10" borderId="19" xfId="0" applyFont="1" applyFill="1" applyBorder="1" applyAlignment="1">
      <alignment horizontal="center" vertical="center" wrapText="1"/>
    </xf>
    <xf numFmtId="0" fontId="13" fillId="10" borderId="6" xfId="0" applyFont="1" applyFill="1" applyBorder="1" applyAlignment="1">
      <alignment horizontal="center"/>
    </xf>
    <xf numFmtId="0" fontId="13" fillId="10" borderId="4" xfId="0" applyFont="1" applyFill="1" applyBorder="1" applyAlignment="1">
      <alignment horizontal="center"/>
    </xf>
    <xf numFmtId="0" fontId="12" fillId="9" borderId="60" xfId="0" applyFont="1" applyFill="1" applyBorder="1" applyAlignment="1">
      <alignment horizontal="center" vertical="center" wrapText="1"/>
    </xf>
    <xf numFmtId="0" fontId="12" fillId="9" borderId="34" xfId="0" applyFont="1" applyFill="1" applyBorder="1" applyAlignment="1">
      <alignment horizontal="center" vertical="center" wrapText="1"/>
    </xf>
    <xf numFmtId="0" fontId="12" fillId="9" borderId="32" xfId="0" applyFont="1" applyFill="1" applyBorder="1" applyAlignment="1">
      <alignment horizontal="center" vertical="center" wrapText="1"/>
    </xf>
    <xf numFmtId="0" fontId="12" fillId="9" borderId="35" xfId="0" applyFont="1" applyFill="1" applyBorder="1" applyAlignment="1">
      <alignment horizontal="center" vertical="center" wrapText="1"/>
    </xf>
    <xf numFmtId="0" fontId="12" fillId="9" borderId="6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1" fillId="0" borderId="15" xfId="0" applyFont="1" applyBorder="1" applyAlignment="1" applyProtection="1">
      <alignment horizontal="center"/>
      <protection locked="0"/>
    </xf>
    <xf numFmtId="0" fontId="6" fillId="0" borderId="14" xfId="0" applyFont="1" applyBorder="1" applyAlignment="1" applyProtection="1">
      <alignment horizontal="center"/>
      <protection locked="0"/>
    </xf>
    <xf numFmtId="0" fontId="6" fillId="0" borderId="52" xfId="0" applyFont="1" applyBorder="1" applyAlignment="1" applyProtection="1">
      <alignment horizontal="left"/>
    </xf>
    <xf numFmtId="0" fontId="6" fillId="0" borderId="53" xfId="0" applyFont="1" applyBorder="1" applyAlignment="1" applyProtection="1">
      <alignment horizontal="left"/>
    </xf>
    <xf numFmtId="0" fontId="6" fillId="0" borderId="54" xfId="0" applyFont="1" applyBorder="1" applyAlignment="1" applyProtection="1">
      <alignment horizontal="left"/>
    </xf>
    <xf numFmtId="0" fontId="10" fillId="9" borderId="27" xfId="0" applyFont="1" applyFill="1" applyBorder="1" applyAlignment="1">
      <alignment horizontal="center"/>
    </xf>
    <xf numFmtId="0" fontId="10" fillId="9" borderId="28" xfId="0" applyFont="1" applyFill="1" applyBorder="1" applyAlignment="1">
      <alignment horizontal="center"/>
    </xf>
    <xf numFmtId="0" fontId="10" fillId="9" borderId="29" xfId="0" applyFont="1" applyFill="1" applyBorder="1" applyAlignment="1">
      <alignment horizontal="center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22" fillId="0" borderId="52" xfId="0" applyFont="1" applyFill="1" applyBorder="1" applyAlignment="1">
      <alignment horizontal="left"/>
    </xf>
    <xf numFmtId="0" fontId="22" fillId="0" borderId="53" xfId="0" applyFont="1" applyFill="1" applyBorder="1" applyAlignment="1">
      <alignment horizontal="left"/>
    </xf>
    <xf numFmtId="0" fontId="22" fillId="0" borderId="54" xfId="0" applyFont="1" applyFill="1" applyBorder="1" applyAlignment="1">
      <alignment horizontal="left"/>
    </xf>
    <xf numFmtId="0" fontId="7" fillId="0" borderId="37" xfId="0" applyFont="1" applyBorder="1" applyAlignment="1" applyProtection="1">
      <alignment horizontal="center" vertical="center" wrapText="1"/>
      <protection locked="0"/>
    </xf>
    <xf numFmtId="0" fontId="7" fillId="0" borderId="50" xfId="0" applyFont="1" applyBorder="1" applyAlignment="1" applyProtection="1">
      <alignment horizontal="center" vertical="center" wrapText="1"/>
      <protection locked="0"/>
    </xf>
    <xf numFmtId="0" fontId="7" fillId="0" borderId="20" xfId="0" applyFont="1" applyBorder="1" applyAlignment="1" applyProtection="1">
      <alignment horizontal="center" vertical="center" wrapText="1"/>
      <protection locked="0"/>
    </xf>
    <xf numFmtId="0" fontId="7" fillId="0" borderId="21" xfId="0" applyFont="1" applyBorder="1" applyAlignment="1" applyProtection="1">
      <alignment horizontal="center" vertical="center" wrapText="1"/>
      <protection locked="0"/>
    </xf>
    <xf numFmtId="0" fontId="6" fillId="0" borderId="15" xfId="0" applyFont="1" applyBorder="1" applyAlignment="1" applyProtection="1">
      <alignment horizontal="left"/>
    </xf>
    <xf numFmtId="0" fontId="6" fillId="0" borderId="0" xfId="0" applyFont="1" applyBorder="1" applyAlignment="1" applyProtection="1">
      <alignment horizontal="left"/>
    </xf>
    <xf numFmtId="0" fontId="6" fillId="0" borderId="14" xfId="0" applyFont="1" applyBorder="1" applyAlignment="1" applyProtection="1">
      <alignment horizontal="left"/>
    </xf>
    <xf numFmtId="0" fontId="1" fillId="0" borderId="7" xfId="0" applyFont="1" applyBorder="1" applyAlignment="1" applyProtection="1">
      <alignment horizontal="center"/>
      <protection locked="0"/>
    </xf>
    <xf numFmtId="0" fontId="6" fillId="0" borderId="2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7" xfId="0" applyFont="1" applyBorder="1" applyAlignment="1" applyProtection="1">
      <alignment horizontal="left"/>
    </xf>
    <xf numFmtId="0" fontId="6" fillId="0" borderId="28" xfId="0" applyFont="1" applyBorder="1" applyAlignment="1" applyProtection="1">
      <alignment horizontal="left"/>
    </xf>
    <xf numFmtId="0" fontId="6" fillId="0" borderId="29" xfId="0" applyFont="1" applyBorder="1" applyAlignment="1" applyProtection="1">
      <alignment horizontal="left"/>
    </xf>
    <xf numFmtId="0" fontId="7" fillId="0" borderId="17" xfId="0" applyFont="1" applyFill="1" applyBorder="1" applyAlignment="1" applyProtection="1">
      <alignment horizontal="center" vertical="center" wrapText="1"/>
    </xf>
    <xf numFmtId="0" fontId="7" fillId="0" borderId="19" xfId="0" applyFont="1" applyFill="1" applyBorder="1" applyAlignment="1" applyProtection="1">
      <alignment horizontal="center" vertical="center" wrapText="1"/>
    </xf>
    <xf numFmtId="0" fontId="7" fillId="0" borderId="37" xfId="0" applyFont="1" applyFill="1" applyBorder="1" applyAlignment="1" applyProtection="1">
      <alignment horizontal="center" vertical="center" wrapText="1"/>
      <protection locked="0"/>
    </xf>
    <xf numFmtId="0" fontId="7" fillId="0" borderId="50" xfId="0" applyFont="1" applyFill="1" applyBorder="1" applyAlignment="1" applyProtection="1">
      <alignment horizontal="center" vertical="center" wrapText="1"/>
      <protection locked="0"/>
    </xf>
    <xf numFmtId="0" fontId="12" fillId="0" borderId="55" xfId="0" applyFont="1" applyFill="1" applyBorder="1" applyAlignment="1" applyProtection="1">
      <alignment horizontal="left" vertical="top" wrapText="1"/>
      <protection locked="0"/>
    </xf>
    <xf numFmtId="0" fontId="12" fillId="0" borderId="56" xfId="0" applyFont="1" applyFill="1" applyBorder="1" applyAlignment="1" applyProtection="1">
      <alignment horizontal="left" vertical="top" wrapText="1"/>
      <protection locked="0"/>
    </xf>
    <xf numFmtId="0" fontId="12" fillId="0" borderId="57" xfId="0" applyFont="1" applyFill="1" applyBorder="1" applyAlignment="1" applyProtection="1">
      <alignment horizontal="left" vertical="top" wrapText="1"/>
      <protection locked="0"/>
    </xf>
    <xf numFmtId="0" fontId="12" fillId="0" borderId="15" xfId="0" applyFont="1" applyFill="1" applyBorder="1" applyAlignment="1" applyProtection="1">
      <alignment horizontal="left" vertical="top" wrapText="1"/>
      <protection locked="0"/>
    </xf>
    <xf numFmtId="0" fontId="12" fillId="0" borderId="0" xfId="0" applyFont="1" applyFill="1" applyBorder="1" applyAlignment="1" applyProtection="1">
      <alignment horizontal="left" vertical="top" wrapText="1"/>
      <protection locked="0"/>
    </xf>
    <xf numFmtId="0" fontId="12" fillId="0" borderId="14" xfId="0" applyFont="1" applyFill="1" applyBorder="1" applyAlignment="1" applyProtection="1">
      <alignment horizontal="left" vertical="top" wrapText="1"/>
      <protection locked="0"/>
    </xf>
    <xf numFmtId="0" fontId="12" fillId="0" borderId="58" xfId="0" applyFont="1" applyFill="1" applyBorder="1" applyAlignment="1" applyProtection="1">
      <alignment horizontal="left" vertical="top" wrapText="1"/>
      <protection locked="0"/>
    </xf>
    <xf numFmtId="0" fontId="12" fillId="0" borderId="51" xfId="0" applyFont="1" applyFill="1" applyBorder="1" applyAlignment="1" applyProtection="1">
      <alignment horizontal="left" vertical="top" wrapText="1"/>
      <protection locked="0"/>
    </xf>
    <xf numFmtId="0" fontId="12" fillId="0" borderId="59" xfId="0" applyFont="1" applyFill="1" applyBorder="1" applyAlignment="1" applyProtection="1">
      <alignment horizontal="left" vertical="top" wrapText="1"/>
      <protection locked="0"/>
    </xf>
    <xf numFmtId="0" fontId="24" fillId="2" borderId="55" xfId="0" applyFont="1" applyFill="1" applyBorder="1" applyAlignment="1">
      <alignment horizontal="center" vertical="center" wrapText="1"/>
    </xf>
    <xf numFmtId="0" fontId="24" fillId="2" borderId="56" xfId="0" applyFont="1" applyFill="1" applyBorder="1" applyAlignment="1">
      <alignment horizontal="center" vertical="center" wrapText="1"/>
    </xf>
    <xf numFmtId="0" fontId="24" fillId="2" borderId="57" xfId="0" applyFont="1" applyFill="1" applyBorder="1" applyAlignment="1">
      <alignment horizontal="center" vertical="center" wrapText="1"/>
    </xf>
    <xf numFmtId="0" fontId="24" fillId="2" borderId="12" xfId="0" applyFont="1" applyFill="1" applyBorder="1" applyAlignment="1">
      <alignment horizontal="center" vertical="center" wrapText="1"/>
    </xf>
    <xf numFmtId="0" fontId="24" fillId="2" borderId="8" xfId="0" applyFont="1" applyFill="1" applyBorder="1" applyAlignment="1">
      <alignment horizontal="center" vertical="center" wrapText="1"/>
    </xf>
    <xf numFmtId="0" fontId="24" fillId="2" borderId="9" xfId="0" applyFont="1" applyFill="1" applyBorder="1" applyAlignment="1">
      <alignment horizontal="center" vertical="center" wrapText="1"/>
    </xf>
    <xf numFmtId="0" fontId="10" fillId="2" borderId="37" xfId="0" applyFont="1" applyFill="1" applyBorder="1" applyAlignment="1">
      <alignment horizontal="center" vertical="center" wrapText="1"/>
    </xf>
    <xf numFmtId="0" fontId="10" fillId="2" borderId="50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0" fillId="2" borderId="21" xfId="0" applyFont="1" applyFill="1" applyBorder="1" applyAlignment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10" fillId="2" borderId="49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6" fillId="0" borderId="37" xfId="0" applyFont="1" applyBorder="1" applyAlignment="1" applyProtection="1">
      <alignment horizontal="center" vertical="center" wrapText="1"/>
      <protection locked="0"/>
    </xf>
    <xf numFmtId="0" fontId="6" fillId="0" borderId="50" xfId="0" applyFont="1" applyBorder="1" applyAlignment="1" applyProtection="1">
      <alignment horizontal="center" vertical="center" wrapText="1"/>
      <protection locked="0"/>
    </xf>
    <xf numFmtId="0" fontId="6" fillId="0" borderId="20" xfId="0" applyFont="1" applyBorder="1" applyAlignment="1" applyProtection="1">
      <alignment horizontal="center" vertical="center" wrapText="1"/>
      <protection locked="0"/>
    </xf>
    <xf numFmtId="0" fontId="6" fillId="0" borderId="21" xfId="0" applyFont="1" applyBorder="1" applyAlignment="1" applyProtection="1">
      <alignment horizontal="center" vertical="center" wrapText="1"/>
      <protection locked="0"/>
    </xf>
    <xf numFmtId="2" fontId="7" fillId="0" borderId="17" xfId="0" applyNumberFormat="1" applyFont="1" applyFill="1" applyBorder="1" applyAlignment="1" applyProtection="1">
      <alignment horizontal="center" vertical="center" wrapText="1"/>
      <protection locked="0"/>
    </xf>
    <xf numFmtId="2" fontId="7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7" xfId="0" applyFont="1" applyFill="1" applyBorder="1" applyAlignment="1" applyProtection="1">
      <alignment horizontal="left" vertical="top" wrapText="1"/>
      <protection locked="0"/>
    </xf>
    <xf numFmtId="0" fontId="10" fillId="0" borderId="1" xfId="0" applyFont="1" applyFill="1" applyBorder="1" applyAlignment="1" applyProtection="1">
      <alignment horizontal="left" vertical="top" wrapText="1"/>
      <protection locked="0"/>
    </xf>
    <xf numFmtId="0" fontId="10" fillId="0" borderId="2" xfId="0" applyFont="1" applyFill="1" applyBorder="1" applyAlignment="1" applyProtection="1">
      <alignment horizontal="left" vertical="top" wrapText="1"/>
      <protection locked="0"/>
    </xf>
    <xf numFmtId="0" fontId="10" fillId="0" borderId="15" xfId="0" applyFont="1" applyFill="1" applyBorder="1" applyAlignment="1" applyProtection="1">
      <alignment horizontal="left" vertical="top" wrapText="1"/>
      <protection locked="0"/>
    </xf>
    <xf numFmtId="0" fontId="10" fillId="0" borderId="0" xfId="0" applyFont="1" applyFill="1" applyBorder="1" applyAlignment="1" applyProtection="1">
      <alignment horizontal="left" vertical="top" wrapText="1"/>
      <protection locked="0"/>
    </xf>
    <xf numFmtId="0" fontId="10" fillId="0" borderId="14" xfId="0" applyFont="1" applyFill="1" applyBorder="1" applyAlignment="1" applyProtection="1">
      <alignment horizontal="left" vertical="top" wrapText="1"/>
      <protection locked="0"/>
    </xf>
    <xf numFmtId="0" fontId="10" fillId="0" borderId="58" xfId="0" applyFont="1" applyFill="1" applyBorder="1" applyAlignment="1" applyProtection="1">
      <alignment horizontal="left" vertical="top" wrapText="1"/>
      <protection locked="0"/>
    </xf>
    <xf numFmtId="0" fontId="10" fillId="0" borderId="51" xfId="0" applyFont="1" applyFill="1" applyBorder="1" applyAlignment="1" applyProtection="1">
      <alignment horizontal="left" vertical="top" wrapText="1"/>
      <protection locked="0"/>
    </xf>
    <xf numFmtId="0" fontId="10" fillId="0" borderId="59" xfId="0" applyFont="1" applyFill="1" applyBorder="1" applyAlignment="1" applyProtection="1">
      <alignment horizontal="left" vertical="top" wrapText="1"/>
      <protection locked="0"/>
    </xf>
    <xf numFmtId="0" fontId="12" fillId="2" borderId="58" xfId="0" applyFont="1" applyFill="1" applyBorder="1" applyAlignment="1">
      <alignment horizontal="center"/>
    </xf>
    <xf numFmtId="0" fontId="12" fillId="2" borderId="51" xfId="0" applyFont="1" applyFill="1" applyBorder="1" applyAlignment="1">
      <alignment horizontal="center"/>
    </xf>
    <xf numFmtId="0" fontId="12" fillId="2" borderId="59" xfId="0" applyFont="1" applyFill="1" applyBorder="1" applyAlignment="1">
      <alignment horizontal="center"/>
    </xf>
    <xf numFmtId="0" fontId="17" fillId="0" borderId="55" xfId="0" applyFont="1" applyFill="1" applyBorder="1" applyAlignment="1">
      <alignment horizontal="left"/>
    </xf>
    <xf numFmtId="0" fontId="17" fillId="0" borderId="56" xfId="0" applyFont="1" applyFill="1" applyBorder="1" applyAlignment="1">
      <alignment horizontal="left"/>
    </xf>
    <xf numFmtId="0" fontId="17" fillId="0" borderId="57" xfId="0" applyFont="1" applyFill="1" applyBorder="1" applyAlignment="1">
      <alignment horizontal="left"/>
    </xf>
    <xf numFmtId="0" fontId="6" fillId="2" borderId="5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1" fontId="6" fillId="2" borderId="7" xfId="0" applyNumberFormat="1" applyFont="1" applyFill="1" applyBorder="1" applyAlignment="1">
      <alignment horizontal="center" vertical="center" wrapText="1"/>
    </xf>
    <xf numFmtId="1" fontId="6" fillId="2" borderId="2" xfId="0" applyNumberFormat="1" applyFont="1" applyFill="1" applyBorder="1" applyAlignment="1">
      <alignment horizontal="center" vertical="center" wrapText="1"/>
    </xf>
    <xf numFmtId="1" fontId="6" fillId="2" borderId="15" xfId="0" applyNumberFormat="1" applyFont="1" applyFill="1" applyBorder="1" applyAlignment="1">
      <alignment horizontal="center" vertical="center" wrapText="1"/>
    </xf>
    <xf numFmtId="1" fontId="6" fillId="2" borderId="14" xfId="0" applyNumberFormat="1" applyFont="1" applyFill="1" applyBorder="1" applyAlignment="1">
      <alignment horizontal="center" vertical="center" wrapText="1"/>
    </xf>
    <xf numFmtId="1" fontId="6" fillId="2" borderId="12" xfId="0" applyNumberFormat="1" applyFont="1" applyFill="1" applyBorder="1" applyAlignment="1">
      <alignment horizontal="center" vertical="center" wrapText="1"/>
    </xf>
    <xf numFmtId="1" fontId="6" fillId="2" borderId="9" xfId="0" applyNumberFormat="1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6" fillId="5" borderId="11" xfId="0" applyFont="1" applyFill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10" borderId="17" xfId="0" applyFont="1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6" fillId="10" borderId="5" xfId="0" applyFont="1" applyFill="1" applyBorder="1" applyAlignment="1">
      <alignment horizontal="center" vertical="center" wrapText="1"/>
    </xf>
    <xf numFmtId="0" fontId="6" fillId="10" borderId="13" xfId="0" applyFont="1" applyFill="1" applyBorder="1" applyAlignment="1">
      <alignment horizontal="center" vertical="center" wrapText="1"/>
    </xf>
    <xf numFmtId="0" fontId="6" fillId="10" borderId="11" xfId="0" applyFont="1" applyFill="1" applyBorder="1" applyAlignment="1">
      <alignment horizontal="center" vertical="center" wrapText="1"/>
    </xf>
    <xf numFmtId="0" fontId="14" fillId="10" borderId="0" xfId="0" applyFont="1" applyFill="1" applyAlignment="1">
      <alignment horizontal="center"/>
    </xf>
    <xf numFmtId="0" fontId="6" fillId="3" borderId="7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6" fillId="3" borderId="64" xfId="0" applyFont="1" applyFill="1" applyBorder="1" applyAlignment="1">
      <alignment horizontal="center" vertical="center"/>
    </xf>
    <xf numFmtId="0" fontId="6" fillId="3" borderId="63" xfId="0" applyFont="1" applyFill="1" applyBorder="1" applyAlignment="1">
      <alignment horizontal="center" vertical="center"/>
    </xf>
    <xf numFmtId="0" fontId="6" fillId="3" borderId="61" xfId="0" applyFont="1" applyFill="1" applyBorder="1" applyAlignment="1">
      <alignment horizontal="center" vertical="center"/>
    </xf>
    <xf numFmtId="0" fontId="15" fillId="11" borderId="3" xfId="0" applyFont="1" applyFill="1" applyBorder="1" applyAlignment="1">
      <alignment horizontal="center" vertical="center"/>
    </xf>
    <xf numFmtId="0" fontId="15" fillId="11" borderId="6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16" fillId="11" borderId="3" xfId="0" applyFont="1" applyFill="1" applyBorder="1" applyAlignment="1">
      <alignment horizontal="center" vertical="center"/>
    </xf>
    <xf numFmtId="0" fontId="16" fillId="11" borderId="6" xfId="0" applyFont="1" applyFill="1" applyBorder="1" applyAlignment="1">
      <alignment horizontal="center" vertical="center"/>
    </xf>
    <xf numFmtId="0" fontId="16" fillId="11" borderId="4" xfId="0" applyFont="1" applyFill="1" applyBorder="1" applyAlignment="1">
      <alignment horizontal="center" vertical="center"/>
    </xf>
    <xf numFmtId="0" fontId="9" fillId="11" borderId="27" xfId="0" applyFont="1" applyFill="1" applyBorder="1" applyAlignment="1">
      <alignment horizontal="center" vertical="center"/>
    </xf>
    <xf numFmtId="0" fontId="9" fillId="11" borderId="28" xfId="0" applyFont="1" applyFill="1" applyBorder="1" applyAlignment="1">
      <alignment horizontal="center" vertical="center"/>
    </xf>
    <xf numFmtId="0" fontId="9" fillId="11" borderId="29" xfId="0" applyFont="1" applyFill="1" applyBorder="1" applyAlignment="1">
      <alignment horizontal="center" vertical="center"/>
    </xf>
    <xf numFmtId="0" fontId="9" fillId="11" borderId="27" xfId="0" applyFont="1" applyFill="1" applyBorder="1" applyAlignment="1">
      <alignment horizontal="center" vertical="center" wrapText="1"/>
    </xf>
    <xf numFmtId="0" fontId="9" fillId="11" borderId="28" xfId="0" applyFont="1" applyFill="1" applyBorder="1" applyAlignment="1">
      <alignment horizontal="center" vertical="center" wrapText="1"/>
    </xf>
    <xf numFmtId="0" fontId="9" fillId="11" borderId="29" xfId="0" applyFont="1" applyFill="1" applyBorder="1" applyAlignment="1">
      <alignment horizontal="center" vertical="center" wrapText="1"/>
    </xf>
    <xf numFmtId="0" fontId="6" fillId="0" borderId="15" xfId="0" applyFont="1" applyBorder="1" applyAlignment="1" applyProtection="1">
      <alignment vertical="top"/>
      <protection locked="0"/>
    </xf>
    <xf numFmtId="0" fontId="6" fillId="0" borderId="0" xfId="0" applyFont="1" applyBorder="1" applyAlignment="1" applyProtection="1">
      <alignment vertical="top"/>
      <protection locked="0"/>
    </xf>
    <xf numFmtId="0" fontId="6" fillId="0" borderId="14" xfId="0" applyFont="1" applyBorder="1" applyAlignment="1" applyProtection="1">
      <alignment vertical="top"/>
      <protection locked="0"/>
    </xf>
    <xf numFmtId="0" fontId="6" fillId="0" borderId="12" xfId="0" applyFont="1" applyBorder="1" applyAlignment="1" applyProtection="1">
      <alignment vertical="top"/>
      <protection locked="0"/>
    </xf>
    <xf numFmtId="0" fontId="6" fillId="0" borderId="8" xfId="0" applyFont="1" applyBorder="1" applyAlignment="1" applyProtection="1">
      <alignment vertical="top"/>
      <protection locked="0"/>
    </xf>
    <xf numFmtId="0" fontId="6" fillId="0" borderId="9" xfId="0" applyFont="1" applyBorder="1" applyAlignment="1" applyProtection="1">
      <alignment vertical="top"/>
      <protection locked="0"/>
    </xf>
    <xf numFmtId="0" fontId="19" fillId="6" borderId="0" xfId="0" applyFont="1" applyFill="1" applyAlignment="1">
      <alignment horizontal="center"/>
    </xf>
    <xf numFmtId="0" fontId="23" fillId="6" borderId="3" xfId="0" applyFont="1" applyFill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0" fontId="23" fillId="6" borderId="3" xfId="0" applyFont="1" applyFill="1" applyBorder="1" applyAlignment="1">
      <alignment horizontal="left" vertical="center"/>
    </xf>
    <xf numFmtId="0" fontId="23" fillId="6" borderId="6" xfId="0" applyFont="1" applyFill="1" applyBorder="1" applyAlignment="1">
      <alignment horizontal="left" vertical="center"/>
    </xf>
    <xf numFmtId="0" fontId="6" fillId="0" borderId="6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2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10" fontId="6" fillId="10" borderId="3" xfId="0" applyNumberFormat="1" applyFont="1" applyFill="1" applyBorder="1" applyAlignment="1">
      <alignment horizontal="center"/>
    </xf>
    <xf numFmtId="10" fontId="6" fillId="10" borderId="6" xfId="0" applyNumberFormat="1" applyFont="1" applyFill="1" applyBorder="1" applyAlignment="1">
      <alignment horizontal="center"/>
    </xf>
    <xf numFmtId="10" fontId="6" fillId="10" borderId="4" xfId="0" applyNumberFormat="1" applyFont="1" applyFill="1" applyBorder="1" applyAlignment="1">
      <alignment horizontal="center"/>
    </xf>
    <xf numFmtId="0" fontId="6" fillId="0" borderId="1" xfId="0" applyFont="1" applyBorder="1" applyAlignment="1" applyProtection="1">
      <alignment horizontal="left"/>
      <protection locked="0"/>
    </xf>
    <xf numFmtId="0" fontId="6" fillId="0" borderId="2" xfId="0" applyFont="1" applyBorder="1" applyAlignment="1" applyProtection="1">
      <alignment horizontal="left"/>
      <protection locked="0"/>
    </xf>
    <xf numFmtId="0" fontId="21" fillId="0" borderId="15" xfId="0" applyFont="1" applyBorder="1" applyAlignment="1">
      <alignment horizontal="left" vertical="top" wrapText="1"/>
    </xf>
    <xf numFmtId="0" fontId="21" fillId="0" borderId="0" xfId="0" applyFont="1" applyBorder="1" applyAlignment="1">
      <alignment horizontal="left" vertical="top" wrapText="1"/>
    </xf>
    <xf numFmtId="0" fontId="21" fillId="0" borderId="14" xfId="0" applyFont="1" applyBorder="1" applyAlignment="1">
      <alignment horizontal="left" vertical="top" wrapText="1"/>
    </xf>
    <xf numFmtId="0" fontId="21" fillId="0" borderId="12" xfId="0" applyFont="1" applyBorder="1" applyAlignment="1">
      <alignment horizontal="left" vertical="top" wrapText="1"/>
    </xf>
    <xf numFmtId="0" fontId="21" fillId="0" borderId="8" xfId="0" applyFont="1" applyBorder="1" applyAlignment="1">
      <alignment horizontal="left" vertical="top" wrapText="1"/>
    </xf>
    <xf numFmtId="0" fontId="21" fillId="0" borderId="9" xfId="0" applyFont="1" applyBorder="1" applyAlignment="1">
      <alignment horizontal="left" vertical="top" wrapText="1"/>
    </xf>
    <xf numFmtId="0" fontId="18" fillId="4" borderId="0" xfId="0" applyFont="1" applyFill="1" applyAlignment="1">
      <alignment horizontal="center"/>
    </xf>
    <xf numFmtId="0" fontId="23" fillId="6" borderId="4" xfId="0" applyFont="1" applyFill="1" applyBorder="1" applyAlignment="1">
      <alignment horizontal="center" vertical="center"/>
    </xf>
    <xf numFmtId="0" fontId="11" fillId="6" borderId="27" xfId="0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center" vertical="center"/>
    </xf>
    <xf numFmtId="0" fontId="11" fillId="6" borderId="29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28" fillId="9" borderId="7" xfId="0" applyFont="1" applyFill="1" applyBorder="1" applyAlignment="1">
      <alignment horizontal="center" vertical="center" wrapText="1"/>
    </xf>
    <xf numFmtId="0" fontId="28" fillId="9" borderId="1" xfId="0" applyFont="1" applyFill="1" applyBorder="1" applyAlignment="1">
      <alignment horizontal="center" vertical="center" wrapText="1"/>
    </xf>
    <xf numFmtId="0" fontId="28" fillId="9" borderId="15" xfId="0" applyFont="1" applyFill="1" applyBorder="1" applyAlignment="1">
      <alignment horizontal="center" vertical="center" wrapText="1"/>
    </xf>
    <xf numFmtId="0" fontId="28" fillId="9" borderId="0" xfId="0" applyFont="1" applyFill="1" applyBorder="1" applyAlignment="1">
      <alignment horizontal="center" vertical="center" wrapText="1"/>
    </xf>
    <xf numFmtId="0" fontId="28" fillId="9" borderId="12" xfId="0" applyFont="1" applyFill="1" applyBorder="1" applyAlignment="1">
      <alignment horizontal="center" vertical="center" wrapText="1"/>
    </xf>
    <xf numFmtId="0" fontId="28" fillId="9" borderId="8" xfId="0" applyFont="1" applyFill="1" applyBorder="1" applyAlignment="1">
      <alignment horizontal="center" vertical="center" wrapText="1"/>
    </xf>
    <xf numFmtId="10" fontId="28" fillId="9" borderId="2" xfId="1" applyNumberFormat="1" applyFont="1" applyFill="1" applyBorder="1" applyAlignment="1">
      <alignment horizontal="center" vertical="center" wrapText="1"/>
    </xf>
    <xf numFmtId="10" fontId="28" fillId="9" borderId="14" xfId="1" applyNumberFormat="1" applyFont="1" applyFill="1" applyBorder="1" applyAlignment="1">
      <alignment horizontal="center" vertical="center" wrapText="1"/>
    </xf>
    <xf numFmtId="10" fontId="28" fillId="9" borderId="9" xfId="1" applyNumberFormat="1" applyFont="1" applyFill="1" applyBorder="1" applyAlignment="1">
      <alignment horizontal="center" vertical="center" wrapText="1"/>
    </xf>
    <xf numFmtId="10" fontId="20" fillId="4" borderId="3" xfId="1" applyNumberFormat="1" applyFont="1" applyFill="1" applyBorder="1" applyAlignment="1">
      <alignment horizontal="center"/>
    </xf>
    <xf numFmtId="10" fontId="20" fillId="4" borderId="6" xfId="1" applyNumberFormat="1" applyFont="1" applyFill="1" applyBorder="1" applyAlignment="1">
      <alignment horizontal="center"/>
    </xf>
    <xf numFmtId="10" fontId="20" fillId="4" borderId="4" xfId="1" applyNumberFormat="1" applyFont="1" applyFill="1" applyBorder="1" applyAlignment="1">
      <alignment horizontal="center"/>
    </xf>
    <xf numFmtId="0" fontId="24" fillId="2" borderId="3" xfId="0" applyFont="1" applyFill="1" applyBorder="1" applyAlignment="1">
      <alignment horizontal="center" vertical="center"/>
    </xf>
    <xf numFmtId="0" fontId="24" fillId="2" borderId="6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24" fillId="2" borderId="4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10" fontId="20" fillId="9" borderId="3" xfId="1" applyNumberFormat="1" applyFont="1" applyFill="1" applyBorder="1" applyAlignment="1">
      <alignment horizontal="center"/>
    </xf>
    <xf numFmtId="10" fontId="20" fillId="9" borderId="6" xfId="1" applyNumberFormat="1" applyFont="1" applyFill="1" applyBorder="1" applyAlignment="1">
      <alignment horizontal="center"/>
    </xf>
    <xf numFmtId="10" fontId="20" fillId="9" borderId="4" xfId="1" applyNumberFormat="1" applyFont="1" applyFill="1" applyBorder="1" applyAlignment="1">
      <alignment horizontal="center"/>
    </xf>
    <xf numFmtId="0" fontId="6" fillId="0" borderId="7" xfId="0" applyFont="1" applyBorder="1" applyAlignment="1" applyProtection="1">
      <alignment horizontal="left"/>
    </xf>
    <xf numFmtId="0" fontId="6" fillId="0" borderId="1" xfId="0" applyFont="1" applyBorder="1" applyAlignment="1" applyProtection="1">
      <alignment horizontal="left"/>
    </xf>
    <xf numFmtId="0" fontId="7" fillId="0" borderId="17" xfId="0" applyFont="1" applyFill="1" applyBorder="1" applyAlignment="1" applyProtection="1">
      <alignment horizontal="center" vertical="center" wrapText="1"/>
      <protection locked="0"/>
    </xf>
    <xf numFmtId="0" fontId="7" fillId="0" borderId="19" xfId="0" applyFont="1" applyFill="1" applyBorder="1" applyAlignment="1" applyProtection="1">
      <alignment horizontal="center" vertical="center" wrapText="1"/>
      <protection locked="0"/>
    </xf>
    <xf numFmtId="0" fontId="6" fillId="0" borderId="5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10" fontId="28" fillId="9" borderId="1" xfId="1" applyNumberFormat="1" applyFont="1" applyFill="1" applyBorder="1" applyAlignment="1">
      <alignment horizontal="center" vertical="center" wrapText="1"/>
    </xf>
    <xf numFmtId="10" fontId="28" fillId="9" borderId="0" xfId="1" applyNumberFormat="1" applyFont="1" applyFill="1" applyBorder="1" applyAlignment="1">
      <alignment horizontal="center" vertical="center" wrapText="1"/>
    </xf>
    <xf numFmtId="10" fontId="28" fillId="9" borderId="8" xfId="1" applyNumberFormat="1" applyFont="1" applyFill="1" applyBorder="1" applyAlignment="1">
      <alignment horizontal="center" vertical="center" wrapText="1"/>
    </xf>
    <xf numFmtId="0" fontId="6" fillId="0" borderId="12" xfId="0" applyFont="1" applyBorder="1" applyAlignment="1" applyProtection="1">
      <alignment horizontal="center"/>
      <protection locked="0"/>
    </xf>
    <xf numFmtId="0" fontId="6" fillId="0" borderId="8" xfId="0" applyFont="1" applyBorder="1" applyAlignment="1" applyProtection="1">
      <alignment horizontal="center"/>
      <protection locked="0"/>
    </xf>
    <xf numFmtId="0" fontId="6" fillId="0" borderId="9" xfId="0" applyFont="1" applyBorder="1" applyAlignment="1" applyProtection="1">
      <alignment horizontal="center"/>
      <protection locked="0"/>
    </xf>
    <xf numFmtId="10" fontId="20" fillId="2" borderId="3" xfId="1" applyNumberFormat="1" applyFont="1" applyFill="1" applyBorder="1" applyAlignment="1">
      <alignment horizontal="center"/>
    </xf>
    <xf numFmtId="10" fontId="20" fillId="2" borderId="6" xfId="1" applyNumberFormat="1" applyFont="1" applyFill="1" applyBorder="1" applyAlignment="1">
      <alignment horizontal="center"/>
    </xf>
    <xf numFmtId="10" fontId="20" fillId="2" borderId="4" xfId="1" applyNumberFormat="1" applyFont="1" applyFill="1" applyBorder="1" applyAlignment="1">
      <alignment horizontal="center"/>
    </xf>
    <xf numFmtId="0" fontId="51" fillId="2" borderId="3" xfId="0" applyFont="1" applyFill="1" applyBorder="1" applyAlignment="1">
      <alignment horizontal="center" vertical="center"/>
    </xf>
    <xf numFmtId="0" fontId="51" fillId="2" borderId="6" xfId="0" applyFont="1" applyFill="1" applyBorder="1" applyAlignment="1">
      <alignment horizontal="center" vertical="center"/>
    </xf>
    <xf numFmtId="0" fontId="6" fillId="0" borderId="55" xfId="0" applyFont="1" applyBorder="1" applyAlignment="1" applyProtection="1">
      <alignment horizontal="left"/>
    </xf>
    <xf numFmtId="0" fontId="6" fillId="0" borderId="56" xfId="0" applyFont="1" applyBorder="1" applyAlignment="1" applyProtection="1">
      <alignment horizontal="left"/>
    </xf>
    <xf numFmtId="0" fontId="7" fillId="0" borderId="17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6" fillId="0" borderId="69" xfId="0" applyFont="1" applyBorder="1" applyAlignment="1" applyProtection="1">
      <alignment horizontal="left"/>
    </xf>
    <xf numFmtId="0" fontId="6" fillId="0" borderId="70" xfId="0" applyFont="1" applyBorder="1" applyAlignment="1" applyProtection="1">
      <alignment horizontal="left"/>
    </xf>
    <xf numFmtId="0" fontId="6" fillId="0" borderId="71" xfId="0" applyFont="1" applyBorder="1" applyAlignment="1" applyProtection="1">
      <alignment horizontal="left"/>
    </xf>
    <xf numFmtId="0" fontId="33" fillId="3" borderId="3" xfId="0" applyFont="1" applyFill="1" applyBorder="1" applyAlignment="1">
      <alignment horizontal="center" vertical="center"/>
    </xf>
    <xf numFmtId="0" fontId="33" fillId="3" borderId="6" xfId="0" applyFont="1" applyFill="1" applyBorder="1" applyAlignment="1">
      <alignment horizontal="center" vertical="center"/>
    </xf>
    <xf numFmtId="0" fontId="33" fillId="3" borderId="4" xfId="0" applyFont="1" applyFill="1" applyBorder="1" applyAlignment="1">
      <alignment horizontal="center" vertical="center"/>
    </xf>
    <xf numFmtId="0" fontId="2" fillId="0" borderId="15" xfId="0" applyFont="1" applyBorder="1" applyAlignment="1" applyProtection="1">
      <alignment horizontal="center"/>
      <protection locked="0"/>
    </xf>
    <xf numFmtId="0" fontId="4" fillId="0" borderId="0" xfId="0" applyFont="1" applyAlignment="1">
      <alignment horizontal="center" vertical="center"/>
    </xf>
    <xf numFmtId="0" fontId="2" fillId="0" borderId="7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0" fontId="6" fillId="0" borderId="81" xfId="0" applyFont="1" applyBorder="1" applyAlignment="1">
      <alignment horizontal="left"/>
    </xf>
    <xf numFmtId="0" fontId="6" fillId="0" borderId="82" xfId="0" applyFont="1" applyBorder="1" applyAlignment="1">
      <alignment horizontal="left"/>
    </xf>
    <xf numFmtId="0" fontId="6" fillId="0" borderId="84" xfId="0" applyFont="1" applyBorder="1" applyAlignment="1">
      <alignment horizontal="left"/>
    </xf>
    <xf numFmtId="0" fontId="6" fillId="8" borderId="81" xfId="0" applyFont="1" applyFill="1" applyBorder="1" applyAlignment="1">
      <alignment horizontal="left"/>
    </xf>
    <xf numFmtId="0" fontId="6" fillId="8" borderId="82" xfId="0" applyFont="1" applyFill="1" applyBorder="1" applyAlignment="1">
      <alignment horizontal="left"/>
    </xf>
    <xf numFmtId="0" fontId="6" fillId="8" borderId="84" xfId="0" applyFont="1" applyFill="1" applyBorder="1" applyAlignment="1">
      <alignment horizontal="left"/>
    </xf>
    <xf numFmtId="0" fontId="44" fillId="14" borderId="0" xfId="0" applyFont="1" applyFill="1" applyBorder="1" applyAlignment="1">
      <alignment horizontal="center"/>
    </xf>
    <xf numFmtId="0" fontId="44" fillId="14" borderId="83" xfId="0" applyFont="1" applyFill="1" applyBorder="1" applyAlignment="1">
      <alignment horizontal="center"/>
    </xf>
    <xf numFmtId="0" fontId="7" fillId="0" borderId="0" xfId="0" applyFont="1" applyAlignment="1">
      <alignment horizontal="right"/>
    </xf>
    <xf numFmtId="0" fontId="46" fillId="13" borderId="0" xfId="0" applyFont="1" applyFill="1" applyAlignment="1">
      <alignment horizontal="center"/>
    </xf>
    <xf numFmtId="0" fontId="43" fillId="12" borderId="79" xfId="0" applyFont="1" applyFill="1" applyBorder="1" applyAlignment="1">
      <alignment horizontal="center"/>
    </xf>
    <xf numFmtId="0" fontId="43" fillId="12" borderId="0" xfId="0" applyFont="1" applyFill="1" applyBorder="1" applyAlignment="1">
      <alignment horizontal="center"/>
    </xf>
    <xf numFmtId="10" fontId="8" fillId="10" borderId="6" xfId="0" applyNumberFormat="1" applyFont="1" applyFill="1" applyBorder="1" applyAlignment="1">
      <alignment horizontal="center"/>
    </xf>
    <xf numFmtId="0" fontId="30" fillId="11" borderId="31" xfId="0" applyFont="1" applyFill="1" applyBorder="1" applyAlignment="1">
      <alignment horizontal="center" vertical="center" wrapText="1"/>
    </xf>
    <xf numFmtId="0" fontId="30" fillId="11" borderId="32" xfId="0" applyFont="1" applyFill="1" applyBorder="1" applyAlignment="1">
      <alignment horizontal="center" vertical="center" wrapText="1"/>
    </xf>
    <xf numFmtId="0" fontId="30" fillId="11" borderId="33" xfId="0" applyFont="1" applyFill="1" applyBorder="1" applyAlignment="1">
      <alignment horizontal="center" vertical="center" wrapText="1"/>
    </xf>
    <xf numFmtId="10" fontId="8" fillId="10" borderId="16" xfId="0" applyNumberFormat="1" applyFont="1" applyFill="1" applyBorder="1" applyAlignment="1">
      <alignment horizontal="center"/>
    </xf>
    <xf numFmtId="10" fontId="8" fillId="10" borderId="38" xfId="0" applyNumberFormat="1" applyFont="1" applyFill="1" applyBorder="1" applyAlignment="1">
      <alignment horizontal="center"/>
    </xf>
    <xf numFmtId="10" fontId="8" fillId="10" borderId="39" xfId="0" applyNumberFormat="1" applyFont="1" applyFill="1" applyBorder="1" applyAlignment="1">
      <alignment horizontal="center"/>
    </xf>
    <xf numFmtId="0" fontId="39" fillId="0" borderId="69" xfId="0" applyFont="1" applyFill="1" applyBorder="1" applyAlignment="1">
      <alignment horizontal="center" vertical="center"/>
    </xf>
    <xf numFmtId="0" fontId="39" fillId="0" borderId="70" xfId="0" applyFont="1" applyFill="1" applyBorder="1" applyAlignment="1">
      <alignment horizontal="center" vertical="center"/>
    </xf>
    <xf numFmtId="0" fontId="39" fillId="0" borderId="71" xfId="0" applyFont="1" applyFill="1" applyBorder="1" applyAlignment="1">
      <alignment horizontal="center" vertical="center"/>
    </xf>
    <xf numFmtId="0" fontId="30" fillId="11" borderId="31" xfId="0" applyFont="1" applyFill="1" applyBorder="1" applyAlignment="1">
      <alignment horizontal="center" vertical="center"/>
    </xf>
    <xf numFmtId="0" fontId="30" fillId="11" borderId="60" xfId="0" applyFont="1" applyFill="1" applyBorder="1" applyAlignment="1">
      <alignment horizontal="center" vertical="center"/>
    </xf>
    <xf numFmtId="0" fontId="30" fillId="11" borderId="32" xfId="0" applyFont="1" applyFill="1" applyBorder="1" applyAlignment="1">
      <alignment horizontal="center" vertical="center"/>
    </xf>
    <xf numFmtId="0" fontId="30" fillId="11" borderId="33" xfId="0" applyFont="1" applyFill="1" applyBorder="1" applyAlignment="1">
      <alignment horizontal="center" vertical="center"/>
    </xf>
    <xf numFmtId="10" fontId="8" fillId="10" borderId="68" xfId="0" applyNumberFormat="1" applyFont="1" applyFill="1" applyBorder="1" applyAlignment="1">
      <alignment horizontal="center"/>
    </xf>
    <xf numFmtId="0" fontId="32" fillId="2" borderId="12" xfId="0" applyFont="1" applyFill="1" applyBorder="1" applyAlignment="1">
      <alignment horizontal="center" vertical="center" wrapText="1"/>
    </xf>
    <xf numFmtId="0" fontId="32" fillId="2" borderId="8" xfId="0" applyFont="1" applyFill="1" applyBorder="1" applyAlignment="1">
      <alignment horizontal="center" vertical="center" wrapText="1"/>
    </xf>
    <xf numFmtId="0" fontId="32" fillId="2" borderId="1" xfId="0" applyFont="1" applyFill="1" applyBorder="1" applyAlignment="1">
      <alignment horizontal="center" vertical="center" wrapText="1"/>
    </xf>
    <xf numFmtId="0" fontId="32" fillId="2" borderId="9" xfId="0" applyFont="1" applyFill="1" applyBorder="1" applyAlignment="1">
      <alignment horizontal="center" vertical="center" wrapText="1"/>
    </xf>
    <xf numFmtId="0" fontId="32" fillId="2" borderId="5" xfId="0" applyFont="1" applyFill="1" applyBorder="1" applyAlignment="1">
      <alignment horizontal="center" textRotation="255"/>
    </xf>
    <xf numFmtId="0" fontId="32" fillId="2" borderId="13" xfId="0" applyFont="1" applyFill="1" applyBorder="1" applyAlignment="1">
      <alignment horizontal="center" textRotation="255"/>
    </xf>
    <xf numFmtId="0" fontId="32" fillId="2" borderId="11" xfId="0" applyFont="1" applyFill="1" applyBorder="1" applyAlignment="1">
      <alignment textRotation="255"/>
    </xf>
    <xf numFmtId="1" fontId="6" fillId="0" borderId="27" xfId="0" applyNumberFormat="1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1" fontId="6" fillId="0" borderId="52" xfId="0" applyNumberFormat="1" applyFont="1" applyBorder="1" applyAlignment="1">
      <alignment horizontal="center"/>
    </xf>
    <xf numFmtId="0" fontId="6" fillId="0" borderId="54" xfId="0" applyFont="1" applyBorder="1" applyAlignment="1">
      <alignment horizontal="center"/>
    </xf>
    <xf numFmtId="1" fontId="4" fillId="2" borderId="68" xfId="0" applyNumberFormat="1" applyFont="1" applyFill="1" applyBorder="1" applyAlignment="1">
      <alignment horizontal="center"/>
    </xf>
    <xf numFmtId="0" fontId="4" fillId="2" borderId="48" xfId="0" applyFont="1" applyFill="1" applyBorder="1" applyAlignment="1">
      <alignment horizontal="center"/>
    </xf>
    <xf numFmtId="0" fontId="10" fillId="2" borderId="6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28" fillId="3" borderId="6" xfId="0" applyFont="1" applyFill="1" applyBorder="1" applyAlignment="1">
      <alignment horizontal="center" vertical="center" wrapText="1"/>
    </xf>
    <xf numFmtId="0" fontId="28" fillId="3" borderId="4" xfId="0" applyFont="1" applyFill="1" applyBorder="1" applyAlignment="1">
      <alignment horizontal="center" vertical="center" wrapText="1"/>
    </xf>
    <xf numFmtId="0" fontId="24" fillId="2" borderId="7" xfId="0" applyFont="1" applyFill="1" applyBorder="1" applyAlignment="1">
      <alignment horizontal="center" vertical="center" wrapText="1"/>
    </xf>
    <xf numFmtId="0" fontId="24" fillId="2" borderId="1" xfId="0" applyFont="1" applyFill="1" applyBorder="1" applyAlignment="1">
      <alignment horizontal="center" vertical="center" wrapText="1"/>
    </xf>
    <xf numFmtId="0" fontId="24" fillId="2" borderId="2" xfId="0" applyFont="1" applyFill="1" applyBorder="1" applyAlignment="1">
      <alignment horizontal="center" vertical="center" wrapText="1"/>
    </xf>
    <xf numFmtId="0" fontId="12" fillId="9" borderId="44" xfId="0" applyFont="1" applyFill="1" applyBorder="1" applyAlignment="1">
      <alignment horizontal="center" vertical="center" wrapText="1"/>
    </xf>
    <xf numFmtId="0" fontId="12" fillId="9" borderId="45" xfId="0" applyFont="1" applyFill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 wrapText="1"/>
    </xf>
    <xf numFmtId="0" fontId="30" fillId="0" borderId="0" xfId="0" applyFont="1" applyAlignment="1">
      <alignment horizontal="left"/>
    </xf>
    <xf numFmtId="10" fontId="6" fillId="0" borderId="64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10" fontId="6" fillId="0" borderId="62" xfId="0" applyNumberFormat="1" applyFont="1" applyBorder="1" applyAlignment="1">
      <alignment horizontal="center"/>
    </xf>
    <xf numFmtId="0" fontId="6" fillId="0" borderId="53" xfId="0" applyFont="1" applyBorder="1" applyAlignment="1">
      <alignment horizontal="center"/>
    </xf>
    <xf numFmtId="0" fontId="6" fillId="0" borderId="55" xfId="0" applyFont="1" applyBorder="1" applyAlignment="1">
      <alignment horizontal="center"/>
    </xf>
    <xf numFmtId="0" fontId="6" fillId="0" borderId="56" xfId="0" applyFont="1" applyBorder="1" applyAlignment="1">
      <alignment horizontal="center"/>
    </xf>
    <xf numFmtId="0" fontId="6" fillId="0" borderId="73" xfId="0" applyFont="1" applyBorder="1" applyAlignment="1">
      <alignment horizontal="left"/>
    </xf>
    <xf numFmtId="0" fontId="6" fillId="0" borderId="56" xfId="0" applyFont="1" applyBorder="1" applyAlignment="1">
      <alignment horizontal="left"/>
    </xf>
    <xf numFmtId="0" fontId="6" fillId="0" borderId="57" xfId="0" applyFont="1" applyBorder="1" applyAlignment="1">
      <alignment horizontal="left"/>
    </xf>
    <xf numFmtId="10" fontId="35" fillId="3" borderId="48" xfId="0" applyNumberFormat="1" applyFont="1" applyFill="1" applyBorder="1" applyAlignment="1">
      <alignment horizontal="center"/>
    </xf>
    <xf numFmtId="0" fontId="35" fillId="3" borderId="6" xfId="0" applyFont="1" applyFill="1" applyBorder="1" applyAlignment="1">
      <alignment horizontal="center"/>
    </xf>
    <xf numFmtId="0" fontId="35" fillId="3" borderId="4" xfId="0" applyFont="1" applyFill="1" applyBorder="1" applyAlignment="1">
      <alignment horizontal="center"/>
    </xf>
    <xf numFmtId="0" fontId="0" fillId="0" borderId="15" xfId="0" applyBorder="1" applyAlignment="1">
      <alignment horizontal="right"/>
    </xf>
    <xf numFmtId="0" fontId="0" fillId="0" borderId="0" xfId="0" applyAlignment="1">
      <alignment horizontal="right"/>
    </xf>
    <xf numFmtId="0" fontId="48" fillId="2" borderId="3" xfId="0" applyFont="1" applyFill="1" applyBorder="1" applyAlignment="1">
      <alignment horizontal="center" vertical="center"/>
    </xf>
    <xf numFmtId="0" fontId="48" fillId="2" borderId="6" xfId="0" applyFont="1" applyFill="1" applyBorder="1" applyAlignment="1">
      <alignment horizontal="center" vertical="center"/>
    </xf>
    <xf numFmtId="1" fontId="48" fillId="2" borderId="6" xfId="0" applyNumberFormat="1" applyFont="1" applyFill="1" applyBorder="1" applyAlignment="1">
      <alignment horizontal="center" vertical="center"/>
    </xf>
    <xf numFmtId="1" fontId="48" fillId="2" borderId="4" xfId="0" applyNumberFormat="1" applyFont="1" applyFill="1" applyBorder="1" applyAlignment="1">
      <alignment horizontal="center" vertical="center"/>
    </xf>
    <xf numFmtId="0" fontId="42" fillId="2" borderId="32" xfId="0" applyFont="1" applyFill="1" applyBorder="1" applyAlignment="1">
      <alignment horizontal="center" vertical="center"/>
    </xf>
    <xf numFmtId="0" fontId="42" fillId="2" borderId="33" xfId="0" applyFont="1" applyFill="1" applyBorder="1" applyAlignment="1">
      <alignment horizontal="center" vertical="center"/>
    </xf>
    <xf numFmtId="0" fontId="42" fillId="0" borderId="35" xfId="0" applyFont="1" applyFill="1" applyBorder="1" applyAlignment="1">
      <alignment horizontal="center" vertical="center"/>
    </xf>
    <xf numFmtId="0" fontId="42" fillId="0" borderId="36" xfId="0" applyFont="1" applyFill="1" applyBorder="1" applyAlignment="1">
      <alignment horizontal="center" vertical="center"/>
    </xf>
    <xf numFmtId="10" fontId="23" fillId="2" borderId="3" xfId="1" applyNumberFormat="1" applyFont="1" applyFill="1" applyBorder="1" applyAlignment="1">
      <alignment horizontal="center"/>
    </xf>
    <xf numFmtId="10" fontId="23" fillId="2" borderId="6" xfId="1" applyNumberFormat="1" applyFont="1" applyFill="1" applyBorder="1" applyAlignment="1">
      <alignment horizontal="center"/>
    </xf>
    <xf numFmtId="10" fontId="23" fillId="2" borderId="4" xfId="1" applyNumberFormat="1" applyFont="1" applyFill="1" applyBorder="1" applyAlignment="1">
      <alignment horizontal="center"/>
    </xf>
    <xf numFmtId="0" fontId="24" fillId="2" borderId="7" xfId="0" applyFont="1" applyFill="1" applyBorder="1" applyAlignment="1">
      <alignment horizontal="center" vertical="center"/>
    </xf>
    <xf numFmtId="0" fontId="24" fillId="2" borderId="1" xfId="0" applyFont="1" applyFill="1" applyBorder="1" applyAlignment="1">
      <alignment horizontal="center" vertical="center"/>
    </xf>
    <xf numFmtId="0" fontId="24" fillId="2" borderId="2" xfId="0" applyFont="1" applyFill="1" applyBorder="1" applyAlignment="1">
      <alignment horizontal="center" vertical="center"/>
    </xf>
    <xf numFmtId="0" fontId="42" fillId="2" borderId="31" xfId="0" applyFont="1" applyFill="1" applyBorder="1" applyAlignment="1">
      <alignment horizontal="center" vertical="center"/>
    </xf>
    <xf numFmtId="0" fontId="42" fillId="2" borderId="60" xfId="0" applyFont="1" applyFill="1" applyBorder="1" applyAlignment="1">
      <alignment horizontal="center" vertical="center"/>
    </xf>
    <xf numFmtId="1" fontId="42" fillId="0" borderId="34" xfId="0" applyNumberFormat="1" applyFont="1" applyFill="1" applyBorder="1" applyAlignment="1">
      <alignment horizontal="center" vertical="center"/>
    </xf>
    <xf numFmtId="1" fontId="42" fillId="0" borderId="85" xfId="0" applyNumberFormat="1" applyFont="1" applyFill="1" applyBorder="1" applyAlignment="1">
      <alignment horizontal="center" vertical="center"/>
    </xf>
    <xf numFmtId="1" fontId="42" fillId="0" borderId="35" xfId="0" applyNumberFormat="1" applyFont="1" applyFill="1" applyBorder="1" applyAlignment="1">
      <alignment horizontal="center" vertical="center"/>
    </xf>
    <xf numFmtId="0" fontId="42" fillId="0" borderId="35" xfId="0" applyFont="1" applyFill="1" applyBorder="1" applyAlignment="1">
      <alignment horizontal="center" vertical="center" wrapText="1"/>
    </xf>
    <xf numFmtId="0" fontId="41" fillId="0" borderId="6" xfId="0" applyFont="1" applyBorder="1" applyAlignment="1">
      <alignment horizontal="left"/>
    </xf>
    <xf numFmtId="0" fontId="41" fillId="0" borderId="4" xfId="0" applyFont="1" applyBorder="1" applyAlignment="1">
      <alignment horizontal="left"/>
    </xf>
    <xf numFmtId="0" fontId="23" fillId="6" borderId="7" xfId="0" applyFont="1" applyFill="1" applyBorder="1" applyAlignment="1">
      <alignment horizontal="center" vertical="center"/>
    </xf>
    <xf numFmtId="0" fontId="23" fillId="6" borderId="1" xfId="0" applyFont="1" applyFill="1" applyBorder="1" applyAlignment="1">
      <alignment horizontal="center" vertical="center"/>
    </xf>
    <xf numFmtId="0" fontId="23" fillId="6" borderId="2" xfId="0" applyFont="1" applyFill="1" applyBorder="1" applyAlignment="1">
      <alignment horizontal="center" vertical="center"/>
    </xf>
    <xf numFmtId="0" fontId="48" fillId="18" borderId="3" xfId="0" applyFont="1" applyFill="1" applyBorder="1" applyAlignment="1">
      <alignment horizontal="center" vertical="center" wrapText="1"/>
    </xf>
    <xf numFmtId="0" fontId="48" fillId="18" borderId="6" xfId="0" applyFont="1" applyFill="1" applyBorder="1" applyAlignment="1">
      <alignment horizontal="center" vertical="center" wrapText="1"/>
    </xf>
    <xf numFmtId="0" fontId="48" fillId="16" borderId="3" xfId="0" applyFont="1" applyFill="1" applyBorder="1" applyAlignment="1">
      <alignment horizontal="center" vertical="center" wrapText="1"/>
    </xf>
    <xf numFmtId="0" fontId="48" fillId="16" borderId="6" xfId="0" applyFont="1" applyFill="1" applyBorder="1" applyAlignment="1">
      <alignment horizontal="center" vertical="center" wrapText="1"/>
    </xf>
    <xf numFmtId="0" fontId="48" fillId="3" borderId="3" xfId="0" applyFont="1" applyFill="1" applyBorder="1" applyAlignment="1">
      <alignment horizontal="center" vertical="center" wrapText="1"/>
    </xf>
    <xf numFmtId="0" fontId="48" fillId="3" borderId="6" xfId="0" applyFont="1" applyFill="1" applyBorder="1" applyAlignment="1">
      <alignment horizontal="center" vertical="center" wrapText="1"/>
    </xf>
    <xf numFmtId="43" fontId="48" fillId="3" borderId="6" xfId="2" applyFont="1" applyFill="1" applyBorder="1" applyAlignment="1">
      <alignment vertical="center"/>
    </xf>
    <xf numFmtId="43" fontId="48" fillId="3" borderId="4" xfId="2" applyFont="1" applyFill="1" applyBorder="1" applyAlignment="1">
      <alignment vertical="center"/>
    </xf>
    <xf numFmtId="0" fontId="48" fillId="10" borderId="3" xfId="0" applyFont="1" applyFill="1" applyBorder="1" applyAlignment="1">
      <alignment horizontal="center" vertical="center"/>
    </xf>
    <xf numFmtId="0" fontId="48" fillId="10" borderId="6" xfId="0" applyFont="1" applyFill="1" applyBorder="1" applyAlignment="1">
      <alignment horizontal="center" vertical="center"/>
    </xf>
    <xf numFmtId="0" fontId="39" fillId="0" borderId="44" xfId="0" applyFont="1" applyFill="1" applyBorder="1" applyAlignment="1">
      <alignment horizontal="center" vertical="center"/>
    </xf>
    <xf numFmtId="0" fontId="39" fillId="0" borderId="47" xfId="0" applyFont="1" applyFill="1" applyBorder="1" applyAlignment="1">
      <alignment horizontal="center" vertical="center"/>
    </xf>
    <xf numFmtId="0" fontId="39" fillId="0" borderId="45" xfId="0" applyFont="1" applyFill="1" applyBorder="1" applyAlignment="1">
      <alignment horizontal="center" vertical="center"/>
    </xf>
    <xf numFmtId="0" fontId="39" fillId="0" borderId="46" xfId="0" applyFont="1" applyFill="1" applyBorder="1" applyAlignment="1">
      <alignment horizontal="center" vertical="center"/>
    </xf>
    <xf numFmtId="0" fontId="39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0" fillId="11" borderId="28" xfId="0" applyFont="1" applyFill="1" applyBorder="1" applyAlignment="1">
      <alignment horizontal="center" vertical="center" wrapText="1"/>
    </xf>
    <xf numFmtId="0" fontId="39" fillId="0" borderId="70" xfId="0" applyFont="1" applyFill="1" applyBorder="1" applyAlignment="1">
      <alignment horizontal="center" vertical="center" wrapText="1"/>
    </xf>
    <xf numFmtId="0" fontId="42" fillId="0" borderId="6" xfId="0" applyFont="1" applyBorder="1" applyAlignment="1">
      <alignment horizontal="left" vertical="center"/>
    </xf>
    <xf numFmtId="0" fontId="42" fillId="0" borderId="4" xfId="0" applyFont="1" applyBorder="1" applyAlignment="1">
      <alignment horizontal="left" vertical="center"/>
    </xf>
    <xf numFmtId="2" fontId="42" fillId="0" borderId="6" xfId="0" applyNumberFormat="1" applyFont="1" applyBorder="1" applyAlignment="1">
      <alignment horizontal="left" vertical="center"/>
    </xf>
    <xf numFmtId="2" fontId="42" fillId="0" borderId="4" xfId="0" applyNumberFormat="1" applyFont="1" applyBorder="1" applyAlignment="1">
      <alignment horizontal="left" vertical="center"/>
    </xf>
    <xf numFmtId="0" fontId="41" fillId="6" borderId="31" xfId="0" applyFont="1" applyFill="1" applyBorder="1" applyAlignment="1">
      <alignment horizontal="center" vertical="center"/>
    </xf>
    <xf numFmtId="0" fontId="41" fillId="6" borderId="60" xfId="0" applyFont="1" applyFill="1" applyBorder="1" applyAlignment="1">
      <alignment horizontal="center" vertical="center"/>
    </xf>
    <xf numFmtId="0" fontId="41" fillId="6" borderId="32" xfId="0" applyFont="1" applyFill="1" applyBorder="1" applyAlignment="1">
      <alignment horizontal="center" vertical="center"/>
    </xf>
    <xf numFmtId="0" fontId="41" fillId="6" borderId="33" xfId="0" applyFont="1" applyFill="1" applyBorder="1" applyAlignment="1">
      <alignment horizontal="center" vertical="center"/>
    </xf>
    <xf numFmtId="0" fontId="41" fillId="0" borderId="34" xfId="0" applyFont="1" applyFill="1" applyBorder="1" applyAlignment="1">
      <alignment horizontal="center" vertical="center"/>
    </xf>
    <xf numFmtId="0" fontId="41" fillId="0" borderId="85" xfId="0" applyFont="1" applyFill="1" applyBorder="1" applyAlignment="1">
      <alignment horizontal="center" vertical="center"/>
    </xf>
    <xf numFmtId="0" fontId="41" fillId="0" borderId="35" xfId="0" applyFont="1" applyFill="1" applyBorder="1" applyAlignment="1">
      <alignment horizontal="center" vertical="center"/>
    </xf>
    <xf numFmtId="0" fontId="41" fillId="0" borderId="36" xfId="0" applyFont="1" applyFill="1" applyBorder="1" applyAlignment="1">
      <alignment horizontal="center" vertical="center"/>
    </xf>
    <xf numFmtId="10" fontId="23" fillId="9" borderId="12" xfId="1" applyNumberFormat="1" applyFont="1" applyFill="1" applyBorder="1" applyAlignment="1">
      <alignment horizontal="center"/>
    </xf>
    <xf numFmtId="10" fontId="23" fillId="9" borderId="8" xfId="1" applyNumberFormat="1" applyFont="1" applyFill="1" applyBorder="1" applyAlignment="1">
      <alignment horizontal="center"/>
    </xf>
    <xf numFmtId="10" fontId="23" fillId="9" borderId="9" xfId="1" applyNumberFormat="1" applyFont="1" applyFill="1" applyBorder="1" applyAlignment="1">
      <alignment horizontal="center"/>
    </xf>
    <xf numFmtId="0" fontId="41" fillId="0" borderId="34" xfId="0" applyFont="1" applyFill="1" applyBorder="1" applyAlignment="1">
      <alignment horizontal="center" vertical="center" wrapText="1"/>
    </xf>
    <xf numFmtId="0" fontId="41" fillId="0" borderId="35" xfId="0" applyFont="1" applyFill="1" applyBorder="1" applyAlignment="1">
      <alignment horizontal="center" vertical="center" wrapText="1"/>
    </xf>
    <xf numFmtId="0" fontId="41" fillId="0" borderId="36" xfId="0" applyFont="1" applyFill="1" applyBorder="1" applyAlignment="1">
      <alignment horizontal="center" vertical="center" wrapText="1"/>
    </xf>
    <xf numFmtId="0" fontId="65" fillId="0" borderId="92" xfId="0" applyFont="1" applyBorder="1" applyAlignment="1">
      <alignment horizontal="left" vertical="top"/>
    </xf>
    <xf numFmtId="0" fontId="69" fillId="0" borderId="126" xfId="0" applyFont="1" applyBorder="1" applyAlignment="1">
      <alignment horizontal="left" vertical="center"/>
    </xf>
    <xf numFmtId="0" fontId="65" fillId="24" borderId="116" xfId="0" applyFont="1" applyFill="1" applyBorder="1" applyAlignment="1">
      <alignment horizontal="left" vertical="center" wrapText="1"/>
    </xf>
    <xf numFmtId="0" fontId="66" fillId="0" borderId="112" xfId="0" applyFont="1" applyBorder="1" applyAlignment="1">
      <alignment horizontal="left" vertical="center" wrapText="1"/>
    </xf>
    <xf numFmtId="0" fontId="70" fillId="0" borderId="127" xfId="0" applyFont="1" applyFill="1" applyBorder="1" applyAlignment="1">
      <alignment horizontal="center" vertical="center" wrapText="1"/>
    </xf>
    <xf numFmtId="0" fontId="65" fillId="23" borderId="115" xfId="0" applyFont="1" applyFill="1" applyBorder="1" applyAlignment="1">
      <alignment horizontal="center" vertical="center"/>
    </xf>
    <xf numFmtId="164" fontId="65" fillId="0" borderId="117" xfId="0" applyNumberFormat="1" applyFont="1" applyFill="1" applyBorder="1" applyAlignment="1">
      <alignment horizontal="center" vertical="center"/>
    </xf>
    <xf numFmtId="0" fontId="65" fillId="23" borderId="105" xfId="0" applyFont="1" applyFill="1" applyBorder="1" applyAlignment="1">
      <alignment horizontal="left" vertical="center" wrapText="1"/>
    </xf>
    <xf numFmtId="0" fontId="65" fillId="23" borderId="123" xfId="0" applyFont="1" applyFill="1" applyBorder="1" applyAlignment="1">
      <alignment horizontal="center" vertical="center" wrapText="1"/>
    </xf>
    <xf numFmtId="0" fontId="65" fillId="23" borderId="124" xfId="0" applyFont="1" applyFill="1" applyBorder="1" applyAlignment="1">
      <alignment horizontal="center" vertical="center"/>
    </xf>
    <xf numFmtId="164" fontId="65" fillId="23" borderId="117" xfId="0" applyNumberFormat="1" applyFont="1" applyFill="1" applyBorder="1" applyAlignment="1">
      <alignment horizontal="center" vertical="center" wrapText="1"/>
    </xf>
    <xf numFmtId="164" fontId="65" fillId="23" borderId="118" xfId="0" applyNumberFormat="1" applyFont="1" applyFill="1" applyBorder="1" applyAlignment="1">
      <alignment horizontal="center" vertical="center"/>
    </xf>
    <xf numFmtId="0" fontId="67" fillId="24" borderId="104" xfId="0" applyFont="1" applyFill="1" applyBorder="1" applyAlignment="1">
      <alignment horizontal="center" vertical="center"/>
    </xf>
    <xf numFmtId="0" fontId="65" fillId="23" borderId="115" xfId="0" applyFont="1" applyFill="1" applyBorder="1" applyAlignment="1">
      <alignment horizontal="center" vertical="center" wrapText="1"/>
    </xf>
    <xf numFmtId="0" fontId="65" fillId="23" borderId="116" xfId="0" applyFont="1" applyFill="1" applyBorder="1" applyAlignment="1">
      <alignment horizontal="center" vertical="center"/>
    </xf>
    <xf numFmtId="0" fontId="65" fillId="24" borderId="100" xfId="0" applyFont="1" applyFill="1" applyBorder="1" applyAlignment="1">
      <alignment horizontal="left" vertical="center" wrapText="1"/>
    </xf>
    <xf numFmtId="0" fontId="65" fillId="24" borderId="101" xfId="0" applyFont="1" applyFill="1" applyBorder="1" applyAlignment="1">
      <alignment horizontal="center" vertical="center" wrapText="1"/>
    </xf>
    <xf numFmtId="0" fontId="65" fillId="24" borderId="102" xfId="0" applyFont="1" applyFill="1" applyBorder="1" applyAlignment="1">
      <alignment horizontal="center" vertical="center"/>
    </xf>
    <xf numFmtId="0" fontId="67" fillId="24" borderId="120" xfId="0" applyFont="1" applyFill="1" applyBorder="1" applyAlignment="1">
      <alignment horizontal="center" vertical="center"/>
    </xf>
    <xf numFmtId="0" fontId="65" fillId="23" borderId="116" xfId="0" applyFont="1" applyFill="1" applyBorder="1" applyAlignment="1">
      <alignment horizontal="center" vertical="center" wrapText="1"/>
    </xf>
    <xf numFmtId="0" fontId="65" fillId="24" borderId="119" xfId="0" applyFont="1" applyFill="1" applyBorder="1" applyAlignment="1">
      <alignment horizontal="left" vertical="center" wrapText="1"/>
    </xf>
    <xf numFmtId="0" fontId="65" fillId="24" borderId="103" xfId="0" applyFont="1" applyFill="1" applyBorder="1" applyAlignment="1">
      <alignment horizontal="center" vertical="center" wrapText="1"/>
    </xf>
    <xf numFmtId="0" fontId="0" fillId="0" borderId="95" xfId="0" applyFont="1" applyBorder="1" applyAlignment="1">
      <alignment horizontal="right" vertical="center" wrapText="1"/>
    </xf>
    <xf numFmtId="0" fontId="62" fillId="0" borderId="95" xfId="0" applyFont="1" applyBorder="1" applyAlignment="1">
      <alignment horizontal="right" vertical="center" wrapText="1"/>
    </xf>
    <xf numFmtId="0" fontId="62" fillId="0" borderId="0" xfId="0" applyFont="1" applyBorder="1" applyAlignment="1">
      <alignment horizontal="left" vertical="center"/>
    </xf>
    <xf numFmtId="0" fontId="65" fillId="24" borderId="104" xfId="0" applyFont="1" applyFill="1" applyBorder="1" applyAlignment="1">
      <alignment horizontal="center" vertical="center"/>
    </xf>
    <xf numFmtId="0" fontId="60" fillId="22" borderId="92" xfId="0" applyFont="1" applyFill="1" applyBorder="1" applyAlignment="1">
      <alignment horizontal="center" vertical="center" wrapText="1"/>
    </xf>
    <xf numFmtId="14" fontId="61" fillId="0" borderId="93" xfId="0" applyNumberFormat="1" applyFont="1" applyBorder="1" applyAlignment="1">
      <alignment horizontal="center" vertical="center"/>
    </xf>
    <xf numFmtId="0" fontId="61" fillId="0" borderId="93" xfId="0" applyFont="1" applyBorder="1" applyAlignment="1">
      <alignment horizontal="center" vertical="center"/>
    </xf>
    <xf numFmtId="0" fontId="63" fillId="0" borderId="0" xfId="0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2" fillId="23" borderId="94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757"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4" formatCode="0.00%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4506668294322"/>
        </right>
        <top style="thin">
          <color theme="4" tint="0.39997558519241921"/>
        </top>
        <bottom style="thin">
          <color theme="4" tint="0.39997558519241921"/>
        </bottom>
        <vertical/>
        <horizontal style="thin">
          <color theme="4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name val="Arial"/>
        <scheme val="none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 val="0"/>
        <i val="0"/>
        <color rgb="FFC00000"/>
      </font>
    </dxf>
    <dxf>
      <font>
        <color rgb="FFFF6600"/>
      </font>
    </dxf>
    <dxf>
      <font>
        <color theme="6" tint="-0.499984740745262"/>
      </font>
    </dxf>
    <dxf>
      <font>
        <b/>
        <i val="0"/>
        <color rgb="FFC0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</dxfs>
  <tableStyles count="0" defaultTableStyle="TableStyleMedium2" defaultPivotStyle="PivotStyleLight16"/>
  <colors>
    <mruColors>
      <color rgb="FFF1F5E7"/>
      <color rgb="FFDBE6C4"/>
      <color rgb="FFFFFFCC"/>
      <color rgb="FF66FF33"/>
      <color rgb="FF00CC00"/>
      <color rgb="FFFFFFFF"/>
      <color rgb="FFCC99FF"/>
      <color rgb="FFFF6600"/>
      <color rgb="FF0000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des erreurs</a:t>
            </a:r>
            <a:r>
              <a:rPr lang="fr-FR" baseline="0"/>
              <a:t> prestations et situations</a:t>
            </a:r>
            <a:endParaRPr lang="fr-FR"/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Feuil1!$R$5:$R$19</c:f>
              <c:strCache>
                <c:ptCount val="1"/>
                <c:pt idx="0">
                  <c:v>2 0 1 1 2 2 2 1 8 2 2 1 3 3 3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Feuil1!$A$5:$A$19</c:f>
              <c:strCache>
                <c:ptCount val="15"/>
                <c:pt idx="0">
                  <c:v>AB</c:v>
                </c:pt>
                <c:pt idx="1">
                  <c:v>AF</c:v>
                </c:pt>
                <c:pt idx="2">
                  <c:v>CF</c:v>
                </c:pt>
                <c:pt idx="3">
                  <c:v>PN</c:v>
                </c:pt>
                <c:pt idx="4">
                  <c:v>RESS</c:v>
                </c:pt>
                <c:pt idx="5">
                  <c:v>SITFAM</c:v>
                </c:pt>
                <c:pt idx="6">
                  <c:v>SITPRO</c:v>
                </c:pt>
                <c:pt idx="7">
                  <c:v>TITSEJ</c:v>
                </c:pt>
                <c:pt idx="8">
                  <c:v>AL</c:v>
                </c:pt>
                <c:pt idx="9">
                  <c:v>MUT</c:v>
                </c:pt>
                <c:pt idx="10">
                  <c:v>PPE</c:v>
                </c:pt>
                <c:pt idx="11">
                  <c:v>CMG</c:v>
                </c:pt>
                <c:pt idx="12">
                  <c:v>ASF</c:v>
                </c:pt>
                <c:pt idx="13">
                  <c:v>RSA</c:v>
                </c:pt>
                <c:pt idx="14">
                  <c:v>PPA</c:v>
                </c:pt>
              </c:strCache>
            </c:strRef>
          </c:cat>
          <c:val>
            <c:numRef>
              <c:f>Feuil1!$R$5:$R$19</c:f>
              <c:numCache>
                <c:formatCode>General</c:formatCode>
                <c:ptCount val="15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8</c:v>
                </c:pt>
                <c:pt idx="9">
                  <c:v>2</c:v>
                </c:pt>
                <c:pt idx="10">
                  <c:v>2</c:v>
                </c:pt>
                <c:pt idx="11">
                  <c:v>1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des erreurs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'Recap Analyse'!$B$2:$B$19</c:f>
              <c:strCache>
                <c:ptCount val="18"/>
                <c:pt idx="0">
                  <c:v>Lit et analyse l'ensemble des pièces</c:v>
                </c:pt>
                <c:pt idx="1">
                  <c:v>Apprécie la validité des pièces</c:v>
                </c:pt>
                <c:pt idx="2">
                  <c:v>Vérifie l'exhaustivité des pièces ( à réclamer ou dans le Sdp)</c:v>
                </c:pt>
                <c:pt idx="3">
                  <c:v>Détermine les droits réels</c:v>
                </c:pt>
                <c:pt idx="4">
                  <c:v>Détermine les droits potentiels</c:v>
                </c:pt>
                <c:pt idx="5">
                  <c:v>Vérifie la cohérence droits attendus et réels</c:v>
                </c:pt>
                <c:pt idx="6">
                  <c:v>Choisit les Fg pertinents</c:v>
                </c:pt>
                <c:pt idx="7">
                  <c:v>Saisit correctement les informations</c:v>
                </c:pt>
                <c:pt idx="8">
                  <c:v>Met en instance le dossier à bon escient</c:v>
                </c:pt>
                <c:pt idx="9">
                  <c:v>Met à jour le Sdp</c:v>
                </c:pt>
                <c:pt idx="10">
                  <c:v>Apprécie l'opportunité d'une coproduction</c:v>
                </c:pt>
                <c:pt idx="11">
                  <c:v>S'adapte au circuit interne de travail</c:v>
                </c:pt>
                <c:pt idx="12">
                  <c:v>Applique les procédures de travail spécifiques à la Caf</c:v>
                </c:pt>
                <c:pt idx="13">
                  <c:v>Sait organiser son travail pour gagner en efficacité de traitement</c:v>
                </c:pt>
                <c:pt idx="14">
                  <c:v>Sait planifier son activité et ses priorités</c:v>
                </c:pt>
                <c:pt idx="15">
                  <c:v>Outils de production (Cristal, Sdp…)</c:v>
                </c:pt>
                <c:pt idx="16">
                  <c:v>Outils documentaires (@doc)</c:v>
                </c:pt>
                <c:pt idx="17">
                  <c:v>Exploitation simultanée (Navigation)</c:v>
                </c:pt>
              </c:strCache>
            </c:strRef>
          </c:cat>
          <c:val>
            <c:numRef>
              <c:f>'Recap Analyse'!$C$2:$C$19</c:f>
              <c:numCache>
                <c:formatCode>General</c:formatCode>
                <c:ptCount val="18"/>
                <c:pt idx="0">
                  <c:v>13</c:v>
                </c:pt>
                <c:pt idx="1">
                  <c:v>4</c:v>
                </c:pt>
                <c:pt idx="2">
                  <c:v>6</c:v>
                </c:pt>
                <c:pt idx="3">
                  <c:v>2</c:v>
                </c:pt>
                <c:pt idx="4">
                  <c:v>2</c:v>
                </c:pt>
                <c:pt idx="5">
                  <c:v>10</c:v>
                </c:pt>
                <c:pt idx="6">
                  <c:v>5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301580457006058"/>
          <c:y val="2.6729292563183349E-2"/>
          <c:w val="0.35102516447160054"/>
          <c:h val="0.9732707074368166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685799</xdr:colOff>
      <xdr:row>17</xdr:row>
      <xdr:rowOff>28575</xdr:rowOff>
    </xdr:from>
    <xdr:to>
      <xdr:col>5</xdr:col>
      <xdr:colOff>19049</xdr:colOff>
      <xdr:row>20</xdr:row>
      <xdr:rowOff>0</xdr:rowOff>
    </xdr:to>
    <xdr:sp macro="" textlink="">
      <xdr:nvSpPr>
        <xdr:cNvPr id="3" name="Accolade fermante 2"/>
        <xdr:cNvSpPr/>
      </xdr:nvSpPr>
      <xdr:spPr>
        <a:xfrm>
          <a:off x="3419474" y="3533775"/>
          <a:ext cx="257175" cy="5715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276224</xdr:colOff>
      <xdr:row>21</xdr:row>
      <xdr:rowOff>0</xdr:rowOff>
    </xdr:from>
    <xdr:to>
      <xdr:col>6</xdr:col>
      <xdr:colOff>533400</xdr:colOff>
      <xdr:row>23</xdr:row>
      <xdr:rowOff>171450</xdr:rowOff>
    </xdr:to>
    <xdr:sp macro="" textlink="">
      <xdr:nvSpPr>
        <xdr:cNvPr id="4" name="Accolade fermante 3"/>
        <xdr:cNvSpPr/>
      </xdr:nvSpPr>
      <xdr:spPr>
        <a:xfrm>
          <a:off x="4476749" y="4305300"/>
          <a:ext cx="257176" cy="571500"/>
        </a:xfrm>
        <a:prstGeom prst="rightBrace">
          <a:avLst>
            <a:gd name="adj1" fmla="val 8333"/>
            <a:gd name="adj2" fmla="val 51667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25401</xdr:colOff>
      <xdr:row>2</xdr:row>
      <xdr:rowOff>0</xdr:rowOff>
    </xdr:from>
    <xdr:to>
      <xdr:col>5</xdr:col>
      <xdr:colOff>349251</xdr:colOff>
      <xdr:row>22</xdr:row>
      <xdr:rowOff>82550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476251</xdr:colOff>
      <xdr:row>2</xdr:row>
      <xdr:rowOff>12700</xdr:rowOff>
    </xdr:from>
    <xdr:to>
      <xdr:col>15</xdr:col>
      <xdr:colOff>647700</xdr:colOff>
      <xdr:row>22</xdr:row>
      <xdr:rowOff>98426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5" name="Tableau16" displayName="Tableau16" ref="B1:D19" totalsRowShown="0" headerRowDxfId="5" dataDxfId="4" tableBorderDxfId="3">
  <sortState ref="B2:C19">
    <sortCondition ref="B2"/>
  </sortState>
  <tableColumns count="3">
    <tableColumn id="1" name="libelle" dataDxfId="2"/>
    <tableColumn id="2" name="TOTAL" dataDxfId="1">
      <calculatedColumnFormula>SUM(E2:S2)</calculatedColumnFormula>
    </tableColumn>
    <tableColumn id="5" name="Taux" dataDxfId="0">
      <calculatedColumnFormula>IF(Tableau16[[#This Row],[TOTAL]]=0,"",Tableau16[[#This Row],[TOTAL]]/'Recap Edition'!$L$28)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61"/>
  <sheetViews>
    <sheetView workbookViewId="0">
      <selection activeCell="H12" sqref="H12"/>
    </sheetView>
  </sheetViews>
  <sheetFormatPr baseColWidth="10" defaultRowHeight="14.5" x14ac:dyDescent="0.35"/>
  <cols>
    <col min="1" max="1" width="10.453125" customWidth="1"/>
    <col min="2" max="2" width="10.81640625" customWidth="1"/>
    <col min="3" max="3" width="7.81640625" customWidth="1"/>
    <col min="4" max="4" width="10.7265625" customWidth="1"/>
    <col min="5" max="5" width="12.26953125" customWidth="1"/>
    <col min="6" max="6" width="9.54296875" customWidth="1"/>
    <col min="7" max="7" width="10" customWidth="1"/>
    <col min="8" max="8" width="15" customWidth="1"/>
    <col min="10" max="10" width="5" customWidth="1"/>
    <col min="11" max="11" width="12.26953125" customWidth="1"/>
    <col min="12" max="12" width="4.54296875" customWidth="1"/>
    <col min="13" max="13" width="4.26953125" customWidth="1"/>
    <col min="14" max="14" width="5.81640625" customWidth="1"/>
    <col min="16" max="16" width="8.7265625" customWidth="1"/>
    <col min="17" max="17" width="5.54296875" customWidth="1"/>
  </cols>
  <sheetData>
    <row r="1" spans="1:20" ht="23.15" x14ac:dyDescent="0.35">
      <c r="A1" s="457" t="s">
        <v>171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267"/>
      <c r="P1" s="267"/>
      <c r="Q1" s="267"/>
      <c r="R1" s="267"/>
      <c r="S1" s="267"/>
      <c r="T1" s="267"/>
    </row>
    <row r="2" spans="1:20" x14ac:dyDescent="0.35">
      <c r="P2" s="438" t="s">
        <v>173</v>
      </c>
      <c r="Q2" s="438"/>
    </row>
    <row r="3" spans="1:20" ht="15.5" x14ac:dyDescent="0.35">
      <c r="A3" s="86" t="s">
        <v>76</v>
      </c>
      <c r="B3" s="86"/>
      <c r="C3" s="86"/>
      <c r="D3" s="264"/>
      <c r="E3" s="264"/>
      <c r="F3" s="264"/>
      <c r="G3" s="264"/>
      <c r="H3" s="318" t="s">
        <v>94</v>
      </c>
      <c r="I3" s="167"/>
      <c r="P3" s="438"/>
      <c r="Q3" s="438"/>
    </row>
    <row r="4" spans="1:20" x14ac:dyDescent="0.35">
      <c r="A4" s="13"/>
      <c r="B4" s="13"/>
      <c r="C4" s="13"/>
      <c r="D4" s="13"/>
      <c r="E4" s="11"/>
      <c r="F4" s="11"/>
      <c r="G4" s="11"/>
      <c r="R4" s="466"/>
      <c r="S4" s="466"/>
    </row>
    <row r="5" spans="1:20" ht="15.5" x14ac:dyDescent="0.35">
      <c r="A5" s="86" t="s">
        <v>77</v>
      </c>
      <c r="B5" s="86"/>
      <c r="C5" s="86"/>
      <c r="D5" s="264"/>
      <c r="E5" s="264"/>
      <c r="F5" s="264"/>
      <c r="G5" s="264"/>
      <c r="H5" s="255" t="s">
        <v>88</v>
      </c>
      <c r="I5" s="259"/>
      <c r="J5" s="257" t="s">
        <v>65</v>
      </c>
      <c r="K5" s="265"/>
      <c r="L5" s="258" t="s">
        <v>110</v>
      </c>
      <c r="M5" s="266">
        <f>Listes!E21</f>
        <v>10</v>
      </c>
      <c r="N5" t="s">
        <v>111</v>
      </c>
    </row>
    <row r="6" spans="1:20" x14ac:dyDescent="0.35">
      <c r="D6" s="11"/>
      <c r="E6" s="11"/>
      <c r="F6" s="11"/>
      <c r="G6" s="11"/>
      <c r="H6" s="11" t="s">
        <v>59</v>
      </c>
    </row>
    <row r="7" spans="1:20" ht="15.5" x14ac:dyDescent="0.35">
      <c r="A7" s="87" t="s">
        <v>100</v>
      </c>
      <c r="B7" s="87"/>
      <c r="C7" s="87"/>
      <c r="D7" s="87"/>
      <c r="E7" s="264" t="s">
        <v>169</v>
      </c>
      <c r="F7" s="264"/>
      <c r="G7" s="264"/>
      <c r="H7" s="86" t="s">
        <v>112</v>
      </c>
      <c r="I7" s="86"/>
      <c r="J7" s="266"/>
      <c r="K7" s="320">
        <f>SUM('Jour 1'!W3+'Jour 2'!W3+'Jour 3'!W3+'Jour 4'!W3+'Jour 5'!W3+'Jour 6'!W3+'Jour 7'!W3+'Jour 8'!W3+'Jour 9'!W3+'Jour 10'!W3+'Jour 11'!W3+'Jour 12'!W3+'Jour 13'!W3+'Jour 14'!W3+'Jour 15'!W3)</f>
        <v>0</v>
      </c>
      <c r="L7" s="263"/>
      <c r="M7" s="263"/>
      <c r="R7" s="263"/>
    </row>
    <row r="8" spans="1:20" ht="15" thickBot="1" x14ac:dyDescent="0.4">
      <c r="B8" s="268"/>
      <c r="C8" s="268"/>
      <c r="D8" s="268"/>
      <c r="E8" s="268"/>
      <c r="F8" s="268"/>
      <c r="G8" s="268"/>
      <c r="H8" s="268"/>
      <c r="I8" s="268"/>
      <c r="J8" s="268"/>
      <c r="K8" s="268"/>
      <c r="L8" s="268"/>
    </row>
    <row r="9" spans="1:20" ht="15" thickTop="1" x14ac:dyDescent="0.35"/>
    <row r="10" spans="1:20" ht="18" x14ac:dyDescent="0.4">
      <c r="A10" s="271" t="s">
        <v>113</v>
      </c>
      <c r="B10" s="272"/>
      <c r="C10" s="272"/>
      <c r="D10" s="272"/>
      <c r="E10" s="272"/>
      <c r="F10" s="272"/>
      <c r="G10" s="272"/>
      <c r="H10" s="272"/>
      <c r="I10" s="272"/>
      <c r="J10" s="272"/>
      <c r="K10" s="272"/>
      <c r="L10" s="272"/>
      <c r="M10" s="272"/>
      <c r="N10" s="272"/>
    </row>
    <row r="11" spans="1:20" x14ac:dyDescent="0.35">
      <c r="A11" s="272"/>
      <c r="B11" s="272"/>
      <c r="C11" s="272"/>
      <c r="D11" s="272"/>
      <c r="E11" s="272"/>
      <c r="F11" s="272"/>
      <c r="G11" s="272"/>
      <c r="H11" s="272"/>
      <c r="I11" s="272"/>
      <c r="J11" s="272"/>
      <c r="K11" s="272"/>
      <c r="L11" s="272"/>
      <c r="M11" s="272"/>
      <c r="N11" s="272"/>
    </row>
    <row r="12" spans="1:20" ht="15.5" x14ac:dyDescent="0.35">
      <c r="A12" s="272"/>
      <c r="B12" s="273" t="s">
        <v>114</v>
      </c>
      <c r="C12" s="273"/>
      <c r="D12" s="274">
        <f>SUM('Recap Edition'!C28:D28)</f>
        <v>85</v>
      </c>
      <c r="E12" s="275" t="s">
        <v>115</v>
      </c>
      <c r="F12" s="273"/>
      <c r="G12" s="276"/>
      <c r="H12" s="274">
        <f>SUM('Recap Edition'!G29:H29)</f>
        <v>8.5</v>
      </c>
      <c r="I12" s="276"/>
      <c r="J12" s="276"/>
      <c r="K12" s="276"/>
      <c r="L12" s="276"/>
      <c r="M12" s="276"/>
      <c r="N12" s="276"/>
      <c r="S12" s="269"/>
    </row>
    <row r="13" spans="1:20" ht="15.5" x14ac:dyDescent="0.35">
      <c r="A13" s="272"/>
      <c r="B13" s="273" t="s">
        <v>99</v>
      </c>
      <c r="C13" s="276"/>
      <c r="D13" s="386">
        <f>SUM('Recap Edition'!B12:B27)</f>
        <v>634</v>
      </c>
      <c r="E13" s="273" t="s">
        <v>255</v>
      </c>
      <c r="F13" s="276"/>
      <c r="G13" s="276"/>
      <c r="H13" s="387">
        <f>SUM('Recap Edition'!G30:H30)</f>
        <v>63.4</v>
      </c>
      <c r="I13" s="276"/>
      <c r="J13" s="276"/>
      <c r="K13" s="276"/>
      <c r="L13" s="276"/>
      <c r="M13" s="276"/>
      <c r="N13" s="276"/>
    </row>
    <row r="14" spans="1:20" ht="15.5" x14ac:dyDescent="0.35">
      <c r="A14" s="272"/>
      <c r="B14" s="273" t="s">
        <v>116</v>
      </c>
      <c r="C14" s="273"/>
      <c r="D14" s="273"/>
      <c r="E14" s="277">
        <f>'Recap Edition'!E31</f>
        <v>0</v>
      </c>
      <c r="F14" s="273"/>
      <c r="G14" s="465" t="s">
        <v>117</v>
      </c>
      <c r="H14" s="465"/>
      <c r="I14" s="277">
        <f>'Recap Edition'!C31</f>
        <v>0.36470588235294116</v>
      </c>
      <c r="J14" s="273"/>
      <c r="K14" s="273"/>
      <c r="L14" s="273"/>
      <c r="M14" s="276"/>
      <c r="N14" s="276"/>
    </row>
    <row r="15" spans="1:20" ht="15.65" x14ac:dyDescent="0.35">
      <c r="B15" s="270"/>
      <c r="C15" s="270"/>
      <c r="D15" s="270"/>
      <c r="E15" s="270"/>
      <c r="F15" s="270"/>
      <c r="G15" s="270"/>
      <c r="H15" s="270"/>
      <c r="I15" s="270"/>
      <c r="J15" s="270"/>
      <c r="K15" s="270"/>
      <c r="L15" s="270"/>
      <c r="M15" s="269"/>
      <c r="N15" s="269"/>
    </row>
    <row r="16" spans="1:20" ht="18" x14ac:dyDescent="0.4">
      <c r="A16" s="278" t="s">
        <v>131</v>
      </c>
      <c r="B16" s="280"/>
      <c r="C16" s="280"/>
      <c r="D16" s="280"/>
      <c r="E16" s="280"/>
      <c r="F16" s="280"/>
      <c r="G16" s="280"/>
      <c r="H16" s="280"/>
      <c r="I16" s="280"/>
      <c r="J16" s="280"/>
      <c r="K16" s="280"/>
      <c r="L16" s="280"/>
      <c r="M16" s="281"/>
      <c r="N16" s="281"/>
    </row>
    <row r="17" spans="1:14" ht="15.65" x14ac:dyDescent="0.35">
      <c r="A17" s="279"/>
      <c r="B17" s="280"/>
      <c r="C17" s="280"/>
      <c r="D17" s="280"/>
      <c r="E17" s="280"/>
      <c r="F17" s="280"/>
      <c r="G17" s="280"/>
      <c r="H17" s="280"/>
      <c r="I17" s="280"/>
      <c r="J17" s="280"/>
      <c r="K17" s="280"/>
      <c r="L17" s="280"/>
      <c r="M17" s="281"/>
      <c r="N17" s="281"/>
    </row>
    <row r="18" spans="1:14" ht="15.5" x14ac:dyDescent="0.35">
      <c r="A18" s="279"/>
      <c r="B18" s="280" t="s">
        <v>122</v>
      </c>
      <c r="C18" s="280"/>
      <c r="D18" s="280"/>
      <c r="E18" s="282">
        <f>'Recap Edition'!L28</f>
        <v>117</v>
      </c>
      <c r="F18" s="280" t="s">
        <v>123</v>
      </c>
      <c r="G18" s="280"/>
      <c r="H18" s="290">
        <f>'Recap Edition'!L28/'Recap Edition'!C28</f>
        <v>1.3764705882352941</v>
      </c>
      <c r="I18" s="280"/>
      <c r="J18" s="280"/>
      <c r="K18" s="280"/>
      <c r="L18" s="280"/>
      <c r="M18" s="281"/>
      <c r="N18" s="281"/>
    </row>
    <row r="19" spans="1:14" ht="15.5" x14ac:dyDescent="0.35">
      <c r="A19" s="279"/>
      <c r="B19" s="280" t="s">
        <v>124</v>
      </c>
      <c r="C19" s="280"/>
      <c r="D19" s="279"/>
      <c r="E19" s="282">
        <f>'Recap Analyse'!C21</f>
        <v>53</v>
      </c>
      <c r="F19" s="280" t="s">
        <v>126</v>
      </c>
      <c r="G19" s="280"/>
      <c r="H19" s="280"/>
      <c r="I19" s="291">
        <f>'Recap Analyse'!C25</f>
        <v>0.62352941176470589</v>
      </c>
      <c r="J19" s="280"/>
      <c r="K19" s="280"/>
      <c r="L19" s="280"/>
      <c r="M19" s="281"/>
      <c r="N19" s="281"/>
    </row>
    <row r="20" spans="1:14" ht="15.5" x14ac:dyDescent="0.35">
      <c r="A20" s="279"/>
      <c r="B20" s="280"/>
      <c r="C20" s="280"/>
      <c r="D20" s="280"/>
      <c r="E20" s="280"/>
      <c r="F20" s="280" t="s">
        <v>125</v>
      </c>
      <c r="G20" s="280"/>
      <c r="H20" s="280"/>
      <c r="I20" s="291">
        <f>'Recap Analyse'!C24</f>
        <v>0.45299145299145299</v>
      </c>
      <c r="J20" s="280"/>
      <c r="K20" s="280"/>
      <c r="L20" s="280"/>
      <c r="M20" s="281"/>
      <c r="N20" s="281"/>
    </row>
    <row r="21" spans="1:14" ht="15.5" x14ac:dyDescent="0.35">
      <c r="A21" s="279"/>
      <c r="B21" s="280"/>
      <c r="C21" s="280"/>
      <c r="D21" s="280"/>
      <c r="E21" s="280"/>
      <c r="F21" s="280"/>
      <c r="G21" s="280"/>
      <c r="H21" s="280"/>
      <c r="I21" s="280"/>
      <c r="J21" s="280"/>
      <c r="K21" s="280"/>
      <c r="L21" s="280"/>
      <c r="M21" s="281"/>
      <c r="N21" s="281"/>
    </row>
    <row r="22" spans="1:14" ht="15.5" x14ac:dyDescent="0.35">
      <c r="A22" s="279"/>
      <c r="B22" s="280" t="s">
        <v>127</v>
      </c>
      <c r="C22" s="280"/>
      <c r="D22" s="280"/>
      <c r="E22" s="280"/>
      <c r="F22" s="282">
        <f>'Recap Edition'!Q28</f>
        <v>7</v>
      </c>
      <c r="G22" s="279"/>
      <c r="H22" s="280" t="s">
        <v>128</v>
      </c>
      <c r="I22" s="279"/>
      <c r="J22" s="280"/>
      <c r="K22" s="280"/>
      <c r="L22" s="461">
        <f>'Recap Edition'!Q29</f>
        <v>8.2352941176470587E-2</v>
      </c>
      <c r="M22" s="461"/>
      <c r="N22" s="281"/>
    </row>
    <row r="23" spans="1:14" ht="15.5" x14ac:dyDescent="0.35">
      <c r="A23" s="279"/>
      <c r="B23" s="280"/>
      <c r="C23" s="280"/>
      <c r="D23" s="280"/>
      <c r="E23" s="280"/>
      <c r="F23" s="280"/>
      <c r="G23" s="279"/>
      <c r="H23" s="280" t="s">
        <v>129</v>
      </c>
      <c r="I23" s="280"/>
      <c r="J23" s="280"/>
      <c r="K23" s="280"/>
      <c r="L23" s="461">
        <f>'Recap Edition'!Q31</f>
        <v>0.13207547169811321</v>
      </c>
      <c r="M23" s="461"/>
      <c r="N23" s="281"/>
    </row>
    <row r="24" spans="1:14" ht="15.5" x14ac:dyDescent="0.35">
      <c r="A24" s="279"/>
      <c r="B24" s="280"/>
      <c r="C24" s="280"/>
      <c r="D24" s="280"/>
      <c r="E24" s="280"/>
      <c r="F24" s="280"/>
      <c r="G24" s="279"/>
      <c r="H24" s="280" t="s">
        <v>130</v>
      </c>
      <c r="I24" s="280"/>
      <c r="J24" s="280"/>
      <c r="K24" s="280"/>
      <c r="L24" s="461">
        <f>'Recap Edition'!Q33</f>
        <v>5.9829059829059832E-2</v>
      </c>
      <c r="M24" s="461"/>
      <c r="N24" s="281"/>
    </row>
    <row r="26" spans="1:14" ht="18" x14ac:dyDescent="0.4">
      <c r="A26" s="283" t="s">
        <v>132</v>
      </c>
      <c r="B26" s="286"/>
      <c r="C26" s="283"/>
      <c r="D26" s="284"/>
      <c r="E26" s="284"/>
      <c r="F26" s="284"/>
      <c r="G26" s="284"/>
      <c r="H26" s="284"/>
      <c r="I26" s="284"/>
      <c r="J26" s="284"/>
      <c r="K26" s="284"/>
      <c r="L26" s="284"/>
      <c r="M26" s="285"/>
      <c r="N26" s="285"/>
    </row>
    <row r="27" spans="1:14" ht="15.5" x14ac:dyDescent="0.35">
      <c r="A27" s="286"/>
      <c r="B27" s="284"/>
      <c r="C27" s="284"/>
      <c r="D27" s="284"/>
      <c r="E27" s="284"/>
      <c r="F27" s="284"/>
      <c r="G27" s="284"/>
      <c r="H27" s="284"/>
      <c r="I27" s="284"/>
      <c r="J27" s="284"/>
      <c r="K27" s="284"/>
      <c r="L27" s="284"/>
      <c r="M27" s="285"/>
      <c r="N27" s="285"/>
    </row>
    <row r="28" spans="1:14" ht="15.5" x14ac:dyDescent="0.35">
      <c r="A28" s="286"/>
      <c r="B28" s="284" t="s">
        <v>118</v>
      </c>
      <c r="C28" s="284"/>
      <c r="D28" s="284"/>
      <c r="E28" s="287">
        <f>'Recap Edition'!J28</f>
        <v>16</v>
      </c>
      <c r="F28" s="284"/>
      <c r="G28" s="284" t="s">
        <v>119</v>
      </c>
      <c r="H28" s="284"/>
      <c r="I28" s="287">
        <f>'Recap Edition'!I28</f>
        <v>22</v>
      </c>
      <c r="J28" s="284"/>
      <c r="K28" s="284" t="s">
        <v>148</v>
      </c>
      <c r="L28" s="284"/>
      <c r="M28" s="467">
        <f>'Recap Edition'!AG28</f>
        <v>0</v>
      </c>
      <c r="N28" s="467"/>
    </row>
    <row r="29" spans="1:14" ht="15.5" x14ac:dyDescent="0.35">
      <c r="A29" s="286"/>
      <c r="B29" s="284"/>
      <c r="C29" s="284"/>
      <c r="D29" s="284"/>
      <c r="E29" s="287"/>
      <c r="F29" s="284"/>
      <c r="G29" s="284"/>
      <c r="H29" s="284"/>
      <c r="I29" s="287"/>
      <c r="J29" s="284"/>
      <c r="K29" s="284"/>
      <c r="L29" s="284"/>
      <c r="M29" s="308"/>
      <c r="N29" s="308"/>
    </row>
    <row r="30" spans="1:14" ht="15.5" x14ac:dyDescent="0.35">
      <c r="A30" s="286"/>
      <c r="B30" s="284"/>
      <c r="C30" s="284"/>
      <c r="D30" s="284"/>
      <c r="E30" s="464" t="s">
        <v>149</v>
      </c>
      <c r="F30" s="464"/>
      <c r="G30" s="464" t="s">
        <v>151</v>
      </c>
      <c r="H30" s="464"/>
      <c r="I30" s="464" t="s">
        <v>150</v>
      </c>
      <c r="J30" s="464"/>
      <c r="K30" s="464"/>
      <c r="L30" s="284"/>
      <c r="M30" s="285"/>
      <c r="N30" s="285"/>
    </row>
    <row r="31" spans="1:14" ht="15.5" x14ac:dyDescent="0.35">
      <c r="A31" s="286"/>
      <c r="B31" s="464" t="s">
        <v>120</v>
      </c>
      <c r="C31" s="464"/>
      <c r="D31" s="464"/>
      <c r="E31" s="463">
        <f>'Recap Edition'!U37</f>
        <v>0.18823529411764706</v>
      </c>
      <c r="F31" s="463"/>
      <c r="G31" s="463">
        <f>'Recap Edition'!U48</f>
        <v>0.25882352941176473</v>
      </c>
      <c r="H31" s="463"/>
      <c r="I31" s="468">
        <f>'Recap Edition'!U59</f>
        <v>0</v>
      </c>
      <c r="J31" s="469"/>
      <c r="K31" s="469"/>
      <c r="L31" s="284"/>
      <c r="M31" s="285"/>
      <c r="N31" s="285"/>
    </row>
    <row r="32" spans="1:14" ht="15.5" x14ac:dyDescent="0.35">
      <c r="A32" s="286"/>
      <c r="B32" s="464" t="s">
        <v>121</v>
      </c>
      <c r="C32" s="464"/>
      <c r="D32" s="464"/>
      <c r="E32" s="463">
        <f>'Recap Edition'!V43</f>
        <v>0.42105263157894735</v>
      </c>
      <c r="F32" s="463"/>
      <c r="G32" s="463">
        <f>'Recap Edition'!V44</f>
        <v>0.57894736842105265</v>
      </c>
      <c r="H32" s="463"/>
      <c r="I32" s="468">
        <f>'Recap Edition'!V45</f>
        <v>0</v>
      </c>
      <c r="J32" s="469"/>
      <c r="K32" s="469"/>
      <c r="L32" s="284"/>
      <c r="M32" s="285"/>
      <c r="N32" s="285"/>
    </row>
    <row r="35" spans="1:14" ht="18" x14ac:dyDescent="0.4">
      <c r="A35" s="297" t="s">
        <v>133</v>
      </c>
      <c r="B35" s="298"/>
      <c r="C35" s="298"/>
      <c r="D35" s="298"/>
      <c r="E35" s="298"/>
      <c r="F35" s="298"/>
      <c r="G35" s="298"/>
      <c r="H35" s="298"/>
      <c r="I35" s="298"/>
      <c r="J35" s="298"/>
      <c r="K35" s="298"/>
      <c r="L35" s="298"/>
      <c r="M35" s="298"/>
      <c r="N35" s="298"/>
    </row>
    <row r="36" spans="1:14" x14ac:dyDescent="0.35">
      <c r="A36" s="298"/>
      <c r="B36" s="298"/>
      <c r="C36" s="298"/>
      <c r="D36" s="298"/>
      <c r="E36" s="298"/>
      <c r="F36" s="298"/>
      <c r="G36" s="298"/>
      <c r="H36" s="298"/>
      <c r="I36" s="298"/>
      <c r="J36" s="298"/>
      <c r="K36" s="298"/>
      <c r="L36" s="298"/>
      <c r="M36" s="298"/>
      <c r="N36" s="298"/>
    </row>
    <row r="37" spans="1:14" ht="15.5" x14ac:dyDescent="0.35">
      <c r="A37" s="299"/>
      <c r="B37" s="299" t="s">
        <v>134</v>
      </c>
      <c r="C37" s="299"/>
      <c r="D37" s="299"/>
      <c r="E37" s="305">
        <f>'Recap Edition'!J28</f>
        <v>16</v>
      </c>
      <c r="F37" s="301" t="s">
        <v>135</v>
      </c>
      <c r="G37" s="299"/>
      <c r="H37" s="299"/>
      <c r="I37" s="305">
        <f>'Recap Edition'!U28</f>
        <v>0</v>
      </c>
      <c r="J37" s="299"/>
      <c r="K37" s="299" t="s">
        <v>136</v>
      </c>
      <c r="L37" s="462">
        <f>I37/E37</f>
        <v>0</v>
      </c>
      <c r="M37" s="462"/>
      <c r="N37" s="303"/>
    </row>
    <row r="38" spans="1:14" ht="15.5" x14ac:dyDescent="0.35">
      <c r="A38" s="299"/>
      <c r="B38" s="299"/>
      <c r="C38" s="299"/>
      <c r="D38" s="299"/>
      <c r="E38" s="299"/>
      <c r="F38" s="299"/>
      <c r="G38" s="299"/>
      <c r="H38" s="299"/>
      <c r="I38" s="299"/>
      <c r="J38" s="299"/>
      <c r="K38" s="299"/>
      <c r="L38" s="299"/>
      <c r="M38" s="299"/>
      <c r="N38" s="299"/>
    </row>
    <row r="39" spans="1:14" ht="16" thickBot="1" x14ac:dyDescent="0.4">
      <c r="A39" s="299"/>
      <c r="B39" s="299" t="s">
        <v>137</v>
      </c>
      <c r="C39" s="299"/>
      <c r="D39" s="299"/>
      <c r="E39" s="299"/>
      <c r="F39" s="299"/>
      <c r="G39" s="299"/>
      <c r="H39" s="299"/>
      <c r="I39" s="299"/>
      <c r="J39" s="299"/>
      <c r="K39" s="299"/>
      <c r="L39" s="299"/>
      <c r="M39" s="299"/>
      <c r="N39" s="299"/>
    </row>
    <row r="40" spans="1:14" ht="47.25" customHeight="1" thickBot="1" x14ac:dyDescent="0.4">
      <c r="A40" s="299"/>
      <c r="B40" s="299"/>
      <c r="C40" s="299"/>
      <c r="D40" s="460" t="s">
        <v>16</v>
      </c>
      <c r="E40" s="458"/>
      <c r="F40" s="458" t="s">
        <v>17</v>
      </c>
      <c r="G40" s="458"/>
      <c r="H40" s="458" t="s">
        <v>54</v>
      </c>
      <c r="I40" s="458"/>
      <c r="J40" s="458" t="s">
        <v>18</v>
      </c>
      <c r="K40" s="458"/>
      <c r="L40" s="459"/>
      <c r="M40" s="304"/>
      <c r="N40" s="304"/>
    </row>
    <row r="41" spans="1:14" ht="20.149999999999999" customHeight="1" x14ac:dyDescent="0.35">
      <c r="A41" s="450" t="s">
        <v>138</v>
      </c>
      <c r="B41" s="451"/>
      <c r="C41" s="452"/>
      <c r="D41" s="453">
        <f>'Recap Edition'!V28</f>
        <v>0</v>
      </c>
      <c r="E41" s="445"/>
      <c r="F41" s="445">
        <f>'Recap Edition'!W28</f>
        <v>0</v>
      </c>
      <c r="G41" s="445"/>
      <c r="H41" s="445">
        <f>'Recap Edition'!X28</f>
        <v>0</v>
      </c>
      <c r="I41" s="445"/>
      <c r="J41" s="445">
        <f>'Recap Edition'!Y28</f>
        <v>0</v>
      </c>
      <c r="K41" s="445"/>
      <c r="L41" s="446"/>
      <c r="M41" s="299"/>
      <c r="N41" s="299"/>
    </row>
    <row r="42" spans="1:14" ht="20.149999999999999" customHeight="1" x14ac:dyDescent="0.35">
      <c r="A42" s="454" t="s">
        <v>139</v>
      </c>
      <c r="B42" s="455"/>
      <c r="C42" s="456"/>
      <c r="D42" s="447">
        <f>IF(D41=0,0,D41/$I$37)</f>
        <v>0</v>
      </c>
      <c r="E42" s="448"/>
      <c r="F42" s="447">
        <f>IF(F41=0,0,F41/$I$37)</f>
        <v>0</v>
      </c>
      <c r="G42" s="448"/>
      <c r="H42" s="447">
        <f>IF(H41=0,0,H41/$I$37)</f>
        <v>0</v>
      </c>
      <c r="I42" s="448"/>
      <c r="J42" s="448">
        <f>IF(J41=0,0,J41/$I$37)</f>
        <v>0</v>
      </c>
      <c r="K42" s="448"/>
      <c r="L42" s="449"/>
      <c r="M42" s="299"/>
      <c r="N42" s="299"/>
    </row>
    <row r="43" spans="1:14" ht="20.149999999999999" customHeight="1" thickBot="1" x14ac:dyDescent="0.4">
      <c r="A43" s="432" t="s">
        <v>140</v>
      </c>
      <c r="B43" s="433"/>
      <c r="C43" s="434"/>
      <c r="D43" s="435">
        <f>IF(D41=0,0,D41/$E$37)</f>
        <v>0</v>
      </c>
      <c r="E43" s="436"/>
      <c r="F43" s="435">
        <f>IF(F41=0,0,F41/$E$37)</f>
        <v>0</v>
      </c>
      <c r="G43" s="436"/>
      <c r="H43" s="435">
        <f>IF(H41=0,0,H41/$E$37)</f>
        <v>0</v>
      </c>
      <c r="I43" s="436"/>
      <c r="J43" s="436">
        <f>IF(J41=0,0,J41/$E$37)</f>
        <v>0</v>
      </c>
      <c r="K43" s="436"/>
      <c r="L43" s="437"/>
      <c r="M43" s="299"/>
      <c r="N43" s="299"/>
    </row>
    <row r="44" spans="1:14" ht="15.5" x14ac:dyDescent="0.35">
      <c r="A44" s="294"/>
      <c r="B44" s="294"/>
      <c r="C44" s="294"/>
      <c r="D44" s="294"/>
      <c r="E44" s="294"/>
      <c r="F44" s="294"/>
      <c r="G44" s="294"/>
      <c r="H44" s="294"/>
      <c r="I44" s="294"/>
      <c r="J44" s="294"/>
      <c r="K44" s="294"/>
      <c r="L44" s="294"/>
      <c r="M44" s="294"/>
      <c r="N44" s="294"/>
    </row>
    <row r="45" spans="1:14" ht="18" x14ac:dyDescent="0.4">
      <c r="A45" s="297" t="s">
        <v>143</v>
      </c>
      <c r="B45" s="298"/>
      <c r="C45" s="298"/>
      <c r="D45" s="298"/>
      <c r="E45" s="298"/>
      <c r="F45" s="298"/>
      <c r="G45" s="298"/>
      <c r="H45" s="298"/>
      <c r="I45" s="298"/>
      <c r="J45" s="298"/>
      <c r="K45" s="298"/>
      <c r="L45" s="298"/>
      <c r="M45" s="298"/>
      <c r="N45" s="298"/>
    </row>
    <row r="46" spans="1:14" x14ac:dyDescent="0.35">
      <c r="A46" s="298"/>
      <c r="B46" s="298"/>
      <c r="C46" s="298"/>
      <c r="D46" s="298"/>
      <c r="E46" s="298"/>
      <c r="F46" s="298"/>
      <c r="G46" s="298"/>
      <c r="H46" s="298"/>
      <c r="I46" s="298"/>
      <c r="J46" s="298"/>
      <c r="K46" s="298"/>
      <c r="L46" s="298"/>
      <c r="M46" s="298"/>
      <c r="N46" s="298"/>
    </row>
    <row r="47" spans="1:14" ht="15.5" x14ac:dyDescent="0.35">
      <c r="A47" s="299"/>
      <c r="B47" s="299" t="s">
        <v>119</v>
      </c>
      <c r="C47" s="299"/>
      <c r="D47" s="299"/>
      <c r="E47" s="305">
        <f>'Recap Edition'!I28</f>
        <v>22</v>
      </c>
      <c r="F47" s="301" t="s">
        <v>141</v>
      </c>
      <c r="G47" s="299"/>
      <c r="H47" s="299"/>
      <c r="I47" s="305">
        <f>'Recap Edition'!AA28</f>
        <v>0</v>
      </c>
      <c r="J47" s="299"/>
      <c r="K47" s="299" t="s">
        <v>142</v>
      </c>
      <c r="L47" s="439">
        <f>E47+I47</f>
        <v>22</v>
      </c>
      <c r="M47" s="439"/>
      <c r="N47" s="303"/>
    </row>
    <row r="48" spans="1:14" ht="15.5" x14ac:dyDescent="0.35">
      <c r="A48" s="299"/>
      <c r="B48" s="299"/>
      <c r="C48" s="299"/>
      <c r="D48" s="299"/>
      <c r="E48" s="299"/>
      <c r="F48" s="299"/>
      <c r="G48" s="299"/>
      <c r="H48" s="299"/>
      <c r="I48" s="299"/>
      <c r="J48" s="299"/>
      <c r="K48" s="299"/>
      <c r="L48" s="299"/>
      <c r="M48" s="299"/>
      <c r="N48" s="299"/>
    </row>
    <row r="49" spans="1:14" ht="16" thickBot="1" x14ac:dyDescent="0.4">
      <c r="A49" s="299"/>
      <c r="B49" s="299" t="s">
        <v>137</v>
      </c>
      <c r="C49" s="299"/>
      <c r="D49" s="299"/>
      <c r="E49" s="299"/>
      <c r="F49" s="299"/>
      <c r="G49" s="299"/>
      <c r="H49" s="299"/>
      <c r="I49" s="299"/>
      <c r="J49" s="299"/>
      <c r="K49" s="299"/>
      <c r="L49" s="299"/>
      <c r="M49" s="299"/>
      <c r="N49" s="299"/>
    </row>
    <row r="50" spans="1:14" ht="16.5" customHeight="1" thickBot="1" x14ac:dyDescent="0.4">
      <c r="A50" s="299"/>
      <c r="B50" s="299"/>
      <c r="C50" s="299"/>
      <c r="D50" s="440" t="s">
        <v>21</v>
      </c>
      <c r="E50" s="441"/>
      <c r="F50" s="442" t="s">
        <v>26</v>
      </c>
      <c r="G50" s="441"/>
      <c r="H50" s="442" t="s">
        <v>27</v>
      </c>
      <c r="I50" s="441"/>
      <c r="J50" s="442" t="s">
        <v>22</v>
      </c>
      <c r="K50" s="443"/>
      <c r="L50" s="444"/>
      <c r="M50" s="304"/>
      <c r="N50" s="304"/>
    </row>
    <row r="51" spans="1:14" ht="15.5" x14ac:dyDescent="0.35">
      <c r="A51" s="450" t="s">
        <v>138</v>
      </c>
      <c r="B51" s="451"/>
      <c r="C51" s="452"/>
      <c r="D51" s="453">
        <f>'Recap Edition'!AB28</f>
        <v>0</v>
      </c>
      <c r="E51" s="445"/>
      <c r="F51" s="453">
        <f>'Recap Edition'!AC28</f>
        <v>0</v>
      </c>
      <c r="G51" s="445"/>
      <c r="H51" s="445">
        <f>'Recap Edition'!AD28</f>
        <v>0</v>
      </c>
      <c r="I51" s="445"/>
      <c r="J51" s="445">
        <f>'Recap Edition'!AE28</f>
        <v>0</v>
      </c>
      <c r="K51" s="445"/>
      <c r="L51" s="446"/>
      <c r="M51" s="299"/>
      <c r="N51" s="299"/>
    </row>
    <row r="52" spans="1:14" ht="16.5" customHeight="1" thickBot="1" x14ac:dyDescent="0.4">
      <c r="A52" s="432" t="s">
        <v>144</v>
      </c>
      <c r="B52" s="433"/>
      <c r="C52" s="434"/>
      <c r="D52" s="435">
        <f>IF(D51=0,0,D51/$L$47)</f>
        <v>0</v>
      </c>
      <c r="E52" s="436"/>
      <c r="F52" s="435">
        <f>IF(F51=0,0,F51/$L$47)</f>
        <v>0</v>
      </c>
      <c r="G52" s="436"/>
      <c r="H52" s="435">
        <f>IF(H51=0,0,H51/$L$47)</f>
        <v>0</v>
      </c>
      <c r="I52" s="436"/>
      <c r="J52" s="436">
        <f>IF(J51=0,0,J51/$L$47)</f>
        <v>0</v>
      </c>
      <c r="K52" s="436"/>
      <c r="L52" s="437"/>
      <c r="M52" s="299"/>
      <c r="N52" s="299"/>
    </row>
    <row r="53" spans="1:14" ht="15.5" x14ac:dyDescent="0.35">
      <c r="A53" s="294"/>
      <c r="B53" s="294"/>
      <c r="C53" s="294"/>
      <c r="D53" s="294"/>
      <c r="E53" s="294"/>
      <c r="F53" s="294"/>
      <c r="G53" s="294"/>
      <c r="H53" s="294"/>
      <c r="I53" s="294"/>
      <c r="J53" s="294"/>
      <c r="K53" s="294"/>
      <c r="L53" s="294"/>
      <c r="M53" s="294"/>
      <c r="N53" s="294"/>
    </row>
    <row r="54" spans="1:14" ht="18" x14ac:dyDescent="0.4">
      <c r="A54" s="297" t="s">
        <v>145</v>
      </c>
      <c r="B54" s="298"/>
      <c r="C54" s="298"/>
      <c r="D54" s="298"/>
      <c r="E54" s="298"/>
      <c r="F54" s="298"/>
      <c r="G54" s="298"/>
      <c r="H54" s="298"/>
      <c r="I54" s="298"/>
      <c r="J54" s="298"/>
      <c r="K54" s="298"/>
      <c r="L54" s="298"/>
      <c r="M54" s="298"/>
      <c r="N54" s="289"/>
    </row>
    <row r="55" spans="1:14" x14ac:dyDescent="0.35">
      <c r="A55" s="298"/>
      <c r="B55" s="298"/>
      <c r="C55" s="298"/>
      <c r="D55" s="298"/>
      <c r="E55" s="298"/>
      <c r="F55" s="298"/>
      <c r="G55" s="298"/>
      <c r="H55" s="298"/>
      <c r="I55" s="298"/>
      <c r="J55" s="298"/>
      <c r="K55" s="298"/>
      <c r="L55" s="298"/>
      <c r="M55" s="298"/>
      <c r="N55" s="289"/>
    </row>
    <row r="56" spans="1:14" ht="15.5" x14ac:dyDescent="0.35">
      <c r="A56" s="299"/>
      <c r="B56" s="299" t="s">
        <v>24</v>
      </c>
      <c r="C56" s="299"/>
      <c r="D56" s="306">
        <f>'Recap Edition'!AF28</f>
        <v>0</v>
      </c>
      <c r="E56" s="300"/>
      <c r="F56" s="301" t="s">
        <v>146</v>
      </c>
      <c r="G56" s="299"/>
      <c r="H56" s="307">
        <f>'Recap Edition'!AG28</f>
        <v>0</v>
      </c>
      <c r="I56" s="302"/>
      <c r="J56" s="299"/>
      <c r="K56" s="299"/>
      <c r="L56" s="439"/>
      <c r="M56" s="439"/>
      <c r="N56" s="292"/>
    </row>
    <row r="57" spans="1:14" ht="15.5" x14ac:dyDescent="0.35">
      <c r="A57" s="299"/>
      <c r="B57" s="299"/>
      <c r="C57" s="299"/>
      <c r="D57" s="299"/>
      <c r="E57" s="299"/>
      <c r="F57" s="299"/>
      <c r="G57" s="299"/>
      <c r="H57" s="299"/>
      <c r="I57" s="299"/>
      <c r="J57" s="299"/>
      <c r="K57" s="299"/>
      <c r="L57" s="299"/>
      <c r="M57" s="299"/>
      <c r="N57" s="288"/>
    </row>
    <row r="58" spans="1:14" ht="16" thickBot="1" x14ac:dyDescent="0.4">
      <c r="A58" s="299"/>
      <c r="B58" s="299" t="s">
        <v>137</v>
      </c>
      <c r="C58" s="299"/>
      <c r="D58" s="299"/>
      <c r="E58" s="299"/>
      <c r="F58" s="299"/>
      <c r="G58" s="299"/>
      <c r="H58" s="299"/>
      <c r="I58" s="299"/>
      <c r="J58" s="299"/>
      <c r="K58" s="299"/>
      <c r="L58" s="299"/>
      <c r="M58" s="299"/>
      <c r="N58" s="288"/>
    </row>
    <row r="59" spans="1:14" ht="16" thickBot="1" x14ac:dyDescent="0.4">
      <c r="A59" s="299"/>
      <c r="B59" s="299"/>
      <c r="C59" s="299"/>
      <c r="D59" s="440" t="s">
        <v>21</v>
      </c>
      <c r="E59" s="441"/>
      <c r="F59" s="442" t="s">
        <v>26</v>
      </c>
      <c r="G59" s="441"/>
      <c r="H59" s="442" t="s">
        <v>27</v>
      </c>
      <c r="I59" s="441"/>
      <c r="J59" s="442" t="s">
        <v>22</v>
      </c>
      <c r="K59" s="443"/>
      <c r="L59" s="444"/>
      <c r="M59" s="304"/>
      <c r="N59" s="293"/>
    </row>
    <row r="60" spans="1:14" ht="15.5" x14ac:dyDescent="0.35">
      <c r="A60" s="450" t="s">
        <v>138</v>
      </c>
      <c r="B60" s="451"/>
      <c r="C60" s="452"/>
      <c r="D60" s="453">
        <f>'Recap Edition'!AH28</f>
        <v>0</v>
      </c>
      <c r="E60" s="445"/>
      <c r="F60" s="453">
        <f>'Recap Edition'!AI28</f>
        <v>0</v>
      </c>
      <c r="G60" s="445"/>
      <c r="H60" s="445">
        <f>'Recap Edition'!AJ28</f>
        <v>0</v>
      </c>
      <c r="I60" s="445"/>
      <c r="J60" s="445">
        <f>'Recap Edition'!AK28</f>
        <v>0</v>
      </c>
      <c r="K60" s="445"/>
      <c r="L60" s="446"/>
      <c r="M60" s="299"/>
      <c r="N60" s="288"/>
    </row>
    <row r="61" spans="1:14" ht="16" thickBot="1" x14ac:dyDescent="0.4">
      <c r="A61" s="432" t="s">
        <v>147</v>
      </c>
      <c r="B61" s="433"/>
      <c r="C61" s="434"/>
      <c r="D61" s="435">
        <f>IF(D60=0,0,D60/$H$56)</f>
        <v>0</v>
      </c>
      <c r="E61" s="436"/>
      <c r="F61" s="435">
        <f>IF(F60=0,0,F60/$H$56)</f>
        <v>0</v>
      </c>
      <c r="G61" s="436"/>
      <c r="H61" s="435">
        <f>IF(H60=0,0,H60/$H$56)</f>
        <v>0</v>
      </c>
      <c r="I61" s="436"/>
      <c r="J61" s="436">
        <f>IF(J60=0,0,J60/$H$56)</f>
        <v>0</v>
      </c>
      <c r="K61" s="436"/>
      <c r="L61" s="437"/>
      <c r="M61" s="299"/>
      <c r="N61" s="288"/>
    </row>
  </sheetData>
  <mergeCells count="69">
    <mergeCell ref="R4:S4"/>
    <mergeCell ref="M28:N28"/>
    <mergeCell ref="B32:D32"/>
    <mergeCell ref="E30:F30"/>
    <mergeCell ref="E31:F31"/>
    <mergeCell ref="E32:F32"/>
    <mergeCell ref="G30:H30"/>
    <mergeCell ref="I30:K30"/>
    <mergeCell ref="I31:K31"/>
    <mergeCell ref="I32:K32"/>
    <mergeCell ref="A1:N1"/>
    <mergeCell ref="F40:G40"/>
    <mergeCell ref="H40:I40"/>
    <mergeCell ref="J40:L40"/>
    <mergeCell ref="D40:E40"/>
    <mergeCell ref="L22:M22"/>
    <mergeCell ref="L23:M23"/>
    <mergeCell ref="L24:M24"/>
    <mergeCell ref="L37:M37"/>
    <mergeCell ref="G31:H31"/>
    <mergeCell ref="G32:H32"/>
    <mergeCell ref="B31:D31"/>
    <mergeCell ref="G14:H14"/>
    <mergeCell ref="A42:C42"/>
    <mergeCell ref="A41:C41"/>
    <mergeCell ref="A43:C43"/>
    <mergeCell ref="D41:E41"/>
    <mergeCell ref="F41:G41"/>
    <mergeCell ref="D42:E42"/>
    <mergeCell ref="F42:G42"/>
    <mergeCell ref="A52:C52"/>
    <mergeCell ref="D52:E52"/>
    <mergeCell ref="J52:L52"/>
    <mergeCell ref="L47:M47"/>
    <mergeCell ref="D50:E50"/>
    <mergeCell ref="F50:G50"/>
    <mergeCell ref="H50:I50"/>
    <mergeCell ref="J50:L50"/>
    <mergeCell ref="A51:C51"/>
    <mergeCell ref="D51:E51"/>
    <mergeCell ref="F51:G51"/>
    <mergeCell ref="H51:I51"/>
    <mergeCell ref="J51:L51"/>
    <mergeCell ref="A60:C60"/>
    <mergeCell ref="D60:E60"/>
    <mergeCell ref="F60:G60"/>
    <mergeCell ref="H60:I60"/>
    <mergeCell ref="J60:L60"/>
    <mergeCell ref="P2:Q3"/>
    <mergeCell ref="L56:M56"/>
    <mergeCell ref="D59:E59"/>
    <mergeCell ref="F59:G59"/>
    <mergeCell ref="H59:I59"/>
    <mergeCell ref="J59:L59"/>
    <mergeCell ref="F52:G52"/>
    <mergeCell ref="H52:I52"/>
    <mergeCell ref="D43:E43"/>
    <mergeCell ref="F43:G43"/>
    <mergeCell ref="H43:I43"/>
    <mergeCell ref="J43:L43"/>
    <mergeCell ref="H41:I41"/>
    <mergeCell ref="J41:L41"/>
    <mergeCell ref="H42:I42"/>
    <mergeCell ref="J42:L42"/>
    <mergeCell ref="A61:C61"/>
    <mergeCell ref="D61:E61"/>
    <mergeCell ref="F61:G61"/>
    <mergeCell ref="H61:I61"/>
    <mergeCell ref="J61:L61"/>
  </mergeCells>
  <dataValidations count="1">
    <dataValidation type="list" allowBlank="1" showInputMessage="1" showErrorMessage="1" sqref="I3">
      <formula1>N°_stage</formula1>
    </dataValidation>
  </dataValidations>
  <pageMargins left="0.19685039370078741" right="0.19685039370078741" top="0.55118110236220474" bottom="0.55118110236220474" header="0.31496062992125984" footer="0.31496062992125984"/>
  <pageSetup paperSize="9" scale="77" fitToHeight="2" orientation="portrait" r:id="rId1"/>
  <headerFooter>
    <oddHeader>&amp;L&amp;"Arial,Normal"Caf de Maine et Loire&amp;R&amp;"Arial,Normal"&amp;D</oddHeader>
    <oddFooter>&amp;L&amp;"Arial,Normal"&amp;10Formation
&amp;C&amp;"Arial,Normal"&amp;10&amp;A&amp;R&amp;"Arial,Normal"&amp;10Page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Listes!$E$2:$E$9</xm:f>
          </x14:formula1>
          <xm:sqref>R4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1"/>
  <sheetViews>
    <sheetView topLeftCell="A13" zoomScaleNormal="100" workbookViewId="0">
      <selection activeCell="C28" sqref="C28:D35"/>
    </sheetView>
  </sheetViews>
  <sheetFormatPr baseColWidth="10" defaultRowHeight="14.5" x14ac:dyDescent="0.35"/>
  <cols>
    <col min="1" max="2" width="10.1796875" customWidth="1"/>
    <col min="4" max="4" width="23.8164062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8" width="17.81640625" customWidth="1"/>
    <col min="19" max="19" width="19.26953125" customWidth="1"/>
    <col min="20" max="20" width="17.4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  <c r="U1" s="457"/>
    </row>
    <row r="2" spans="1:32" s="188" customFormat="1" ht="18" x14ac:dyDescent="0.35">
      <c r="A2" s="182" t="s">
        <v>96</v>
      </c>
      <c r="B2" s="470" t="s">
        <v>170</v>
      </c>
      <c r="C2" s="470"/>
      <c r="D2" s="470"/>
      <c r="E2" s="470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J4" s="295"/>
      <c r="K4" s="296"/>
      <c r="N4" s="9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/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254">
        <v>1</v>
      </c>
      <c r="R6" s="12" t="s">
        <v>61</v>
      </c>
      <c r="S6" s="56">
        <f>Listes!E2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507" t="s">
        <v>100</v>
      </c>
      <c r="B8" s="507"/>
      <c r="C8" s="507"/>
      <c r="D8" s="50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89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208" t="s">
        <v>4</v>
      </c>
      <c r="M12" s="209" t="s">
        <v>5</v>
      </c>
      <c r="N12" s="209" t="s">
        <v>6</v>
      </c>
      <c r="O12" s="210" t="s">
        <v>7</v>
      </c>
      <c r="P12" s="21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>
        <v>1</v>
      </c>
      <c r="C13" s="547" t="s">
        <v>291</v>
      </c>
      <c r="D13" s="548"/>
      <c r="E13" s="549"/>
      <c r="F13" s="550"/>
      <c r="G13" s="311" t="s">
        <v>28</v>
      </c>
      <c r="H13" s="168"/>
      <c r="I13" s="168"/>
      <c r="J13" s="30"/>
      <c r="K13" s="170" t="s">
        <v>28</v>
      </c>
      <c r="L13" s="171"/>
      <c r="M13" s="172" t="s">
        <v>28</v>
      </c>
      <c r="N13" s="172"/>
      <c r="O13" s="172"/>
      <c r="P13" s="196" t="s">
        <v>29</v>
      </c>
      <c r="Q13" s="178" t="s">
        <v>264</v>
      </c>
      <c r="R13" s="551" t="str">
        <f>IF(U13="","",VLOOKUP(U13,Listes!$C$1:$D$19,2))</f>
        <v>Vérifie l'exhaustivité des pièces ( à réclamer ou dans le Sdp)</v>
      </c>
      <c r="S13" s="552"/>
      <c r="T13" s="553"/>
      <c r="U13" s="168">
        <v>103</v>
      </c>
      <c r="V13" s="176"/>
      <c r="W13" s="177"/>
      <c r="X13" s="177"/>
      <c r="Y13" s="177"/>
      <c r="Z13" s="178"/>
      <c r="AA13" s="554">
        <f>H46</f>
        <v>3</v>
      </c>
      <c r="AB13" s="556"/>
      <c r="AC13" s="540"/>
      <c r="AD13" s="540"/>
      <c r="AE13" s="540"/>
      <c r="AF13" s="542"/>
    </row>
    <row r="14" spans="1:32" ht="15.75" customHeight="1" thickBot="1" x14ac:dyDescent="0.4">
      <c r="A14" s="165"/>
      <c r="B14" s="222">
        <v>2</v>
      </c>
      <c r="C14" s="527" t="s">
        <v>291</v>
      </c>
      <c r="D14" s="528"/>
      <c r="E14" s="535"/>
      <c r="F14" s="536"/>
      <c r="G14" s="251" t="s">
        <v>28</v>
      </c>
      <c r="H14" s="169"/>
      <c r="I14" s="169"/>
      <c r="J14" s="36"/>
      <c r="K14" s="173" t="s">
        <v>28</v>
      </c>
      <c r="L14" s="174"/>
      <c r="M14" s="175"/>
      <c r="N14" s="175"/>
      <c r="O14" s="175"/>
      <c r="P14" s="197"/>
      <c r="Q14" s="410"/>
      <c r="R14" s="544" t="str">
        <f>IF(U14="","",VLOOKUP(U14,Listes!$C$1:$D$19,2))</f>
        <v/>
      </c>
      <c r="S14" s="545"/>
      <c r="T14" s="546"/>
      <c r="U14" s="241"/>
      <c r="V14" s="174"/>
      <c r="W14" s="175"/>
      <c r="X14" s="175"/>
      <c r="Y14" s="175"/>
      <c r="Z14" s="179"/>
      <c r="AA14" s="555"/>
      <c r="AB14" s="557"/>
      <c r="AC14" s="541"/>
      <c r="AD14" s="541"/>
      <c r="AE14" s="541"/>
      <c r="AF14" s="543"/>
    </row>
    <row r="15" spans="1:32" ht="15" x14ac:dyDescent="0.25">
      <c r="A15" s="165"/>
      <c r="B15" s="222">
        <v>3</v>
      </c>
      <c r="C15" s="527" t="s">
        <v>291</v>
      </c>
      <c r="D15" s="528"/>
      <c r="E15" s="535"/>
      <c r="F15" s="536"/>
      <c r="G15" s="251" t="s">
        <v>28</v>
      </c>
      <c r="H15" s="169" t="s">
        <v>28</v>
      </c>
      <c r="I15" s="169"/>
      <c r="J15" s="36"/>
      <c r="K15" s="173" t="s">
        <v>28</v>
      </c>
      <c r="L15" s="174"/>
      <c r="M15" s="175"/>
      <c r="N15" s="175"/>
      <c r="O15" s="175"/>
      <c r="P15" s="197"/>
      <c r="Q15" s="410"/>
      <c r="R15" s="529" t="str">
        <f>IF(U15="","",VLOOKUP(U15,Listes!$C$1:$D$19,2))</f>
        <v/>
      </c>
      <c r="S15" s="530"/>
      <c r="T15" s="531"/>
      <c r="U15" s="234"/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>
        <v>1</v>
      </c>
      <c r="C16" s="527" t="s">
        <v>291</v>
      </c>
      <c r="D16" s="528"/>
      <c r="E16" s="535"/>
      <c r="F16" s="536"/>
      <c r="G16" s="251" t="s">
        <v>28</v>
      </c>
      <c r="H16" s="169"/>
      <c r="I16" s="169"/>
      <c r="J16" s="36"/>
      <c r="K16" s="173" t="s">
        <v>28</v>
      </c>
      <c r="L16" s="174"/>
      <c r="M16" s="175"/>
      <c r="N16" s="175" t="s">
        <v>28</v>
      </c>
      <c r="O16" s="175"/>
      <c r="P16" s="197" t="s">
        <v>28</v>
      </c>
      <c r="Q16" s="410" t="s">
        <v>282</v>
      </c>
      <c r="R16" s="529" t="str">
        <f>IF(U16="","",VLOOKUP(U16,Listes!$C$1:$D$19,2))</f>
        <v>Outils de production (Cristal, Sdp…)</v>
      </c>
      <c r="S16" s="530"/>
      <c r="T16" s="531"/>
      <c r="U16" s="169">
        <v>210</v>
      </c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>
        <v>2</v>
      </c>
      <c r="C17" s="527" t="s">
        <v>291</v>
      </c>
      <c r="D17" s="528"/>
      <c r="E17" s="535"/>
      <c r="F17" s="536"/>
      <c r="G17" s="251" t="s">
        <v>28</v>
      </c>
      <c r="H17" s="169"/>
      <c r="I17" s="169" t="s">
        <v>28</v>
      </c>
      <c r="J17" s="36"/>
      <c r="K17" s="173" t="s">
        <v>29</v>
      </c>
      <c r="L17" s="174"/>
      <c r="M17" s="175"/>
      <c r="N17" s="175"/>
      <c r="O17" s="175"/>
      <c r="P17" s="197"/>
      <c r="Q17" s="410"/>
      <c r="R17" s="529" t="str">
        <f>IF(U17="","",VLOOKUP(U17,Listes!$C$1:$D$19,2))</f>
        <v/>
      </c>
      <c r="S17" s="530"/>
      <c r="T17" s="531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>
        <v>3</v>
      </c>
      <c r="C18" s="527" t="s">
        <v>291</v>
      </c>
      <c r="D18" s="528"/>
      <c r="E18" s="535"/>
      <c r="F18" s="536"/>
      <c r="G18" s="251" t="s">
        <v>28</v>
      </c>
      <c r="H18" s="169"/>
      <c r="I18" s="169"/>
      <c r="J18" s="36"/>
      <c r="K18" s="412" t="s">
        <v>29</v>
      </c>
      <c r="L18" s="174"/>
      <c r="M18" s="175"/>
      <c r="N18" s="175"/>
      <c r="O18" s="175"/>
      <c r="P18" s="197"/>
      <c r="Q18" s="410"/>
      <c r="R18" s="529" t="str">
        <f>IF(U18="","",VLOOKUP(U18,Listes!$C$1:$D$19,2))</f>
        <v/>
      </c>
      <c r="S18" s="530"/>
      <c r="T18" s="531"/>
      <c r="U18" s="169"/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>
        <v>1</v>
      </c>
      <c r="C19" s="527" t="s">
        <v>291</v>
      </c>
      <c r="D19" s="528"/>
      <c r="E19" s="535"/>
      <c r="F19" s="536"/>
      <c r="G19" s="251" t="s">
        <v>28</v>
      </c>
      <c r="H19" s="169"/>
      <c r="I19" s="169"/>
      <c r="J19" s="36"/>
      <c r="K19" s="412" t="s">
        <v>29</v>
      </c>
      <c r="L19" s="174"/>
      <c r="M19" s="175"/>
      <c r="N19" s="175"/>
      <c r="O19" s="175"/>
      <c r="P19" s="197"/>
      <c r="Q19" s="410"/>
      <c r="R19" s="529" t="str">
        <f>IF(U19="","",VLOOKUP(U19,Listes!$C$1:$D$19,2))</f>
        <v/>
      </c>
      <c r="S19" s="530"/>
      <c r="T19" s="531"/>
      <c r="U19" s="234"/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>
        <v>2</v>
      </c>
      <c r="C20" s="527" t="s">
        <v>291</v>
      </c>
      <c r="D20" s="528"/>
      <c r="E20" s="535"/>
      <c r="F20" s="536"/>
      <c r="G20" s="251" t="s">
        <v>28</v>
      </c>
      <c r="H20" s="169"/>
      <c r="I20" s="169"/>
      <c r="J20" s="36"/>
      <c r="K20" s="173" t="s">
        <v>29</v>
      </c>
      <c r="L20" s="174"/>
      <c r="M20" s="175"/>
      <c r="N20" s="175"/>
      <c r="O20" s="175"/>
      <c r="P20" s="197"/>
      <c r="Q20" s="410"/>
      <c r="R20" s="529" t="str">
        <f>IF(U20="","",VLOOKUP(U20,Listes!$C$1:$D$19,2))</f>
        <v/>
      </c>
      <c r="S20" s="530"/>
      <c r="T20" s="531"/>
      <c r="U20" s="169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>
        <v>3</v>
      </c>
      <c r="C21" s="527" t="s">
        <v>291</v>
      </c>
      <c r="D21" s="528"/>
      <c r="E21" s="535"/>
      <c r="F21" s="536"/>
      <c r="G21" s="251" t="s">
        <v>28</v>
      </c>
      <c r="H21" s="169"/>
      <c r="I21" s="169"/>
      <c r="J21" s="36"/>
      <c r="K21" s="412" t="s">
        <v>29</v>
      </c>
      <c r="L21" s="174"/>
      <c r="M21" s="175"/>
      <c r="N21" s="175"/>
      <c r="O21" s="175"/>
      <c r="P21" s="197"/>
      <c r="Q21" s="410"/>
      <c r="R21" s="529" t="str">
        <f>IF(U21="","",VLOOKUP(U21,Listes!$C$1:$D$19,2))</f>
        <v/>
      </c>
      <c r="S21" s="530"/>
      <c r="T21" s="531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>
        <v>1</v>
      </c>
      <c r="C22" s="527" t="s">
        <v>291</v>
      </c>
      <c r="D22" s="528"/>
      <c r="E22" s="535"/>
      <c r="F22" s="536"/>
      <c r="G22" s="251" t="s">
        <v>28</v>
      </c>
      <c r="H22" s="169"/>
      <c r="I22" s="169"/>
      <c r="J22" s="36"/>
      <c r="K22" s="412" t="s">
        <v>29</v>
      </c>
      <c r="L22" s="174"/>
      <c r="M22" s="175"/>
      <c r="N22" s="175"/>
      <c r="O22" s="175"/>
      <c r="P22" s="197"/>
      <c r="Q22" s="410"/>
      <c r="R22" s="529" t="str">
        <f>IF(U22="","",VLOOKUP(U22,Listes!$C$1:$D$19,2))</f>
        <v/>
      </c>
      <c r="S22" s="530"/>
      <c r="T22" s="531"/>
      <c r="U22" s="169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>
        <v>2</v>
      </c>
      <c r="C23" s="527" t="s">
        <v>291</v>
      </c>
      <c r="D23" s="528"/>
      <c r="E23" s="535"/>
      <c r="F23" s="536"/>
      <c r="G23" s="251" t="s">
        <v>28</v>
      </c>
      <c r="H23" s="169" t="s">
        <v>28</v>
      </c>
      <c r="I23" s="169"/>
      <c r="J23" s="36"/>
      <c r="K23" s="412" t="s">
        <v>29</v>
      </c>
      <c r="L23" s="174"/>
      <c r="M23" s="175"/>
      <c r="N23" s="175"/>
      <c r="O23" s="175"/>
      <c r="P23" s="197"/>
      <c r="Q23" s="410"/>
      <c r="R23" s="529" t="str">
        <f>IF(U23="","",VLOOKUP(U23,Listes!$C$1:$D$19,2))</f>
        <v/>
      </c>
      <c r="S23" s="530"/>
      <c r="T23" s="531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>
        <v>3</v>
      </c>
      <c r="C24" s="527" t="s">
        <v>291</v>
      </c>
      <c r="D24" s="528"/>
      <c r="E24" s="535"/>
      <c r="F24" s="536"/>
      <c r="G24" s="251" t="s">
        <v>28</v>
      </c>
      <c r="H24" s="169"/>
      <c r="I24" s="169" t="s">
        <v>28</v>
      </c>
      <c r="J24" s="36"/>
      <c r="K24" s="173" t="s">
        <v>28</v>
      </c>
      <c r="L24" s="174"/>
      <c r="M24" s="175"/>
      <c r="N24" s="175"/>
      <c r="O24" s="175"/>
      <c r="P24" s="197"/>
      <c r="Q24" s="410"/>
      <c r="R24" s="529" t="str">
        <f>IF(U24="","",VLOOKUP(U24,Listes!$C$1:$D$19,2))</f>
        <v/>
      </c>
      <c r="S24" s="530"/>
      <c r="T24" s="531"/>
      <c r="U24" s="169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>
        <v>1</v>
      </c>
      <c r="C25" s="527" t="s">
        <v>291</v>
      </c>
      <c r="D25" s="528"/>
      <c r="E25" s="535"/>
      <c r="F25" s="536"/>
      <c r="G25" s="251" t="s">
        <v>28</v>
      </c>
      <c r="H25" s="169"/>
      <c r="I25" s="169"/>
      <c r="J25" s="36"/>
      <c r="K25" s="173" t="s">
        <v>28</v>
      </c>
      <c r="L25" s="174" t="s">
        <v>28</v>
      </c>
      <c r="M25" s="175"/>
      <c r="N25" s="175"/>
      <c r="O25" s="175"/>
      <c r="P25" s="197"/>
      <c r="Q25" s="410" t="s">
        <v>283</v>
      </c>
      <c r="R25" s="529" t="str">
        <f>IF(U25="","",VLOOKUP(U25,Listes!$C$1:$D$19,2))</f>
        <v>Lit et analyse l'ensemble des pièces</v>
      </c>
      <c r="S25" s="530"/>
      <c r="T25" s="531"/>
      <c r="U25" s="234">
        <v>101</v>
      </c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>
        <v>2</v>
      </c>
      <c r="C26" s="527" t="s">
        <v>291</v>
      </c>
      <c r="D26" s="528"/>
      <c r="E26" s="535"/>
      <c r="F26" s="536"/>
      <c r="G26" s="251" t="s">
        <v>28</v>
      </c>
      <c r="H26" s="169"/>
      <c r="I26" s="169"/>
      <c r="J26" s="36"/>
      <c r="K26" s="173" t="s">
        <v>28</v>
      </c>
      <c r="L26" s="174"/>
      <c r="M26" s="175" t="s">
        <v>28</v>
      </c>
      <c r="N26" s="175"/>
      <c r="O26" s="175"/>
      <c r="P26" s="197"/>
      <c r="Q26" s="410" t="s">
        <v>282</v>
      </c>
      <c r="R26" s="529" t="str">
        <f>IF(U26="","",VLOOKUP(U26,Listes!$C$1:$D$19,2))</f>
        <v>Apprécie la validité des pièces</v>
      </c>
      <c r="S26" s="530"/>
      <c r="T26" s="531"/>
      <c r="U26" s="169">
        <v>102</v>
      </c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>
        <v>3</v>
      </c>
      <c r="C27" s="527" t="s">
        <v>291</v>
      </c>
      <c r="D27" s="528"/>
      <c r="E27" s="535"/>
      <c r="F27" s="536"/>
      <c r="G27" s="251" t="s">
        <v>28</v>
      </c>
      <c r="H27" s="169" t="s">
        <v>28</v>
      </c>
      <c r="I27" s="169"/>
      <c r="J27" s="36"/>
      <c r="K27" s="173" t="s">
        <v>28</v>
      </c>
      <c r="L27" s="174"/>
      <c r="M27" s="175"/>
      <c r="N27" s="175"/>
      <c r="O27" s="175"/>
      <c r="P27" s="197"/>
      <c r="Q27" s="410"/>
      <c r="R27" s="529" t="str">
        <f>IF(U27="","",VLOOKUP(U27,Listes!$C$1:$D$19,2))</f>
        <v>Vérifie la cohérence droits attendus et réels</v>
      </c>
      <c r="S27" s="530"/>
      <c r="T27" s="531"/>
      <c r="U27" s="234">
        <v>112</v>
      </c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>
        <v>1</v>
      </c>
      <c r="C28" s="527"/>
      <c r="D28" s="528"/>
      <c r="E28" s="535"/>
      <c r="F28" s="536"/>
      <c r="G28" s="251" t="s">
        <v>28</v>
      </c>
      <c r="H28" s="169"/>
      <c r="I28" s="169"/>
      <c r="J28" s="36"/>
      <c r="K28" s="173" t="s">
        <v>28</v>
      </c>
      <c r="L28" s="174"/>
      <c r="M28" s="175"/>
      <c r="N28" s="175"/>
      <c r="O28" s="175"/>
      <c r="P28" s="197"/>
      <c r="Q28" s="410"/>
      <c r="R28" s="529" t="str">
        <f>IF(U28="","",VLOOKUP(U28,Listes!$C$1:$D$19,2))</f>
        <v/>
      </c>
      <c r="S28" s="530"/>
      <c r="T28" s="531"/>
      <c r="U28" s="169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56"/>
      <c r="C29" s="527"/>
      <c r="D29" s="528"/>
      <c r="E29" s="535"/>
      <c r="F29" s="536"/>
      <c r="G29" s="169"/>
      <c r="H29" s="169"/>
      <c r="I29" s="169"/>
      <c r="J29" s="36"/>
      <c r="K29" s="173"/>
      <c r="L29" s="174"/>
      <c r="M29" s="175"/>
      <c r="N29" s="175"/>
      <c r="O29" s="175"/>
      <c r="P29" s="197"/>
      <c r="Q29" s="410"/>
      <c r="R29" s="529" t="str">
        <f>IF(U29="","",VLOOKUP(U29,Listes!$C$1:$D$19,2))</f>
        <v/>
      </c>
      <c r="S29" s="530"/>
      <c r="T29" s="531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56"/>
      <c r="C30" s="527"/>
      <c r="D30" s="528"/>
      <c r="E30" s="535"/>
      <c r="F30" s="536"/>
      <c r="G30" s="169"/>
      <c r="H30" s="169"/>
      <c r="I30" s="169"/>
      <c r="J30" s="36"/>
      <c r="K30" s="173"/>
      <c r="L30" s="174"/>
      <c r="M30" s="175"/>
      <c r="N30" s="175"/>
      <c r="O30" s="175"/>
      <c r="P30" s="197"/>
      <c r="Q30" s="410"/>
      <c r="R30" s="529" t="str">
        <f>IF(U30="","",VLOOKUP(U30,Listes!$C$1:$D$19,2))</f>
        <v/>
      </c>
      <c r="S30" s="530"/>
      <c r="T30" s="531"/>
      <c r="U30" s="169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27"/>
      <c r="D31" s="528"/>
      <c r="E31" s="535"/>
      <c r="F31" s="536"/>
      <c r="G31" s="169"/>
      <c r="H31" s="169"/>
      <c r="I31" s="169"/>
      <c r="J31" s="36"/>
      <c r="K31" s="173"/>
      <c r="L31" s="174"/>
      <c r="M31" s="175"/>
      <c r="N31" s="175"/>
      <c r="O31" s="175"/>
      <c r="P31" s="197"/>
      <c r="Q31" s="410"/>
      <c r="R31" s="529" t="str">
        <f>IF(U31="","",VLOOKUP(U31,Listes!$C$1:$D$19,2))</f>
        <v/>
      </c>
      <c r="S31" s="530"/>
      <c r="T31" s="531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27"/>
      <c r="D32" s="528"/>
      <c r="E32" s="535"/>
      <c r="F32" s="536"/>
      <c r="G32" s="169"/>
      <c r="H32" s="169"/>
      <c r="I32" s="169"/>
      <c r="J32" s="36"/>
      <c r="K32" s="173"/>
      <c r="L32" s="174"/>
      <c r="M32" s="175"/>
      <c r="N32" s="175"/>
      <c r="O32" s="175"/>
      <c r="P32" s="197"/>
      <c r="Q32" s="410"/>
      <c r="R32" s="529" t="str">
        <f>IF(U32="","",VLOOKUP(U32,Listes!$C$1:$D$19,2))</f>
        <v/>
      </c>
      <c r="S32" s="530"/>
      <c r="T32" s="531"/>
      <c r="U32" s="169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27"/>
      <c r="D33" s="528"/>
      <c r="E33" s="535"/>
      <c r="F33" s="536"/>
      <c r="G33" s="169"/>
      <c r="H33" s="169"/>
      <c r="I33" s="169"/>
      <c r="J33" s="36"/>
      <c r="K33" s="173"/>
      <c r="L33" s="174"/>
      <c r="M33" s="175"/>
      <c r="N33" s="175"/>
      <c r="O33" s="175"/>
      <c r="P33" s="197"/>
      <c r="Q33" s="410"/>
      <c r="R33" s="529" t="str">
        <f>IF(U33="","",VLOOKUP(U33,Listes!$C$1:$D$19,2))</f>
        <v/>
      </c>
      <c r="S33" s="530"/>
      <c r="T33" s="531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27"/>
      <c r="D34" s="528"/>
      <c r="E34" s="535"/>
      <c r="F34" s="536"/>
      <c r="G34" s="169"/>
      <c r="H34" s="169"/>
      <c r="I34" s="169"/>
      <c r="J34" s="36"/>
      <c r="K34" s="173"/>
      <c r="L34" s="174"/>
      <c r="M34" s="175"/>
      <c r="N34" s="175"/>
      <c r="O34" s="175"/>
      <c r="P34" s="197"/>
      <c r="Q34" s="410"/>
      <c r="R34" s="529" t="str">
        <f>IF(U34="","",VLOOKUP(U34,Listes!$C$1:$D$19,2))</f>
        <v/>
      </c>
      <c r="S34" s="530"/>
      <c r="T34" s="531"/>
      <c r="U34" s="169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73"/>
      <c r="L35" s="174"/>
      <c r="M35" s="175"/>
      <c r="N35" s="175"/>
      <c r="O35" s="175"/>
      <c r="P35" s="197"/>
      <c r="Q35" s="410"/>
      <c r="R35" s="529" t="str">
        <f>IF(U35="","",VLOOKUP(U35,Listes!$C$1:$D$19,2))</f>
        <v/>
      </c>
      <c r="S35" s="530"/>
      <c r="T35" s="531"/>
      <c r="U35" s="234"/>
      <c r="V35" s="174"/>
      <c r="W35" s="175"/>
      <c r="X35" s="175"/>
      <c r="Y35" s="175"/>
      <c r="Z35" s="179"/>
      <c r="AA35" s="586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73"/>
      <c r="L36" s="174"/>
      <c r="M36" s="175"/>
      <c r="N36" s="175"/>
      <c r="O36" s="175"/>
      <c r="P36" s="197"/>
      <c r="Q36" s="410"/>
      <c r="R36" s="529" t="str">
        <f>IF(U36="","",VLOOKUP(U36,Listes!$C$1:$D$19,2))</f>
        <v/>
      </c>
      <c r="S36" s="530"/>
      <c r="T36" s="531"/>
      <c r="U36" s="234"/>
      <c r="V36" s="174"/>
      <c r="W36" s="175"/>
      <c r="X36" s="175"/>
      <c r="Y36" s="175"/>
      <c r="Z36" s="179"/>
      <c r="AA36" s="587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73"/>
      <c r="L37" s="174"/>
      <c r="M37" s="175"/>
      <c r="N37" s="175"/>
      <c r="O37" s="175"/>
      <c r="P37" s="197"/>
      <c r="Q37" s="410"/>
      <c r="R37" s="529" t="str">
        <f>IF(U37="","",VLOOKUP(U37,Listes!$C$1:$D$19,2))</f>
        <v/>
      </c>
      <c r="S37" s="530"/>
      <c r="T37" s="531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73"/>
      <c r="L38" s="174"/>
      <c r="M38" s="175"/>
      <c r="N38" s="175"/>
      <c r="O38" s="175"/>
      <c r="P38" s="197"/>
      <c r="Q38" s="410"/>
      <c r="R38" s="529" t="str">
        <f>IF(U38="","",VLOOKUP(U38,Listes!$C$1:$D$19,2))</f>
        <v/>
      </c>
      <c r="S38" s="530"/>
      <c r="T38" s="531"/>
      <c r="U38" s="169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73"/>
      <c r="L39" s="174"/>
      <c r="M39" s="175"/>
      <c r="N39" s="175"/>
      <c r="O39" s="175"/>
      <c r="P39" s="197"/>
      <c r="Q39" s="410"/>
      <c r="R39" s="529" t="str">
        <f>IF(U39="","",VLOOKUP(U39,Listes!$C$1:$D$19,2))</f>
        <v/>
      </c>
      <c r="S39" s="530"/>
      <c r="T39" s="531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73"/>
      <c r="L40" s="174"/>
      <c r="M40" s="175"/>
      <c r="N40" s="175"/>
      <c r="O40" s="175"/>
      <c r="P40" s="197"/>
      <c r="Q40" s="410"/>
      <c r="R40" s="529" t="str">
        <f>IF(U40="","",VLOOKUP(U40,Listes!$C$1:$D$19,2))</f>
        <v/>
      </c>
      <c r="S40" s="530"/>
      <c r="T40" s="531"/>
      <c r="U40" s="169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73"/>
      <c r="L41" s="174"/>
      <c r="M41" s="175"/>
      <c r="N41" s="175"/>
      <c r="O41" s="175"/>
      <c r="P41" s="197"/>
      <c r="Q41" s="410"/>
      <c r="R41" s="529" t="str">
        <f>IF(U41="","",VLOOKUP(U41,Listes!$C$1:$D$19,2))</f>
        <v/>
      </c>
      <c r="S41" s="530"/>
      <c r="T41" s="531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73"/>
      <c r="L42" s="174"/>
      <c r="M42" s="175"/>
      <c r="N42" s="175"/>
      <c r="O42" s="175"/>
      <c r="P42" s="197"/>
      <c r="Q42" s="410"/>
      <c r="R42" s="529" t="str">
        <f>IF(U42="","",VLOOKUP(U42,Listes!$C$1:$D$19,2))</f>
        <v/>
      </c>
      <c r="S42" s="530"/>
      <c r="T42" s="531"/>
      <c r="U42" s="169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73"/>
      <c r="L43" s="174"/>
      <c r="M43" s="175"/>
      <c r="N43" s="175"/>
      <c r="O43" s="175"/>
      <c r="P43" s="197"/>
      <c r="Q43" s="410"/>
      <c r="R43" s="529" t="str">
        <f>IF(U43="","",VLOOKUP(U43,Listes!$C$1:$D$19,2))</f>
        <v/>
      </c>
      <c r="S43" s="530"/>
      <c r="T43" s="531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73"/>
      <c r="L44" s="174"/>
      <c r="M44" s="175"/>
      <c r="N44" s="175"/>
      <c r="O44" s="175"/>
      <c r="P44" s="197"/>
      <c r="Q44" s="410"/>
      <c r="R44" s="529" t="str">
        <f>IF(U44="","",VLOOKUP(U44,Listes!$C$1:$D$19,2))</f>
        <v/>
      </c>
      <c r="S44" s="530"/>
      <c r="T44" s="531"/>
      <c r="U44" s="242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39"/>
      <c r="B45" s="224"/>
      <c r="C45" s="615"/>
      <c r="D45" s="616"/>
      <c r="E45" s="615"/>
      <c r="F45" s="617"/>
      <c r="G45" s="40"/>
      <c r="H45" s="40"/>
      <c r="I45" s="40"/>
      <c r="J45" s="41"/>
      <c r="K45" s="18"/>
      <c r="L45" s="42"/>
      <c r="M45" s="43"/>
      <c r="N45" s="43"/>
      <c r="O45" s="43"/>
      <c r="P45" s="186"/>
      <c r="Q45" s="409"/>
      <c r="R45" s="529" t="str">
        <f>IF(U45="","",VLOOKUP(U45,Listes!$C$1:$D$19,2))</f>
        <v/>
      </c>
      <c r="S45" s="530"/>
      <c r="T45" s="531"/>
      <c r="U45" s="169"/>
      <c r="V45" s="42"/>
      <c r="W45" s="43"/>
      <c r="X45" s="43"/>
      <c r="Y45" s="43"/>
      <c r="Z45" s="44"/>
      <c r="AA45" s="591"/>
      <c r="AB45" s="592"/>
      <c r="AC45" s="592"/>
      <c r="AD45" s="592"/>
      <c r="AE45" s="592"/>
      <c r="AF45" s="593"/>
    </row>
    <row r="46" spans="1:32" x14ac:dyDescent="0.35">
      <c r="A46" s="603" t="s">
        <v>9</v>
      </c>
      <c r="B46" s="603">
        <f>SUM(B13:B45)</f>
        <v>31</v>
      </c>
      <c r="C46" s="606">
        <f>COUNTA(C13:D45)</f>
        <v>15</v>
      </c>
      <c r="D46" s="607"/>
      <c r="E46" s="46">
        <v>1</v>
      </c>
      <c r="F46" s="47">
        <f>COUNTIFS(E13:F45,1)</f>
        <v>0</v>
      </c>
      <c r="G46" s="604">
        <f>COUNTIF(G13:G45,"oui")</f>
        <v>16</v>
      </c>
      <c r="H46" s="604">
        <f>COUNTIF(H13:H45,"oui")</f>
        <v>3</v>
      </c>
      <c r="I46" s="604">
        <f>COUNTIF(I13:I45,"oui")</f>
        <v>2</v>
      </c>
      <c r="J46" s="612"/>
      <c r="K46" s="625">
        <f t="shared" ref="K46:P46" si="0">COUNTIF(K13:K45,"oui")</f>
        <v>9</v>
      </c>
      <c r="L46" s="628">
        <f t="shared" si="0"/>
        <v>1</v>
      </c>
      <c r="M46" s="631">
        <f t="shared" si="0"/>
        <v>2</v>
      </c>
      <c r="N46" s="631">
        <f t="shared" si="0"/>
        <v>1</v>
      </c>
      <c r="O46" s="631">
        <f t="shared" si="0"/>
        <v>0</v>
      </c>
      <c r="P46" s="634">
        <f t="shared" si="0"/>
        <v>1</v>
      </c>
      <c r="Q46" s="392"/>
      <c r="R46" s="689" t="s">
        <v>55</v>
      </c>
      <c r="S46" s="690"/>
      <c r="T46" s="695">
        <f>IF(P46=0,"",P46/C46)</f>
        <v>6.6666666666666666E-2</v>
      </c>
      <c r="U46" s="220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604"/>
      <c r="B47" s="604"/>
      <c r="C47" s="608"/>
      <c r="D47" s="609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3"/>
      <c r="R47" s="691"/>
      <c r="S47" s="692"/>
      <c r="T47" s="696"/>
      <c r="U47" s="35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605"/>
      <c r="B48" s="605"/>
      <c r="C48" s="610"/>
      <c r="D48" s="611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4"/>
      <c r="R48" s="693"/>
      <c r="S48" s="694"/>
      <c r="T48" s="697"/>
      <c r="U48" s="39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ht="17.25" customHeight="1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7.25" customHeight="1" x14ac:dyDescent="0.35">
      <c r="A51" s="9"/>
      <c r="B51" s="9"/>
      <c r="C51" s="9"/>
      <c r="D51" s="9"/>
      <c r="E51" s="9"/>
      <c r="F51" s="9"/>
      <c r="G51" s="9"/>
      <c r="H51" s="9"/>
      <c r="I51" s="9"/>
      <c r="J51" s="9"/>
      <c r="K51" s="50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7.25" customHeigh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50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x14ac:dyDescent="0.35">
      <c r="A53" s="9"/>
      <c r="B53" s="9"/>
      <c r="C53" s="9"/>
      <c r="D53" s="9"/>
      <c r="E53" s="9"/>
      <c r="F53" s="9"/>
      <c r="G53" s="9"/>
      <c r="H53" s="9"/>
      <c r="I53" s="9"/>
      <c r="J53" s="9"/>
      <c r="K53" s="50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5" customHeight="1" thickBot="1" x14ac:dyDescent="0.45">
      <c r="A54" s="9"/>
      <c r="B54" s="9"/>
      <c r="C54" s="624" t="s">
        <v>14</v>
      </c>
      <c r="D54" s="624"/>
      <c r="E54" s="624"/>
      <c r="F54" s="624"/>
      <c r="G54" s="624"/>
      <c r="H54" s="624"/>
      <c r="I54" s="624"/>
      <c r="J54" s="624"/>
      <c r="K54" s="624"/>
      <c r="L54" s="624"/>
      <c r="M54" s="624"/>
      <c r="N54" s="624"/>
      <c r="O54" s="9"/>
      <c r="P54" s="600" t="s">
        <v>74</v>
      </c>
      <c r="Q54" s="601"/>
      <c r="R54" s="601"/>
      <c r="S54" s="601"/>
      <c r="T54" s="601"/>
      <c r="U54" s="601"/>
      <c r="V54" s="602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15" thickBot="1" x14ac:dyDescent="0.4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588"/>
      <c r="Q55" s="589"/>
      <c r="R55" s="589"/>
      <c r="S55" s="589"/>
      <c r="T55" s="589"/>
      <c r="U55" s="589"/>
      <c r="V55" s="590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15" thickBot="1" x14ac:dyDescent="0.4">
      <c r="A56" s="9"/>
      <c r="B56" s="9"/>
      <c r="C56" s="637" t="s">
        <v>51</v>
      </c>
      <c r="D56" s="638"/>
      <c r="E56" s="638"/>
      <c r="F56" s="638"/>
      <c r="G56" s="5">
        <f>I46</f>
        <v>2</v>
      </c>
      <c r="H56" s="637" t="s">
        <v>53</v>
      </c>
      <c r="I56" s="638"/>
      <c r="J56" s="638"/>
      <c r="K56" s="639">
        <f>V46</f>
        <v>0</v>
      </c>
      <c r="L56" s="640"/>
      <c r="M56" s="7" t="s">
        <v>52</v>
      </c>
      <c r="N56" s="6" t="str">
        <f>IF(K56=0,"",K56/G56)</f>
        <v/>
      </c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thickBot="1" x14ac:dyDescent="0.4">
      <c r="A57" s="9"/>
      <c r="B57" s="9"/>
      <c r="C57" s="641" t="s">
        <v>15</v>
      </c>
      <c r="D57" s="642"/>
      <c r="E57" s="642"/>
      <c r="F57" s="642"/>
      <c r="G57" s="642"/>
      <c r="H57" s="642"/>
      <c r="I57" s="642"/>
      <c r="J57" s="642"/>
      <c r="K57" s="642"/>
      <c r="L57" s="642"/>
      <c r="M57" s="642"/>
      <c r="N57" s="643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30" customHeight="1" x14ac:dyDescent="0.35">
      <c r="A58" s="9"/>
      <c r="B58" s="9"/>
      <c r="C58" s="644" t="s">
        <v>16</v>
      </c>
      <c r="D58" s="645"/>
      <c r="E58" s="645"/>
      <c r="F58" s="646"/>
      <c r="G58" s="644" t="s">
        <v>17</v>
      </c>
      <c r="H58" s="646"/>
      <c r="I58" s="647" t="s">
        <v>54</v>
      </c>
      <c r="J58" s="648"/>
      <c r="K58" s="649"/>
      <c r="L58" s="647" t="s">
        <v>18</v>
      </c>
      <c r="M58" s="648"/>
      <c r="N58" s="649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ht="22" customHeight="1" thickBot="1" x14ac:dyDescent="0.4">
      <c r="A59" s="9"/>
      <c r="B59" s="9"/>
      <c r="C59" s="665">
        <f>W46</f>
        <v>0</v>
      </c>
      <c r="D59" s="666"/>
      <c r="E59" s="666"/>
      <c r="F59" s="667"/>
      <c r="G59" s="665">
        <f>X46</f>
        <v>0</v>
      </c>
      <c r="H59" s="667"/>
      <c r="I59" s="665">
        <f>Y46</f>
        <v>0</v>
      </c>
      <c r="J59" s="666"/>
      <c r="K59" s="667"/>
      <c r="L59" s="665">
        <f>Z46</f>
        <v>0</v>
      </c>
      <c r="M59" s="666"/>
      <c r="N59" s="667"/>
      <c r="O59" s="9"/>
      <c r="P59" s="591"/>
      <c r="Q59" s="592"/>
      <c r="R59" s="592"/>
      <c r="S59" s="592"/>
      <c r="T59" s="592"/>
      <c r="U59" s="592"/>
      <c r="V59" s="593"/>
      <c r="W59" s="9"/>
      <c r="X59" s="9"/>
      <c r="Y59" s="9"/>
      <c r="Z59" s="9"/>
      <c r="AA59" s="9"/>
      <c r="AB59" s="9"/>
      <c r="AC59" s="9"/>
      <c r="AD59" s="9"/>
      <c r="AE59" s="9"/>
      <c r="AF59" s="9"/>
    </row>
    <row r="60" spans="1:32" ht="16" customHeight="1" thickBot="1" x14ac:dyDescent="0.4">
      <c r="A60" s="9"/>
      <c r="B60" s="9"/>
      <c r="C60" s="668" t="str">
        <f>IF(C59=0,"",C59/K56)</f>
        <v/>
      </c>
      <c r="D60" s="669"/>
      <c r="E60" s="669"/>
      <c r="F60" s="670"/>
      <c r="G60" s="668" t="str">
        <f>IF(G59=0,"",G59/K56)</f>
        <v/>
      </c>
      <c r="H60" s="669"/>
      <c r="I60" s="668" t="str">
        <f>IF(I59=0,"",I59/K56)</f>
        <v/>
      </c>
      <c r="J60" s="669"/>
      <c r="K60" s="670"/>
      <c r="L60" s="668" t="str">
        <f>IF(L59=0,"",L59/K56)</f>
        <v/>
      </c>
      <c r="M60" s="669"/>
      <c r="N60" s="670"/>
      <c r="O60" s="9"/>
      <c r="P60" s="591"/>
      <c r="Q60" s="592"/>
      <c r="R60" s="592"/>
      <c r="S60" s="592"/>
      <c r="T60" s="592"/>
      <c r="U60" s="592"/>
      <c r="V60" s="593"/>
      <c r="W60" s="9"/>
      <c r="X60" s="9"/>
      <c r="Y60" s="9"/>
      <c r="Z60" s="9"/>
      <c r="AA60" s="9"/>
      <c r="AB60" s="9"/>
      <c r="AC60" s="9"/>
      <c r="AD60" s="9"/>
      <c r="AE60" s="9"/>
      <c r="AF60" s="9"/>
    </row>
    <row r="61" spans="1:32" ht="18" customHeight="1" x14ac:dyDescent="0.35">
      <c r="A61" s="9"/>
      <c r="B61" s="9"/>
      <c r="C61" s="180" t="s">
        <v>19</v>
      </c>
      <c r="D61" s="181"/>
      <c r="E61" s="671"/>
      <c r="F61" s="671"/>
      <c r="G61" s="671"/>
      <c r="H61" s="671"/>
      <c r="I61" s="671"/>
      <c r="J61" s="671"/>
      <c r="K61" s="671"/>
      <c r="L61" s="671"/>
      <c r="M61" s="671"/>
      <c r="N61" s="672"/>
      <c r="O61" s="9"/>
      <c r="P61" s="591"/>
      <c r="Q61" s="592"/>
      <c r="R61" s="592"/>
      <c r="S61" s="592"/>
      <c r="T61" s="592"/>
      <c r="U61" s="592"/>
      <c r="V61" s="593"/>
      <c r="W61" s="9"/>
      <c r="X61" s="9"/>
      <c r="Y61" s="9"/>
      <c r="Z61" s="9"/>
      <c r="AA61" s="9"/>
      <c r="AB61" s="9"/>
      <c r="AC61" s="9"/>
      <c r="AD61" s="9"/>
      <c r="AE61" s="9"/>
      <c r="AF61" s="9"/>
    </row>
    <row r="62" spans="1:32" x14ac:dyDescent="0.35">
      <c r="C62" s="650"/>
      <c r="D62" s="651"/>
      <c r="E62" s="651"/>
      <c r="F62" s="651"/>
      <c r="G62" s="651"/>
      <c r="H62" s="651"/>
      <c r="I62" s="651"/>
      <c r="J62" s="651"/>
      <c r="K62" s="651"/>
      <c r="L62" s="651"/>
      <c r="M62" s="651"/>
      <c r="N62" s="652"/>
      <c r="P62" s="591"/>
      <c r="Q62" s="592"/>
      <c r="R62" s="592"/>
      <c r="S62" s="592"/>
      <c r="T62" s="592"/>
      <c r="U62" s="592"/>
      <c r="V62" s="593"/>
    </row>
    <row r="63" spans="1:32" x14ac:dyDescent="0.35">
      <c r="C63" s="650"/>
      <c r="D63" s="651"/>
      <c r="E63" s="651"/>
      <c r="F63" s="651"/>
      <c r="G63" s="651"/>
      <c r="H63" s="651"/>
      <c r="I63" s="651"/>
      <c r="J63" s="651"/>
      <c r="K63" s="651"/>
      <c r="L63" s="651"/>
      <c r="M63" s="651"/>
      <c r="N63" s="652"/>
      <c r="P63" s="594"/>
      <c r="Q63" s="595"/>
      <c r="R63" s="595"/>
      <c r="S63" s="595"/>
      <c r="T63" s="595"/>
      <c r="U63" s="595"/>
      <c r="V63" s="596"/>
    </row>
    <row r="64" spans="1:32" ht="15" thickBot="1" x14ac:dyDescent="0.4">
      <c r="C64" s="650"/>
      <c r="D64" s="651"/>
      <c r="E64" s="651"/>
      <c r="F64" s="651"/>
      <c r="G64" s="651"/>
      <c r="H64" s="651"/>
      <c r="I64" s="651"/>
      <c r="J64" s="651"/>
      <c r="K64" s="651"/>
      <c r="L64" s="651"/>
      <c r="M64" s="651"/>
      <c r="N64" s="652"/>
      <c r="P64" s="22"/>
      <c r="Q64" s="23"/>
      <c r="R64" s="23"/>
      <c r="S64" s="23"/>
      <c r="T64" s="23"/>
      <c r="U64" s="23"/>
      <c r="V64" s="24"/>
    </row>
    <row r="65" spans="3:14" x14ac:dyDescent="0.35">
      <c r="C65" s="650"/>
      <c r="D65" s="651"/>
      <c r="E65" s="651"/>
      <c r="F65" s="651"/>
      <c r="G65" s="651"/>
      <c r="H65" s="651"/>
      <c r="I65" s="651"/>
      <c r="J65" s="651"/>
      <c r="K65" s="651"/>
      <c r="L65" s="651"/>
      <c r="M65" s="651"/>
      <c r="N65" s="652"/>
    </row>
    <row r="66" spans="3:14" ht="15" thickBot="1" x14ac:dyDescent="0.4">
      <c r="C66" s="653"/>
      <c r="D66" s="654"/>
      <c r="E66" s="654"/>
      <c r="F66" s="654"/>
      <c r="G66" s="654"/>
      <c r="H66" s="654"/>
      <c r="I66" s="654"/>
      <c r="J66" s="654"/>
      <c r="K66" s="654"/>
      <c r="L66" s="654"/>
      <c r="M66" s="654"/>
      <c r="N66" s="655"/>
    </row>
    <row r="69" spans="3:14" ht="15" customHeight="1" x14ac:dyDescent="0.4">
      <c r="C69" s="656" t="s">
        <v>20</v>
      </c>
      <c r="D69" s="656"/>
      <c r="E69" s="656"/>
      <c r="F69" s="656"/>
      <c r="G69" s="656"/>
      <c r="H69" s="656"/>
      <c r="I69" s="656"/>
      <c r="J69" s="656"/>
      <c r="K69" s="656"/>
      <c r="L69" s="656"/>
      <c r="M69" s="656"/>
      <c r="N69" s="656"/>
    </row>
    <row r="70" spans="3:14" ht="15" thickBot="1" x14ac:dyDescent="0.4"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</row>
    <row r="71" spans="3:14" ht="16" thickBot="1" x14ac:dyDescent="0.4">
      <c r="C71" s="657" t="s">
        <v>56</v>
      </c>
      <c r="D71" s="658"/>
      <c r="E71" s="658"/>
      <c r="F71" s="658"/>
      <c r="G71" s="659">
        <f>AA13</f>
        <v>3</v>
      </c>
      <c r="H71" s="660"/>
      <c r="I71" s="661" t="s">
        <v>57</v>
      </c>
      <c r="J71" s="662"/>
      <c r="K71" s="662"/>
      <c r="L71" s="10">
        <f>AB13</f>
        <v>0</v>
      </c>
      <c r="M71" s="663"/>
      <c r="N71" s="664"/>
    </row>
    <row r="72" spans="3:14" ht="16" thickBot="1" x14ac:dyDescent="0.4">
      <c r="C72" s="657" t="s">
        <v>15</v>
      </c>
      <c r="D72" s="658"/>
      <c r="E72" s="658"/>
      <c r="F72" s="658"/>
      <c r="G72" s="658"/>
      <c r="H72" s="658"/>
      <c r="I72" s="658"/>
      <c r="J72" s="658"/>
      <c r="K72" s="658"/>
      <c r="L72" s="658"/>
      <c r="M72" s="658"/>
      <c r="N72" s="680"/>
    </row>
    <row r="73" spans="3:14" ht="30" customHeight="1" x14ac:dyDescent="0.35">
      <c r="C73" s="681" t="s">
        <v>58</v>
      </c>
      <c r="D73" s="682"/>
      <c r="E73" s="682"/>
      <c r="F73" s="683"/>
      <c r="G73" s="681" t="s">
        <v>26</v>
      </c>
      <c r="H73" s="682"/>
      <c r="I73" s="681" t="s">
        <v>27</v>
      </c>
      <c r="J73" s="682"/>
      <c r="K73" s="683"/>
      <c r="L73" s="681" t="s">
        <v>22</v>
      </c>
      <c r="M73" s="682"/>
      <c r="N73" s="683"/>
    </row>
    <row r="74" spans="3:14" ht="22" customHeight="1" thickBot="1" x14ac:dyDescent="0.4">
      <c r="C74" s="684">
        <f>AC13</f>
        <v>0</v>
      </c>
      <c r="D74" s="685"/>
      <c r="E74" s="685"/>
      <c r="F74" s="686"/>
      <c r="G74" s="687">
        <f>AD13</f>
        <v>0</v>
      </c>
      <c r="H74" s="688"/>
      <c r="I74" s="684">
        <f>AE13</f>
        <v>0</v>
      </c>
      <c r="J74" s="685"/>
      <c r="K74" s="686"/>
      <c r="L74" s="684">
        <f>AF13</f>
        <v>0</v>
      </c>
      <c r="M74" s="685"/>
      <c r="N74" s="686"/>
    </row>
    <row r="75" spans="3:14" ht="16" customHeight="1" thickBot="1" x14ac:dyDescent="0.4">
      <c r="C75" s="709" t="str">
        <f>IF(C74=0,"",C74/(G71+L71))</f>
        <v/>
      </c>
      <c r="D75" s="710"/>
      <c r="E75" s="710"/>
      <c r="F75" s="711"/>
      <c r="G75" s="709" t="str">
        <f>IF(G74=0,"",G74/(G71+L71))</f>
        <v/>
      </c>
      <c r="H75" s="710"/>
      <c r="I75" s="709" t="str">
        <f>IF(I74=0,"",I74/(G71+L71))</f>
        <v/>
      </c>
      <c r="J75" s="710"/>
      <c r="K75" s="710"/>
      <c r="L75" s="709" t="str">
        <f>IF(L74=0,"",L74/(G71+L71))</f>
        <v/>
      </c>
      <c r="M75" s="710">
        <f>L74/(G71+L71)</f>
        <v>0</v>
      </c>
      <c r="N75" s="711"/>
    </row>
    <row r="76" spans="3:14" x14ac:dyDescent="0.35">
      <c r="C76" s="25" t="s">
        <v>19</v>
      </c>
      <c r="D76" s="2"/>
      <c r="E76" s="2"/>
      <c r="F76" s="2"/>
      <c r="G76" s="2"/>
      <c r="H76" s="2"/>
      <c r="I76" s="2"/>
      <c r="J76" s="2"/>
      <c r="K76" s="2"/>
      <c r="L76" s="2"/>
      <c r="M76" s="2"/>
      <c r="N76" s="3"/>
    </row>
    <row r="77" spans="3:14" x14ac:dyDescent="0.35">
      <c r="C77" s="673">
        <f>AA17</f>
        <v>0</v>
      </c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x14ac:dyDescent="0.35">
      <c r="C79" s="673"/>
      <c r="D79" s="674"/>
      <c r="E79" s="674"/>
      <c r="F79" s="674"/>
      <c r="G79" s="674"/>
      <c r="H79" s="674"/>
      <c r="I79" s="674"/>
      <c r="J79" s="674"/>
      <c r="K79" s="674"/>
      <c r="L79" s="674"/>
      <c r="M79" s="674"/>
      <c r="N79" s="675"/>
    </row>
    <row r="80" spans="3:14" x14ac:dyDescent="0.35">
      <c r="C80" s="673"/>
      <c r="D80" s="674"/>
      <c r="E80" s="674"/>
      <c r="F80" s="674"/>
      <c r="G80" s="674"/>
      <c r="H80" s="674"/>
      <c r="I80" s="674"/>
      <c r="J80" s="674"/>
      <c r="K80" s="674"/>
      <c r="L80" s="674"/>
      <c r="M80" s="674"/>
      <c r="N80" s="675"/>
    </row>
    <row r="81" spans="3:14" x14ac:dyDescent="0.35">
      <c r="C81" s="673"/>
      <c r="D81" s="674"/>
      <c r="E81" s="674"/>
      <c r="F81" s="674"/>
      <c r="G81" s="674"/>
      <c r="H81" s="674"/>
      <c r="I81" s="674"/>
      <c r="J81" s="674"/>
      <c r="K81" s="674"/>
      <c r="L81" s="674"/>
      <c r="M81" s="674"/>
      <c r="N81" s="675"/>
    </row>
    <row r="82" spans="3:14" ht="15" thickBot="1" x14ac:dyDescent="0.4">
      <c r="C82" s="676"/>
      <c r="D82" s="677"/>
      <c r="E82" s="677"/>
      <c r="F82" s="677"/>
      <c r="G82" s="677"/>
      <c r="H82" s="677"/>
      <c r="I82" s="677"/>
      <c r="J82" s="677"/>
      <c r="K82" s="677"/>
      <c r="L82" s="677"/>
      <c r="M82" s="677"/>
      <c r="N82" s="678"/>
    </row>
    <row r="85" spans="3:14" ht="15" customHeight="1" x14ac:dyDescent="0.4">
      <c r="C85" s="679" t="s">
        <v>23</v>
      </c>
      <c r="D85" s="679"/>
      <c r="E85" s="679"/>
      <c r="F85" s="679"/>
      <c r="G85" s="679"/>
      <c r="H85" s="679"/>
      <c r="I85" s="679"/>
      <c r="J85" s="679"/>
      <c r="K85" s="679"/>
      <c r="L85" s="679"/>
      <c r="M85" s="679"/>
      <c r="N85" s="679"/>
    </row>
    <row r="86" spans="3:14" ht="15" thickBot="1" x14ac:dyDescent="0.4"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3:14" ht="16" thickBot="1" x14ac:dyDescent="0.4">
      <c r="C87" s="701" t="s">
        <v>24</v>
      </c>
      <c r="D87" s="702"/>
      <c r="E87" s="703">
        <f>AA35</f>
        <v>0</v>
      </c>
      <c r="F87" s="703"/>
      <c r="G87" s="703"/>
      <c r="H87" s="704"/>
      <c r="I87" s="701" t="s">
        <v>25</v>
      </c>
      <c r="J87" s="702"/>
      <c r="K87" s="702"/>
      <c r="L87" s="703">
        <f>AB35</f>
        <v>0</v>
      </c>
      <c r="M87" s="703"/>
      <c r="N87" s="704"/>
    </row>
    <row r="88" spans="3:14" ht="16" thickBot="1" x14ac:dyDescent="0.4">
      <c r="C88" s="701" t="s">
        <v>15</v>
      </c>
      <c r="D88" s="702"/>
      <c r="E88" s="702"/>
      <c r="F88" s="702"/>
      <c r="G88" s="702"/>
      <c r="H88" s="702"/>
      <c r="I88" s="702"/>
      <c r="J88" s="702"/>
      <c r="K88" s="702"/>
      <c r="L88" s="702"/>
      <c r="M88" s="702"/>
      <c r="N88" s="705"/>
    </row>
    <row r="89" spans="3:14" ht="29.15" customHeight="1" x14ac:dyDescent="0.35">
      <c r="C89" s="706" t="s">
        <v>21</v>
      </c>
      <c r="D89" s="707"/>
      <c r="E89" s="707"/>
      <c r="F89" s="708"/>
      <c r="G89" s="706" t="s">
        <v>26</v>
      </c>
      <c r="H89" s="708"/>
      <c r="I89" s="706" t="s">
        <v>27</v>
      </c>
      <c r="J89" s="707"/>
      <c r="K89" s="708"/>
      <c r="L89" s="707" t="s">
        <v>22</v>
      </c>
      <c r="M89" s="707"/>
      <c r="N89" s="708"/>
    </row>
    <row r="90" spans="3:14" ht="15" thickBot="1" x14ac:dyDescent="0.4">
      <c r="C90" s="684">
        <f>AC35</f>
        <v>0</v>
      </c>
      <c r="D90" s="685"/>
      <c r="E90" s="685"/>
      <c r="F90" s="686"/>
      <c r="G90" s="687">
        <f>AD35</f>
        <v>0</v>
      </c>
      <c r="H90" s="688"/>
      <c r="I90" s="684">
        <f>AE35</f>
        <v>0</v>
      </c>
      <c r="J90" s="685"/>
      <c r="K90" s="686"/>
      <c r="L90" s="684">
        <f>AF35</f>
        <v>0</v>
      </c>
      <c r="M90" s="685"/>
      <c r="N90" s="686"/>
    </row>
    <row r="91" spans="3:14" ht="15" thickBot="1" x14ac:dyDescent="0.4">
      <c r="C91" s="698" t="str">
        <f>IF(C90=0,"",C90/L87)</f>
        <v/>
      </c>
      <c r="D91" s="699"/>
      <c r="E91" s="699"/>
      <c r="F91" s="700"/>
      <c r="G91" s="698" t="str">
        <f>IF(G90=0,"",G90/L87)</f>
        <v/>
      </c>
      <c r="H91" s="699"/>
      <c r="I91" s="698" t="str">
        <f>IF(I90=0,"",I90/L87)</f>
        <v/>
      </c>
      <c r="J91" s="699"/>
      <c r="K91" s="699"/>
      <c r="L91" s="698" t="str">
        <f>IF(L90=0,"",L90/L87)</f>
        <v/>
      </c>
      <c r="M91" s="699" t="e">
        <f>L90/(G87+L87)</f>
        <v>#DIV/0!</v>
      </c>
      <c r="N91" s="700"/>
    </row>
    <row r="92" spans="3:14" x14ac:dyDescent="0.35">
      <c r="C92" s="27" t="s">
        <v>19</v>
      </c>
      <c r="D92" s="2"/>
      <c r="E92" s="2"/>
      <c r="F92" s="2"/>
      <c r="G92" s="2"/>
      <c r="H92" s="2"/>
      <c r="I92" s="2"/>
      <c r="J92" s="2"/>
      <c r="K92" s="2"/>
      <c r="L92" s="2"/>
      <c r="M92" s="2"/>
      <c r="N92" s="3"/>
    </row>
    <row r="93" spans="3:14" x14ac:dyDescent="0.35">
      <c r="C93" s="673">
        <f>AA39</f>
        <v>0</v>
      </c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x14ac:dyDescent="0.35">
      <c r="C95" s="673"/>
      <c r="D95" s="674"/>
      <c r="E95" s="674"/>
      <c r="F95" s="674"/>
      <c r="G95" s="674"/>
      <c r="H95" s="674"/>
      <c r="I95" s="674"/>
      <c r="J95" s="674"/>
      <c r="K95" s="674"/>
      <c r="L95" s="674"/>
      <c r="M95" s="674"/>
      <c r="N95" s="675"/>
    </row>
    <row r="96" spans="3:14" x14ac:dyDescent="0.35">
      <c r="C96" s="673"/>
      <c r="D96" s="674"/>
      <c r="E96" s="674"/>
      <c r="F96" s="674"/>
      <c r="G96" s="674"/>
      <c r="H96" s="674"/>
      <c r="I96" s="674"/>
      <c r="J96" s="674"/>
      <c r="K96" s="674"/>
      <c r="L96" s="674"/>
      <c r="M96" s="674"/>
      <c r="N96" s="675"/>
    </row>
    <row r="97" spans="3:14" x14ac:dyDescent="0.35">
      <c r="C97" s="673"/>
      <c r="D97" s="674"/>
      <c r="E97" s="674"/>
      <c r="F97" s="674"/>
      <c r="G97" s="674"/>
      <c r="H97" s="674"/>
      <c r="I97" s="674"/>
      <c r="J97" s="674"/>
      <c r="K97" s="674"/>
      <c r="L97" s="674"/>
      <c r="M97" s="674"/>
      <c r="N97" s="675"/>
    </row>
    <row r="98" spans="3:14" ht="15" thickBot="1" x14ac:dyDescent="0.4">
      <c r="C98" s="676"/>
      <c r="D98" s="677"/>
      <c r="E98" s="677"/>
      <c r="F98" s="677"/>
      <c r="G98" s="677"/>
      <c r="H98" s="677"/>
      <c r="I98" s="677"/>
      <c r="J98" s="677"/>
      <c r="K98" s="677"/>
      <c r="L98" s="677"/>
      <c r="M98" s="677"/>
      <c r="N98" s="678"/>
    </row>
    <row r="121" spans="14:20" ht="18" x14ac:dyDescent="0.4">
      <c r="N121" s="191"/>
      <c r="O121" s="191"/>
      <c r="P121" s="191"/>
      <c r="Q121" s="191"/>
      <c r="R121" s="191"/>
      <c r="S121" s="191"/>
      <c r="T121" s="191"/>
    </row>
  </sheetData>
  <sheetProtection insertColumns="0" insertRows="0" deleteColumns="0" deleteRows="0"/>
  <mergeCells count="228">
    <mergeCell ref="C93:N98"/>
    <mergeCell ref="R46:S48"/>
    <mergeCell ref="T46:T48"/>
    <mergeCell ref="C90:F90"/>
    <mergeCell ref="G90:H90"/>
    <mergeCell ref="I90:K90"/>
    <mergeCell ref="L90:N90"/>
    <mergeCell ref="C91:F91"/>
    <mergeCell ref="G91:H91"/>
    <mergeCell ref="I91:K91"/>
    <mergeCell ref="L91:N91"/>
    <mergeCell ref="C87:D87"/>
    <mergeCell ref="E87:H87"/>
    <mergeCell ref="I87:K87"/>
    <mergeCell ref="L87:N87"/>
    <mergeCell ref="C88:N88"/>
    <mergeCell ref="C89:F89"/>
    <mergeCell ref="G89:H89"/>
    <mergeCell ref="I89:K89"/>
    <mergeCell ref="L89:N89"/>
    <mergeCell ref="C75:F75"/>
    <mergeCell ref="G75:H75"/>
    <mergeCell ref="I75:K75"/>
    <mergeCell ref="L75:N75"/>
    <mergeCell ref="C77:N82"/>
    <mergeCell ref="C85:N85"/>
    <mergeCell ref="C72:N72"/>
    <mergeCell ref="C73:F73"/>
    <mergeCell ref="G73:H73"/>
    <mergeCell ref="I73:K73"/>
    <mergeCell ref="L73:N73"/>
    <mergeCell ref="C74:F74"/>
    <mergeCell ref="G74:H74"/>
    <mergeCell ref="I74:K74"/>
    <mergeCell ref="L74:N74"/>
    <mergeCell ref="C69:N69"/>
    <mergeCell ref="C71:F71"/>
    <mergeCell ref="G71:H71"/>
    <mergeCell ref="I71:K71"/>
    <mergeCell ref="M71:N71"/>
    <mergeCell ref="C59:F59"/>
    <mergeCell ref="G59:H59"/>
    <mergeCell ref="I59:K59"/>
    <mergeCell ref="L59:N59"/>
    <mergeCell ref="C60:F60"/>
    <mergeCell ref="G60:H60"/>
    <mergeCell ref="I60:K60"/>
    <mergeCell ref="L60:N60"/>
    <mergeCell ref="E61:N61"/>
    <mergeCell ref="C56:F56"/>
    <mergeCell ref="H56:J56"/>
    <mergeCell ref="K56:L56"/>
    <mergeCell ref="C57:N57"/>
    <mergeCell ref="C58:F58"/>
    <mergeCell ref="G58:H58"/>
    <mergeCell ref="I58:K58"/>
    <mergeCell ref="L58:N58"/>
    <mergeCell ref="V46:V48"/>
    <mergeCell ref="P54:V54"/>
    <mergeCell ref="P55:V63"/>
    <mergeCell ref="C62:N66"/>
    <mergeCell ref="W46:W48"/>
    <mergeCell ref="X46:X48"/>
    <mergeCell ref="Y46:Y48"/>
    <mergeCell ref="Z46:Z48"/>
    <mergeCell ref="C54:N54"/>
    <mergeCell ref="K46:K48"/>
    <mergeCell ref="L46:L48"/>
    <mergeCell ref="M46:M48"/>
    <mergeCell ref="N46:N48"/>
    <mergeCell ref="O46:O48"/>
    <mergeCell ref="P46:P48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E17:F17"/>
    <mergeCell ref="E18:F18"/>
    <mergeCell ref="C17:D17"/>
    <mergeCell ref="R17:T17"/>
    <mergeCell ref="AA17:AF29"/>
    <mergeCell ref="C18:D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R16:T16"/>
    <mergeCell ref="AA16:AF16"/>
    <mergeCell ref="AC13:AC14"/>
    <mergeCell ref="AD13:AD14"/>
    <mergeCell ref="AE13:AE14"/>
    <mergeCell ref="AF13:AF14"/>
    <mergeCell ref="C14:D14"/>
    <mergeCell ref="R14:T14"/>
    <mergeCell ref="C13:D13"/>
    <mergeCell ref="E13:F13"/>
    <mergeCell ref="R13:T13"/>
    <mergeCell ref="AA13:AA14"/>
    <mergeCell ref="AB13:AB14"/>
    <mergeCell ref="E16:F16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R15:T15"/>
    <mergeCell ref="AA15:AF15"/>
    <mergeCell ref="E14:F14"/>
    <mergeCell ref="E15:F15"/>
    <mergeCell ref="B2:E2"/>
    <mergeCell ref="L10:T11"/>
    <mergeCell ref="R12:T12"/>
    <mergeCell ref="A1:U1"/>
    <mergeCell ref="A10:A12"/>
    <mergeCell ref="C10:D12"/>
    <mergeCell ref="E10:F12"/>
    <mergeCell ref="G10:G12"/>
    <mergeCell ref="H10:I11"/>
    <mergeCell ref="J10:J12"/>
    <mergeCell ref="K10:K12"/>
    <mergeCell ref="B10:B12"/>
    <mergeCell ref="D4:I4"/>
    <mergeCell ref="D6:I6"/>
    <mergeCell ref="A8:D8"/>
    <mergeCell ref="E8:I8"/>
    <mergeCell ref="U10:U12"/>
  </mergeCells>
  <conditionalFormatting sqref="N56">
    <cfRule type="cellIs" dxfId="756" priority="45" operator="equal">
      <formula>0.5</formula>
    </cfRule>
    <cfRule type="cellIs" dxfId="755" priority="46" operator="lessThan">
      <formula>0.5</formula>
    </cfRule>
    <cfRule type="cellIs" dxfId="754" priority="47" operator="greaterThan">
      <formula>0.5</formula>
    </cfRule>
    <cfRule type="aboveAverage" priority="48"/>
  </conditionalFormatting>
  <conditionalFormatting sqref="C60:F60">
    <cfRule type="cellIs" dxfId="753" priority="42" operator="equal">
      <formula>0.5</formula>
    </cfRule>
    <cfRule type="cellIs" dxfId="752" priority="43" operator="lessThan">
      <formula>0.5</formula>
    </cfRule>
    <cfRule type="cellIs" dxfId="751" priority="44" operator="greaterThan">
      <formula>0.5</formula>
    </cfRule>
  </conditionalFormatting>
  <conditionalFormatting sqref="G60:H60">
    <cfRule type="cellIs" dxfId="750" priority="39" operator="equal">
      <formula>0.5</formula>
    </cfRule>
    <cfRule type="cellIs" dxfId="749" priority="40" operator="lessThan">
      <formula>0.5</formula>
    </cfRule>
    <cfRule type="cellIs" dxfId="748" priority="41" operator="greaterThan">
      <formula>0.5</formula>
    </cfRule>
  </conditionalFormatting>
  <conditionalFormatting sqref="I60">
    <cfRule type="cellIs" dxfId="747" priority="36" operator="equal">
      <formula>0.5</formula>
    </cfRule>
    <cfRule type="cellIs" dxfId="746" priority="37" operator="lessThan">
      <formula>0.5</formula>
    </cfRule>
    <cfRule type="cellIs" dxfId="745" priority="38" operator="greaterThan">
      <formula>0.5</formula>
    </cfRule>
  </conditionalFormatting>
  <conditionalFormatting sqref="L60">
    <cfRule type="cellIs" dxfId="744" priority="33" operator="equal">
      <formula>0.5</formula>
    </cfRule>
    <cfRule type="cellIs" dxfId="743" priority="34" operator="lessThan">
      <formula>0.5</formula>
    </cfRule>
    <cfRule type="cellIs" dxfId="742" priority="35" operator="greaterThan">
      <formula>0.5</formula>
    </cfRule>
  </conditionalFormatting>
  <conditionalFormatting sqref="C75:F75">
    <cfRule type="cellIs" dxfId="741" priority="29" operator="greaterThan">
      <formula>0.5</formula>
    </cfRule>
    <cfRule type="cellIs" dxfId="740" priority="30" operator="lessThan">
      <formula>0.5</formula>
    </cfRule>
    <cfRule type="cellIs" dxfId="739" priority="31" operator="equal">
      <formula>0.5</formula>
    </cfRule>
    <cfRule type="cellIs" dxfId="738" priority="32" operator="greaterThan">
      <formula>50</formula>
    </cfRule>
  </conditionalFormatting>
  <conditionalFormatting sqref="L75">
    <cfRule type="cellIs" dxfId="737" priority="17" operator="greaterThan">
      <formula>0.5</formula>
    </cfRule>
    <cfRule type="cellIs" dxfId="736" priority="18" operator="lessThan">
      <formula>0.5</formula>
    </cfRule>
    <cfRule type="cellIs" dxfId="735" priority="19" operator="equal">
      <formula>0.5</formula>
    </cfRule>
    <cfRule type="cellIs" dxfId="734" priority="20" operator="greaterThan">
      <formula>50</formula>
    </cfRule>
  </conditionalFormatting>
  <conditionalFormatting sqref="G75:H75">
    <cfRule type="cellIs" dxfId="733" priority="25" operator="greaterThan">
      <formula>0.5</formula>
    </cfRule>
    <cfRule type="cellIs" dxfId="732" priority="26" operator="lessThan">
      <formula>0.5</formula>
    </cfRule>
    <cfRule type="cellIs" dxfId="731" priority="27" operator="equal">
      <formula>0.5</formula>
    </cfRule>
    <cfRule type="cellIs" dxfId="730" priority="28" operator="greaterThan">
      <formula>50</formula>
    </cfRule>
  </conditionalFormatting>
  <conditionalFormatting sqref="I75">
    <cfRule type="cellIs" dxfId="729" priority="21" operator="greaterThan">
      <formula>0.5</formula>
    </cfRule>
    <cfRule type="cellIs" dxfId="728" priority="22" operator="lessThan">
      <formula>0.5</formula>
    </cfRule>
    <cfRule type="cellIs" dxfId="727" priority="23" operator="equal">
      <formula>0.5</formula>
    </cfRule>
    <cfRule type="cellIs" dxfId="726" priority="24" operator="greaterThan">
      <formula>50</formula>
    </cfRule>
  </conditionalFormatting>
  <conditionalFormatting sqref="C91:F91">
    <cfRule type="cellIs" dxfId="725" priority="13" operator="greaterThan">
      <formula>0.5</formula>
    </cfRule>
    <cfRule type="cellIs" dxfId="724" priority="14" operator="lessThan">
      <formula>0.5</formula>
    </cfRule>
    <cfRule type="cellIs" dxfId="723" priority="15" operator="equal">
      <formula>0.5</formula>
    </cfRule>
    <cfRule type="cellIs" dxfId="722" priority="16" operator="greaterThan">
      <formula>50</formula>
    </cfRule>
  </conditionalFormatting>
  <conditionalFormatting sqref="L91">
    <cfRule type="cellIs" dxfId="721" priority="5" operator="greaterThan">
      <formula>0.5</formula>
    </cfRule>
    <cfRule type="cellIs" dxfId="720" priority="6" operator="lessThan">
      <formula>0.5</formula>
    </cfRule>
    <cfRule type="cellIs" dxfId="719" priority="7" operator="equal">
      <formula>0.5</formula>
    </cfRule>
    <cfRule type="cellIs" dxfId="718" priority="8" operator="greaterThan">
      <formula>50</formula>
    </cfRule>
  </conditionalFormatting>
  <conditionalFormatting sqref="I91">
    <cfRule type="cellIs" dxfId="717" priority="9" operator="greaterThan">
      <formula>0.5</formula>
    </cfRule>
    <cfRule type="cellIs" dxfId="716" priority="10" operator="lessThan">
      <formula>0.5</formula>
    </cfRule>
    <cfRule type="cellIs" dxfId="715" priority="11" operator="equal">
      <formula>0.5</formula>
    </cfRule>
    <cfRule type="cellIs" dxfId="714" priority="12" operator="greaterThan">
      <formula>50</formula>
    </cfRule>
  </conditionalFormatting>
  <conditionalFormatting sqref="G91:H91">
    <cfRule type="cellIs" dxfId="713" priority="1" operator="greaterThan">
      <formula>0.5</formula>
    </cfRule>
    <cfRule type="cellIs" dxfId="712" priority="2" operator="lessThan">
      <formula>0.5</formula>
    </cfRule>
    <cfRule type="cellIs" dxfId="711" priority="3" operator="equal">
      <formula>0.5</formula>
    </cfRule>
    <cfRule type="cellIs" dxfId="710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V13:Z44 K13:P44 G13:I44">
      <formula1>Oui_Non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23622047244094491" right="0.23622047244094491" top="0.74803149606299213" bottom="0.74803149606299213" header="0.31496062992125984" footer="0.31496062992125984"/>
  <pageSetup paperSize="8" scale="72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Listes!$C$2:$C$19</xm:f>
          </x14:formula1>
          <xm:sqref>U13:U45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opLeftCell="A10" zoomScaleNormal="100" workbookViewId="0">
      <selection activeCell="C26" sqref="C26:D29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470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8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228" t="s">
        <v>76</v>
      </c>
      <c r="B4" s="228"/>
      <c r="C4" s="228"/>
      <c r="D4" s="506">
        <f>Synthèse!D3</f>
        <v>0</v>
      </c>
      <c r="E4" s="506"/>
      <c r="F4" s="506"/>
      <c r="G4" s="506"/>
      <c r="H4" s="506"/>
      <c r="I4" s="506"/>
      <c r="J4" s="193"/>
      <c r="K4" s="193"/>
      <c r="L4" s="193"/>
      <c r="M4" s="193"/>
      <c r="N4" s="193" t="s">
        <v>94</v>
      </c>
      <c r="O4" s="194">
        <f>Synthèse!I3</f>
        <v>0</v>
      </c>
      <c r="P4" s="193"/>
      <c r="Q4" s="193"/>
      <c r="R4" s="193"/>
      <c r="S4" s="193"/>
      <c r="T4" s="193"/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66">
        <v>1</v>
      </c>
      <c r="R6" s="12" t="s">
        <v>61</v>
      </c>
      <c r="S6" s="56">
        <f>Listes!E3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89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>
        <v>2</v>
      </c>
      <c r="C13" s="547" t="s">
        <v>291</v>
      </c>
      <c r="D13" s="548"/>
      <c r="E13" s="549"/>
      <c r="F13" s="550"/>
      <c r="G13" s="168" t="s">
        <v>28</v>
      </c>
      <c r="H13" s="168"/>
      <c r="I13" s="168"/>
      <c r="J13" s="30"/>
      <c r="K13" s="170" t="s">
        <v>28</v>
      </c>
      <c r="L13" s="171"/>
      <c r="M13" s="172"/>
      <c r="N13" s="172"/>
      <c r="O13" s="172"/>
      <c r="P13" s="196"/>
      <c r="Q13" s="178"/>
      <c r="R13" s="712"/>
      <c r="S13" s="713"/>
      <c r="T13" s="713"/>
      <c r="U13" s="233"/>
      <c r="V13" s="176"/>
      <c r="W13" s="177"/>
      <c r="X13" s="177"/>
      <c r="Y13" s="177"/>
      <c r="Z13" s="178"/>
      <c r="AA13" s="554">
        <f>H46</f>
        <v>2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>
        <v>3</v>
      </c>
      <c r="C14" s="527" t="s">
        <v>291</v>
      </c>
      <c r="D14" s="528"/>
      <c r="E14" s="535"/>
      <c r="F14" s="536"/>
      <c r="G14" s="169" t="s">
        <v>28</v>
      </c>
      <c r="H14" s="169"/>
      <c r="I14" s="169"/>
      <c r="J14" s="36"/>
      <c r="K14" s="173" t="s">
        <v>28</v>
      </c>
      <c r="L14" s="174"/>
      <c r="M14" s="175" t="s">
        <v>28</v>
      </c>
      <c r="N14" s="175"/>
      <c r="O14" s="175"/>
      <c r="P14" s="197" t="s">
        <v>28</v>
      </c>
      <c r="Q14" s="410" t="s">
        <v>257</v>
      </c>
      <c r="R14" s="529" t="str">
        <f>IF(U14="","",VLOOKUP(U14,Listes!$C$1:$D$19,2))</f>
        <v>Vérifie l'exhaustivité des pièces ( à réclamer ou dans le Sdp)</v>
      </c>
      <c r="S14" s="530"/>
      <c r="T14" s="531"/>
      <c r="U14" s="234">
        <v>103</v>
      </c>
      <c r="V14" s="174"/>
      <c r="W14" s="175"/>
      <c r="X14" s="175"/>
      <c r="Y14" s="175"/>
      <c r="Z14" s="179"/>
      <c r="AA14" s="555"/>
      <c r="AB14" s="557"/>
      <c r="AC14" s="541"/>
      <c r="AD14" s="541"/>
      <c r="AE14" s="541"/>
      <c r="AF14" s="543"/>
    </row>
    <row r="15" spans="1:32" ht="15" x14ac:dyDescent="0.25">
      <c r="A15" s="165"/>
      <c r="B15" s="222">
        <v>2</v>
      </c>
      <c r="C15" s="527" t="s">
        <v>291</v>
      </c>
      <c r="D15" s="528"/>
      <c r="E15" s="535"/>
      <c r="F15" s="536"/>
      <c r="G15" s="169" t="s">
        <v>28</v>
      </c>
      <c r="H15" s="169" t="s">
        <v>28</v>
      </c>
      <c r="I15" s="169"/>
      <c r="J15" s="36"/>
      <c r="K15" s="412" t="s">
        <v>28</v>
      </c>
      <c r="L15" s="174"/>
      <c r="M15" s="175"/>
      <c r="N15" s="175"/>
      <c r="O15" s="175"/>
      <c r="P15" s="197"/>
      <c r="Q15" s="410"/>
      <c r="R15" s="529" t="str">
        <f>IF(U15="","",VLOOKUP(U15,Listes!$C$1:$D$19,2))</f>
        <v/>
      </c>
      <c r="S15" s="530"/>
      <c r="T15" s="531"/>
      <c r="U15" s="234"/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>
        <v>2</v>
      </c>
      <c r="C16" s="527" t="s">
        <v>291</v>
      </c>
      <c r="D16" s="528"/>
      <c r="E16" s="535"/>
      <c r="F16" s="536"/>
      <c r="G16" s="169" t="s">
        <v>28</v>
      </c>
      <c r="H16" s="169"/>
      <c r="I16" s="169"/>
      <c r="J16" s="36"/>
      <c r="K16" s="412" t="s">
        <v>28</v>
      </c>
      <c r="L16" s="174"/>
      <c r="M16" s="175"/>
      <c r="N16" s="175" t="s">
        <v>28</v>
      </c>
      <c r="O16" s="175"/>
      <c r="P16" s="197"/>
      <c r="Q16" s="410" t="s">
        <v>258</v>
      </c>
      <c r="R16" s="529" t="str">
        <f>IF(U16="","",VLOOKUP(U16,Listes!$C$1:$D$19,2))</f>
        <v>Vérifie la cohérence droits attendus et réels</v>
      </c>
      <c r="S16" s="530"/>
      <c r="T16" s="531"/>
      <c r="U16" s="234">
        <v>112</v>
      </c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>
        <v>3</v>
      </c>
      <c r="C17" s="527" t="s">
        <v>291</v>
      </c>
      <c r="D17" s="528"/>
      <c r="E17" s="535"/>
      <c r="F17" s="536"/>
      <c r="G17" s="169" t="s">
        <v>28</v>
      </c>
      <c r="H17" s="169"/>
      <c r="I17" s="169"/>
      <c r="J17" s="36"/>
      <c r="K17" s="412" t="s">
        <v>28</v>
      </c>
      <c r="L17" s="174"/>
      <c r="M17" s="175"/>
      <c r="N17" s="175"/>
      <c r="O17" s="175"/>
      <c r="P17" s="197"/>
      <c r="Q17" s="410"/>
      <c r="R17" s="529" t="str">
        <f>IF(U17="","",VLOOKUP(U17,Listes!$C$1:$D$19,2))</f>
        <v/>
      </c>
      <c r="S17" s="530"/>
      <c r="T17" s="531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>
        <v>2</v>
      </c>
      <c r="C18" s="527" t="s">
        <v>291</v>
      </c>
      <c r="D18" s="528"/>
      <c r="E18" s="535"/>
      <c r="F18" s="536"/>
      <c r="G18" s="169" t="s">
        <v>28</v>
      </c>
      <c r="H18" s="169"/>
      <c r="I18" s="169"/>
      <c r="J18" s="36"/>
      <c r="K18" s="412" t="s">
        <v>28</v>
      </c>
      <c r="L18" s="174"/>
      <c r="M18" s="175"/>
      <c r="N18" s="175"/>
      <c r="O18" s="175"/>
      <c r="P18" s="197"/>
      <c r="Q18" s="410"/>
      <c r="R18" s="529" t="str">
        <f>IF(U18="","",VLOOKUP(U18,Listes!$C$1:$D$19,2))</f>
        <v/>
      </c>
      <c r="S18" s="530"/>
      <c r="T18" s="531"/>
      <c r="U18" s="234"/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>
        <v>2</v>
      </c>
      <c r="C19" s="527" t="s">
        <v>291</v>
      </c>
      <c r="D19" s="528"/>
      <c r="E19" s="535"/>
      <c r="F19" s="536"/>
      <c r="G19" s="169" t="s">
        <v>28</v>
      </c>
      <c r="H19" s="169"/>
      <c r="I19" s="169" t="s">
        <v>28</v>
      </c>
      <c r="J19" s="36"/>
      <c r="K19" s="412" t="s">
        <v>28</v>
      </c>
      <c r="L19" s="174"/>
      <c r="M19" s="175"/>
      <c r="N19" s="175"/>
      <c r="O19" s="175"/>
      <c r="P19" s="197" t="s">
        <v>28</v>
      </c>
      <c r="Q19" s="410" t="s">
        <v>282</v>
      </c>
      <c r="R19" s="529" t="str">
        <f>IF(U19="","",VLOOKUP(U19,Listes!$C$1:$D$19,2))</f>
        <v>Choisit les Fg pertinents</v>
      </c>
      <c r="S19" s="530"/>
      <c r="T19" s="531"/>
      <c r="U19" s="234">
        <v>120</v>
      </c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>
        <v>2</v>
      </c>
      <c r="C20" s="527" t="s">
        <v>291</v>
      </c>
      <c r="D20" s="528"/>
      <c r="E20" s="535"/>
      <c r="F20" s="536"/>
      <c r="G20" s="169" t="s">
        <v>28</v>
      </c>
      <c r="H20" s="169"/>
      <c r="I20" s="169"/>
      <c r="J20" s="36"/>
      <c r="K20" s="412" t="s">
        <v>28</v>
      </c>
      <c r="L20" s="174"/>
      <c r="M20" s="175"/>
      <c r="N20" s="175"/>
      <c r="O20" s="175"/>
      <c r="P20" s="197"/>
      <c r="Q20" s="410"/>
      <c r="R20" s="529" t="str">
        <f>IF(U20="","",VLOOKUP(U20,Listes!$C$1:$D$19,2))</f>
        <v/>
      </c>
      <c r="S20" s="530"/>
      <c r="T20" s="531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>
        <v>2</v>
      </c>
      <c r="C21" s="527" t="s">
        <v>291</v>
      </c>
      <c r="D21" s="528"/>
      <c r="E21" s="535"/>
      <c r="F21" s="536"/>
      <c r="G21" s="169" t="s">
        <v>28</v>
      </c>
      <c r="H21" s="169"/>
      <c r="I21" s="169"/>
      <c r="J21" s="36"/>
      <c r="K21" s="412" t="s">
        <v>28</v>
      </c>
      <c r="L21" s="174"/>
      <c r="M21" s="175" t="s">
        <v>28</v>
      </c>
      <c r="N21" s="175"/>
      <c r="O21" s="175"/>
      <c r="P21" s="197"/>
      <c r="Q21" s="410" t="s">
        <v>284</v>
      </c>
      <c r="R21" s="529" t="str">
        <f>IF(U21="","",VLOOKUP(U21,Listes!$C$1:$D$19,2))</f>
        <v>Vérifie l'exhaustivité des pièces ( à réclamer ou dans le Sdp)</v>
      </c>
      <c r="S21" s="530"/>
      <c r="T21" s="531"/>
      <c r="U21" s="234">
        <v>103</v>
      </c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>
        <v>1</v>
      </c>
      <c r="C22" s="527" t="s">
        <v>291</v>
      </c>
      <c r="D22" s="528"/>
      <c r="E22" s="535"/>
      <c r="F22" s="536"/>
      <c r="G22" s="169" t="s">
        <v>29</v>
      </c>
      <c r="H22" s="169"/>
      <c r="I22" s="169"/>
      <c r="J22" s="36"/>
      <c r="K22" s="412" t="s">
        <v>29</v>
      </c>
      <c r="L22" s="174"/>
      <c r="M22" s="175"/>
      <c r="N22" s="175"/>
      <c r="O22" s="175"/>
      <c r="P22" s="197"/>
      <c r="Q22" s="410"/>
      <c r="R22" s="529" t="str">
        <f>IF(U22="","",VLOOKUP(U22,Listes!$C$1:$D$19,2))</f>
        <v/>
      </c>
      <c r="S22" s="530"/>
      <c r="T22" s="531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>
        <v>2</v>
      </c>
      <c r="C23" s="527" t="s">
        <v>291</v>
      </c>
      <c r="D23" s="528"/>
      <c r="E23" s="535"/>
      <c r="F23" s="536"/>
      <c r="G23" s="169" t="s">
        <v>29</v>
      </c>
      <c r="H23" s="169" t="s">
        <v>28</v>
      </c>
      <c r="I23" s="169"/>
      <c r="J23" s="36"/>
      <c r="K23" s="412" t="s">
        <v>29</v>
      </c>
      <c r="L23" s="174"/>
      <c r="M23" s="175"/>
      <c r="N23" s="175"/>
      <c r="O23" s="175"/>
      <c r="P23" s="197"/>
      <c r="Q23" s="410"/>
      <c r="R23" s="529" t="str">
        <f>IF(U23="","",VLOOKUP(U23,Listes!$C$1:$D$19,2))</f>
        <v/>
      </c>
      <c r="S23" s="530"/>
      <c r="T23" s="531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>
        <v>3</v>
      </c>
      <c r="C24" s="527" t="s">
        <v>291</v>
      </c>
      <c r="D24" s="528"/>
      <c r="E24" s="535"/>
      <c r="F24" s="536"/>
      <c r="G24" s="169" t="s">
        <v>29</v>
      </c>
      <c r="H24" s="169"/>
      <c r="I24" s="169"/>
      <c r="J24" s="36"/>
      <c r="K24" s="412" t="s">
        <v>29</v>
      </c>
      <c r="L24" s="174"/>
      <c r="M24" s="175"/>
      <c r="N24" s="175"/>
      <c r="O24" s="175"/>
      <c r="P24" s="197"/>
      <c r="Q24" s="410"/>
      <c r="R24" s="529" t="str">
        <f>IF(U24="","",VLOOKUP(U24,Listes!$C$1:$D$19,2))</f>
        <v/>
      </c>
      <c r="S24" s="530"/>
      <c r="T24" s="531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>
        <v>3</v>
      </c>
      <c r="C25" s="527" t="s">
        <v>291</v>
      </c>
      <c r="D25" s="528"/>
      <c r="E25" s="535"/>
      <c r="F25" s="536"/>
      <c r="G25" s="169" t="s">
        <v>29</v>
      </c>
      <c r="H25" s="169"/>
      <c r="I25" s="169"/>
      <c r="J25" s="36"/>
      <c r="K25" s="412" t="s">
        <v>29</v>
      </c>
      <c r="L25" s="174"/>
      <c r="M25" s="175"/>
      <c r="N25" s="175"/>
      <c r="O25" s="175"/>
      <c r="P25" s="197"/>
      <c r="Q25" s="410"/>
      <c r="R25" s="529" t="str">
        <f>IF(U25="","",VLOOKUP(U25,Listes!$C$1:$D$19,2))</f>
        <v/>
      </c>
      <c r="S25" s="530"/>
      <c r="T25" s="531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>
        <v>3</v>
      </c>
      <c r="C26" s="527"/>
      <c r="D26" s="528"/>
      <c r="E26" s="535"/>
      <c r="F26" s="536"/>
      <c r="G26" s="169" t="s">
        <v>28</v>
      </c>
      <c r="H26" s="169"/>
      <c r="I26" s="169" t="s">
        <v>28</v>
      </c>
      <c r="J26" s="36"/>
      <c r="K26" s="412" t="s">
        <v>28</v>
      </c>
      <c r="L26" s="174"/>
      <c r="M26" s="175"/>
      <c r="N26" s="175"/>
      <c r="O26" s="175"/>
      <c r="P26" s="197"/>
      <c r="Q26" s="410"/>
      <c r="R26" s="529" t="str">
        <f>IF(U26="","",VLOOKUP(U26,Listes!$C$1:$D$19,2))</f>
        <v/>
      </c>
      <c r="S26" s="530"/>
      <c r="T26" s="531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>
        <v>3</v>
      </c>
      <c r="C27" s="527"/>
      <c r="D27" s="528"/>
      <c r="E27" s="535"/>
      <c r="F27" s="536"/>
      <c r="G27" s="169" t="s">
        <v>28</v>
      </c>
      <c r="H27" s="169"/>
      <c r="I27" s="169"/>
      <c r="J27" s="36"/>
      <c r="K27" s="412" t="s">
        <v>28</v>
      </c>
      <c r="L27" s="174"/>
      <c r="M27" s="175"/>
      <c r="N27" s="175"/>
      <c r="O27" s="175"/>
      <c r="P27" s="197"/>
      <c r="Q27" s="410"/>
      <c r="R27" s="529" t="str">
        <f>IF(U27="","",VLOOKUP(U27,Listes!$C$1:$D$19,2))</f>
        <v/>
      </c>
      <c r="S27" s="530"/>
      <c r="T27" s="531"/>
      <c r="U27" s="234"/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>
        <v>3</v>
      </c>
      <c r="C28" s="527"/>
      <c r="D28" s="528"/>
      <c r="E28" s="535"/>
      <c r="F28" s="536"/>
      <c r="G28" s="169" t="s">
        <v>28</v>
      </c>
      <c r="H28" s="169"/>
      <c r="I28" s="169"/>
      <c r="J28" s="36"/>
      <c r="K28" s="412" t="s">
        <v>28</v>
      </c>
      <c r="L28" s="174"/>
      <c r="M28" s="175"/>
      <c r="N28" s="175"/>
      <c r="O28" s="175"/>
      <c r="P28" s="197"/>
      <c r="Q28" s="410"/>
      <c r="R28" s="529" t="str">
        <f>IF(U28="","",VLOOKUP(U28,Listes!$C$1:$D$19,2))</f>
        <v/>
      </c>
      <c r="S28" s="530"/>
      <c r="T28" s="531"/>
      <c r="U28" s="234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>
        <v>3</v>
      </c>
      <c r="C29" s="527"/>
      <c r="D29" s="528"/>
      <c r="E29" s="535"/>
      <c r="F29" s="536"/>
      <c r="G29" s="169" t="s">
        <v>28</v>
      </c>
      <c r="H29" s="169"/>
      <c r="I29" s="169"/>
      <c r="J29" s="36"/>
      <c r="K29" s="173" t="s">
        <v>28</v>
      </c>
      <c r="L29" s="174"/>
      <c r="M29" s="175"/>
      <c r="N29" s="175"/>
      <c r="O29" s="175"/>
      <c r="P29" s="197"/>
      <c r="Q29" s="410"/>
      <c r="R29" s="529" t="str">
        <f>IF(U29="","",VLOOKUP(U29,Listes!$C$1:$D$19,2))</f>
        <v/>
      </c>
      <c r="S29" s="530"/>
      <c r="T29" s="531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/>
      <c r="C30" s="527"/>
      <c r="D30" s="528"/>
      <c r="E30" s="535"/>
      <c r="F30" s="536"/>
      <c r="G30" s="169"/>
      <c r="H30" s="169"/>
      <c r="I30" s="169"/>
      <c r="J30" s="36"/>
      <c r="K30" s="173"/>
      <c r="L30" s="174"/>
      <c r="M30" s="175"/>
      <c r="N30" s="175"/>
      <c r="O30" s="175"/>
      <c r="P30" s="197"/>
      <c r="Q30" s="410"/>
      <c r="R30" s="529" t="str">
        <f>IF(U30="","",VLOOKUP(U30,Listes!$C$1:$D$19,2))</f>
        <v/>
      </c>
      <c r="S30" s="530"/>
      <c r="T30" s="531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27"/>
      <c r="D31" s="528"/>
      <c r="E31" s="535"/>
      <c r="F31" s="536"/>
      <c r="G31" s="169"/>
      <c r="H31" s="169"/>
      <c r="I31" s="169"/>
      <c r="J31" s="36"/>
      <c r="K31" s="173"/>
      <c r="L31" s="174"/>
      <c r="M31" s="175"/>
      <c r="N31" s="175"/>
      <c r="O31" s="175"/>
      <c r="P31" s="197"/>
      <c r="Q31" s="410"/>
      <c r="R31" s="529" t="str">
        <f>IF(U31="","",VLOOKUP(U31,Listes!$C$1:$D$19,2))</f>
        <v/>
      </c>
      <c r="S31" s="530"/>
      <c r="T31" s="531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27"/>
      <c r="D32" s="528"/>
      <c r="E32" s="535"/>
      <c r="F32" s="536"/>
      <c r="G32" s="169"/>
      <c r="H32" s="169"/>
      <c r="I32" s="169"/>
      <c r="J32" s="36"/>
      <c r="K32" s="173"/>
      <c r="L32" s="174"/>
      <c r="M32" s="175"/>
      <c r="N32" s="175"/>
      <c r="O32" s="175"/>
      <c r="P32" s="197"/>
      <c r="Q32" s="410"/>
      <c r="R32" s="529" t="str">
        <f>IF(U32="","",VLOOKUP(U32,Listes!$C$1:$D$19,2))</f>
        <v/>
      </c>
      <c r="S32" s="530"/>
      <c r="T32" s="531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73"/>
      <c r="L33" s="174"/>
      <c r="M33" s="175"/>
      <c r="N33" s="175"/>
      <c r="O33" s="175"/>
      <c r="P33" s="197"/>
      <c r="Q33" s="410"/>
      <c r="R33" s="529" t="str">
        <f>IF(U33="","",VLOOKUP(U33,Listes!$C$1:$D$19,2))</f>
        <v/>
      </c>
      <c r="S33" s="530"/>
      <c r="T33" s="531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73"/>
      <c r="L34" s="174"/>
      <c r="M34" s="175"/>
      <c r="N34" s="175"/>
      <c r="O34" s="175"/>
      <c r="P34" s="197"/>
      <c r="Q34" s="410"/>
      <c r="R34" s="529" t="str">
        <f>IF(U34="","",VLOOKUP(U34,Listes!$C$1:$D$19,2))</f>
        <v/>
      </c>
      <c r="S34" s="530"/>
      <c r="T34" s="531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73"/>
      <c r="L35" s="174"/>
      <c r="M35" s="175"/>
      <c r="N35" s="175"/>
      <c r="O35" s="175"/>
      <c r="P35" s="197"/>
      <c r="Q35" s="410"/>
      <c r="R35" s="529" t="str">
        <f>IF(U35="","",VLOOKUP(U35,Listes!$C$1:$D$19,2))</f>
        <v/>
      </c>
      <c r="S35" s="530"/>
      <c r="T35" s="531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73"/>
      <c r="L36" s="174"/>
      <c r="M36" s="175"/>
      <c r="N36" s="175"/>
      <c r="O36" s="175"/>
      <c r="P36" s="197"/>
      <c r="Q36" s="410"/>
      <c r="R36" s="529" t="str">
        <f>IF(U36="","",VLOOKUP(U36,Listes!$C$1:$D$19,2))</f>
        <v/>
      </c>
      <c r="S36" s="530"/>
      <c r="T36" s="531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73"/>
      <c r="L37" s="174"/>
      <c r="M37" s="175"/>
      <c r="N37" s="175"/>
      <c r="O37" s="175"/>
      <c r="P37" s="197"/>
      <c r="Q37" s="410"/>
      <c r="R37" s="529" t="str">
        <f>IF(U37="","",VLOOKUP(U37,Listes!$C$1:$D$19,2))</f>
        <v/>
      </c>
      <c r="S37" s="530"/>
      <c r="T37" s="531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73"/>
      <c r="L38" s="174"/>
      <c r="M38" s="175"/>
      <c r="N38" s="175"/>
      <c r="O38" s="175"/>
      <c r="P38" s="197"/>
      <c r="Q38" s="410"/>
      <c r="R38" s="529" t="str">
        <f>IF(U38="","",VLOOKUP(U38,Listes!$C$1:$D$19,2))</f>
        <v/>
      </c>
      <c r="S38" s="530"/>
      <c r="T38" s="531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73"/>
      <c r="L39" s="174"/>
      <c r="M39" s="175"/>
      <c r="N39" s="175"/>
      <c r="O39" s="175"/>
      <c r="P39" s="197"/>
      <c r="Q39" s="410"/>
      <c r="R39" s="529" t="str">
        <f>IF(U39="","",VLOOKUP(U39,Listes!$C$1:$D$19,2))</f>
        <v/>
      </c>
      <c r="S39" s="530"/>
      <c r="T39" s="531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73"/>
      <c r="L40" s="174"/>
      <c r="M40" s="175"/>
      <c r="N40" s="175"/>
      <c r="O40" s="175"/>
      <c r="P40" s="197"/>
      <c r="Q40" s="410"/>
      <c r="R40" s="529" t="str">
        <f>IF(U40="","",VLOOKUP(U40,Listes!$C$1:$D$19,2))</f>
        <v/>
      </c>
      <c r="S40" s="530"/>
      <c r="T40" s="531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73"/>
      <c r="L41" s="174"/>
      <c r="M41" s="175"/>
      <c r="N41" s="175"/>
      <c r="O41" s="175"/>
      <c r="P41" s="197"/>
      <c r="Q41" s="410"/>
      <c r="R41" s="529" t="str">
        <f>IF(U41="","",VLOOKUP(U41,Listes!$C$1:$D$19,2))</f>
        <v/>
      </c>
      <c r="S41" s="530"/>
      <c r="T41" s="531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73"/>
      <c r="L42" s="174"/>
      <c r="M42" s="175"/>
      <c r="N42" s="175"/>
      <c r="O42" s="175"/>
      <c r="P42" s="197"/>
      <c r="Q42" s="410"/>
      <c r="R42" s="529" t="str">
        <f>IF(U42="","",VLOOKUP(U42,Listes!$C$1:$D$19,2))</f>
        <v/>
      </c>
      <c r="S42" s="530"/>
      <c r="T42" s="531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73"/>
      <c r="L43" s="174"/>
      <c r="M43" s="175"/>
      <c r="N43" s="175"/>
      <c r="O43" s="175"/>
      <c r="P43" s="197"/>
      <c r="Q43" s="410"/>
      <c r="R43" s="529" t="str">
        <f>IF(U43="","",VLOOKUP(U43,Listes!$C$1:$D$19,2))</f>
        <v/>
      </c>
      <c r="S43" s="530"/>
      <c r="T43" s="531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73"/>
      <c r="L44" s="174"/>
      <c r="M44" s="175"/>
      <c r="N44" s="175"/>
      <c r="O44" s="175"/>
      <c r="P44" s="197"/>
      <c r="Q44" s="410"/>
      <c r="R44" s="529" t="str">
        <f>IF(U44="","",VLOOKUP(U44,Listes!$C$1:$D$19,2))</f>
        <v/>
      </c>
      <c r="S44" s="530"/>
      <c r="T44" s="531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39"/>
      <c r="B45" s="225"/>
      <c r="C45" s="615"/>
      <c r="D45" s="616"/>
      <c r="E45" s="615"/>
      <c r="F45" s="617"/>
      <c r="G45" s="40"/>
      <c r="H45" s="40"/>
      <c r="I45" s="40"/>
      <c r="J45" s="41"/>
      <c r="K45" s="18"/>
      <c r="L45" s="42"/>
      <c r="M45" s="43"/>
      <c r="N45" s="43"/>
      <c r="O45" s="43"/>
      <c r="P45" s="186"/>
      <c r="Q45" s="409"/>
      <c r="R45" s="529" t="str">
        <f>IF(U45="","",VLOOKUP(U45,Listes!$C$1:$D$19,2))</f>
        <v/>
      </c>
      <c r="S45" s="530"/>
      <c r="T45" s="531"/>
      <c r="U45" s="235"/>
      <c r="V45" s="42"/>
      <c r="W45" s="43"/>
      <c r="X45" s="43"/>
      <c r="Y45" s="43"/>
      <c r="Z45" s="4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41</v>
      </c>
      <c r="C46" s="719">
        <f>COUNTA(C13:D45)</f>
        <v>13</v>
      </c>
      <c r="D46" s="720"/>
      <c r="E46" s="46">
        <v>1</v>
      </c>
      <c r="F46" s="47">
        <f>COUNTIFS(E13:F45,1)</f>
        <v>0</v>
      </c>
      <c r="G46" s="604">
        <f>COUNTIF(G13:G45,"oui")</f>
        <v>13</v>
      </c>
      <c r="H46" s="604">
        <f>COUNTIF(H13:H45,"oui")</f>
        <v>2</v>
      </c>
      <c r="I46" s="604">
        <f>COUNTIF(I13:I45,"oui")</f>
        <v>2</v>
      </c>
      <c r="J46" s="612"/>
      <c r="K46" s="625">
        <f t="shared" ref="K46:P46" si="0">COUNTIF(K13:K45,"oui")</f>
        <v>13</v>
      </c>
      <c r="L46" s="628">
        <f t="shared" si="0"/>
        <v>0</v>
      </c>
      <c r="M46" s="631">
        <f t="shared" si="0"/>
        <v>2</v>
      </c>
      <c r="N46" s="631">
        <f t="shared" si="0"/>
        <v>1</v>
      </c>
      <c r="O46" s="631">
        <f t="shared" si="0"/>
        <v>0</v>
      </c>
      <c r="P46" s="634">
        <f t="shared" si="0"/>
        <v>2</v>
      </c>
      <c r="Q46" s="392"/>
      <c r="R46" s="689" t="s">
        <v>55</v>
      </c>
      <c r="S46" s="690"/>
      <c r="T46" s="725">
        <f>IF(P46=0,"",P46/C46)</f>
        <v>0.15384615384615385</v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3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4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5">
        <f>I46</f>
        <v>2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>
        <f>K53/G53</f>
        <v>0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180" t="s">
        <v>19</v>
      </c>
      <c r="D58" s="181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2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>
        <f>C71/(G68+L68)</f>
        <v>0</v>
      </c>
      <c r="D72" s="710"/>
      <c r="E72" s="710"/>
      <c r="F72" s="711"/>
      <c r="G72" s="709">
        <f>G71/(G68+L68)</f>
        <v>0</v>
      </c>
      <c r="H72" s="710"/>
      <c r="I72" s="709">
        <f>I71/(G68+L68)</f>
        <v>0</v>
      </c>
      <c r="J72" s="710"/>
      <c r="K72" s="710"/>
      <c r="L72" s="709">
        <f>L71/(G68+L68)</f>
        <v>0</v>
      </c>
      <c r="M72" s="710">
        <f>L71/(G68+L68)</f>
        <v>0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34" t="s">
        <v>25</v>
      </c>
      <c r="J84" s="735"/>
      <c r="K84" s="735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7">
    <mergeCell ref="C90:N95"/>
    <mergeCell ref="R46:S48"/>
    <mergeCell ref="C87:F87"/>
    <mergeCell ref="G87:H87"/>
    <mergeCell ref="I87:K87"/>
    <mergeCell ref="L87:N87"/>
    <mergeCell ref="C88:F88"/>
    <mergeCell ref="G88:H88"/>
    <mergeCell ref="I88:K88"/>
    <mergeCell ref="L88:N88"/>
    <mergeCell ref="C84:D84"/>
    <mergeCell ref="E84:H84"/>
    <mergeCell ref="I84:K84"/>
    <mergeCell ref="L84:N84"/>
    <mergeCell ref="C85:N85"/>
    <mergeCell ref="C86:F86"/>
    <mergeCell ref="G86:H86"/>
    <mergeCell ref="I86:K86"/>
    <mergeCell ref="L86:N86"/>
    <mergeCell ref="C72:F72"/>
    <mergeCell ref="G72:H72"/>
    <mergeCell ref="I72:K72"/>
    <mergeCell ref="L72:N72"/>
    <mergeCell ref="C74:N79"/>
    <mergeCell ref="C82:N82"/>
    <mergeCell ref="C69:N69"/>
    <mergeCell ref="C70:F70"/>
    <mergeCell ref="G70:H70"/>
    <mergeCell ref="I70:K70"/>
    <mergeCell ref="L70:N70"/>
    <mergeCell ref="C71:F71"/>
    <mergeCell ref="G71:H71"/>
    <mergeCell ref="I71:K71"/>
    <mergeCell ref="L71:N71"/>
    <mergeCell ref="C66:N66"/>
    <mergeCell ref="C68:F68"/>
    <mergeCell ref="G68:H68"/>
    <mergeCell ref="I68:K68"/>
    <mergeCell ref="M68:N68"/>
    <mergeCell ref="C56:F56"/>
    <mergeCell ref="G56:H56"/>
    <mergeCell ref="I56:K56"/>
    <mergeCell ref="L56:N56"/>
    <mergeCell ref="C57:F57"/>
    <mergeCell ref="G57:H57"/>
    <mergeCell ref="I57:K57"/>
    <mergeCell ref="L57:N57"/>
    <mergeCell ref="E58:N58"/>
    <mergeCell ref="C53:F53"/>
    <mergeCell ref="H53:J53"/>
    <mergeCell ref="K53:L53"/>
    <mergeCell ref="C54:N54"/>
    <mergeCell ref="C55:F55"/>
    <mergeCell ref="G55:H55"/>
    <mergeCell ref="I55:K55"/>
    <mergeCell ref="L55:N55"/>
    <mergeCell ref="V46:V48"/>
    <mergeCell ref="P51:V51"/>
    <mergeCell ref="P52:V60"/>
    <mergeCell ref="C59:N63"/>
    <mergeCell ref="W46:W48"/>
    <mergeCell ref="X46:X48"/>
    <mergeCell ref="Y46:Y48"/>
    <mergeCell ref="Z46:Z48"/>
    <mergeCell ref="C51:N51"/>
    <mergeCell ref="K46:K48"/>
    <mergeCell ref="L46:L48"/>
    <mergeCell ref="M46:M48"/>
    <mergeCell ref="N46:N48"/>
    <mergeCell ref="O46:O48"/>
    <mergeCell ref="P46:P48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T46:U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D4:I4"/>
    <mergeCell ref="D6:I6"/>
    <mergeCell ref="E8:I8"/>
    <mergeCell ref="B10:B12"/>
    <mergeCell ref="B2:F2"/>
    <mergeCell ref="R12:T12"/>
  </mergeCells>
  <conditionalFormatting sqref="N53">
    <cfRule type="cellIs" dxfId="709" priority="45" operator="equal">
      <formula>0.5</formula>
    </cfRule>
    <cfRule type="cellIs" dxfId="708" priority="46" operator="lessThan">
      <formula>0.5</formula>
    </cfRule>
    <cfRule type="cellIs" dxfId="707" priority="47" operator="greaterThan">
      <formula>0.5</formula>
    </cfRule>
    <cfRule type="aboveAverage" priority="48"/>
  </conditionalFormatting>
  <conditionalFormatting sqref="C57:F57">
    <cfRule type="cellIs" dxfId="706" priority="42" operator="equal">
      <formula>0.5</formula>
    </cfRule>
    <cfRule type="cellIs" dxfId="705" priority="43" operator="lessThan">
      <formula>0.5</formula>
    </cfRule>
    <cfRule type="cellIs" dxfId="704" priority="44" operator="greaterThan">
      <formula>0.5</formula>
    </cfRule>
  </conditionalFormatting>
  <conditionalFormatting sqref="G57:H57">
    <cfRule type="cellIs" dxfId="703" priority="39" operator="equal">
      <formula>0.5</formula>
    </cfRule>
    <cfRule type="cellIs" dxfId="702" priority="40" operator="lessThan">
      <formula>0.5</formula>
    </cfRule>
    <cfRule type="cellIs" dxfId="701" priority="41" operator="greaterThan">
      <formula>0.5</formula>
    </cfRule>
  </conditionalFormatting>
  <conditionalFormatting sqref="I57">
    <cfRule type="cellIs" dxfId="700" priority="36" operator="equal">
      <formula>0.5</formula>
    </cfRule>
    <cfRule type="cellIs" dxfId="699" priority="37" operator="lessThan">
      <formula>0.5</formula>
    </cfRule>
    <cfRule type="cellIs" dxfId="698" priority="38" operator="greaterThan">
      <formula>0.5</formula>
    </cfRule>
  </conditionalFormatting>
  <conditionalFormatting sqref="L57">
    <cfRule type="cellIs" dxfId="697" priority="33" operator="equal">
      <formula>0.5</formula>
    </cfRule>
    <cfRule type="cellIs" dxfId="696" priority="34" operator="lessThan">
      <formula>0.5</formula>
    </cfRule>
    <cfRule type="cellIs" dxfId="695" priority="35" operator="greaterThan">
      <formula>0.5</formula>
    </cfRule>
  </conditionalFormatting>
  <conditionalFormatting sqref="C72:F72">
    <cfRule type="cellIs" dxfId="694" priority="29" operator="greaterThan">
      <formula>0.5</formula>
    </cfRule>
    <cfRule type="cellIs" dxfId="693" priority="30" operator="lessThan">
      <formula>0.5</formula>
    </cfRule>
    <cfRule type="cellIs" dxfId="692" priority="31" operator="equal">
      <formula>0.5</formula>
    </cfRule>
    <cfRule type="cellIs" dxfId="691" priority="32" operator="greaterThan">
      <formula>50</formula>
    </cfRule>
  </conditionalFormatting>
  <conditionalFormatting sqref="L72">
    <cfRule type="cellIs" dxfId="690" priority="17" operator="greaterThan">
      <formula>0.5</formula>
    </cfRule>
    <cfRule type="cellIs" dxfId="689" priority="18" operator="lessThan">
      <formula>0.5</formula>
    </cfRule>
    <cfRule type="cellIs" dxfId="688" priority="19" operator="equal">
      <formula>0.5</formula>
    </cfRule>
    <cfRule type="cellIs" dxfId="687" priority="20" operator="greaterThan">
      <formula>50</formula>
    </cfRule>
  </conditionalFormatting>
  <conditionalFormatting sqref="G72:H72">
    <cfRule type="cellIs" dxfId="686" priority="25" operator="greaterThan">
      <formula>0.5</formula>
    </cfRule>
    <cfRule type="cellIs" dxfId="685" priority="26" operator="lessThan">
      <formula>0.5</formula>
    </cfRule>
    <cfRule type="cellIs" dxfId="684" priority="27" operator="equal">
      <formula>0.5</formula>
    </cfRule>
    <cfRule type="cellIs" dxfId="683" priority="28" operator="greaterThan">
      <formula>50</formula>
    </cfRule>
  </conditionalFormatting>
  <conditionalFormatting sqref="I72">
    <cfRule type="cellIs" dxfId="682" priority="21" operator="greaterThan">
      <formula>0.5</formula>
    </cfRule>
    <cfRule type="cellIs" dxfId="681" priority="22" operator="lessThan">
      <formula>0.5</formula>
    </cfRule>
    <cfRule type="cellIs" dxfId="680" priority="23" operator="equal">
      <formula>0.5</formula>
    </cfRule>
    <cfRule type="cellIs" dxfId="679" priority="24" operator="greaterThan">
      <formula>50</formula>
    </cfRule>
  </conditionalFormatting>
  <conditionalFormatting sqref="C88:F88">
    <cfRule type="cellIs" dxfId="678" priority="13" operator="greaterThan">
      <formula>0.5</formula>
    </cfRule>
    <cfRule type="cellIs" dxfId="677" priority="14" operator="lessThan">
      <formula>0.5</formula>
    </cfRule>
    <cfRule type="cellIs" dxfId="676" priority="15" operator="equal">
      <formula>0.5</formula>
    </cfRule>
    <cfRule type="cellIs" dxfId="675" priority="16" operator="greaterThan">
      <formula>50</formula>
    </cfRule>
  </conditionalFormatting>
  <conditionalFormatting sqref="L88">
    <cfRule type="cellIs" dxfId="674" priority="5" operator="greaterThan">
      <formula>0.5</formula>
    </cfRule>
    <cfRule type="cellIs" dxfId="673" priority="6" operator="lessThan">
      <formula>0.5</formula>
    </cfRule>
    <cfRule type="cellIs" dxfId="672" priority="7" operator="equal">
      <formula>0.5</formula>
    </cfRule>
    <cfRule type="cellIs" dxfId="671" priority="8" operator="greaterThan">
      <formula>50</formula>
    </cfRule>
  </conditionalFormatting>
  <conditionalFormatting sqref="I88">
    <cfRule type="cellIs" dxfId="670" priority="9" operator="greaterThan">
      <formula>0.5</formula>
    </cfRule>
    <cfRule type="cellIs" dxfId="669" priority="10" operator="lessThan">
      <formula>0.5</formula>
    </cfRule>
    <cfRule type="cellIs" dxfId="668" priority="11" operator="equal">
      <formula>0.5</formula>
    </cfRule>
    <cfRule type="cellIs" dxfId="667" priority="12" operator="greaterThan">
      <formula>50</formula>
    </cfRule>
  </conditionalFormatting>
  <conditionalFormatting sqref="G88:H88">
    <cfRule type="cellIs" dxfId="666" priority="1" operator="greaterThan">
      <formula>0.5</formula>
    </cfRule>
    <cfRule type="cellIs" dxfId="665" priority="2" operator="lessThan">
      <formula>0.5</formula>
    </cfRule>
    <cfRule type="cellIs" dxfId="664" priority="3" operator="equal">
      <formula>0.5</formula>
    </cfRule>
    <cfRule type="cellIs" dxfId="663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K13:P44 V13:Z44 G13:I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opLeftCell="A16" zoomScaleNormal="100" workbookViewId="0">
      <selection activeCell="C25" sqref="C25:D30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8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Listes!E4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507" t="s">
        <v>63</v>
      </c>
      <c r="B8" s="507"/>
      <c r="C8" s="507"/>
      <c r="D8" s="50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89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>
        <v>1</v>
      </c>
      <c r="C13" s="547" t="s">
        <v>291</v>
      </c>
      <c r="D13" s="548"/>
      <c r="E13" s="549"/>
      <c r="F13" s="550"/>
      <c r="G13" s="168" t="s">
        <v>28</v>
      </c>
      <c r="H13" s="168"/>
      <c r="I13" s="168"/>
      <c r="J13" s="30"/>
      <c r="K13" s="199" t="s">
        <v>28</v>
      </c>
      <c r="L13" s="171"/>
      <c r="M13" s="172" t="s">
        <v>28</v>
      </c>
      <c r="N13" s="172"/>
      <c r="O13" s="172"/>
      <c r="P13" s="196" t="s">
        <v>28</v>
      </c>
      <c r="Q13" s="178" t="s">
        <v>286</v>
      </c>
      <c r="R13" s="712" t="str">
        <f>IF(U13="","",VLOOKUP(U13,Listes!$C$1:$D$19,2))</f>
        <v>Choisit les Fg pertinents</v>
      </c>
      <c r="S13" s="713"/>
      <c r="T13" s="713"/>
      <c r="U13" s="233">
        <v>120</v>
      </c>
      <c r="V13" s="176"/>
      <c r="W13" s="177"/>
      <c r="X13" s="177"/>
      <c r="Y13" s="177"/>
      <c r="Z13" s="178"/>
      <c r="AA13" s="738">
        <f>H46</f>
        <v>3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>
        <v>1</v>
      </c>
      <c r="C14" s="527" t="s">
        <v>291</v>
      </c>
      <c r="D14" s="528"/>
      <c r="E14" s="535"/>
      <c r="F14" s="536"/>
      <c r="G14" s="169" t="s">
        <v>28</v>
      </c>
      <c r="H14" s="169" t="s">
        <v>28</v>
      </c>
      <c r="I14" s="169"/>
      <c r="J14" s="36"/>
      <c r="K14" s="198" t="s">
        <v>28</v>
      </c>
      <c r="L14" s="174"/>
      <c r="M14" s="175"/>
      <c r="N14" s="175"/>
      <c r="O14" s="175"/>
      <c r="P14" s="197"/>
      <c r="Q14" s="410"/>
      <c r="R14" s="736" t="str">
        <f>IF(U14="","",VLOOKUP(U14,Listes!$C$1:$D$19,2))</f>
        <v/>
      </c>
      <c r="S14" s="737"/>
      <c r="T14" s="737"/>
      <c r="U14" s="234"/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22">
        <v>1</v>
      </c>
      <c r="C15" s="527" t="s">
        <v>291</v>
      </c>
      <c r="D15" s="528"/>
      <c r="E15" s="535"/>
      <c r="F15" s="536"/>
      <c r="G15" s="169" t="s">
        <v>28</v>
      </c>
      <c r="H15" s="169"/>
      <c r="I15" s="169" t="s">
        <v>28</v>
      </c>
      <c r="J15" s="36"/>
      <c r="K15" s="412" t="s">
        <v>28</v>
      </c>
      <c r="L15" s="174" t="s">
        <v>28</v>
      </c>
      <c r="M15" s="175"/>
      <c r="N15" s="175"/>
      <c r="O15" s="175"/>
      <c r="P15" s="197"/>
      <c r="Q15" s="410" t="s">
        <v>287</v>
      </c>
      <c r="R15" s="736" t="str">
        <f>IF(U15="","",VLOOKUP(U15,Listes!$C$1:$D$19,2))</f>
        <v>Détermine les droits réels</v>
      </c>
      <c r="S15" s="737"/>
      <c r="T15" s="737"/>
      <c r="U15" s="234">
        <v>110</v>
      </c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>
        <v>1</v>
      </c>
      <c r="C16" s="527" t="s">
        <v>291</v>
      </c>
      <c r="D16" s="528"/>
      <c r="E16" s="535"/>
      <c r="F16" s="536"/>
      <c r="G16" s="169" t="s">
        <v>28</v>
      </c>
      <c r="H16" s="169"/>
      <c r="I16" s="169"/>
      <c r="J16" s="36"/>
      <c r="K16" s="412" t="s">
        <v>28</v>
      </c>
      <c r="L16" s="174"/>
      <c r="M16" s="175"/>
      <c r="N16" s="175"/>
      <c r="O16" s="175"/>
      <c r="P16" s="197"/>
      <c r="Q16" s="410"/>
      <c r="R16" s="736" t="str">
        <f>IF(U16="","",VLOOKUP(U16,Listes!$C$1:$D$19,2))</f>
        <v/>
      </c>
      <c r="S16" s="737"/>
      <c r="T16" s="737"/>
      <c r="U16" s="234"/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>
        <v>1</v>
      </c>
      <c r="C17" s="527" t="s">
        <v>291</v>
      </c>
      <c r="D17" s="528"/>
      <c r="E17" s="535"/>
      <c r="F17" s="536"/>
      <c r="G17" s="169" t="s">
        <v>28</v>
      </c>
      <c r="H17" s="169" t="s">
        <v>28</v>
      </c>
      <c r="I17" s="169"/>
      <c r="J17" s="36"/>
      <c r="K17" s="412" t="s">
        <v>28</v>
      </c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>
        <v>1</v>
      </c>
      <c r="C18" s="527" t="s">
        <v>291</v>
      </c>
      <c r="D18" s="528"/>
      <c r="E18" s="535"/>
      <c r="F18" s="536"/>
      <c r="G18" s="169" t="s">
        <v>28</v>
      </c>
      <c r="H18" s="169"/>
      <c r="I18" s="169"/>
      <c r="J18" s="36"/>
      <c r="K18" s="412" t="s">
        <v>28</v>
      </c>
      <c r="L18" s="174"/>
      <c r="M18" s="175" t="s">
        <v>28</v>
      </c>
      <c r="N18" s="175"/>
      <c r="O18" s="175"/>
      <c r="P18" s="197"/>
      <c r="Q18" s="410" t="s">
        <v>281</v>
      </c>
      <c r="R18" s="736" t="str">
        <f>IF(U18="","",VLOOKUP(U18,Listes!$C$1:$D$19,2))</f>
        <v>Exploitation simultanée (Navigation)</v>
      </c>
      <c r="S18" s="737"/>
      <c r="T18" s="737"/>
      <c r="U18" s="234">
        <v>212</v>
      </c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>
        <v>1</v>
      </c>
      <c r="C19" s="527" t="s">
        <v>291</v>
      </c>
      <c r="D19" s="528"/>
      <c r="E19" s="535"/>
      <c r="F19" s="536"/>
      <c r="G19" s="169" t="s">
        <v>28</v>
      </c>
      <c r="H19" s="169"/>
      <c r="I19" s="169"/>
      <c r="J19" s="36"/>
      <c r="K19" s="412" t="s">
        <v>28</v>
      </c>
      <c r="L19" s="174"/>
      <c r="M19" s="175"/>
      <c r="N19" s="175"/>
      <c r="O19" s="175"/>
      <c r="P19" s="197"/>
      <c r="Q19" s="410"/>
      <c r="R19" s="736" t="str">
        <f>IF(U19="","",VLOOKUP(U19,Listes!$C$1:$D$19,2))</f>
        <v/>
      </c>
      <c r="S19" s="737"/>
      <c r="T19" s="737"/>
      <c r="U19" s="234"/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>
        <v>1</v>
      </c>
      <c r="C20" s="527" t="s">
        <v>291</v>
      </c>
      <c r="D20" s="528"/>
      <c r="E20" s="535"/>
      <c r="F20" s="536"/>
      <c r="G20" s="169" t="s">
        <v>28</v>
      </c>
      <c r="H20" s="169"/>
      <c r="I20" s="169"/>
      <c r="J20" s="36"/>
      <c r="K20" s="412" t="s">
        <v>28</v>
      </c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>
        <v>11</v>
      </c>
      <c r="C21" s="527" t="s">
        <v>291</v>
      </c>
      <c r="D21" s="528"/>
      <c r="E21" s="535"/>
      <c r="F21" s="536"/>
      <c r="G21" s="169" t="s">
        <v>28</v>
      </c>
      <c r="H21" s="169"/>
      <c r="I21" s="169" t="s">
        <v>28</v>
      </c>
      <c r="J21" s="36"/>
      <c r="K21" s="412" t="s">
        <v>28</v>
      </c>
      <c r="L21" s="174"/>
      <c r="M21" s="175"/>
      <c r="N21" s="175"/>
      <c r="O21" s="175" t="s">
        <v>28</v>
      </c>
      <c r="P21" s="197"/>
      <c r="Q21" s="410" t="s">
        <v>258</v>
      </c>
      <c r="R21" s="736" t="str">
        <f>IF(U21="","",VLOOKUP(U21,Listes!$C$1:$D$19,2))</f>
        <v>Sait organiser son travail pour gagner en efficacité de traitement</v>
      </c>
      <c r="S21" s="737"/>
      <c r="T21" s="737"/>
      <c r="U21" s="234">
        <v>203</v>
      </c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>
        <v>1</v>
      </c>
      <c r="C22" s="527" t="s">
        <v>291</v>
      </c>
      <c r="D22" s="528"/>
      <c r="E22" s="535"/>
      <c r="F22" s="536"/>
      <c r="G22" s="169" t="s">
        <v>29</v>
      </c>
      <c r="H22" s="169"/>
      <c r="I22" s="169"/>
      <c r="J22" s="36"/>
      <c r="K22" s="412" t="s">
        <v>29</v>
      </c>
      <c r="L22" s="174"/>
      <c r="M22" s="175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>
        <v>1</v>
      </c>
      <c r="C23" s="527" t="s">
        <v>291</v>
      </c>
      <c r="D23" s="528"/>
      <c r="E23" s="535"/>
      <c r="F23" s="536"/>
      <c r="G23" s="169" t="s">
        <v>29</v>
      </c>
      <c r="H23" s="169"/>
      <c r="I23" s="169"/>
      <c r="J23" s="36"/>
      <c r="K23" s="412" t="s">
        <v>29</v>
      </c>
      <c r="L23" s="174"/>
      <c r="M23" s="175"/>
      <c r="N23" s="175"/>
      <c r="O23" s="175"/>
      <c r="P23" s="197"/>
      <c r="Q23" s="410"/>
      <c r="R23" s="736" t="str">
        <f>IF(U23="","",VLOOKUP(U23,Listes!$C$1:$D$19,2))</f>
        <v/>
      </c>
      <c r="S23" s="737"/>
      <c r="T23" s="737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>
        <v>11</v>
      </c>
      <c r="C24" s="527" t="s">
        <v>291</v>
      </c>
      <c r="D24" s="528"/>
      <c r="E24" s="535"/>
      <c r="F24" s="536"/>
      <c r="G24" s="169" t="s">
        <v>29</v>
      </c>
      <c r="H24" s="169"/>
      <c r="I24" s="169"/>
      <c r="J24" s="36"/>
      <c r="K24" s="412" t="s">
        <v>29</v>
      </c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>
        <v>1</v>
      </c>
      <c r="C25" s="527"/>
      <c r="D25" s="528"/>
      <c r="E25" s="535"/>
      <c r="F25" s="536"/>
      <c r="G25" s="169" t="s">
        <v>28</v>
      </c>
      <c r="H25" s="169" t="s">
        <v>28</v>
      </c>
      <c r="I25" s="169"/>
      <c r="J25" s="36"/>
      <c r="K25" s="412" t="s">
        <v>28</v>
      </c>
      <c r="L25" s="174"/>
      <c r="M25" s="175" t="s">
        <v>28</v>
      </c>
      <c r="N25" s="175"/>
      <c r="O25" s="175"/>
      <c r="P25" s="197"/>
      <c r="Q25" s="410" t="s">
        <v>265</v>
      </c>
      <c r="R25" s="736" t="str">
        <f>IF(U25="","",VLOOKUP(U25,Listes!$C$1:$D$19,2))</f>
        <v>Détermine les droits potentiels</v>
      </c>
      <c r="S25" s="737"/>
      <c r="T25" s="737"/>
      <c r="U25" s="234">
        <v>111</v>
      </c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>
        <v>1</v>
      </c>
      <c r="C26" s="527"/>
      <c r="D26" s="528"/>
      <c r="E26" s="535"/>
      <c r="F26" s="536"/>
      <c r="G26" s="169" t="s">
        <v>28</v>
      </c>
      <c r="H26" s="169"/>
      <c r="I26" s="169"/>
      <c r="J26" s="36"/>
      <c r="K26" s="412" t="s">
        <v>28</v>
      </c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>
        <v>1</v>
      </c>
      <c r="C27" s="527"/>
      <c r="D27" s="528"/>
      <c r="E27" s="535"/>
      <c r="F27" s="536"/>
      <c r="G27" s="169" t="s">
        <v>28</v>
      </c>
      <c r="H27" s="169"/>
      <c r="I27" s="169"/>
      <c r="J27" s="36"/>
      <c r="K27" s="412" t="s">
        <v>28</v>
      </c>
      <c r="L27" s="174"/>
      <c r="M27" s="175" t="s">
        <v>28</v>
      </c>
      <c r="N27" s="175"/>
      <c r="O27" s="175"/>
      <c r="P27" s="197"/>
      <c r="Q27" s="410" t="s">
        <v>262</v>
      </c>
      <c r="R27" s="736" t="str">
        <f>IF(U27="","",VLOOKUP(U27,Listes!$C$1:$D$19,2))</f>
        <v>Choisit les Fg pertinents</v>
      </c>
      <c r="S27" s="737"/>
      <c r="T27" s="737"/>
      <c r="U27" s="234">
        <v>120</v>
      </c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>
        <v>1</v>
      </c>
      <c r="C28" s="527"/>
      <c r="D28" s="528"/>
      <c r="E28" s="535"/>
      <c r="F28" s="536"/>
      <c r="G28" s="169" t="s">
        <v>28</v>
      </c>
      <c r="H28" s="169"/>
      <c r="I28" s="169" t="s">
        <v>28</v>
      </c>
      <c r="J28" s="36"/>
      <c r="K28" s="412" t="s">
        <v>28</v>
      </c>
      <c r="L28" s="174"/>
      <c r="M28" s="175"/>
      <c r="N28" s="175"/>
      <c r="O28" s="175"/>
      <c r="P28" s="197"/>
      <c r="Q28" s="410"/>
      <c r="R28" s="736" t="str">
        <f>IF(U28="","",VLOOKUP(U28,Listes!$C$1:$D$19,2))</f>
        <v>Lit et analyse l'ensemble des pièces</v>
      </c>
      <c r="S28" s="737"/>
      <c r="T28" s="737"/>
      <c r="U28" s="234">
        <v>101</v>
      </c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>
        <v>1</v>
      </c>
      <c r="C29" s="527"/>
      <c r="D29" s="528"/>
      <c r="E29" s="535"/>
      <c r="F29" s="536"/>
      <c r="G29" s="169" t="s">
        <v>28</v>
      </c>
      <c r="H29" s="169"/>
      <c r="I29" s="169"/>
      <c r="J29" s="36"/>
      <c r="K29" s="412" t="s">
        <v>28</v>
      </c>
      <c r="L29" s="174"/>
      <c r="M29" s="175"/>
      <c r="N29" s="175"/>
      <c r="O29" s="175"/>
      <c r="P29" s="197"/>
      <c r="Q29" s="410"/>
      <c r="R29" s="736" t="str">
        <f>IF(U29="","",VLOOKUP(U29,Listes!$C$1:$D$19,2))</f>
        <v>Apprécie la validité des pièces</v>
      </c>
      <c r="S29" s="737"/>
      <c r="T29" s="737"/>
      <c r="U29" s="234">
        <v>102</v>
      </c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>
        <v>1</v>
      </c>
      <c r="C30" s="527"/>
      <c r="D30" s="528"/>
      <c r="E30" s="535"/>
      <c r="F30" s="536"/>
      <c r="G30" s="169" t="s">
        <v>28</v>
      </c>
      <c r="H30" s="169"/>
      <c r="I30" s="169"/>
      <c r="J30" s="36"/>
      <c r="K30" s="412" t="s">
        <v>28</v>
      </c>
      <c r="L30" s="174"/>
      <c r="M30" s="175"/>
      <c r="N30" s="175"/>
      <c r="O30" s="175"/>
      <c r="P30" s="197"/>
      <c r="Q30" s="410"/>
      <c r="R30" s="736" t="str">
        <f>IF(U30="","",VLOOKUP(U30,Listes!$C$1:$D$19,2))</f>
        <v>Lit et analyse l'ensemble des pièces</v>
      </c>
      <c r="S30" s="737"/>
      <c r="T30" s="737"/>
      <c r="U30" s="234">
        <v>101</v>
      </c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35"/>
      <c r="D31" s="528"/>
      <c r="E31" s="535"/>
      <c r="F31" s="536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615"/>
      <c r="F45" s="617"/>
      <c r="G45" s="40"/>
      <c r="H45" s="40"/>
      <c r="I45" s="40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38</v>
      </c>
      <c r="C46" s="719">
        <f>COUNTA(C13:D45)</f>
        <v>12</v>
      </c>
      <c r="D46" s="720"/>
      <c r="E46" s="46">
        <v>1</v>
      </c>
      <c r="F46" s="47">
        <f>COUNTIFS(E13:F45,1)</f>
        <v>0</v>
      </c>
      <c r="G46" s="604">
        <f>COUNTIF(G13:G45,"oui")</f>
        <v>15</v>
      </c>
      <c r="H46" s="604">
        <f>COUNTIF(H13:H45,"oui")</f>
        <v>3</v>
      </c>
      <c r="I46" s="604">
        <f>COUNTIF(I13:I45,"oui")</f>
        <v>3</v>
      </c>
      <c r="J46" s="612"/>
      <c r="K46" s="625">
        <f t="shared" ref="K46:P46" si="0">COUNTIF(K13:K45,"oui")</f>
        <v>15</v>
      </c>
      <c r="L46" s="628">
        <f t="shared" si="0"/>
        <v>1</v>
      </c>
      <c r="M46" s="631">
        <f t="shared" si="0"/>
        <v>4</v>
      </c>
      <c r="N46" s="631">
        <f t="shared" si="0"/>
        <v>0</v>
      </c>
      <c r="O46" s="631">
        <f t="shared" si="0"/>
        <v>1</v>
      </c>
      <c r="P46" s="634">
        <f t="shared" si="0"/>
        <v>1</v>
      </c>
      <c r="Q46" s="392"/>
      <c r="R46" s="689" t="s">
        <v>55</v>
      </c>
      <c r="S46" s="690"/>
      <c r="T46" s="725">
        <f>IF(P46=0,"",P46/C46)</f>
        <v>8.3333333333333329E-2</v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3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4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5">
        <f>I46</f>
        <v>3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>
        <f>K53/G53</f>
        <v>0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3</v>
      </c>
      <c r="H68" s="660"/>
      <c r="I68" s="657" t="s">
        <v>57</v>
      </c>
      <c r="J68" s="658"/>
      <c r="K68" s="658"/>
      <c r="L68" s="658"/>
      <c r="M68" s="185">
        <f>AB13</f>
        <v>0</v>
      </c>
      <c r="N68" s="195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>
        <f>C71/(G68+M68)</f>
        <v>0</v>
      </c>
      <c r="D72" s="710"/>
      <c r="E72" s="710"/>
      <c r="F72" s="711"/>
      <c r="G72" s="709">
        <f>G71/(G68+M68)</f>
        <v>0</v>
      </c>
      <c r="H72" s="710"/>
      <c r="I72" s="709">
        <f>I71/(G68+M68)</f>
        <v>0</v>
      </c>
      <c r="J72" s="710"/>
      <c r="K72" s="710"/>
      <c r="L72" s="709">
        <f>L71/(G68+M68)</f>
        <v>0</v>
      </c>
      <c r="M72" s="710">
        <f>L71/(G68+M68)</f>
        <v>0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dataConsolidate/>
  <mergeCells count="227">
    <mergeCell ref="C90:N95"/>
    <mergeCell ref="R46:S48"/>
    <mergeCell ref="C87:F87"/>
    <mergeCell ref="G87:H87"/>
    <mergeCell ref="I87:K87"/>
    <mergeCell ref="L87:N87"/>
    <mergeCell ref="C88:F88"/>
    <mergeCell ref="G88:H88"/>
    <mergeCell ref="I88:K88"/>
    <mergeCell ref="L88:N88"/>
    <mergeCell ref="C84:D84"/>
    <mergeCell ref="E84:H84"/>
    <mergeCell ref="I84:K84"/>
    <mergeCell ref="L84:N84"/>
    <mergeCell ref="C85:N85"/>
    <mergeCell ref="C86:F86"/>
    <mergeCell ref="G86:H86"/>
    <mergeCell ref="I86:K86"/>
    <mergeCell ref="L86:N86"/>
    <mergeCell ref="C72:F72"/>
    <mergeCell ref="G72:H72"/>
    <mergeCell ref="I72:K72"/>
    <mergeCell ref="L72:N72"/>
    <mergeCell ref="C74:N79"/>
    <mergeCell ref="C82:N82"/>
    <mergeCell ref="C69:N69"/>
    <mergeCell ref="C70:F70"/>
    <mergeCell ref="G70:H70"/>
    <mergeCell ref="I70:K70"/>
    <mergeCell ref="L70:N70"/>
    <mergeCell ref="C71:F71"/>
    <mergeCell ref="G71:H71"/>
    <mergeCell ref="I71:K71"/>
    <mergeCell ref="L71:N71"/>
    <mergeCell ref="C66:N66"/>
    <mergeCell ref="C68:F68"/>
    <mergeCell ref="G68:H68"/>
    <mergeCell ref="C56:F56"/>
    <mergeCell ref="G56:H56"/>
    <mergeCell ref="I56:K56"/>
    <mergeCell ref="L56:N56"/>
    <mergeCell ref="C57:F57"/>
    <mergeCell ref="G57:H57"/>
    <mergeCell ref="I57:K57"/>
    <mergeCell ref="L57:N57"/>
    <mergeCell ref="E58:N58"/>
    <mergeCell ref="I68:L68"/>
    <mergeCell ref="C53:F53"/>
    <mergeCell ref="H53:J53"/>
    <mergeCell ref="K53:L53"/>
    <mergeCell ref="C54:N54"/>
    <mergeCell ref="C55:F55"/>
    <mergeCell ref="G55:H55"/>
    <mergeCell ref="I55:K55"/>
    <mergeCell ref="L55:N55"/>
    <mergeCell ref="V46:V48"/>
    <mergeCell ref="P51:V51"/>
    <mergeCell ref="P52:V60"/>
    <mergeCell ref="C59:N63"/>
    <mergeCell ref="W46:W48"/>
    <mergeCell ref="X46:X48"/>
    <mergeCell ref="Y46:Y48"/>
    <mergeCell ref="Z46:Z48"/>
    <mergeCell ref="C51:N51"/>
    <mergeCell ref="K46:K48"/>
    <mergeCell ref="L46:L48"/>
    <mergeCell ref="M46:M48"/>
    <mergeCell ref="N46:N48"/>
    <mergeCell ref="O46:O48"/>
    <mergeCell ref="P46:P48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T46:U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B2:E2"/>
    <mergeCell ref="D4:I4"/>
    <mergeCell ref="D6:I6"/>
    <mergeCell ref="E8:I8"/>
    <mergeCell ref="A8:D8"/>
  </mergeCells>
  <conditionalFormatting sqref="N53">
    <cfRule type="cellIs" dxfId="662" priority="45" operator="equal">
      <formula>0.5</formula>
    </cfRule>
    <cfRule type="cellIs" dxfId="661" priority="46" operator="lessThan">
      <formula>0.5</formula>
    </cfRule>
    <cfRule type="cellIs" dxfId="660" priority="47" operator="greaterThan">
      <formula>0.5</formula>
    </cfRule>
    <cfRule type="aboveAverage" priority="48"/>
  </conditionalFormatting>
  <conditionalFormatting sqref="C57:F57">
    <cfRule type="cellIs" dxfId="659" priority="42" operator="equal">
      <formula>0.5</formula>
    </cfRule>
    <cfRule type="cellIs" dxfId="658" priority="43" operator="lessThan">
      <formula>0.5</formula>
    </cfRule>
    <cfRule type="cellIs" dxfId="657" priority="44" operator="greaterThan">
      <formula>0.5</formula>
    </cfRule>
  </conditionalFormatting>
  <conditionalFormatting sqref="G57:H57">
    <cfRule type="cellIs" dxfId="656" priority="39" operator="equal">
      <formula>0.5</formula>
    </cfRule>
    <cfRule type="cellIs" dxfId="655" priority="40" operator="lessThan">
      <formula>0.5</formula>
    </cfRule>
    <cfRule type="cellIs" dxfId="654" priority="41" operator="greaterThan">
      <formula>0.5</formula>
    </cfRule>
  </conditionalFormatting>
  <conditionalFormatting sqref="I57">
    <cfRule type="cellIs" dxfId="653" priority="36" operator="equal">
      <formula>0.5</formula>
    </cfRule>
    <cfRule type="cellIs" dxfId="652" priority="37" operator="lessThan">
      <formula>0.5</formula>
    </cfRule>
    <cfRule type="cellIs" dxfId="651" priority="38" operator="greaterThan">
      <formula>0.5</formula>
    </cfRule>
  </conditionalFormatting>
  <conditionalFormatting sqref="L57">
    <cfRule type="cellIs" dxfId="650" priority="33" operator="equal">
      <formula>0.5</formula>
    </cfRule>
    <cfRule type="cellIs" dxfId="649" priority="34" operator="lessThan">
      <formula>0.5</formula>
    </cfRule>
    <cfRule type="cellIs" dxfId="648" priority="35" operator="greaterThan">
      <formula>0.5</formula>
    </cfRule>
  </conditionalFormatting>
  <conditionalFormatting sqref="C72:F72">
    <cfRule type="cellIs" dxfId="647" priority="29" operator="greaterThan">
      <formula>0.5</formula>
    </cfRule>
    <cfRule type="cellIs" dxfId="646" priority="30" operator="lessThan">
      <formula>0.5</formula>
    </cfRule>
    <cfRule type="cellIs" dxfId="645" priority="31" operator="equal">
      <formula>0.5</formula>
    </cfRule>
    <cfRule type="cellIs" dxfId="644" priority="32" operator="greaterThan">
      <formula>50</formula>
    </cfRule>
  </conditionalFormatting>
  <conditionalFormatting sqref="L72">
    <cfRule type="cellIs" dxfId="643" priority="17" operator="greaterThan">
      <formula>0.5</formula>
    </cfRule>
    <cfRule type="cellIs" dxfId="642" priority="18" operator="lessThan">
      <formula>0.5</formula>
    </cfRule>
    <cfRule type="cellIs" dxfId="641" priority="19" operator="equal">
      <formula>0.5</formula>
    </cfRule>
    <cfRule type="cellIs" dxfId="640" priority="20" operator="greaterThan">
      <formula>50</formula>
    </cfRule>
  </conditionalFormatting>
  <conditionalFormatting sqref="G72:H72">
    <cfRule type="cellIs" dxfId="639" priority="25" operator="greaterThan">
      <formula>0.5</formula>
    </cfRule>
    <cfRule type="cellIs" dxfId="638" priority="26" operator="lessThan">
      <formula>0.5</formula>
    </cfRule>
    <cfRule type="cellIs" dxfId="637" priority="27" operator="equal">
      <formula>0.5</formula>
    </cfRule>
    <cfRule type="cellIs" dxfId="636" priority="28" operator="greaterThan">
      <formula>50</formula>
    </cfRule>
  </conditionalFormatting>
  <conditionalFormatting sqref="I72">
    <cfRule type="cellIs" dxfId="635" priority="21" operator="greaterThan">
      <formula>0.5</formula>
    </cfRule>
    <cfRule type="cellIs" dxfId="634" priority="22" operator="lessThan">
      <formula>0.5</formula>
    </cfRule>
    <cfRule type="cellIs" dxfId="633" priority="23" operator="equal">
      <formula>0.5</formula>
    </cfRule>
    <cfRule type="cellIs" dxfId="632" priority="24" operator="greaterThan">
      <formula>50</formula>
    </cfRule>
  </conditionalFormatting>
  <conditionalFormatting sqref="C88:F88">
    <cfRule type="cellIs" dxfId="631" priority="13" operator="greaterThan">
      <formula>0.5</formula>
    </cfRule>
    <cfRule type="cellIs" dxfId="630" priority="14" operator="lessThan">
      <formula>0.5</formula>
    </cfRule>
    <cfRule type="cellIs" dxfId="629" priority="15" operator="equal">
      <formula>0.5</formula>
    </cfRule>
    <cfRule type="cellIs" dxfId="628" priority="16" operator="greaterThan">
      <formula>50</formula>
    </cfRule>
  </conditionalFormatting>
  <conditionalFormatting sqref="L88">
    <cfRule type="cellIs" dxfId="627" priority="5" operator="greaterThan">
      <formula>0.5</formula>
    </cfRule>
    <cfRule type="cellIs" dxfId="626" priority="6" operator="lessThan">
      <formula>0.5</formula>
    </cfRule>
    <cfRule type="cellIs" dxfId="625" priority="7" operator="equal">
      <formula>0.5</formula>
    </cfRule>
    <cfRule type="cellIs" dxfId="624" priority="8" operator="greaterThan">
      <formula>50</formula>
    </cfRule>
  </conditionalFormatting>
  <conditionalFormatting sqref="I88">
    <cfRule type="cellIs" dxfId="623" priority="9" operator="greaterThan">
      <formula>0.5</formula>
    </cfRule>
    <cfRule type="cellIs" dxfId="622" priority="10" operator="lessThan">
      <formula>0.5</formula>
    </cfRule>
    <cfRule type="cellIs" dxfId="621" priority="11" operator="equal">
      <formula>0.5</formula>
    </cfRule>
    <cfRule type="cellIs" dxfId="620" priority="12" operator="greaterThan">
      <formula>50</formula>
    </cfRule>
  </conditionalFormatting>
  <conditionalFormatting sqref="G88:H88">
    <cfRule type="cellIs" dxfId="619" priority="1" operator="greaterThan">
      <formula>0.5</formula>
    </cfRule>
    <cfRule type="cellIs" dxfId="618" priority="2" operator="lessThan">
      <formula>0.5</formula>
    </cfRule>
    <cfRule type="cellIs" dxfId="617" priority="3" operator="equal">
      <formula>0.5</formula>
    </cfRule>
    <cfRule type="cellIs" dxfId="616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K13:P44 V13:Z44 G13:I44">
      <formula1>Oui_Non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O6">
      <formula1>N°_relevé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opLeftCell="A13" zoomScaleNormal="100" workbookViewId="0">
      <selection activeCell="C22" sqref="C22:D28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88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Listes!E5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89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>
        <v>9</v>
      </c>
      <c r="C13" s="547" t="s">
        <v>290</v>
      </c>
      <c r="D13" s="548"/>
      <c r="E13" s="549"/>
      <c r="F13" s="550"/>
      <c r="G13" s="168" t="s">
        <v>28</v>
      </c>
      <c r="H13" s="168" t="s">
        <v>28</v>
      </c>
      <c r="I13" s="168"/>
      <c r="J13" s="30"/>
      <c r="K13" s="199" t="s">
        <v>28</v>
      </c>
      <c r="L13" s="171"/>
      <c r="M13" s="172"/>
      <c r="N13" s="172"/>
      <c r="O13" s="172"/>
      <c r="P13" s="196"/>
      <c r="Q13" s="178"/>
      <c r="R13" s="551" t="str">
        <f>IF(U13="","",VLOOKUP(U13,Listes!$C$1:$D$19,2))</f>
        <v/>
      </c>
      <c r="S13" s="552"/>
      <c r="T13" s="553"/>
      <c r="U13" s="233"/>
      <c r="V13" s="176"/>
      <c r="W13" s="177"/>
      <c r="X13" s="177"/>
      <c r="Y13" s="177"/>
      <c r="Z13" s="178"/>
      <c r="AA13" s="738">
        <f>H46</f>
        <v>3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>
        <v>8</v>
      </c>
      <c r="C14" s="527" t="s">
        <v>290</v>
      </c>
      <c r="D14" s="528"/>
      <c r="E14" s="535"/>
      <c r="F14" s="536"/>
      <c r="G14" s="169" t="s">
        <v>28</v>
      </c>
      <c r="H14" s="169"/>
      <c r="I14" s="169"/>
      <c r="J14" s="36"/>
      <c r="K14" s="198" t="s">
        <v>28</v>
      </c>
      <c r="L14" s="174"/>
      <c r="M14" s="175"/>
      <c r="N14" s="175"/>
      <c r="O14" s="175"/>
      <c r="P14" s="197"/>
      <c r="Q14" s="410"/>
      <c r="R14" s="529" t="str">
        <f>IF(U14="","",VLOOKUP(U14,Listes!$C$1:$D$19,2))</f>
        <v/>
      </c>
      <c r="S14" s="530"/>
      <c r="T14" s="531"/>
      <c r="U14" s="234"/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22">
        <v>7</v>
      </c>
      <c r="C15" s="527" t="s">
        <v>290</v>
      </c>
      <c r="D15" s="528"/>
      <c r="E15" s="535"/>
      <c r="F15" s="536"/>
      <c r="G15" s="169" t="s">
        <v>28</v>
      </c>
      <c r="H15" s="169"/>
      <c r="I15" s="169"/>
      <c r="J15" s="36"/>
      <c r="K15" s="412" t="s">
        <v>28</v>
      </c>
      <c r="L15" s="174"/>
      <c r="M15" s="175" t="s">
        <v>28</v>
      </c>
      <c r="N15" s="175"/>
      <c r="O15" s="175"/>
      <c r="P15" s="197"/>
      <c r="Q15" s="410" t="s">
        <v>282</v>
      </c>
      <c r="R15" s="529" t="str">
        <f>IF(U15="","",VLOOKUP(U15,Listes!$C$1:$D$19,2))</f>
        <v>Apprécie la validité des pièces</v>
      </c>
      <c r="S15" s="530"/>
      <c r="T15" s="531"/>
      <c r="U15" s="234">
        <v>102</v>
      </c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>
        <v>5</v>
      </c>
      <c r="C16" s="527" t="s">
        <v>290</v>
      </c>
      <c r="D16" s="528"/>
      <c r="E16" s="535"/>
      <c r="F16" s="536"/>
      <c r="G16" s="169" t="s">
        <v>28</v>
      </c>
      <c r="H16" s="169"/>
      <c r="I16" s="169"/>
      <c r="J16" s="36"/>
      <c r="K16" s="412" t="s">
        <v>28</v>
      </c>
      <c r="L16" s="174"/>
      <c r="M16" s="175"/>
      <c r="N16" s="175"/>
      <c r="O16" s="175"/>
      <c r="P16" s="197"/>
      <c r="Q16" s="410"/>
      <c r="R16" s="529" t="str">
        <f>IF(U16="","",VLOOKUP(U16,Listes!$C$1:$D$19,2))</f>
        <v/>
      </c>
      <c r="S16" s="530"/>
      <c r="T16" s="531"/>
      <c r="U16" s="234"/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>
        <v>6</v>
      </c>
      <c r="C17" s="527" t="s">
        <v>290</v>
      </c>
      <c r="D17" s="528"/>
      <c r="E17" s="535"/>
      <c r="F17" s="536"/>
      <c r="G17" s="169" t="s">
        <v>28</v>
      </c>
      <c r="H17" s="169"/>
      <c r="I17" s="169"/>
      <c r="J17" s="36"/>
      <c r="K17" s="412" t="s">
        <v>28</v>
      </c>
      <c r="L17" s="174"/>
      <c r="M17" s="175"/>
      <c r="N17" s="175"/>
      <c r="O17" s="175"/>
      <c r="P17" s="197"/>
      <c r="Q17" s="410"/>
      <c r="R17" s="529" t="str">
        <f>IF(U17="","",VLOOKUP(U17,Listes!$C$1:$D$19,2))</f>
        <v/>
      </c>
      <c r="S17" s="530"/>
      <c r="T17" s="531"/>
      <c r="U17" s="234"/>
      <c r="V17" s="174"/>
      <c r="W17" s="175"/>
      <c r="X17" s="175"/>
      <c r="Y17" s="175"/>
      <c r="Z17" s="179"/>
      <c r="AA17" s="558" t="s">
        <v>98</v>
      </c>
      <c r="AB17" s="559"/>
      <c r="AC17" s="559"/>
      <c r="AD17" s="559"/>
      <c r="AE17" s="559"/>
      <c r="AF17" s="560"/>
    </row>
    <row r="18" spans="1:32" x14ac:dyDescent="0.35">
      <c r="A18" s="165"/>
      <c r="B18" s="222">
        <v>4</v>
      </c>
      <c r="C18" s="527" t="s">
        <v>290</v>
      </c>
      <c r="D18" s="528"/>
      <c r="E18" s="535"/>
      <c r="F18" s="536"/>
      <c r="G18" s="169" t="s">
        <v>28</v>
      </c>
      <c r="H18" s="169"/>
      <c r="I18" s="169"/>
      <c r="J18" s="36"/>
      <c r="K18" s="412" t="s">
        <v>28</v>
      </c>
      <c r="L18" s="174"/>
      <c r="M18" s="175"/>
      <c r="N18" s="175" t="s">
        <v>28</v>
      </c>
      <c r="O18" s="175"/>
      <c r="P18" s="197"/>
      <c r="Q18" s="410" t="s">
        <v>284</v>
      </c>
      <c r="R18" s="529" t="str">
        <f>IF(U18="","",VLOOKUP(U18,Listes!$C$1:$D$19,2))</f>
        <v>Met en instance le dossier à bon escient</v>
      </c>
      <c r="S18" s="530"/>
      <c r="T18" s="531"/>
      <c r="U18" s="234">
        <v>122</v>
      </c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>
        <v>2</v>
      </c>
      <c r="C19" s="527" t="s">
        <v>290</v>
      </c>
      <c r="D19" s="528"/>
      <c r="E19" s="535"/>
      <c r="F19" s="536"/>
      <c r="G19" s="169" t="s">
        <v>28</v>
      </c>
      <c r="H19" s="169"/>
      <c r="I19" s="169"/>
      <c r="J19" s="36"/>
      <c r="K19" s="412" t="s">
        <v>28</v>
      </c>
      <c r="L19" s="174"/>
      <c r="M19" s="175"/>
      <c r="N19" s="175"/>
      <c r="O19" s="175"/>
      <c r="P19" s="197"/>
      <c r="Q19" s="410"/>
      <c r="R19" s="529" t="str">
        <f>IF(U19="","",VLOOKUP(U19,Listes!$C$1:$D$19,2))</f>
        <v/>
      </c>
      <c r="S19" s="530"/>
      <c r="T19" s="531"/>
      <c r="U19" s="234"/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>
        <v>3</v>
      </c>
      <c r="C20" s="527" t="s">
        <v>290</v>
      </c>
      <c r="D20" s="528"/>
      <c r="E20" s="535"/>
      <c r="F20" s="536"/>
      <c r="G20" s="169" t="s">
        <v>28</v>
      </c>
      <c r="H20" s="169"/>
      <c r="I20" s="169"/>
      <c r="J20" s="36"/>
      <c r="K20" s="412" t="s">
        <v>28</v>
      </c>
      <c r="L20" s="174"/>
      <c r="M20" s="175" t="s">
        <v>28</v>
      </c>
      <c r="N20" s="175"/>
      <c r="O20" s="175"/>
      <c r="P20" s="197"/>
      <c r="Q20" s="410" t="s">
        <v>287</v>
      </c>
      <c r="R20" s="529" t="str">
        <f>IF(U20="","",VLOOKUP(U20,Listes!$C$1:$D$19,2))</f>
        <v>Lit et analyse l'ensemble des pièces</v>
      </c>
      <c r="S20" s="530"/>
      <c r="T20" s="531"/>
      <c r="U20" s="234">
        <v>101</v>
      </c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>
        <v>1</v>
      </c>
      <c r="C21" s="527" t="s">
        <v>290</v>
      </c>
      <c r="D21" s="528"/>
      <c r="E21" s="535"/>
      <c r="F21" s="536"/>
      <c r="G21" s="169" t="s">
        <v>28</v>
      </c>
      <c r="H21" s="169"/>
      <c r="I21" s="169"/>
      <c r="J21" s="36"/>
      <c r="K21" s="412" t="s">
        <v>28</v>
      </c>
      <c r="L21" s="174"/>
      <c r="M21" s="175"/>
      <c r="N21" s="175"/>
      <c r="O21" s="175"/>
      <c r="P21" s="197"/>
      <c r="Q21" s="410"/>
      <c r="R21" s="529" t="str">
        <f>IF(U21="","",VLOOKUP(U21,Listes!$C$1:$D$19,2))</f>
        <v/>
      </c>
      <c r="S21" s="530"/>
      <c r="T21" s="531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>
        <v>10</v>
      </c>
      <c r="C22" s="527"/>
      <c r="D22" s="528"/>
      <c r="E22" s="535"/>
      <c r="F22" s="536"/>
      <c r="G22" s="169" t="s">
        <v>28</v>
      </c>
      <c r="H22" s="169" t="s">
        <v>28</v>
      </c>
      <c r="I22" s="169"/>
      <c r="J22" s="36"/>
      <c r="K22" s="412" t="s">
        <v>28</v>
      </c>
      <c r="L22" s="174"/>
      <c r="M22" s="175" t="s">
        <v>28</v>
      </c>
      <c r="N22" s="175"/>
      <c r="O22" s="175"/>
      <c r="P22" s="197" t="s">
        <v>28</v>
      </c>
      <c r="Q22" s="410" t="s">
        <v>282</v>
      </c>
      <c r="R22" s="529" t="str">
        <f>IF(U22="","",VLOOKUP(U22,Listes!$C$1:$D$19,2))</f>
        <v>Saisit correctement les informations</v>
      </c>
      <c r="S22" s="530"/>
      <c r="T22" s="531"/>
      <c r="U22" s="234">
        <v>121</v>
      </c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>
        <v>2</v>
      </c>
      <c r="C23" s="527"/>
      <c r="D23" s="528"/>
      <c r="E23" s="535"/>
      <c r="F23" s="536"/>
      <c r="G23" s="169" t="s">
        <v>28</v>
      </c>
      <c r="H23" s="169"/>
      <c r="I23" s="169"/>
      <c r="J23" s="36"/>
      <c r="K23" s="412" t="s">
        <v>28</v>
      </c>
      <c r="L23" s="174"/>
      <c r="M23" s="175"/>
      <c r="N23" s="175"/>
      <c r="O23" s="175"/>
      <c r="P23" s="197"/>
      <c r="Q23" s="410"/>
      <c r="R23" s="529" t="str">
        <f>IF(U23="","",VLOOKUP(U23,Listes!$C$1:$D$19,2))</f>
        <v/>
      </c>
      <c r="S23" s="530"/>
      <c r="T23" s="531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>
        <v>3</v>
      </c>
      <c r="C24" s="527"/>
      <c r="D24" s="528"/>
      <c r="E24" s="535"/>
      <c r="F24" s="536"/>
      <c r="G24" s="169" t="s">
        <v>28</v>
      </c>
      <c r="H24" s="169"/>
      <c r="I24" s="169" t="s">
        <v>28</v>
      </c>
      <c r="J24" s="36"/>
      <c r="K24" s="412" t="s">
        <v>28</v>
      </c>
      <c r="L24" s="174"/>
      <c r="M24" s="175"/>
      <c r="N24" s="175"/>
      <c r="O24" s="175"/>
      <c r="P24" s="197"/>
      <c r="Q24" s="410"/>
      <c r="R24" s="529" t="str">
        <f>IF(U24="","",VLOOKUP(U24,Listes!$C$1:$D$19,2))</f>
        <v/>
      </c>
      <c r="S24" s="530"/>
      <c r="T24" s="531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>
        <v>1</v>
      </c>
      <c r="C25" s="527"/>
      <c r="D25" s="528"/>
      <c r="E25" s="535"/>
      <c r="F25" s="536"/>
      <c r="G25" s="169" t="s">
        <v>28</v>
      </c>
      <c r="H25" s="169"/>
      <c r="I25" s="169" t="s">
        <v>28</v>
      </c>
      <c r="J25" s="36"/>
      <c r="K25" s="412" t="s">
        <v>28</v>
      </c>
      <c r="L25" s="174"/>
      <c r="M25" s="175"/>
      <c r="N25" s="175"/>
      <c r="O25" s="175"/>
      <c r="P25" s="197"/>
      <c r="Q25" s="410"/>
      <c r="R25" s="529" t="str">
        <f>IF(U25="","",VLOOKUP(U25,Listes!$C$1:$D$19,2))</f>
        <v/>
      </c>
      <c r="S25" s="530"/>
      <c r="T25" s="531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>
        <v>3</v>
      </c>
      <c r="C26" s="527"/>
      <c r="D26" s="528"/>
      <c r="E26" s="535"/>
      <c r="F26" s="536"/>
      <c r="G26" s="169" t="s">
        <v>28</v>
      </c>
      <c r="H26" s="169" t="s">
        <v>28</v>
      </c>
      <c r="I26" s="169"/>
      <c r="J26" s="36"/>
      <c r="K26" s="412" t="s">
        <v>28</v>
      </c>
      <c r="L26" s="174"/>
      <c r="M26" s="175"/>
      <c r="N26" s="175"/>
      <c r="O26" s="175"/>
      <c r="P26" s="197"/>
      <c r="Q26" s="410"/>
      <c r="R26" s="529" t="str">
        <f>IF(U26="","",VLOOKUP(U26,Listes!$C$1:$D$19,2))</f>
        <v/>
      </c>
      <c r="S26" s="530"/>
      <c r="T26" s="531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>
        <v>5</v>
      </c>
      <c r="C27" s="527"/>
      <c r="D27" s="528"/>
      <c r="E27" s="535"/>
      <c r="F27" s="536"/>
      <c r="G27" s="169" t="s">
        <v>28</v>
      </c>
      <c r="H27" s="169"/>
      <c r="I27" s="169"/>
      <c r="J27" s="36"/>
      <c r="K27" s="412" t="s">
        <v>28</v>
      </c>
      <c r="L27" s="174"/>
      <c r="M27" s="175"/>
      <c r="N27" s="175"/>
      <c r="O27" s="175"/>
      <c r="P27" s="197"/>
      <c r="Q27" s="410"/>
      <c r="R27" s="529" t="str">
        <f>IF(U27="","",VLOOKUP(U27,Listes!$C$1:$D$19,2))</f>
        <v>Vérifie la cohérence droits attendus et réels</v>
      </c>
      <c r="S27" s="530"/>
      <c r="T27" s="531"/>
      <c r="U27" s="234">
        <v>112</v>
      </c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>
        <v>6</v>
      </c>
      <c r="C28" s="527"/>
      <c r="D28" s="528"/>
      <c r="E28" s="535"/>
      <c r="F28" s="536"/>
      <c r="G28" s="169" t="s">
        <v>28</v>
      </c>
      <c r="H28" s="169"/>
      <c r="I28" s="169"/>
      <c r="J28" s="36"/>
      <c r="K28" s="412" t="s">
        <v>28</v>
      </c>
      <c r="L28" s="174"/>
      <c r="M28" s="175"/>
      <c r="N28" s="175"/>
      <c r="O28" s="175"/>
      <c r="P28" s="197"/>
      <c r="Q28" s="410"/>
      <c r="R28" s="529" t="str">
        <f>IF(U28="","",VLOOKUP(U28,Listes!$C$1:$D$19,2))</f>
        <v>Vérifie la cohérence droits attendus et réels</v>
      </c>
      <c r="S28" s="530"/>
      <c r="T28" s="531"/>
      <c r="U28" s="234">
        <v>112</v>
      </c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/>
      <c r="C29" s="535"/>
      <c r="D29" s="528"/>
      <c r="E29" s="535"/>
      <c r="F29" s="536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10"/>
      <c r="R29" s="529" t="str">
        <f>IF(U29="","",VLOOKUP(U29,Listes!$C$1:$D$19,2))</f>
        <v/>
      </c>
      <c r="S29" s="530"/>
      <c r="T29" s="531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/>
      <c r="C30" s="535"/>
      <c r="D30" s="528"/>
      <c r="E30" s="535"/>
      <c r="F30" s="536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10"/>
      <c r="R30" s="529" t="str">
        <f>IF(U30="","",VLOOKUP(U30,Listes!$C$1:$D$19,2))</f>
        <v/>
      </c>
      <c r="S30" s="530"/>
      <c r="T30" s="531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35"/>
      <c r="D31" s="528"/>
      <c r="E31" s="535"/>
      <c r="F31" s="536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10"/>
      <c r="R31" s="529" t="str">
        <f>IF(U31="","",VLOOKUP(U31,Listes!$C$1:$D$19,2))</f>
        <v/>
      </c>
      <c r="S31" s="530"/>
      <c r="T31" s="531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529" t="str">
        <f>IF(U32="","",VLOOKUP(U32,Listes!$C$1:$D$19,2))</f>
        <v/>
      </c>
      <c r="S32" s="530"/>
      <c r="T32" s="531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529" t="str">
        <f>IF(U33="","",VLOOKUP(U33,Listes!$C$1:$D$19,2))</f>
        <v/>
      </c>
      <c r="S33" s="530"/>
      <c r="T33" s="531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529" t="str">
        <f>IF(U34="","",VLOOKUP(U34,Listes!$C$1:$D$19,2))</f>
        <v/>
      </c>
      <c r="S34" s="530"/>
      <c r="T34" s="531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529" t="str">
        <f>IF(U35="","",VLOOKUP(U35,Listes!$C$1:$D$19,2))</f>
        <v/>
      </c>
      <c r="S35" s="530"/>
      <c r="T35" s="531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529" t="str">
        <f>IF(U36="","",VLOOKUP(U36,Listes!$C$1:$D$19,2))</f>
        <v/>
      </c>
      <c r="S36" s="530"/>
      <c r="T36" s="531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529" t="str">
        <f>IF(U37="","",VLOOKUP(U37,Listes!$C$1:$D$19,2))</f>
        <v/>
      </c>
      <c r="S37" s="530"/>
      <c r="T37" s="531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529" t="str">
        <f>IF(U38="","",VLOOKUP(U38,Listes!$C$1:$D$19,2))</f>
        <v/>
      </c>
      <c r="S38" s="530"/>
      <c r="T38" s="531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529" t="str">
        <f>IF(U39="","",VLOOKUP(U39,Listes!$C$1:$D$19,2))</f>
        <v/>
      </c>
      <c r="S39" s="530"/>
      <c r="T39" s="531"/>
      <c r="U39" s="234"/>
      <c r="V39" s="174"/>
      <c r="W39" s="175"/>
      <c r="X39" s="175"/>
      <c r="Y39" s="175"/>
      <c r="Z39" s="179"/>
      <c r="AA39" s="588" t="s">
        <v>98</v>
      </c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529" t="str">
        <f>IF(U40="","",VLOOKUP(U40,Listes!$C$1:$D$19,2))</f>
        <v/>
      </c>
      <c r="S40" s="530"/>
      <c r="T40" s="531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529" t="str">
        <f>IF(U41="","",VLOOKUP(U41,Listes!$C$1:$D$19,2))</f>
        <v/>
      </c>
      <c r="S41" s="530"/>
      <c r="T41" s="531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529" t="str">
        <f>IF(U42="","",VLOOKUP(U42,Listes!$C$1:$D$19,2))</f>
        <v/>
      </c>
      <c r="S42" s="530"/>
      <c r="T42" s="531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529" t="str">
        <f>IF(U43="","",VLOOKUP(U43,Listes!$C$1:$D$19,2))</f>
        <v/>
      </c>
      <c r="S43" s="530"/>
      <c r="T43" s="531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529" t="str">
        <f>IF(U44="","",VLOOKUP(U44,Listes!$C$1:$D$19,2))</f>
        <v/>
      </c>
      <c r="S44" s="530"/>
      <c r="T44" s="531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40" t="str">
        <f>IF(U45="","",VLOOKUP(U45,Listes!$C$1:$D$19,2))</f>
        <v/>
      </c>
      <c r="S45" s="741"/>
      <c r="T45" s="742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75</v>
      </c>
      <c r="C46" s="719">
        <f>COUNTA(C13:D45)</f>
        <v>9</v>
      </c>
      <c r="D46" s="720"/>
      <c r="E46" s="46">
        <v>1</v>
      </c>
      <c r="F46" s="47">
        <f>COUNTIFS(E13:F45,1)</f>
        <v>0</v>
      </c>
      <c r="G46" s="604">
        <f>COUNTIF(G13:G45,"oui")</f>
        <v>16</v>
      </c>
      <c r="H46" s="604">
        <f>COUNTIF(H13:H45,"oui")</f>
        <v>3</v>
      </c>
      <c r="I46" s="604">
        <f>COUNTIF(I13:I45,"oui")</f>
        <v>2</v>
      </c>
      <c r="J46" s="612"/>
      <c r="K46" s="625">
        <f t="shared" ref="K46:P46" si="0">COUNTIF(K13:K45,"oui")</f>
        <v>16</v>
      </c>
      <c r="L46" s="628">
        <f t="shared" si="0"/>
        <v>0</v>
      </c>
      <c r="M46" s="631">
        <f t="shared" si="0"/>
        <v>3</v>
      </c>
      <c r="N46" s="631">
        <f t="shared" si="0"/>
        <v>1</v>
      </c>
      <c r="O46" s="631">
        <f t="shared" si="0"/>
        <v>0</v>
      </c>
      <c r="P46" s="634">
        <f t="shared" si="0"/>
        <v>1</v>
      </c>
      <c r="Q46" s="392"/>
      <c r="R46" s="689" t="s">
        <v>55</v>
      </c>
      <c r="S46" s="690"/>
      <c r="T46" s="725">
        <f>IF(P46=0,"",P46/C46)</f>
        <v>0.1111111111111111</v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3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4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2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>
        <f>K53/G53</f>
        <v>0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3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>
        <f>C71/(G68+L68)</f>
        <v>0</v>
      </c>
      <c r="D72" s="710"/>
      <c r="E72" s="710"/>
      <c r="F72" s="711"/>
      <c r="G72" s="709">
        <f>G71/(G68+L68)</f>
        <v>0</v>
      </c>
      <c r="H72" s="710"/>
      <c r="I72" s="709">
        <f>I71/(G68+L68)</f>
        <v>0</v>
      </c>
      <c r="J72" s="710"/>
      <c r="K72" s="710"/>
      <c r="L72" s="709">
        <f>L71/(G68+L68)</f>
        <v>0</v>
      </c>
      <c r="M72" s="710">
        <f>L71/(G68+L68)</f>
        <v>0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 t="str">
        <f>AA17</f>
        <v>A saisir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 t="str">
        <f>AA39</f>
        <v>A saisir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B2:E2"/>
    <mergeCell ref="D4:I4"/>
    <mergeCell ref="D6:I6"/>
    <mergeCell ref="E8:I8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615" priority="45" operator="equal">
      <formula>0.5</formula>
    </cfRule>
    <cfRule type="cellIs" dxfId="614" priority="46" operator="lessThan">
      <formula>0.5</formula>
    </cfRule>
    <cfRule type="cellIs" dxfId="613" priority="47" operator="greaterThan">
      <formula>0.5</formula>
    </cfRule>
    <cfRule type="aboveAverage" priority="48"/>
  </conditionalFormatting>
  <conditionalFormatting sqref="C57:F57">
    <cfRule type="cellIs" dxfId="612" priority="42" operator="equal">
      <formula>0.5</formula>
    </cfRule>
    <cfRule type="cellIs" dxfId="611" priority="43" operator="lessThan">
      <formula>0.5</formula>
    </cfRule>
    <cfRule type="cellIs" dxfId="610" priority="44" operator="greaterThan">
      <formula>0.5</formula>
    </cfRule>
  </conditionalFormatting>
  <conditionalFormatting sqref="G57:H57">
    <cfRule type="cellIs" dxfId="609" priority="39" operator="equal">
      <formula>0.5</formula>
    </cfRule>
    <cfRule type="cellIs" dxfId="608" priority="40" operator="lessThan">
      <formula>0.5</formula>
    </cfRule>
    <cfRule type="cellIs" dxfId="607" priority="41" operator="greaterThan">
      <formula>0.5</formula>
    </cfRule>
  </conditionalFormatting>
  <conditionalFormatting sqref="I57">
    <cfRule type="cellIs" dxfId="606" priority="36" operator="equal">
      <formula>0.5</formula>
    </cfRule>
    <cfRule type="cellIs" dxfId="605" priority="37" operator="lessThan">
      <formula>0.5</formula>
    </cfRule>
    <cfRule type="cellIs" dxfId="604" priority="38" operator="greaterThan">
      <formula>0.5</formula>
    </cfRule>
  </conditionalFormatting>
  <conditionalFormatting sqref="L57">
    <cfRule type="cellIs" dxfId="603" priority="33" operator="equal">
      <formula>0.5</formula>
    </cfRule>
    <cfRule type="cellIs" dxfId="602" priority="34" operator="lessThan">
      <formula>0.5</formula>
    </cfRule>
    <cfRule type="cellIs" dxfId="601" priority="35" operator="greaterThan">
      <formula>0.5</formula>
    </cfRule>
  </conditionalFormatting>
  <conditionalFormatting sqref="C72:F72">
    <cfRule type="cellIs" dxfId="600" priority="29" operator="greaterThan">
      <formula>0.5</formula>
    </cfRule>
    <cfRule type="cellIs" dxfId="599" priority="30" operator="lessThan">
      <formula>0.5</formula>
    </cfRule>
    <cfRule type="cellIs" dxfId="598" priority="31" operator="equal">
      <formula>0.5</formula>
    </cfRule>
    <cfRule type="cellIs" dxfId="597" priority="32" operator="greaterThan">
      <formula>50</formula>
    </cfRule>
  </conditionalFormatting>
  <conditionalFormatting sqref="L72">
    <cfRule type="cellIs" dxfId="596" priority="17" operator="greaterThan">
      <formula>0.5</formula>
    </cfRule>
    <cfRule type="cellIs" dxfId="595" priority="18" operator="lessThan">
      <formula>0.5</formula>
    </cfRule>
    <cfRule type="cellIs" dxfId="594" priority="19" operator="equal">
      <formula>0.5</formula>
    </cfRule>
    <cfRule type="cellIs" dxfId="593" priority="20" operator="greaterThan">
      <formula>50</formula>
    </cfRule>
  </conditionalFormatting>
  <conditionalFormatting sqref="G72:H72">
    <cfRule type="cellIs" dxfId="592" priority="25" operator="greaterThan">
      <formula>0.5</formula>
    </cfRule>
    <cfRule type="cellIs" dxfId="591" priority="26" operator="lessThan">
      <formula>0.5</formula>
    </cfRule>
    <cfRule type="cellIs" dxfId="590" priority="27" operator="equal">
      <formula>0.5</formula>
    </cfRule>
    <cfRule type="cellIs" dxfId="589" priority="28" operator="greaterThan">
      <formula>50</formula>
    </cfRule>
  </conditionalFormatting>
  <conditionalFormatting sqref="I72">
    <cfRule type="cellIs" dxfId="588" priority="21" operator="greaterThan">
      <formula>0.5</formula>
    </cfRule>
    <cfRule type="cellIs" dxfId="587" priority="22" operator="lessThan">
      <formula>0.5</formula>
    </cfRule>
    <cfRule type="cellIs" dxfId="586" priority="23" operator="equal">
      <formula>0.5</formula>
    </cfRule>
    <cfRule type="cellIs" dxfId="585" priority="24" operator="greaterThan">
      <formula>50</formula>
    </cfRule>
  </conditionalFormatting>
  <conditionalFormatting sqref="C88:F88">
    <cfRule type="cellIs" dxfId="584" priority="13" operator="greaterThan">
      <formula>0.5</formula>
    </cfRule>
    <cfRule type="cellIs" dxfId="583" priority="14" operator="lessThan">
      <formula>0.5</formula>
    </cfRule>
    <cfRule type="cellIs" dxfId="582" priority="15" operator="equal">
      <formula>0.5</formula>
    </cfRule>
    <cfRule type="cellIs" dxfId="581" priority="16" operator="greaterThan">
      <formula>50</formula>
    </cfRule>
  </conditionalFormatting>
  <conditionalFormatting sqref="L88">
    <cfRule type="cellIs" dxfId="580" priority="5" operator="greaterThan">
      <formula>0.5</formula>
    </cfRule>
    <cfRule type="cellIs" dxfId="579" priority="6" operator="lessThan">
      <formula>0.5</formula>
    </cfRule>
    <cfRule type="cellIs" dxfId="578" priority="7" operator="equal">
      <formula>0.5</formula>
    </cfRule>
    <cfRule type="cellIs" dxfId="577" priority="8" operator="greaterThan">
      <formula>50</formula>
    </cfRule>
  </conditionalFormatting>
  <conditionalFormatting sqref="I88">
    <cfRule type="cellIs" dxfId="576" priority="9" operator="greaterThan">
      <formula>0.5</formula>
    </cfRule>
    <cfRule type="cellIs" dxfId="575" priority="10" operator="lessThan">
      <formula>0.5</formula>
    </cfRule>
    <cfRule type="cellIs" dxfId="574" priority="11" operator="equal">
      <formula>0.5</formula>
    </cfRule>
    <cfRule type="cellIs" dxfId="573" priority="12" operator="greaterThan">
      <formula>50</formula>
    </cfRule>
  </conditionalFormatting>
  <conditionalFormatting sqref="G88:H88">
    <cfRule type="cellIs" dxfId="572" priority="1" operator="greaterThan">
      <formula>0.5</formula>
    </cfRule>
    <cfRule type="cellIs" dxfId="571" priority="2" operator="lessThan">
      <formula>0.5</formula>
    </cfRule>
    <cfRule type="cellIs" dxfId="570" priority="3" operator="equal">
      <formula>0.5</formula>
    </cfRule>
    <cfRule type="cellIs" dxfId="569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K13:O44 V13:Z44 G13:I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K45:O45 G45:I45 V45:Z45 P13:P45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C20" sqref="C20:D30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Listes!E6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743" t="s">
        <v>13</v>
      </c>
      <c r="S12" s="744"/>
      <c r="T12" s="745"/>
      <c r="U12" s="509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>
        <v>2</v>
      </c>
      <c r="C13" s="547" t="s">
        <v>291</v>
      </c>
      <c r="D13" s="548"/>
      <c r="E13" s="549"/>
      <c r="F13" s="550"/>
      <c r="G13" s="168"/>
      <c r="H13" s="168" t="s">
        <v>28</v>
      </c>
      <c r="I13" s="168"/>
      <c r="J13" s="30"/>
      <c r="K13" s="199" t="s">
        <v>28</v>
      </c>
      <c r="L13" s="171"/>
      <c r="M13" s="172"/>
      <c r="N13" s="172" t="s">
        <v>28</v>
      </c>
      <c r="O13" s="172"/>
      <c r="P13" s="196"/>
      <c r="Q13" s="178" t="s">
        <v>286</v>
      </c>
      <c r="R13" s="712" t="str">
        <f>IF(U13="","",VLOOKUP(U13,Listes!$C$1:$D$19,2))</f>
        <v>Applique les procédures de travail spécifiques à la Caf</v>
      </c>
      <c r="S13" s="713"/>
      <c r="T13" s="713"/>
      <c r="U13" s="233">
        <v>202</v>
      </c>
      <c r="V13" s="231"/>
      <c r="W13" s="177"/>
      <c r="X13" s="177"/>
      <c r="Y13" s="177"/>
      <c r="Z13" s="178"/>
      <c r="AA13" s="738">
        <f>H46</f>
        <v>3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>
        <v>3</v>
      </c>
      <c r="C14" s="527" t="s">
        <v>291</v>
      </c>
      <c r="D14" s="528"/>
      <c r="E14" s="535"/>
      <c r="F14" s="536"/>
      <c r="G14" s="169"/>
      <c r="H14" s="169"/>
      <c r="I14" s="169"/>
      <c r="J14" s="36"/>
      <c r="K14" s="198" t="s">
        <v>28</v>
      </c>
      <c r="L14" s="174"/>
      <c r="M14" s="175"/>
      <c r="N14" s="175"/>
      <c r="O14" s="175"/>
      <c r="P14" s="197"/>
      <c r="Q14" s="410"/>
      <c r="R14" s="736" t="str">
        <f>IF(U14="","",VLOOKUP(U14,Listes!$C$1:$D$19,2))</f>
        <v/>
      </c>
      <c r="S14" s="737"/>
      <c r="T14" s="737"/>
      <c r="U14" s="234"/>
      <c r="V14" s="232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22">
        <v>2</v>
      </c>
      <c r="C15" s="527" t="s">
        <v>291</v>
      </c>
      <c r="D15" s="528"/>
      <c r="E15" s="535"/>
      <c r="F15" s="536"/>
      <c r="G15" s="169"/>
      <c r="H15" s="169"/>
      <c r="I15" s="169"/>
      <c r="J15" s="36"/>
      <c r="K15" s="412" t="s">
        <v>28</v>
      </c>
      <c r="L15" s="174"/>
      <c r="M15" s="175"/>
      <c r="N15" s="175"/>
      <c r="O15" s="175"/>
      <c r="P15" s="197"/>
      <c r="Q15" s="410"/>
      <c r="R15" s="736" t="str">
        <f>IF(U15="","",VLOOKUP(U15,Listes!$C$1:$D$19,2))</f>
        <v/>
      </c>
      <c r="S15" s="737"/>
      <c r="T15" s="737"/>
      <c r="U15" s="234"/>
      <c r="V15" s="232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>
        <v>1</v>
      </c>
      <c r="C16" s="527" t="s">
        <v>291</v>
      </c>
      <c r="D16" s="528"/>
      <c r="E16" s="535"/>
      <c r="F16" s="536"/>
      <c r="G16" s="169"/>
      <c r="H16" s="169"/>
      <c r="I16" s="169"/>
      <c r="J16" s="36"/>
      <c r="K16" s="412" t="s">
        <v>29</v>
      </c>
      <c r="L16" s="174"/>
      <c r="M16" s="175"/>
      <c r="N16" s="175"/>
      <c r="O16" s="175"/>
      <c r="P16" s="197"/>
      <c r="Q16" s="410"/>
      <c r="R16" s="736" t="str">
        <f>IF(U16="","",VLOOKUP(U16,Listes!$C$1:$D$19,2))</f>
        <v/>
      </c>
      <c r="S16" s="737"/>
      <c r="T16" s="737"/>
      <c r="U16" s="234"/>
      <c r="V16" s="232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>
        <v>5</v>
      </c>
      <c r="C17" s="527" t="s">
        <v>291</v>
      </c>
      <c r="D17" s="528"/>
      <c r="E17" s="535"/>
      <c r="F17" s="536"/>
      <c r="G17" s="169"/>
      <c r="H17" s="169"/>
      <c r="I17" s="169" t="s">
        <v>28</v>
      </c>
      <c r="J17" s="36"/>
      <c r="K17" s="412" t="s">
        <v>29</v>
      </c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232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>
        <v>2</v>
      </c>
      <c r="C18" s="527" t="s">
        <v>291</v>
      </c>
      <c r="D18" s="528"/>
      <c r="E18" s="535"/>
      <c r="F18" s="536"/>
      <c r="G18" s="169"/>
      <c r="H18" s="169"/>
      <c r="I18" s="169"/>
      <c r="J18" s="36"/>
      <c r="K18" s="412" t="s">
        <v>29</v>
      </c>
      <c r="L18" s="174"/>
      <c r="M18" s="175"/>
      <c r="N18" s="175"/>
      <c r="O18" s="175"/>
      <c r="P18" s="197"/>
      <c r="Q18" s="410"/>
      <c r="R18" s="736" t="str">
        <f>IF(U18="","",VLOOKUP(U18,Listes!$C$1:$D$19,2))</f>
        <v/>
      </c>
      <c r="S18" s="737"/>
      <c r="T18" s="737"/>
      <c r="U18" s="234"/>
      <c r="V18" s="232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>
        <v>3</v>
      </c>
      <c r="C19" s="527" t="s">
        <v>290</v>
      </c>
      <c r="D19" s="528"/>
      <c r="E19" s="535"/>
      <c r="F19" s="536"/>
      <c r="G19" s="169"/>
      <c r="H19" s="169"/>
      <c r="I19" s="169"/>
      <c r="J19" s="36"/>
      <c r="K19" s="412" t="s">
        <v>29</v>
      </c>
      <c r="L19" s="174"/>
      <c r="M19" s="175"/>
      <c r="N19" s="175"/>
      <c r="O19" s="175"/>
      <c r="P19" s="197"/>
      <c r="Q19" s="410"/>
      <c r="R19" s="736" t="str">
        <f>IF(U19="","",VLOOKUP(U19,Listes!$C$1:$D$19,2))</f>
        <v/>
      </c>
      <c r="S19" s="737"/>
      <c r="T19" s="737"/>
      <c r="U19" s="234"/>
      <c r="V19" s="232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>
        <v>6</v>
      </c>
      <c r="C20" s="527"/>
      <c r="D20" s="528"/>
      <c r="E20" s="535"/>
      <c r="F20" s="536"/>
      <c r="G20" s="169"/>
      <c r="H20" s="169" t="s">
        <v>28</v>
      </c>
      <c r="I20" s="169"/>
      <c r="J20" s="36"/>
      <c r="K20" s="412" t="s">
        <v>29</v>
      </c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232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>
        <v>1</v>
      </c>
      <c r="C21" s="527"/>
      <c r="D21" s="528"/>
      <c r="E21" s="535"/>
      <c r="F21" s="536"/>
      <c r="G21" s="169"/>
      <c r="H21" s="169"/>
      <c r="I21" s="169"/>
      <c r="J21" s="36"/>
      <c r="K21" s="412" t="s">
        <v>29</v>
      </c>
      <c r="L21" s="174"/>
      <c r="M21" s="175"/>
      <c r="N21" s="175"/>
      <c r="O21" s="175"/>
      <c r="P21" s="197"/>
      <c r="Q21" s="410"/>
      <c r="R21" s="736" t="str">
        <f>IF(U21="","",VLOOKUP(U21,Listes!$C$1:$D$19,2))</f>
        <v/>
      </c>
      <c r="S21" s="737"/>
      <c r="T21" s="737"/>
      <c r="U21" s="234"/>
      <c r="V21" s="232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>
        <v>2</v>
      </c>
      <c r="C22" s="527"/>
      <c r="D22" s="528"/>
      <c r="E22" s="535"/>
      <c r="F22" s="536"/>
      <c r="G22" s="169"/>
      <c r="H22" s="169"/>
      <c r="I22" s="169"/>
      <c r="J22" s="36"/>
      <c r="K22" s="412" t="s">
        <v>28</v>
      </c>
      <c r="L22" s="174"/>
      <c r="M22" s="175" t="s">
        <v>28</v>
      </c>
      <c r="N22" s="175"/>
      <c r="O22" s="175"/>
      <c r="P22" s="197"/>
      <c r="Q22" s="410" t="s">
        <v>284</v>
      </c>
      <c r="R22" s="736" t="str">
        <f>IF(U22="","",VLOOKUP(U22,Listes!$C$1:$D$19,2))</f>
        <v>Lit et analyse l'ensemble des pièces</v>
      </c>
      <c r="S22" s="737"/>
      <c r="T22" s="737"/>
      <c r="U22" s="234">
        <v>101</v>
      </c>
      <c r="V22" s="232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>
        <v>3</v>
      </c>
      <c r="C23" s="527"/>
      <c r="D23" s="528"/>
      <c r="E23" s="535"/>
      <c r="F23" s="536"/>
      <c r="G23" s="169"/>
      <c r="H23" s="169"/>
      <c r="I23" s="169"/>
      <c r="J23" s="36"/>
      <c r="K23" s="412" t="s">
        <v>28</v>
      </c>
      <c r="L23" s="174"/>
      <c r="M23" s="175"/>
      <c r="N23" s="175"/>
      <c r="O23" s="175"/>
      <c r="P23" s="197"/>
      <c r="Q23" s="410"/>
      <c r="R23" s="736" t="str">
        <f>IF(U23="","",VLOOKUP(U23,Listes!$C$1:$D$19,2))</f>
        <v>Vérifie la cohérence droits attendus et réels</v>
      </c>
      <c r="S23" s="737"/>
      <c r="T23" s="737"/>
      <c r="U23" s="234">
        <v>112</v>
      </c>
      <c r="V23" s="232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>
        <v>2</v>
      </c>
      <c r="C24" s="527"/>
      <c r="D24" s="528"/>
      <c r="E24" s="535"/>
      <c r="F24" s="536"/>
      <c r="G24" s="169"/>
      <c r="H24" s="169"/>
      <c r="I24" s="169"/>
      <c r="J24" s="36"/>
      <c r="K24" s="412" t="s">
        <v>28</v>
      </c>
      <c r="L24" s="174"/>
      <c r="M24" s="175"/>
      <c r="N24" s="175"/>
      <c r="O24" s="175"/>
      <c r="P24" s="197"/>
      <c r="Q24" s="410"/>
      <c r="R24" s="736" t="str">
        <f>IF(U24="","",VLOOKUP(U24,Listes!$C$1:$D$19,2))</f>
        <v>Vérifie la cohérence droits attendus et réels</v>
      </c>
      <c r="S24" s="737"/>
      <c r="T24" s="737"/>
      <c r="U24" s="234">
        <v>112</v>
      </c>
      <c r="V24" s="232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>
        <v>1</v>
      </c>
      <c r="C25" s="527"/>
      <c r="D25" s="528"/>
      <c r="E25" s="535"/>
      <c r="F25" s="536"/>
      <c r="G25" s="169"/>
      <c r="H25" s="169"/>
      <c r="I25" s="169" t="s">
        <v>28</v>
      </c>
      <c r="J25" s="36"/>
      <c r="K25" s="412" t="s">
        <v>28</v>
      </c>
      <c r="L25" s="174"/>
      <c r="M25" s="175" t="s">
        <v>28</v>
      </c>
      <c r="N25" s="175"/>
      <c r="O25" s="175"/>
      <c r="P25" s="197"/>
      <c r="Q25" s="410" t="s">
        <v>263</v>
      </c>
      <c r="R25" s="736" t="str">
        <f>IF(U25="","",VLOOKUP(U25,Listes!$C$1:$D$19,2))</f>
        <v>Lit et analyse l'ensemble des pièces</v>
      </c>
      <c r="S25" s="737"/>
      <c r="T25" s="737"/>
      <c r="U25" s="234">
        <v>101</v>
      </c>
      <c r="V25" s="232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>
        <v>2</v>
      </c>
      <c r="C26" s="527"/>
      <c r="D26" s="528"/>
      <c r="E26" s="535"/>
      <c r="F26" s="536"/>
      <c r="G26" s="169"/>
      <c r="H26" s="169"/>
      <c r="I26" s="169"/>
      <c r="J26" s="36"/>
      <c r="K26" s="412" t="s">
        <v>28</v>
      </c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232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>
        <v>5</v>
      </c>
      <c r="C27" s="527"/>
      <c r="D27" s="528"/>
      <c r="E27" s="535"/>
      <c r="F27" s="536"/>
      <c r="G27" s="169"/>
      <c r="H27" s="169" t="s">
        <v>28</v>
      </c>
      <c r="I27" s="169"/>
      <c r="J27" s="36"/>
      <c r="K27" s="412" t="s">
        <v>28</v>
      </c>
      <c r="L27" s="174"/>
      <c r="M27" s="175"/>
      <c r="N27" s="175"/>
      <c r="O27" s="175"/>
      <c r="P27" s="197"/>
      <c r="Q27" s="410"/>
      <c r="R27" s="736" t="str">
        <f>IF(U27="","",VLOOKUP(U27,Listes!$C$1:$D$19,2))</f>
        <v/>
      </c>
      <c r="S27" s="737"/>
      <c r="T27" s="737"/>
      <c r="U27" s="234"/>
      <c r="V27" s="232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>
        <v>6</v>
      </c>
      <c r="C28" s="527"/>
      <c r="D28" s="528"/>
      <c r="E28" s="535"/>
      <c r="F28" s="536"/>
      <c r="G28" s="169"/>
      <c r="H28" s="169"/>
      <c r="I28" s="169"/>
      <c r="J28" s="36"/>
      <c r="K28" s="412" t="s">
        <v>28</v>
      </c>
      <c r="L28" s="174" t="s">
        <v>28</v>
      </c>
      <c r="M28" s="175"/>
      <c r="N28" s="175"/>
      <c r="O28" s="175"/>
      <c r="P28" s="197"/>
      <c r="Q28" s="410" t="s">
        <v>262</v>
      </c>
      <c r="R28" s="736" t="str">
        <f>IF(U28="","",VLOOKUP(U28,Listes!$C$1:$D$19,2))</f>
        <v>Met à jour le Sdp</v>
      </c>
      <c r="S28" s="737"/>
      <c r="T28" s="737"/>
      <c r="U28" s="234">
        <v>123</v>
      </c>
      <c r="V28" s="232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>
        <v>8</v>
      </c>
      <c r="C29" s="527"/>
      <c r="D29" s="528"/>
      <c r="E29" s="535"/>
      <c r="F29" s="536"/>
      <c r="G29" s="169"/>
      <c r="H29" s="169"/>
      <c r="I29" s="169"/>
      <c r="J29" s="36"/>
      <c r="K29" s="412" t="s">
        <v>28</v>
      </c>
      <c r="L29" s="174"/>
      <c r="M29" s="175"/>
      <c r="N29" s="175"/>
      <c r="O29" s="175"/>
      <c r="P29" s="197"/>
      <c r="Q29" s="410"/>
      <c r="R29" s="736" t="str">
        <f>IF(U29="","",VLOOKUP(U29,Listes!$C$1:$D$19,2))</f>
        <v/>
      </c>
      <c r="S29" s="737"/>
      <c r="T29" s="737"/>
      <c r="U29" s="234"/>
      <c r="V29" s="232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>
        <v>9</v>
      </c>
      <c r="C30" s="527"/>
      <c r="D30" s="528"/>
      <c r="E30" s="535"/>
      <c r="F30" s="536"/>
      <c r="G30" s="169"/>
      <c r="H30" s="169"/>
      <c r="I30" s="169"/>
      <c r="J30" s="36"/>
      <c r="K30" s="412" t="s">
        <v>28</v>
      </c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232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35"/>
      <c r="D31" s="528"/>
      <c r="E31" s="535"/>
      <c r="F31" s="536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232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232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232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232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232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232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232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232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232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232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232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232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232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232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45"/>
      <c r="W45" s="43"/>
      <c r="X45" s="43"/>
      <c r="Y45" s="43"/>
      <c r="Z45" s="4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63</v>
      </c>
      <c r="C46" s="719">
        <f>COUNTA(C13:D45)</f>
        <v>7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3</v>
      </c>
      <c r="I46" s="604">
        <f>COUNTIF(I13:I45,"oui")</f>
        <v>2</v>
      </c>
      <c r="J46" s="612"/>
      <c r="K46" s="625">
        <f t="shared" ref="K46:P46" si="0">COUNTIF(K13:K45,"oui")</f>
        <v>12</v>
      </c>
      <c r="L46" s="628">
        <f t="shared" si="0"/>
        <v>1</v>
      </c>
      <c r="M46" s="631">
        <f t="shared" si="0"/>
        <v>2</v>
      </c>
      <c r="N46" s="631">
        <f t="shared" si="0"/>
        <v>1</v>
      </c>
      <c r="O46" s="631">
        <f t="shared" si="0"/>
        <v>0</v>
      </c>
      <c r="P46" s="634">
        <f t="shared" si="0"/>
        <v>0</v>
      </c>
      <c r="Q46" s="395"/>
      <c r="R46" s="689" t="s">
        <v>55</v>
      </c>
      <c r="S46" s="690"/>
      <c r="T46" s="725" t="str">
        <f>IF(P46=0,"",P46/C46)</f>
        <v/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6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7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2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>
        <f>K53/G53</f>
        <v>0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189" t="s">
        <v>97</v>
      </c>
      <c r="F58" s="189"/>
      <c r="G58" s="189"/>
      <c r="H58" s="189"/>
      <c r="I58" s="189"/>
      <c r="J58" s="189"/>
      <c r="K58" s="189"/>
      <c r="L58" s="189"/>
      <c r="M58" s="189"/>
      <c r="N58" s="190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3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>
        <f>C71/(G68+L68)</f>
        <v>0</v>
      </c>
      <c r="D72" s="710"/>
      <c r="E72" s="710"/>
      <c r="F72" s="711"/>
      <c r="G72" s="709">
        <f>G71/(G68+L68)</f>
        <v>0</v>
      </c>
      <c r="H72" s="710"/>
      <c r="I72" s="709">
        <f>I71/(G68+L68)</f>
        <v>0</v>
      </c>
      <c r="J72" s="710"/>
      <c r="K72" s="710"/>
      <c r="L72" s="709">
        <f>L71/(G68+L68)</f>
        <v>0</v>
      </c>
      <c r="M72" s="710">
        <f>L71/(G68+L68)</f>
        <v>0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6"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L10:T11"/>
    <mergeCell ref="R12:T12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568" priority="45" operator="equal">
      <formula>0.5</formula>
    </cfRule>
    <cfRule type="cellIs" dxfId="567" priority="46" operator="lessThan">
      <formula>0.5</formula>
    </cfRule>
    <cfRule type="cellIs" dxfId="566" priority="47" operator="greaterThan">
      <formula>0.5</formula>
    </cfRule>
    <cfRule type="aboveAverage" priority="48"/>
  </conditionalFormatting>
  <conditionalFormatting sqref="C57:F57">
    <cfRule type="cellIs" dxfId="565" priority="42" operator="equal">
      <formula>0.5</formula>
    </cfRule>
    <cfRule type="cellIs" dxfId="564" priority="43" operator="lessThan">
      <formula>0.5</formula>
    </cfRule>
    <cfRule type="cellIs" dxfId="563" priority="44" operator="greaterThan">
      <formula>0.5</formula>
    </cfRule>
  </conditionalFormatting>
  <conditionalFormatting sqref="G57:H57">
    <cfRule type="cellIs" dxfId="562" priority="39" operator="equal">
      <formula>0.5</formula>
    </cfRule>
    <cfRule type="cellIs" dxfId="561" priority="40" operator="lessThan">
      <formula>0.5</formula>
    </cfRule>
    <cfRule type="cellIs" dxfId="560" priority="41" operator="greaterThan">
      <formula>0.5</formula>
    </cfRule>
  </conditionalFormatting>
  <conditionalFormatting sqref="I57">
    <cfRule type="cellIs" dxfId="559" priority="36" operator="equal">
      <formula>0.5</formula>
    </cfRule>
    <cfRule type="cellIs" dxfId="558" priority="37" operator="lessThan">
      <formula>0.5</formula>
    </cfRule>
    <cfRule type="cellIs" dxfId="557" priority="38" operator="greaterThan">
      <formula>0.5</formula>
    </cfRule>
  </conditionalFormatting>
  <conditionalFormatting sqref="L57">
    <cfRule type="cellIs" dxfId="556" priority="33" operator="equal">
      <formula>0.5</formula>
    </cfRule>
    <cfRule type="cellIs" dxfId="555" priority="34" operator="lessThan">
      <formula>0.5</formula>
    </cfRule>
    <cfRule type="cellIs" dxfId="554" priority="35" operator="greaterThan">
      <formula>0.5</formula>
    </cfRule>
  </conditionalFormatting>
  <conditionalFormatting sqref="C72:F72">
    <cfRule type="cellIs" dxfId="553" priority="29" operator="greaterThan">
      <formula>0.5</formula>
    </cfRule>
    <cfRule type="cellIs" dxfId="552" priority="30" operator="lessThan">
      <formula>0.5</formula>
    </cfRule>
    <cfRule type="cellIs" dxfId="551" priority="31" operator="equal">
      <formula>0.5</formula>
    </cfRule>
    <cfRule type="cellIs" dxfId="550" priority="32" operator="greaterThan">
      <formula>50</formula>
    </cfRule>
  </conditionalFormatting>
  <conditionalFormatting sqref="L72">
    <cfRule type="cellIs" dxfId="549" priority="17" operator="greaterThan">
      <formula>0.5</formula>
    </cfRule>
    <cfRule type="cellIs" dxfId="548" priority="18" operator="lessThan">
      <formula>0.5</formula>
    </cfRule>
    <cfRule type="cellIs" dxfId="547" priority="19" operator="equal">
      <formula>0.5</formula>
    </cfRule>
    <cfRule type="cellIs" dxfId="546" priority="20" operator="greaterThan">
      <formula>50</formula>
    </cfRule>
  </conditionalFormatting>
  <conditionalFormatting sqref="G72:H72">
    <cfRule type="cellIs" dxfId="545" priority="25" operator="greaterThan">
      <formula>0.5</formula>
    </cfRule>
    <cfRule type="cellIs" dxfId="544" priority="26" operator="lessThan">
      <formula>0.5</formula>
    </cfRule>
    <cfRule type="cellIs" dxfId="543" priority="27" operator="equal">
      <formula>0.5</formula>
    </cfRule>
    <cfRule type="cellIs" dxfId="542" priority="28" operator="greaterThan">
      <formula>50</formula>
    </cfRule>
  </conditionalFormatting>
  <conditionalFormatting sqref="I72">
    <cfRule type="cellIs" dxfId="541" priority="21" operator="greaterThan">
      <formula>0.5</formula>
    </cfRule>
    <cfRule type="cellIs" dxfId="540" priority="22" operator="lessThan">
      <formula>0.5</formula>
    </cfRule>
    <cfRule type="cellIs" dxfId="539" priority="23" operator="equal">
      <formula>0.5</formula>
    </cfRule>
    <cfRule type="cellIs" dxfId="538" priority="24" operator="greaterThan">
      <formula>50</formula>
    </cfRule>
  </conditionalFormatting>
  <conditionalFormatting sqref="C88:F88">
    <cfRule type="cellIs" dxfId="537" priority="13" operator="greaterThan">
      <formula>0.5</formula>
    </cfRule>
    <cfRule type="cellIs" dxfId="536" priority="14" operator="lessThan">
      <formula>0.5</formula>
    </cfRule>
    <cfRule type="cellIs" dxfId="535" priority="15" operator="equal">
      <formula>0.5</formula>
    </cfRule>
    <cfRule type="cellIs" dxfId="534" priority="16" operator="greaterThan">
      <formula>50</formula>
    </cfRule>
  </conditionalFormatting>
  <conditionalFormatting sqref="L88">
    <cfRule type="cellIs" dxfId="533" priority="5" operator="greaterThan">
      <formula>0.5</formula>
    </cfRule>
    <cfRule type="cellIs" dxfId="532" priority="6" operator="lessThan">
      <formula>0.5</formula>
    </cfRule>
    <cfRule type="cellIs" dxfId="531" priority="7" operator="equal">
      <formula>0.5</formula>
    </cfRule>
    <cfRule type="cellIs" dxfId="530" priority="8" operator="greaterThan">
      <formula>50</formula>
    </cfRule>
  </conditionalFormatting>
  <conditionalFormatting sqref="I88">
    <cfRule type="cellIs" dxfId="529" priority="9" operator="greaterThan">
      <formula>0.5</formula>
    </cfRule>
    <cfRule type="cellIs" dxfId="528" priority="10" operator="lessThan">
      <formula>0.5</formula>
    </cfRule>
    <cfRule type="cellIs" dxfId="527" priority="11" operator="equal">
      <formula>0.5</formula>
    </cfRule>
    <cfRule type="cellIs" dxfId="526" priority="12" operator="greaterThan">
      <formula>50</formula>
    </cfRule>
  </conditionalFormatting>
  <conditionalFormatting sqref="G88:H88">
    <cfRule type="cellIs" dxfId="525" priority="1" operator="greaterThan">
      <formula>0.5</formula>
    </cfRule>
    <cfRule type="cellIs" dxfId="524" priority="2" operator="lessThan">
      <formula>0.5</formula>
    </cfRule>
    <cfRule type="cellIs" dxfId="523" priority="3" operator="equal">
      <formula>0.5</formula>
    </cfRule>
    <cfRule type="cellIs" dxfId="522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C18" sqref="C18:D27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192" t="s">
        <v>170</v>
      </c>
      <c r="C2" s="192"/>
      <c r="D2" s="192"/>
      <c r="E2" s="192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Listes!E7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743" t="s">
        <v>13</v>
      </c>
      <c r="S12" s="744"/>
      <c r="T12" s="745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>
        <v>3</v>
      </c>
      <c r="C13" s="547" t="s">
        <v>291</v>
      </c>
      <c r="D13" s="548"/>
      <c r="E13" s="549"/>
      <c r="F13" s="550"/>
      <c r="G13" s="168"/>
      <c r="H13" s="168"/>
      <c r="I13" s="168"/>
      <c r="J13" s="30"/>
      <c r="K13" s="199" t="s">
        <v>28</v>
      </c>
      <c r="L13" s="171"/>
      <c r="M13" s="172"/>
      <c r="N13" s="172"/>
      <c r="O13" s="172"/>
      <c r="P13" s="196"/>
      <c r="Q13" s="178"/>
      <c r="R13" s="712" t="str">
        <f>IF(U13="","",VLOOKUP(U13,Listes!$C$1:$D$19,2))</f>
        <v/>
      </c>
      <c r="S13" s="713"/>
      <c r="T13" s="713"/>
      <c r="U13" s="233"/>
      <c r="V13" s="176"/>
      <c r="W13" s="177"/>
      <c r="X13" s="177"/>
      <c r="Y13" s="177"/>
      <c r="Z13" s="178"/>
      <c r="AA13" s="738">
        <f>H46</f>
        <v>2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>
        <v>2</v>
      </c>
      <c r="C14" s="527" t="s">
        <v>291</v>
      </c>
      <c r="D14" s="528"/>
      <c r="E14" s="535"/>
      <c r="F14" s="536"/>
      <c r="G14" s="169"/>
      <c r="H14" s="169"/>
      <c r="I14" s="169"/>
      <c r="J14" s="36"/>
      <c r="K14" s="198" t="s">
        <v>29</v>
      </c>
      <c r="L14" s="174"/>
      <c r="M14" s="175"/>
      <c r="N14" s="175"/>
      <c r="O14" s="175"/>
      <c r="P14" s="197"/>
      <c r="Q14" s="410"/>
      <c r="R14" s="736" t="str">
        <f>IF(U14="","",VLOOKUP(U14,Listes!$C$1:$D$19,2))</f>
        <v/>
      </c>
      <c r="S14" s="737"/>
      <c r="T14" s="737"/>
      <c r="U14" s="234"/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22">
        <v>1</v>
      </c>
      <c r="C15" s="527" t="s">
        <v>291</v>
      </c>
      <c r="D15" s="528"/>
      <c r="E15" s="535"/>
      <c r="F15" s="536"/>
      <c r="G15" s="169"/>
      <c r="H15" s="169"/>
      <c r="I15" s="169" t="s">
        <v>28</v>
      </c>
      <c r="J15" s="36"/>
      <c r="K15" s="412" t="s">
        <v>29</v>
      </c>
      <c r="L15" s="174"/>
      <c r="M15" s="175"/>
      <c r="N15" s="175"/>
      <c r="O15" s="175"/>
      <c r="P15" s="197"/>
      <c r="Q15" s="410"/>
      <c r="R15" s="736" t="str">
        <f>IF(U15="","",VLOOKUP(U15,Listes!$C$1:$D$19,2))</f>
        <v/>
      </c>
      <c r="S15" s="737"/>
      <c r="T15" s="737"/>
      <c r="U15" s="234"/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>
        <v>3</v>
      </c>
      <c r="C16" s="527" t="s">
        <v>291</v>
      </c>
      <c r="D16" s="528"/>
      <c r="E16" s="535"/>
      <c r="F16" s="536"/>
      <c r="G16" s="169"/>
      <c r="H16" s="169"/>
      <c r="I16" s="169"/>
      <c r="J16" s="36"/>
      <c r="K16" s="412" t="s">
        <v>29</v>
      </c>
      <c r="L16" s="174"/>
      <c r="M16" s="175"/>
      <c r="N16" s="175"/>
      <c r="O16" s="175"/>
      <c r="P16" s="197"/>
      <c r="Q16" s="410"/>
      <c r="R16" s="736" t="str">
        <f>IF(U16="","",VLOOKUP(U16,Listes!$C$1:$D$19,2))</f>
        <v/>
      </c>
      <c r="S16" s="737"/>
      <c r="T16" s="737"/>
      <c r="U16" s="234"/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>
        <v>2</v>
      </c>
      <c r="C17" s="527" t="s">
        <v>290</v>
      </c>
      <c r="D17" s="528"/>
      <c r="E17" s="535"/>
      <c r="F17" s="536"/>
      <c r="G17" s="169"/>
      <c r="H17" s="169"/>
      <c r="I17" s="169"/>
      <c r="J17" s="36"/>
      <c r="K17" s="412" t="s">
        <v>29</v>
      </c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>
        <v>12</v>
      </c>
      <c r="C18" s="527"/>
      <c r="D18" s="528"/>
      <c r="E18" s="535"/>
      <c r="F18" s="536"/>
      <c r="G18" s="169"/>
      <c r="H18" s="169"/>
      <c r="I18" s="169"/>
      <c r="J18" s="36"/>
      <c r="K18" s="412" t="s">
        <v>28</v>
      </c>
      <c r="L18" s="174"/>
      <c r="M18" s="175"/>
      <c r="N18" s="175"/>
      <c r="O18" s="175"/>
      <c r="P18" s="197"/>
      <c r="Q18" s="410"/>
      <c r="R18" s="736" t="str">
        <f>IF(U18="","",VLOOKUP(U18,Listes!$C$1:$D$19,2))</f>
        <v/>
      </c>
      <c r="S18" s="737"/>
      <c r="T18" s="737"/>
      <c r="U18" s="234"/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>
        <v>3</v>
      </c>
      <c r="C19" s="527"/>
      <c r="D19" s="528"/>
      <c r="E19" s="535"/>
      <c r="F19" s="536"/>
      <c r="G19" s="169"/>
      <c r="H19" s="169" t="s">
        <v>28</v>
      </c>
      <c r="I19" s="169"/>
      <c r="J19" s="36"/>
      <c r="K19" s="412" t="s">
        <v>28</v>
      </c>
      <c r="L19" s="174"/>
      <c r="M19" s="175"/>
      <c r="N19" s="175"/>
      <c r="O19" s="175" t="s">
        <v>28</v>
      </c>
      <c r="P19" s="197" t="s">
        <v>28</v>
      </c>
      <c r="Q19" s="410" t="s">
        <v>285</v>
      </c>
      <c r="R19" s="736" t="str">
        <f>IF(U19="","",VLOOKUP(U19,Listes!$C$1:$D$19,2))</f>
        <v>Met en instance le dossier à bon escient</v>
      </c>
      <c r="S19" s="737"/>
      <c r="T19" s="737"/>
      <c r="U19" s="234">
        <v>122</v>
      </c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>
        <v>2</v>
      </c>
      <c r="C20" s="527"/>
      <c r="D20" s="528"/>
      <c r="E20" s="535"/>
      <c r="F20" s="536"/>
      <c r="G20" s="169"/>
      <c r="H20" s="169"/>
      <c r="I20" s="169"/>
      <c r="J20" s="36"/>
      <c r="K20" s="412" t="s">
        <v>28</v>
      </c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>
        <v>1</v>
      </c>
      <c r="C21" s="527"/>
      <c r="D21" s="528"/>
      <c r="E21" s="535"/>
      <c r="F21" s="536"/>
      <c r="G21" s="169"/>
      <c r="H21" s="169"/>
      <c r="I21" s="169"/>
      <c r="J21" s="36"/>
      <c r="K21" s="412" t="s">
        <v>29</v>
      </c>
      <c r="L21" s="174"/>
      <c r="M21" s="175"/>
      <c r="N21" s="175"/>
      <c r="O21" s="175"/>
      <c r="P21" s="197"/>
      <c r="Q21" s="410"/>
      <c r="R21" s="736" t="str">
        <f>IF(U21="","",VLOOKUP(U21,Listes!$C$1:$D$19,2))</f>
        <v/>
      </c>
      <c r="S21" s="737"/>
      <c r="T21" s="737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>
        <v>2</v>
      </c>
      <c r="C22" s="527"/>
      <c r="D22" s="528"/>
      <c r="E22" s="535"/>
      <c r="F22" s="536"/>
      <c r="G22" s="169"/>
      <c r="H22" s="169" t="s">
        <v>28</v>
      </c>
      <c r="I22" s="169"/>
      <c r="J22" s="36"/>
      <c r="K22" s="412" t="s">
        <v>29</v>
      </c>
      <c r="L22" s="174"/>
      <c r="M22" s="175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>
        <v>2</v>
      </c>
      <c r="C23" s="527"/>
      <c r="D23" s="528"/>
      <c r="E23" s="535"/>
      <c r="F23" s="536"/>
      <c r="G23" s="169"/>
      <c r="H23" s="169"/>
      <c r="I23" s="169"/>
      <c r="J23" s="36"/>
      <c r="K23" s="412" t="s">
        <v>29</v>
      </c>
      <c r="L23" s="174"/>
      <c r="M23" s="175"/>
      <c r="N23" s="175"/>
      <c r="O23" s="175"/>
      <c r="P23" s="197"/>
      <c r="Q23" s="410"/>
      <c r="R23" s="736" t="str">
        <f>IF(U23="","",VLOOKUP(U23,Listes!$C$1:$D$19,2))</f>
        <v/>
      </c>
      <c r="S23" s="737"/>
      <c r="T23" s="737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>
        <v>8</v>
      </c>
      <c r="C24" s="527"/>
      <c r="D24" s="528"/>
      <c r="E24" s="535"/>
      <c r="F24" s="536"/>
      <c r="G24" s="169"/>
      <c r="H24" s="169"/>
      <c r="I24" s="169"/>
      <c r="J24" s="36"/>
      <c r="K24" s="412" t="s">
        <v>29</v>
      </c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>
        <v>6</v>
      </c>
      <c r="C25" s="527"/>
      <c r="D25" s="528"/>
      <c r="E25" s="535"/>
      <c r="F25" s="536"/>
      <c r="G25" s="169"/>
      <c r="H25" s="169"/>
      <c r="I25" s="169"/>
      <c r="J25" s="36"/>
      <c r="K25" s="412" t="s">
        <v>29</v>
      </c>
      <c r="L25" s="174"/>
      <c r="M25" s="175"/>
      <c r="N25" s="175"/>
      <c r="O25" s="175"/>
      <c r="P25" s="197"/>
      <c r="Q25" s="410"/>
      <c r="R25" s="736" t="str">
        <f>IF(U25="","",VLOOKUP(U25,Listes!$C$1:$D$19,2))</f>
        <v/>
      </c>
      <c r="S25" s="737"/>
      <c r="T25" s="737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>
        <v>9</v>
      </c>
      <c r="C26" s="527"/>
      <c r="D26" s="528"/>
      <c r="E26" s="535"/>
      <c r="F26" s="536"/>
      <c r="G26" s="169"/>
      <c r="H26" s="169"/>
      <c r="I26" s="169"/>
      <c r="J26" s="36"/>
      <c r="K26" s="412" t="s">
        <v>28</v>
      </c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>
        <v>3</v>
      </c>
      <c r="C27" s="527"/>
      <c r="D27" s="528"/>
      <c r="E27" s="535"/>
      <c r="F27" s="536"/>
      <c r="G27" s="169"/>
      <c r="H27" s="169"/>
      <c r="I27" s="169"/>
      <c r="J27" s="36"/>
      <c r="K27" s="412" t="s">
        <v>28</v>
      </c>
      <c r="L27" s="174"/>
      <c r="M27" s="175"/>
      <c r="N27" s="175"/>
      <c r="O27" s="175"/>
      <c r="P27" s="197"/>
      <c r="Q27" s="410"/>
      <c r="R27" s="736" t="str">
        <f>IF(U27="","",VLOOKUP(U27,Listes!$C$1:$D$19,2))</f>
        <v/>
      </c>
      <c r="S27" s="737"/>
      <c r="T27" s="737"/>
      <c r="U27" s="234"/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/>
      <c r="C28" s="535"/>
      <c r="D28" s="528"/>
      <c r="E28" s="535"/>
      <c r="F28" s="536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10"/>
      <c r="R28" s="736" t="str">
        <f>IF(U28="","",VLOOKUP(U28,Listes!$C$1:$D$19,2))</f>
        <v/>
      </c>
      <c r="S28" s="737"/>
      <c r="T28" s="737"/>
      <c r="U28" s="234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/>
      <c r="C29" s="535"/>
      <c r="D29" s="528"/>
      <c r="E29" s="535"/>
      <c r="F29" s="536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10"/>
      <c r="R29" s="736" t="str">
        <f>IF(U29="","",VLOOKUP(U29,Listes!$C$1:$D$19,2))</f>
        <v/>
      </c>
      <c r="S29" s="737"/>
      <c r="T29" s="737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/>
      <c r="C30" s="535"/>
      <c r="D30" s="528"/>
      <c r="E30" s="535"/>
      <c r="F30" s="536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35"/>
      <c r="D31" s="528"/>
      <c r="E31" s="535"/>
      <c r="F31" s="536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59</v>
      </c>
      <c r="C46" s="719">
        <f>COUNTA(C13:D45)</f>
        <v>5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2</v>
      </c>
      <c r="I46" s="604">
        <f>COUNTIF(I13:I45,"oui")</f>
        <v>1</v>
      </c>
      <c r="J46" s="612"/>
      <c r="K46" s="625">
        <f t="shared" ref="K46:P46" si="0">COUNTIF(K13:K45,"oui")</f>
        <v>6</v>
      </c>
      <c r="L46" s="628">
        <f t="shared" si="0"/>
        <v>0</v>
      </c>
      <c r="M46" s="631">
        <f t="shared" si="0"/>
        <v>0</v>
      </c>
      <c r="N46" s="631">
        <f t="shared" si="0"/>
        <v>0</v>
      </c>
      <c r="O46" s="631">
        <f t="shared" si="0"/>
        <v>1</v>
      </c>
      <c r="P46" s="634">
        <f t="shared" si="0"/>
        <v>1</v>
      </c>
      <c r="Q46" s="395"/>
      <c r="R46" s="689" t="s">
        <v>55</v>
      </c>
      <c r="S46" s="690"/>
      <c r="T46" s="725">
        <f>IF(P46=0,"",P46/C46)</f>
        <v>0.2</v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6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7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1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>
        <f>K53/G53</f>
        <v>0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2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>
        <f>C71/(G68+L68)</f>
        <v>0</v>
      </c>
      <c r="D72" s="710"/>
      <c r="E72" s="710"/>
      <c r="F72" s="711"/>
      <c r="G72" s="709">
        <f>G71/(G68+L68)</f>
        <v>0</v>
      </c>
      <c r="H72" s="710"/>
      <c r="I72" s="709">
        <f>I71/(G68+L68)</f>
        <v>0</v>
      </c>
      <c r="J72" s="710"/>
      <c r="K72" s="710"/>
      <c r="L72" s="709">
        <f>L71/(G68+L68)</f>
        <v>0</v>
      </c>
      <c r="M72" s="710">
        <f>L71/(G68+L68)</f>
        <v>0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6">
    <mergeCell ref="A10:A12"/>
    <mergeCell ref="C10:D12"/>
    <mergeCell ref="E10:F12"/>
    <mergeCell ref="G10:G12"/>
    <mergeCell ref="H10:I11"/>
    <mergeCell ref="J10:J12"/>
    <mergeCell ref="A1:T1"/>
    <mergeCell ref="K10:K1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521" priority="45" operator="equal">
      <formula>0.5</formula>
    </cfRule>
    <cfRule type="cellIs" dxfId="520" priority="46" operator="lessThan">
      <formula>0.5</formula>
    </cfRule>
    <cfRule type="cellIs" dxfId="519" priority="47" operator="greaterThan">
      <formula>0.5</formula>
    </cfRule>
    <cfRule type="aboveAverage" priority="48"/>
  </conditionalFormatting>
  <conditionalFormatting sqref="C57:F57">
    <cfRule type="cellIs" dxfId="518" priority="42" operator="equal">
      <formula>0.5</formula>
    </cfRule>
    <cfRule type="cellIs" dxfId="517" priority="43" operator="lessThan">
      <formula>0.5</formula>
    </cfRule>
    <cfRule type="cellIs" dxfId="516" priority="44" operator="greaterThan">
      <formula>0.5</formula>
    </cfRule>
  </conditionalFormatting>
  <conditionalFormatting sqref="G57:H57">
    <cfRule type="cellIs" dxfId="515" priority="39" operator="equal">
      <formula>0.5</formula>
    </cfRule>
    <cfRule type="cellIs" dxfId="514" priority="40" operator="lessThan">
      <formula>0.5</formula>
    </cfRule>
    <cfRule type="cellIs" dxfId="513" priority="41" operator="greaterThan">
      <formula>0.5</formula>
    </cfRule>
  </conditionalFormatting>
  <conditionalFormatting sqref="I57">
    <cfRule type="cellIs" dxfId="512" priority="36" operator="equal">
      <formula>0.5</formula>
    </cfRule>
    <cfRule type="cellIs" dxfId="511" priority="37" operator="lessThan">
      <formula>0.5</formula>
    </cfRule>
    <cfRule type="cellIs" dxfId="510" priority="38" operator="greaterThan">
      <formula>0.5</formula>
    </cfRule>
  </conditionalFormatting>
  <conditionalFormatting sqref="L57">
    <cfRule type="cellIs" dxfId="509" priority="33" operator="equal">
      <formula>0.5</formula>
    </cfRule>
    <cfRule type="cellIs" dxfId="508" priority="34" operator="lessThan">
      <formula>0.5</formula>
    </cfRule>
    <cfRule type="cellIs" dxfId="507" priority="35" operator="greaterThan">
      <formula>0.5</formula>
    </cfRule>
  </conditionalFormatting>
  <conditionalFormatting sqref="C72:F72">
    <cfRule type="cellIs" dxfId="506" priority="29" operator="greaterThan">
      <formula>0.5</formula>
    </cfRule>
    <cfRule type="cellIs" dxfId="505" priority="30" operator="lessThan">
      <formula>0.5</formula>
    </cfRule>
    <cfRule type="cellIs" dxfId="504" priority="31" operator="equal">
      <formula>0.5</formula>
    </cfRule>
    <cfRule type="cellIs" dxfId="503" priority="32" operator="greaterThan">
      <formula>50</formula>
    </cfRule>
  </conditionalFormatting>
  <conditionalFormatting sqref="L72">
    <cfRule type="cellIs" dxfId="502" priority="17" operator="greaterThan">
      <formula>0.5</formula>
    </cfRule>
    <cfRule type="cellIs" dxfId="501" priority="18" operator="lessThan">
      <formula>0.5</formula>
    </cfRule>
    <cfRule type="cellIs" dxfId="500" priority="19" operator="equal">
      <formula>0.5</formula>
    </cfRule>
    <cfRule type="cellIs" dxfId="499" priority="20" operator="greaterThan">
      <formula>50</formula>
    </cfRule>
  </conditionalFormatting>
  <conditionalFormatting sqref="G72:H72">
    <cfRule type="cellIs" dxfId="498" priority="25" operator="greaterThan">
      <formula>0.5</formula>
    </cfRule>
    <cfRule type="cellIs" dxfId="497" priority="26" operator="lessThan">
      <formula>0.5</formula>
    </cfRule>
    <cfRule type="cellIs" dxfId="496" priority="27" operator="equal">
      <formula>0.5</formula>
    </cfRule>
    <cfRule type="cellIs" dxfId="495" priority="28" operator="greaterThan">
      <formula>50</formula>
    </cfRule>
  </conditionalFormatting>
  <conditionalFormatting sqref="I72">
    <cfRule type="cellIs" dxfId="494" priority="21" operator="greaterThan">
      <formula>0.5</formula>
    </cfRule>
    <cfRule type="cellIs" dxfId="493" priority="22" operator="lessThan">
      <formula>0.5</formula>
    </cfRule>
    <cfRule type="cellIs" dxfId="492" priority="23" operator="equal">
      <formula>0.5</formula>
    </cfRule>
    <cfRule type="cellIs" dxfId="491" priority="24" operator="greaterThan">
      <formula>50</formula>
    </cfRule>
  </conditionalFormatting>
  <conditionalFormatting sqref="C88:F88">
    <cfRule type="cellIs" dxfId="490" priority="13" operator="greaterThan">
      <formula>0.5</formula>
    </cfRule>
    <cfRule type="cellIs" dxfId="489" priority="14" operator="lessThan">
      <formula>0.5</formula>
    </cfRule>
    <cfRule type="cellIs" dxfId="488" priority="15" operator="equal">
      <formula>0.5</formula>
    </cfRule>
    <cfRule type="cellIs" dxfId="487" priority="16" operator="greaterThan">
      <formula>50</formula>
    </cfRule>
  </conditionalFormatting>
  <conditionalFormatting sqref="L88">
    <cfRule type="cellIs" dxfId="486" priority="5" operator="greaterThan">
      <formula>0.5</formula>
    </cfRule>
    <cfRule type="cellIs" dxfId="485" priority="6" operator="lessThan">
      <formula>0.5</formula>
    </cfRule>
    <cfRule type="cellIs" dxfId="484" priority="7" operator="equal">
      <formula>0.5</formula>
    </cfRule>
    <cfRule type="cellIs" dxfId="483" priority="8" operator="greaterThan">
      <formula>50</formula>
    </cfRule>
  </conditionalFormatting>
  <conditionalFormatting sqref="I88">
    <cfRule type="cellIs" dxfId="482" priority="9" operator="greaterThan">
      <formula>0.5</formula>
    </cfRule>
    <cfRule type="cellIs" dxfId="481" priority="10" operator="lessThan">
      <formula>0.5</formula>
    </cfRule>
    <cfRule type="cellIs" dxfId="480" priority="11" operator="equal">
      <formula>0.5</formula>
    </cfRule>
    <cfRule type="cellIs" dxfId="479" priority="12" operator="greaterThan">
      <formula>50</formula>
    </cfRule>
  </conditionalFormatting>
  <conditionalFormatting sqref="G88:H88">
    <cfRule type="cellIs" dxfId="478" priority="1" operator="greaterThan">
      <formula>0.5</formula>
    </cfRule>
    <cfRule type="cellIs" dxfId="477" priority="2" operator="lessThan">
      <formula>0.5</formula>
    </cfRule>
    <cfRule type="cellIs" dxfId="476" priority="3" operator="equal">
      <formula>0.5</formula>
    </cfRule>
    <cfRule type="cellIs" dxfId="475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C18" sqref="C18:D29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192" t="s">
        <v>170</v>
      </c>
      <c r="C2" s="192"/>
      <c r="D2" s="192"/>
      <c r="E2" s="192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229"/>
      <c r="I4" s="229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229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Listes!E8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743" t="s">
        <v>13</v>
      </c>
      <c r="S12" s="744"/>
      <c r="T12" s="745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312"/>
      <c r="B13" s="310">
        <v>1</v>
      </c>
      <c r="C13" s="547" t="s">
        <v>291</v>
      </c>
      <c r="D13" s="548"/>
      <c r="E13" s="549"/>
      <c r="F13" s="550"/>
      <c r="G13" s="168"/>
      <c r="H13" s="168"/>
      <c r="I13" s="168"/>
      <c r="J13" s="30"/>
      <c r="K13" s="199" t="s">
        <v>28</v>
      </c>
      <c r="L13" s="171"/>
      <c r="M13" s="172"/>
      <c r="N13" s="172"/>
      <c r="O13" s="172"/>
      <c r="P13" s="196"/>
      <c r="Q13" s="178"/>
      <c r="R13" s="712" t="str">
        <f>IF(U13="","",VLOOKUP(U13,Listes!$C$1:$D$19,2))</f>
        <v/>
      </c>
      <c r="S13" s="713"/>
      <c r="T13" s="713"/>
      <c r="U13" s="233"/>
      <c r="V13" s="176"/>
      <c r="W13" s="177"/>
      <c r="X13" s="177"/>
      <c r="Y13" s="177"/>
      <c r="Z13" s="178"/>
      <c r="AA13" s="554">
        <f>H46</f>
        <v>0</v>
      </c>
      <c r="AB13" s="556"/>
      <c r="AC13" s="540"/>
      <c r="AD13" s="540"/>
      <c r="AE13" s="540"/>
      <c r="AF13" s="542"/>
    </row>
    <row r="14" spans="1:32" ht="15" thickBot="1" x14ac:dyDescent="0.4">
      <c r="A14" s="313"/>
      <c r="B14" s="309">
        <v>2</v>
      </c>
      <c r="C14" s="527" t="s">
        <v>291</v>
      </c>
      <c r="D14" s="528"/>
      <c r="E14" s="535"/>
      <c r="F14" s="536"/>
      <c r="G14" s="169"/>
      <c r="H14" s="169"/>
      <c r="I14" s="169"/>
      <c r="J14" s="36"/>
      <c r="K14" s="198" t="s">
        <v>29</v>
      </c>
      <c r="L14" s="174"/>
      <c r="M14" s="175"/>
      <c r="N14" s="175"/>
      <c r="O14" s="175"/>
      <c r="P14" s="197"/>
      <c r="Q14" s="410"/>
      <c r="R14" s="736" t="str">
        <f>IF(U14="","",VLOOKUP(U14,Listes!$C$1:$D$19,2))</f>
        <v/>
      </c>
      <c r="S14" s="737"/>
      <c r="T14" s="737"/>
      <c r="U14" s="234"/>
      <c r="V14" s="174"/>
      <c r="W14" s="175"/>
      <c r="X14" s="175"/>
      <c r="Y14" s="175"/>
      <c r="Z14" s="179"/>
      <c r="AA14" s="555"/>
      <c r="AB14" s="557"/>
      <c r="AC14" s="541"/>
      <c r="AD14" s="541"/>
      <c r="AE14" s="541"/>
      <c r="AF14" s="543"/>
    </row>
    <row r="15" spans="1:32" ht="15" x14ac:dyDescent="0.25">
      <c r="A15" s="314"/>
      <c r="B15" s="309">
        <v>5</v>
      </c>
      <c r="C15" s="527" t="s">
        <v>291</v>
      </c>
      <c r="D15" s="528"/>
      <c r="E15" s="535"/>
      <c r="F15" s="536"/>
      <c r="G15" s="169"/>
      <c r="H15" s="169"/>
      <c r="I15" s="169"/>
      <c r="J15" s="36"/>
      <c r="K15" s="412" t="s">
        <v>29</v>
      </c>
      <c r="L15" s="174"/>
      <c r="M15" s="175"/>
      <c r="N15" s="175"/>
      <c r="O15" s="175"/>
      <c r="P15" s="197"/>
      <c r="Q15" s="410"/>
      <c r="R15" s="736" t="str">
        <f>IF(U15="","",VLOOKUP(U15,Listes!$C$1:$D$19,2))</f>
        <v/>
      </c>
      <c r="S15" s="737"/>
      <c r="T15" s="737"/>
      <c r="U15" s="234"/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314"/>
      <c r="B16" s="309">
        <v>6</v>
      </c>
      <c r="C16" s="527" t="s">
        <v>291</v>
      </c>
      <c r="D16" s="528"/>
      <c r="E16" s="535"/>
      <c r="F16" s="536"/>
      <c r="G16" s="169"/>
      <c r="H16" s="169"/>
      <c r="I16" s="169"/>
      <c r="J16" s="36"/>
      <c r="K16" s="412" t="s">
        <v>29</v>
      </c>
      <c r="L16" s="174"/>
      <c r="M16" s="175"/>
      <c r="N16" s="175"/>
      <c r="O16" s="175"/>
      <c r="P16" s="197"/>
      <c r="Q16" s="410"/>
      <c r="R16" s="736" t="str">
        <f>IF(U16="","",VLOOKUP(U16,Listes!$C$1:$D$19,2))</f>
        <v/>
      </c>
      <c r="S16" s="737"/>
      <c r="T16" s="737"/>
      <c r="U16" s="234"/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314"/>
      <c r="B17" s="309">
        <v>3</v>
      </c>
      <c r="C17" s="527" t="s">
        <v>291</v>
      </c>
      <c r="D17" s="528"/>
      <c r="E17" s="535"/>
      <c r="F17" s="536"/>
      <c r="G17" s="169"/>
      <c r="H17" s="169"/>
      <c r="I17" s="169"/>
      <c r="J17" s="36"/>
      <c r="K17" s="412" t="s">
        <v>29</v>
      </c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314"/>
      <c r="B18" s="309">
        <v>5</v>
      </c>
      <c r="C18" s="527"/>
      <c r="D18" s="528"/>
      <c r="E18" s="535"/>
      <c r="F18" s="536"/>
      <c r="G18" s="169"/>
      <c r="H18" s="169"/>
      <c r="I18" s="169"/>
      <c r="J18" s="36"/>
      <c r="K18" s="412" t="s">
        <v>28</v>
      </c>
      <c r="L18" s="174"/>
      <c r="M18" s="175"/>
      <c r="N18" s="175"/>
      <c r="O18" s="175"/>
      <c r="P18" s="197"/>
      <c r="Q18" s="410"/>
      <c r="R18" s="736" t="str">
        <f>IF(U18="","",VLOOKUP(U18,Listes!$C$1:$D$19,2))</f>
        <v/>
      </c>
      <c r="S18" s="737"/>
      <c r="T18" s="737"/>
      <c r="U18" s="234"/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314"/>
      <c r="B19" s="309">
        <v>3</v>
      </c>
      <c r="C19" s="527"/>
      <c r="D19" s="528"/>
      <c r="E19" s="535"/>
      <c r="F19" s="536"/>
      <c r="G19" s="169"/>
      <c r="H19" s="169"/>
      <c r="I19" s="169"/>
      <c r="J19" s="36"/>
      <c r="K19" s="412" t="s">
        <v>28</v>
      </c>
      <c r="L19" s="174"/>
      <c r="M19" s="175"/>
      <c r="N19" s="175" t="s">
        <v>28</v>
      </c>
      <c r="O19" s="175"/>
      <c r="P19" s="197"/>
      <c r="Q19" s="410" t="s">
        <v>257</v>
      </c>
      <c r="R19" s="736" t="str">
        <f>IF(U19="","",VLOOKUP(U19,Listes!$C$1:$D$19,2))</f>
        <v>Apprécie l'opportunité d'une coproduction</v>
      </c>
      <c r="S19" s="737"/>
      <c r="T19" s="737"/>
      <c r="U19" s="234">
        <v>124</v>
      </c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314"/>
      <c r="B20" s="309">
        <v>3</v>
      </c>
      <c r="C20" s="527"/>
      <c r="D20" s="528"/>
      <c r="E20" s="535"/>
      <c r="F20" s="536"/>
      <c r="G20" s="169"/>
      <c r="H20" s="169"/>
      <c r="I20" s="169"/>
      <c r="J20" s="36"/>
      <c r="K20" s="412" t="s">
        <v>28</v>
      </c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314"/>
      <c r="B21" s="309">
        <v>2</v>
      </c>
      <c r="C21" s="527"/>
      <c r="D21" s="528"/>
      <c r="E21" s="535"/>
      <c r="F21" s="536"/>
      <c r="G21" s="169"/>
      <c r="H21" s="169"/>
      <c r="I21" s="169"/>
      <c r="J21" s="36"/>
      <c r="K21" s="412" t="s">
        <v>29</v>
      </c>
      <c r="L21" s="174"/>
      <c r="M21" s="175"/>
      <c r="N21" s="175"/>
      <c r="O21" s="175"/>
      <c r="P21" s="197"/>
      <c r="Q21" s="410"/>
      <c r="R21" s="736" t="str">
        <f>IF(U21="","",VLOOKUP(U21,Listes!$C$1:$D$19,2))</f>
        <v/>
      </c>
      <c r="S21" s="737"/>
      <c r="T21" s="737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314"/>
      <c r="B22" s="309">
        <v>3</v>
      </c>
      <c r="C22" s="527"/>
      <c r="D22" s="528"/>
      <c r="E22" s="535"/>
      <c r="F22" s="536"/>
      <c r="G22" s="169"/>
      <c r="H22" s="169"/>
      <c r="I22" s="169"/>
      <c r="J22" s="36"/>
      <c r="K22" s="412" t="s">
        <v>29</v>
      </c>
      <c r="L22" s="174"/>
      <c r="M22" s="175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314"/>
      <c r="B23" s="309">
        <v>10</v>
      </c>
      <c r="C23" s="527"/>
      <c r="D23" s="528"/>
      <c r="E23" s="535"/>
      <c r="F23" s="536"/>
      <c r="G23" s="169"/>
      <c r="H23" s="169"/>
      <c r="I23" s="169"/>
      <c r="J23" s="36"/>
      <c r="K23" s="412" t="s">
        <v>29</v>
      </c>
      <c r="L23" s="174"/>
      <c r="M23" s="175"/>
      <c r="N23" s="175"/>
      <c r="O23" s="175"/>
      <c r="P23" s="197"/>
      <c r="Q23" s="410"/>
      <c r="R23" s="736" t="str">
        <f>IF(U23="","",VLOOKUP(U23,Listes!$C$1:$D$19,2))</f>
        <v/>
      </c>
      <c r="S23" s="737"/>
      <c r="T23" s="737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314"/>
      <c r="B24" s="309">
        <v>2</v>
      </c>
      <c r="C24" s="527"/>
      <c r="D24" s="528"/>
      <c r="E24" s="535"/>
      <c r="F24" s="536"/>
      <c r="G24" s="169"/>
      <c r="H24" s="169"/>
      <c r="I24" s="169"/>
      <c r="J24" s="36"/>
      <c r="K24" s="412" t="s">
        <v>29</v>
      </c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314"/>
      <c r="B25" s="309">
        <v>1</v>
      </c>
      <c r="C25" s="527"/>
      <c r="D25" s="528"/>
      <c r="E25" s="535"/>
      <c r="F25" s="536"/>
      <c r="G25" s="169"/>
      <c r="H25" s="169"/>
      <c r="I25" s="169"/>
      <c r="J25" s="36"/>
      <c r="K25" s="412" t="s">
        <v>29</v>
      </c>
      <c r="L25" s="174"/>
      <c r="M25" s="175"/>
      <c r="N25" s="175"/>
      <c r="O25" s="175"/>
      <c r="P25" s="197"/>
      <c r="Q25" s="410"/>
      <c r="R25" s="736" t="str">
        <f>IF(U25="","",VLOOKUP(U25,Listes!$C$1:$D$19,2))</f>
        <v/>
      </c>
      <c r="S25" s="737"/>
      <c r="T25" s="737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314"/>
      <c r="B26" s="309">
        <v>1</v>
      </c>
      <c r="C26" s="527"/>
      <c r="D26" s="528"/>
      <c r="E26" s="535"/>
      <c r="F26" s="536"/>
      <c r="G26" s="169"/>
      <c r="H26" s="169"/>
      <c r="I26" s="169"/>
      <c r="J26" s="36"/>
      <c r="K26" s="412" t="s">
        <v>28</v>
      </c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314"/>
      <c r="B27" s="309">
        <v>11</v>
      </c>
      <c r="C27" s="527"/>
      <c r="D27" s="528"/>
      <c r="E27" s="535"/>
      <c r="F27" s="536"/>
      <c r="G27" s="169"/>
      <c r="H27" s="169"/>
      <c r="I27" s="169"/>
      <c r="J27" s="36"/>
      <c r="K27" s="412" t="s">
        <v>28</v>
      </c>
      <c r="L27" s="174"/>
      <c r="M27" s="175"/>
      <c r="N27" s="175"/>
      <c r="O27" s="175"/>
      <c r="P27" s="197"/>
      <c r="Q27" s="410"/>
      <c r="R27" s="736" t="str">
        <f>IF(U27="","",VLOOKUP(U27,Listes!$C$1:$D$19,2))</f>
        <v>Détermine les droits réels</v>
      </c>
      <c r="S27" s="737"/>
      <c r="T27" s="737"/>
      <c r="U27" s="234">
        <v>110</v>
      </c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314"/>
      <c r="B28" s="309">
        <v>8</v>
      </c>
      <c r="C28" s="527"/>
      <c r="D28" s="528"/>
      <c r="E28" s="535"/>
      <c r="F28" s="536"/>
      <c r="G28" s="169"/>
      <c r="H28" s="169"/>
      <c r="I28" s="169"/>
      <c r="J28" s="36"/>
      <c r="K28" s="412" t="s">
        <v>28</v>
      </c>
      <c r="L28" s="174"/>
      <c r="M28" s="175"/>
      <c r="N28" s="175"/>
      <c r="O28" s="175"/>
      <c r="P28" s="197"/>
      <c r="Q28" s="410"/>
      <c r="R28" s="736" t="str">
        <f>IF(U28="","",VLOOKUP(U28,Listes!$C$1:$D$19,2))</f>
        <v>Vérifie la cohérence droits attendus et réels</v>
      </c>
      <c r="S28" s="737"/>
      <c r="T28" s="737"/>
      <c r="U28" s="234">
        <v>112</v>
      </c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>
        <v>2</v>
      </c>
      <c r="C29" s="527"/>
      <c r="D29" s="528"/>
      <c r="E29" s="535"/>
      <c r="F29" s="536"/>
      <c r="G29" s="169"/>
      <c r="H29" s="169"/>
      <c r="I29" s="169"/>
      <c r="J29" s="36"/>
      <c r="K29" s="412" t="s">
        <v>28</v>
      </c>
      <c r="L29" s="174"/>
      <c r="M29" s="175"/>
      <c r="N29" s="175"/>
      <c r="O29" s="175"/>
      <c r="P29" s="197"/>
      <c r="Q29" s="410"/>
      <c r="R29" s="736" t="str">
        <f>IF(U29="","",VLOOKUP(U29,Listes!$C$1:$D$19,2))</f>
        <v>Lit et analyse l'ensemble des pièces</v>
      </c>
      <c r="S29" s="737"/>
      <c r="T29" s="737"/>
      <c r="U29" s="234">
        <v>101</v>
      </c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/>
      <c r="C30" s="535"/>
      <c r="D30" s="528"/>
      <c r="E30" s="535"/>
      <c r="F30" s="536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243"/>
      <c r="D31" s="244"/>
      <c r="E31" s="535"/>
      <c r="F31" s="536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68</v>
      </c>
      <c r="C46" s="719">
        <f>COUNTA(C13:D45)</f>
        <v>5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0</v>
      </c>
      <c r="I46" s="604">
        <f>COUNTIF(I13:I45,"oui")</f>
        <v>0</v>
      </c>
      <c r="J46" s="612"/>
      <c r="K46" s="625">
        <f t="shared" ref="K46:P46" si="0">COUNTIF(K13:K45,"oui")</f>
        <v>8</v>
      </c>
      <c r="L46" s="628">
        <f t="shared" si="0"/>
        <v>0</v>
      </c>
      <c r="M46" s="631">
        <f t="shared" si="0"/>
        <v>0</v>
      </c>
      <c r="N46" s="631">
        <f t="shared" si="0"/>
        <v>1</v>
      </c>
      <c r="O46" s="631">
        <f t="shared" si="0"/>
        <v>0</v>
      </c>
      <c r="P46" s="634">
        <f t="shared" si="0"/>
        <v>0</v>
      </c>
      <c r="Q46" s="395"/>
      <c r="R46" s="689" t="s">
        <v>55</v>
      </c>
      <c r="S46" s="690"/>
      <c r="T46" s="725" t="str">
        <f>IF(P46=0,"",P46/C46)</f>
        <v/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6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7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0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 t="e">
        <f>K53/G53</f>
        <v>#DIV/0!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0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 t="e">
        <f>C71/(G68+L68)</f>
        <v>#DIV/0!</v>
      </c>
      <c r="D72" s="710"/>
      <c r="E72" s="710"/>
      <c r="F72" s="711"/>
      <c r="G72" s="709" t="e">
        <f>G71/(G68+L68)</f>
        <v>#DIV/0!</v>
      </c>
      <c r="H72" s="710"/>
      <c r="I72" s="709" t="e">
        <f>I71/(G68+L68)</f>
        <v>#DIV/0!</v>
      </c>
      <c r="J72" s="710"/>
      <c r="K72" s="710"/>
      <c r="L72" s="709" t="e">
        <f>L71/(G68+L68)</f>
        <v>#DIV/0!</v>
      </c>
      <c r="M72" s="710" t="e">
        <f>L71/(G68+L68)</f>
        <v>#DIV/0!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5"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E8:I8"/>
    <mergeCell ref="D6:H6"/>
    <mergeCell ref="D4:G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E30:F30"/>
    <mergeCell ref="R30:T30"/>
    <mergeCell ref="AA30:AF31"/>
    <mergeCell ref="E31:F31"/>
    <mergeCell ref="R31:T31"/>
    <mergeCell ref="C28:D28"/>
    <mergeCell ref="E28:F28"/>
    <mergeCell ref="R28:T28"/>
    <mergeCell ref="C30:D30"/>
    <mergeCell ref="E29:F29"/>
    <mergeCell ref="R29:T29"/>
    <mergeCell ref="C29:D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474" priority="45" operator="equal">
      <formula>0.5</formula>
    </cfRule>
    <cfRule type="cellIs" dxfId="473" priority="46" operator="lessThan">
      <formula>0.5</formula>
    </cfRule>
    <cfRule type="cellIs" dxfId="472" priority="47" operator="greaterThan">
      <formula>0.5</formula>
    </cfRule>
    <cfRule type="aboveAverage" priority="48"/>
  </conditionalFormatting>
  <conditionalFormatting sqref="C57:F57">
    <cfRule type="cellIs" dxfId="471" priority="42" operator="equal">
      <formula>0.5</formula>
    </cfRule>
    <cfRule type="cellIs" dxfId="470" priority="43" operator="lessThan">
      <formula>0.5</formula>
    </cfRule>
    <cfRule type="cellIs" dxfId="469" priority="44" operator="greaterThan">
      <formula>0.5</formula>
    </cfRule>
  </conditionalFormatting>
  <conditionalFormatting sqref="G57:H57">
    <cfRule type="cellIs" dxfId="468" priority="39" operator="equal">
      <formula>0.5</formula>
    </cfRule>
    <cfRule type="cellIs" dxfId="467" priority="40" operator="lessThan">
      <formula>0.5</formula>
    </cfRule>
    <cfRule type="cellIs" dxfId="466" priority="41" operator="greaterThan">
      <formula>0.5</formula>
    </cfRule>
  </conditionalFormatting>
  <conditionalFormatting sqref="I57">
    <cfRule type="cellIs" dxfId="465" priority="36" operator="equal">
      <formula>0.5</formula>
    </cfRule>
    <cfRule type="cellIs" dxfId="464" priority="37" operator="lessThan">
      <formula>0.5</formula>
    </cfRule>
    <cfRule type="cellIs" dxfId="463" priority="38" operator="greaterThan">
      <formula>0.5</formula>
    </cfRule>
  </conditionalFormatting>
  <conditionalFormatting sqref="L57">
    <cfRule type="cellIs" dxfId="462" priority="33" operator="equal">
      <formula>0.5</formula>
    </cfRule>
    <cfRule type="cellIs" dxfId="461" priority="34" operator="lessThan">
      <formula>0.5</formula>
    </cfRule>
    <cfRule type="cellIs" dxfId="460" priority="35" operator="greaterThan">
      <formula>0.5</formula>
    </cfRule>
  </conditionalFormatting>
  <conditionalFormatting sqref="C72:F72">
    <cfRule type="cellIs" dxfId="459" priority="29" operator="greaterThan">
      <formula>0.5</formula>
    </cfRule>
    <cfRule type="cellIs" dxfId="458" priority="30" operator="lessThan">
      <formula>0.5</formula>
    </cfRule>
    <cfRule type="cellIs" dxfId="457" priority="31" operator="equal">
      <formula>0.5</formula>
    </cfRule>
    <cfRule type="cellIs" dxfId="456" priority="32" operator="greaterThan">
      <formula>50</formula>
    </cfRule>
  </conditionalFormatting>
  <conditionalFormatting sqref="L72">
    <cfRule type="cellIs" dxfId="455" priority="17" operator="greaterThan">
      <formula>0.5</formula>
    </cfRule>
    <cfRule type="cellIs" dxfId="454" priority="18" operator="lessThan">
      <formula>0.5</formula>
    </cfRule>
    <cfRule type="cellIs" dxfId="453" priority="19" operator="equal">
      <formula>0.5</formula>
    </cfRule>
    <cfRule type="cellIs" dxfId="452" priority="20" operator="greaterThan">
      <formula>50</formula>
    </cfRule>
  </conditionalFormatting>
  <conditionalFormatting sqref="G72:H72">
    <cfRule type="cellIs" dxfId="451" priority="25" operator="greaterThan">
      <formula>0.5</formula>
    </cfRule>
    <cfRule type="cellIs" dxfId="450" priority="26" operator="lessThan">
      <formula>0.5</formula>
    </cfRule>
    <cfRule type="cellIs" dxfId="449" priority="27" operator="equal">
      <formula>0.5</formula>
    </cfRule>
    <cfRule type="cellIs" dxfId="448" priority="28" operator="greaterThan">
      <formula>50</formula>
    </cfRule>
  </conditionalFormatting>
  <conditionalFormatting sqref="I72">
    <cfRule type="cellIs" dxfId="447" priority="21" operator="greaterThan">
      <formula>0.5</formula>
    </cfRule>
    <cfRule type="cellIs" dxfId="446" priority="22" operator="lessThan">
      <formula>0.5</formula>
    </cfRule>
    <cfRule type="cellIs" dxfId="445" priority="23" operator="equal">
      <formula>0.5</formula>
    </cfRule>
    <cfRule type="cellIs" dxfId="444" priority="24" operator="greaterThan">
      <formula>50</formula>
    </cfRule>
  </conditionalFormatting>
  <conditionalFormatting sqref="C88:F88">
    <cfRule type="cellIs" dxfId="443" priority="13" operator="greaterThan">
      <formula>0.5</formula>
    </cfRule>
    <cfRule type="cellIs" dxfId="442" priority="14" operator="lessThan">
      <formula>0.5</formula>
    </cfRule>
    <cfRule type="cellIs" dxfId="441" priority="15" operator="equal">
      <formula>0.5</formula>
    </cfRule>
    <cfRule type="cellIs" dxfId="440" priority="16" operator="greaterThan">
      <formula>50</formula>
    </cfRule>
  </conditionalFormatting>
  <conditionalFormatting sqref="L88">
    <cfRule type="cellIs" dxfId="439" priority="5" operator="greaterThan">
      <formula>0.5</formula>
    </cfRule>
    <cfRule type="cellIs" dxfId="438" priority="6" operator="lessThan">
      <formula>0.5</formula>
    </cfRule>
    <cfRule type="cellIs" dxfId="437" priority="7" operator="equal">
      <formula>0.5</formula>
    </cfRule>
    <cfRule type="cellIs" dxfId="436" priority="8" operator="greaterThan">
      <formula>50</formula>
    </cfRule>
  </conditionalFormatting>
  <conditionalFormatting sqref="I88">
    <cfRule type="cellIs" dxfId="435" priority="9" operator="greaterThan">
      <formula>0.5</formula>
    </cfRule>
    <cfRule type="cellIs" dxfId="434" priority="10" operator="lessThan">
      <formula>0.5</formula>
    </cfRule>
    <cfRule type="cellIs" dxfId="433" priority="11" operator="equal">
      <formula>0.5</formula>
    </cfRule>
    <cfRule type="cellIs" dxfId="432" priority="12" operator="greaterThan">
      <formula>50</formula>
    </cfRule>
  </conditionalFormatting>
  <conditionalFormatting sqref="G88:H88">
    <cfRule type="cellIs" dxfId="431" priority="1" operator="greaterThan">
      <formula>0.5</formula>
    </cfRule>
    <cfRule type="cellIs" dxfId="430" priority="2" operator="lessThan">
      <formula>0.5</formula>
    </cfRule>
    <cfRule type="cellIs" dxfId="429" priority="3" operator="equal">
      <formula>0.5</formula>
    </cfRule>
    <cfRule type="cellIs" dxfId="428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C19" sqref="C19:D3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229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229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Listes!E9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>
      <c r="G9" s="193"/>
    </row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>
        <v>3</v>
      </c>
      <c r="C13" s="547" t="s">
        <v>291</v>
      </c>
      <c r="D13" s="548"/>
      <c r="E13" s="549"/>
      <c r="F13" s="550"/>
      <c r="G13" s="168"/>
      <c r="H13" s="168"/>
      <c r="I13" s="168"/>
      <c r="J13" s="30"/>
      <c r="K13" s="199" t="s">
        <v>28</v>
      </c>
      <c r="L13" s="171"/>
      <c r="M13" s="172"/>
      <c r="N13" s="172"/>
      <c r="O13" s="172"/>
      <c r="P13" s="196"/>
      <c r="Q13" s="178"/>
      <c r="R13" s="712" t="str">
        <f>IF(U13="","",VLOOKUP(U13,Listes!$C$1:$D$19,2))</f>
        <v>Choisit les Fg pertinents</v>
      </c>
      <c r="S13" s="713"/>
      <c r="T13" s="713"/>
      <c r="U13" s="233">
        <v>120</v>
      </c>
      <c r="V13" s="176"/>
      <c r="W13" s="177"/>
      <c r="X13" s="177"/>
      <c r="Y13" s="177"/>
      <c r="Z13" s="178"/>
      <c r="AA13" s="738">
        <f>H46</f>
        <v>0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>
        <v>2</v>
      </c>
      <c r="C14" s="527" t="s">
        <v>291</v>
      </c>
      <c r="D14" s="528"/>
      <c r="E14" s="535"/>
      <c r="F14" s="536"/>
      <c r="G14" s="169"/>
      <c r="H14" s="169"/>
      <c r="I14" s="169"/>
      <c r="J14" s="36"/>
      <c r="K14" s="198" t="s">
        <v>28</v>
      </c>
      <c r="L14" s="174"/>
      <c r="M14" s="175"/>
      <c r="N14" s="175"/>
      <c r="O14" s="175"/>
      <c r="P14" s="197"/>
      <c r="Q14" s="410"/>
      <c r="R14" s="736" t="str">
        <f>IF(U14="","",VLOOKUP(U14,Listes!$C$1:$D$19,2))</f>
        <v/>
      </c>
      <c r="S14" s="737"/>
      <c r="T14" s="737"/>
      <c r="U14" s="234"/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22">
        <v>6</v>
      </c>
      <c r="C15" s="527" t="s">
        <v>291</v>
      </c>
      <c r="D15" s="528"/>
      <c r="E15" s="535"/>
      <c r="F15" s="536"/>
      <c r="G15" s="169"/>
      <c r="H15" s="169"/>
      <c r="I15" s="169"/>
      <c r="J15" s="36"/>
      <c r="K15" s="412" t="s">
        <v>28</v>
      </c>
      <c r="L15" s="174"/>
      <c r="M15" s="175"/>
      <c r="N15" s="175"/>
      <c r="O15" s="175"/>
      <c r="P15" s="197"/>
      <c r="Q15" s="410"/>
      <c r="R15" s="736" t="str">
        <f>IF(U15="","",VLOOKUP(U15,Listes!$C$1:$D$19,2))</f>
        <v/>
      </c>
      <c r="S15" s="737"/>
      <c r="T15" s="737"/>
      <c r="U15" s="234"/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>
        <v>2</v>
      </c>
      <c r="C16" s="527" t="s">
        <v>291</v>
      </c>
      <c r="D16" s="528"/>
      <c r="E16" s="535"/>
      <c r="F16" s="536"/>
      <c r="G16" s="169"/>
      <c r="H16" s="169"/>
      <c r="I16" s="169"/>
      <c r="J16" s="36"/>
      <c r="K16" s="412" t="s">
        <v>28</v>
      </c>
      <c r="L16" s="174" t="s">
        <v>28</v>
      </c>
      <c r="M16" s="175"/>
      <c r="N16" s="175"/>
      <c r="O16" s="175"/>
      <c r="P16" s="197"/>
      <c r="Q16" s="410" t="s">
        <v>264</v>
      </c>
      <c r="R16" s="736" t="str">
        <f>IF(U16="","",VLOOKUP(U16,Listes!$C$1:$D$19,2))</f>
        <v>Lit et analyse l'ensemble des pièces</v>
      </c>
      <c r="S16" s="737"/>
      <c r="T16" s="737"/>
      <c r="U16" s="234">
        <v>101</v>
      </c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>
        <v>4</v>
      </c>
      <c r="C17" s="527" t="s">
        <v>291</v>
      </c>
      <c r="D17" s="528"/>
      <c r="E17" s="535"/>
      <c r="F17" s="536"/>
      <c r="G17" s="169"/>
      <c r="H17" s="169"/>
      <c r="I17" s="169"/>
      <c r="J17" s="36"/>
      <c r="K17" s="412" t="s">
        <v>28</v>
      </c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>
        <v>7</v>
      </c>
      <c r="C18" s="527" t="s">
        <v>291</v>
      </c>
      <c r="D18" s="528"/>
      <c r="E18" s="535"/>
      <c r="F18" s="536"/>
      <c r="G18" s="169"/>
      <c r="H18" s="169"/>
      <c r="I18" s="169"/>
      <c r="J18" s="36"/>
      <c r="K18" s="412" t="s">
        <v>28</v>
      </c>
      <c r="L18" s="174"/>
      <c r="M18" s="175"/>
      <c r="N18" s="175"/>
      <c r="O18" s="175"/>
      <c r="P18" s="197"/>
      <c r="Q18" s="410" t="s">
        <v>282</v>
      </c>
      <c r="R18" s="736" t="str">
        <f>IF(U18="","",VLOOKUP(U18,Listes!$C$1:$D$19,2))</f>
        <v>Lit et analyse l'ensemble des pièces</v>
      </c>
      <c r="S18" s="737"/>
      <c r="T18" s="737"/>
      <c r="U18" s="234">
        <v>101</v>
      </c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>
        <v>5</v>
      </c>
      <c r="C19" s="527"/>
      <c r="D19" s="528"/>
      <c r="E19" s="535"/>
      <c r="F19" s="536"/>
      <c r="G19" s="169"/>
      <c r="H19" s="169"/>
      <c r="I19" s="169"/>
      <c r="J19" s="36"/>
      <c r="K19" s="412" t="s">
        <v>28</v>
      </c>
      <c r="L19" s="174"/>
      <c r="M19" s="175"/>
      <c r="N19" s="175"/>
      <c r="O19" s="175"/>
      <c r="P19" s="197"/>
      <c r="Q19" s="410" t="s">
        <v>285</v>
      </c>
      <c r="R19" s="736" t="str">
        <f>IF(U19="","",VLOOKUP(U19,Listes!$C$1:$D$19,2))</f>
        <v>Vérifie l'exhaustivité des pièces ( à réclamer ou dans le Sdp)</v>
      </c>
      <c r="S19" s="737"/>
      <c r="T19" s="737"/>
      <c r="U19" s="234">
        <v>103</v>
      </c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>
        <v>8</v>
      </c>
      <c r="C20" s="527"/>
      <c r="D20" s="528"/>
      <c r="E20" s="535"/>
      <c r="F20" s="536"/>
      <c r="G20" s="169"/>
      <c r="H20" s="169"/>
      <c r="I20" s="169"/>
      <c r="J20" s="36"/>
      <c r="K20" s="412" t="s">
        <v>28</v>
      </c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>
        <v>2</v>
      </c>
      <c r="C21" s="527"/>
      <c r="D21" s="528"/>
      <c r="E21" s="535"/>
      <c r="F21" s="536"/>
      <c r="G21" s="169"/>
      <c r="H21" s="169"/>
      <c r="I21" s="169"/>
      <c r="J21" s="36"/>
      <c r="K21" s="412" t="s">
        <v>28</v>
      </c>
      <c r="L21" s="174"/>
      <c r="M21" s="175"/>
      <c r="N21" s="175"/>
      <c r="O21" s="175"/>
      <c r="P21" s="197"/>
      <c r="Q21" s="410"/>
      <c r="R21" s="736" t="str">
        <f>IF(U21="","",VLOOKUP(U21,Listes!$C$1:$D$19,2))</f>
        <v>Choisit les Fg pertinents</v>
      </c>
      <c r="S21" s="737"/>
      <c r="T21" s="737"/>
      <c r="U21" s="234">
        <v>120</v>
      </c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>
        <v>3</v>
      </c>
      <c r="C22" s="527"/>
      <c r="D22" s="528"/>
      <c r="E22" s="535"/>
      <c r="F22" s="536"/>
      <c r="G22" s="169"/>
      <c r="H22" s="169"/>
      <c r="I22" s="169"/>
      <c r="J22" s="36"/>
      <c r="K22" s="412" t="s">
        <v>28</v>
      </c>
      <c r="L22" s="174"/>
      <c r="M22" s="175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>
        <v>6</v>
      </c>
      <c r="C23" s="527"/>
      <c r="D23" s="528"/>
      <c r="E23" s="535"/>
      <c r="F23" s="536"/>
      <c r="G23" s="169"/>
      <c r="H23" s="169"/>
      <c r="I23" s="169"/>
      <c r="J23" s="36"/>
      <c r="K23" s="412" t="s">
        <v>28</v>
      </c>
      <c r="L23" s="174"/>
      <c r="M23" s="175" t="s">
        <v>28</v>
      </c>
      <c r="N23" s="175"/>
      <c r="O23" s="175"/>
      <c r="P23" s="197"/>
      <c r="Q23" s="410" t="s">
        <v>259</v>
      </c>
      <c r="R23" s="736" t="str">
        <f>IF(U23="","",VLOOKUP(U23,Listes!$C$1:$D$19,2))</f>
        <v>Lit et analyse l'ensemble des pièces</v>
      </c>
      <c r="S23" s="737"/>
      <c r="T23" s="737"/>
      <c r="U23" s="234">
        <v>101</v>
      </c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>
        <v>1</v>
      </c>
      <c r="C24" s="527"/>
      <c r="D24" s="528"/>
      <c r="E24" s="535"/>
      <c r="F24" s="536"/>
      <c r="G24" s="169"/>
      <c r="H24" s="169"/>
      <c r="I24" s="169"/>
      <c r="J24" s="36"/>
      <c r="K24" s="412" t="s">
        <v>28</v>
      </c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>
        <v>2</v>
      </c>
      <c r="C25" s="527"/>
      <c r="D25" s="528"/>
      <c r="E25" s="535"/>
      <c r="F25" s="536"/>
      <c r="G25" s="169"/>
      <c r="H25" s="169"/>
      <c r="I25" s="169"/>
      <c r="J25" s="36"/>
      <c r="K25" s="412" t="s">
        <v>29</v>
      </c>
      <c r="L25" s="174"/>
      <c r="M25" s="175"/>
      <c r="N25" s="175"/>
      <c r="O25" s="175"/>
      <c r="P25" s="197"/>
      <c r="Q25" s="410"/>
      <c r="R25" s="736" t="str">
        <f>IF(U25="","",VLOOKUP(U25,Listes!$C$1:$D$19,2))</f>
        <v/>
      </c>
      <c r="S25" s="737"/>
      <c r="T25" s="737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>
        <v>6</v>
      </c>
      <c r="C26" s="527"/>
      <c r="D26" s="528"/>
      <c r="E26" s="535"/>
      <c r="F26" s="536"/>
      <c r="G26" s="169"/>
      <c r="H26" s="169"/>
      <c r="I26" s="169"/>
      <c r="J26" s="36"/>
      <c r="K26" s="412" t="s">
        <v>29</v>
      </c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>
        <v>4</v>
      </c>
      <c r="C27" s="527"/>
      <c r="D27" s="528"/>
      <c r="E27" s="535"/>
      <c r="F27" s="536"/>
      <c r="G27" s="169"/>
      <c r="H27" s="169"/>
      <c r="I27" s="169"/>
      <c r="J27" s="36"/>
      <c r="K27" s="412" t="s">
        <v>29</v>
      </c>
      <c r="L27" s="174"/>
      <c r="M27" s="175"/>
      <c r="N27" s="175"/>
      <c r="O27" s="175"/>
      <c r="P27" s="197"/>
      <c r="Q27" s="410"/>
      <c r="R27" s="736" t="str">
        <f>IF(U27="","",VLOOKUP(U27,Listes!$C$1:$D$19,2))</f>
        <v/>
      </c>
      <c r="S27" s="737"/>
      <c r="T27" s="737"/>
      <c r="U27" s="234"/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>
        <v>5</v>
      </c>
      <c r="C28" s="527"/>
      <c r="D28" s="528"/>
      <c r="E28" s="535"/>
      <c r="F28" s="536"/>
      <c r="G28" s="169"/>
      <c r="H28" s="169"/>
      <c r="I28" s="169"/>
      <c r="J28" s="36"/>
      <c r="K28" s="412" t="s">
        <v>29</v>
      </c>
      <c r="L28" s="174"/>
      <c r="M28" s="175"/>
      <c r="N28" s="175"/>
      <c r="O28" s="175"/>
      <c r="P28" s="197"/>
      <c r="Q28" s="410"/>
      <c r="R28" s="736" t="str">
        <f>IF(U28="","",VLOOKUP(U28,Listes!$C$1:$D$19,2))</f>
        <v/>
      </c>
      <c r="S28" s="737"/>
      <c r="T28" s="737"/>
      <c r="U28" s="234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>
        <v>6</v>
      </c>
      <c r="C29" s="527"/>
      <c r="D29" s="528"/>
      <c r="E29" s="535"/>
      <c r="F29" s="536"/>
      <c r="G29" s="169"/>
      <c r="H29" s="169"/>
      <c r="I29" s="169"/>
      <c r="J29" s="36"/>
      <c r="K29" s="412" t="s">
        <v>29</v>
      </c>
      <c r="L29" s="174"/>
      <c r="M29" s="175"/>
      <c r="N29" s="175"/>
      <c r="O29" s="175"/>
      <c r="P29" s="197"/>
      <c r="Q29" s="410"/>
      <c r="R29" s="736" t="str">
        <f>IF(U29="","",VLOOKUP(U29,Listes!$C$1:$D$19,2))</f>
        <v/>
      </c>
      <c r="S29" s="737"/>
      <c r="T29" s="737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>
        <v>7</v>
      </c>
      <c r="C30" s="527"/>
      <c r="D30" s="528"/>
      <c r="E30" s="535"/>
      <c r="F30" s="536"/>
      <c r="G30" s="169"/>
      <c r="H30" s="169"/>
      <c r="I30" s="169"/>
      <c r="J30" s="36"/>
      <c r="K30" s="412" t="s">
        <v>29</v>
      </c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>
        <v>1</v>
      </c>
      <c r="C31" s="527"/>
      <c r="D31" s="528"/>
      <c r="E31" s="535"/>
      <c r="F31" s="536"/>
      <c r="G31" s="169"/>
      <c r="H31" s="169"/>
      <c r="I31" s="169"/>
      <c r="J31" s="36"/>
      <c r="K31" s="412" t="s">
        <v>29</v>
      </c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80</v>
      </c>
      <c r="C46" s="719">
        <f>COUNTA(C13:D45)</f>
        <v>6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0</v>
      </c>
      <c r="I46" s="604">
        <f>COUNTIF(I13:I45,"oui")</f>
        <v>0</v>
      </c>
      <c r="J46" s="612"/>
      <c r="K46" s="625">
        <f t="shared" ref="K46:P46" si="0">COUNTIF(K13:K45,"oui")</f>
        <v>12</v>
      </c>
      <c r="L46" s="628">
        <f t="shared" si="0"/>
        <v>1</v>
      </c>
      <c r="M46" s="631">
        <f t="shared" si="0"/>
        <v>1</v>
      </c>
      <c r="N46" s="631">
        <f t="shared" si="0"/>
        <v>0</v>
      </c>
      <c r="O46" s="631">
        <f t="shared" si="0"/>
        <v>0</v>
      </c>
      <c r="P46" s="634">
        <f t="shared" si="0"/>
        <v>0</v>
      </c>
      <c r="Q46" s="395"/>
      <c r="R46" s="689" t="s">
        <v>55</v>
      </c>
      <c r="S46" s="690"/>
      <c r="T46" s="725" t="str">
        <f>IF(P46=0,"",P46/C46)</f>
        <v/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6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7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0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 t="e">
        <f>K53/G53</f>
        <v>#DIV/0!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0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 t="e">
        <f>C71/(G68+L68)</f>
        <v>#DIV/0!</v>
      </c>
      <c r="D72" s="710"/>
      <c r="E72" s="710"/>
      <c r="F72" s="711"/>
      <c r="G72" s="709" t="e">
        <f>G71/(G68+L68)</f>
        <v>#DIV/0!</v>
      </c>
      <c r="H72" s="710"/>
      <c r="I72" s="709" t="e">
        <f>I71/(G68+L68)</f>
        <v>#DIV/0!</v>
      </c>
      <c r="J72" s="710"/>
      <c r="K72" s="710"/>
      <c r="L72" s="709" t="e">
        <f>L71/(G68+L68)</f>
        <v>#DIV/0!</v>
      </c>
      <c r="M72" s="710" t="e">
        <f>L71/(G68+L68)</f>
        <v>#DIV/0!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E8:I8"/>
    <mergeCell ref="D6:H6"/>
    <mergeCell ref="D4:H4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427" priority="45" operator="equal">
      <formula>0.5</formula>
    </cfRule>
    <cfRule type="cellIs" dxfId="426" priority="46" operator="lessThan">
      <formula>0.5</formula>
    </cfRule>
    <cfRule type="cellIs" dxfId="425" priority="47" operator="greaterThan">
      <formula>0.5</formula>
    </cfRule>
    <cfRule type="aboveAverage" priority="48"/>
  </conditionalFormatting>
  <conditionalFormatting sqref="C57:F57">
    <cfRule type="cellIs" dxfId="424" priority="42" operator="equal">
      <formula>0.5</formula>
    </cfRule>
    <cfRule type="cellIs" dxfId="423" priority="43" operator="lessThan">
      <formula>0.5</formula>
    </cfRule>
    <cfRule type="cellIs" dxfId="422" priority="44" operator="greaterThan">
      <formula>0.5</formula>
    </cfRule>
  </conditionalFormatting>
  <conditionalFormatting sqref="G57:H57">
    <cfRule type="cellIs" dxfId="421" priority="39" operator="equal">
      <formula>0.5</formula>
    </cfRule>
    <cfRule type="cellIs" dxfId="420" priority="40" operator="lessThan">
      <formula>0.5</formula>
    </cfRule>
    <cfRule type="cellIs" dxfId="419" priority="41" operator="greaterThan">
      <formula>0.5</formula>
    </cfRule>
  </conditionalFormatting>
  <conditionalFormatting sqref="I57">
    <cfRule type="cellIs" dxfId="418" priority="36" operator="equal">
      <formula>0.5</formula>
    </cfRule>
    <cfRule type="cellIs" dxfId="417" priority="37" operator="lessThan">
      <formula>0.5</formula>
    </cfRule>
    <cfRule type="cellIs" dxfId="416" priority="38" operator="greaterThan">
      <formula>0.5</formula>
    </cfRule>
  </conditionalFormatting>
  <conditionalFormatting sqref="L57">
    <cfRule type="cellIs" dxfId="415" priority="33" operator="equal">
      <formula>0.5</formula>
    </cfRule>
    <cfRule type="cellIs" dxfId="414" priority="34" operator="lessThan">
      <formula>0.5</formula>
    </cfRule>
    <cfRule type="cellIs" dxfId="413" priority="35" operator="greaterThan">
      <formula>0.5</formula>
    </cfRule>
  </conditionalFormatting>
  <conditionalFormatting sqref="C72:F72">
    <cfRule type="cellIs" dxfId="412" priority="29" operator="greaterThan">
      <formula>0.5</formula>
    </cfRule>
    <cfRule type="cellIs" dxfId="411" priority="30" operator="lessThan">
      <formula>0.5</formula>
    </cfRule>
    <cfRule type="cellIs" dxfId="410" priority="31" operator="equal">
      <formula>0.5</formula>
    </cfRule>
    <cfRule type="cellIs" dxfId="409" priority="32" operator="greaterThan">
      <formula>50</formula>
    </cfRule>
  </conditionalFormatting>
  <conditionalFormatting sqref="L72">
    <cfRule type="cellIs" dxfId="408" priority="17" operator="greaterThan">
      <formula>0.5</formula>
    </cfRule>
    <cfRule type="cellIs" dxfId="407" priority="18" operator="lessThan">
      <formula>0.5</formula>
    </cfRule>
    <cfRule type="cellIs" dxfId="406" priority="19" operator="equal">
      <formula>0.5</formula>
    </cfRule>
    <cfRule type="cellIs" dxfId="405" priority="20" operator="greaterThan">
      <formula>50</formula>
    </cfRule>
  </conditionalFormatting>
  <conditionalFormatting sqref="G72:H72">
    <cfRule type="cellIs" dxfId="404" priority="25" operator="greaterThan">
      <formula>0.5</formula>
    </cfRule>
    <cfRule type="cellIs" dxfId="403" priority="26" operator="lessThan">
      <formula>0.5</formula>
    </cfRule>
    <cfRule type="cellIs" dxfId="402" priority="27" operator="equal">
      <formula>0.5</formula>
    </cfRule>
    <cfRule type="cellIs" dxfId="401" priority="28" operator="greaterThan">
      <formula>50</formula>
    </cfRule>
  </conditionalFormatting>
  <conditionalFormatting sqref="I72">
    <cfRule type="cellIs" dxfId="400" priority="21" operator="greaterThan">
      <formula>0.5</formula>
    </cfRule>
    <cfRule type="cellIs" dxfId="399" priority="22" operator="lessThan">
      <formula>0.5</formula>
    </cfRule>
    <cfRule type="cellIs" dxfId="398" priority="23" operator="equal">
      <formula>0.5</formula>
    </cfRule>
    <cfRule type="cellIs" dxfId="397" priority="24" operator="greaterThan">
      <formula>50</formula>
    </cfRule>
  </conditionalFormatting>
  <conditionalFormatting sqref="C88:F88">
    <cfRule type="cellIs" dxfId="396" priority="13" operator="greaterThan">
      <formula>0.5</formula>
    </cfRule>
    <cfRule type="cellIs" dxfId="395" priority="14" operator="lessThan">
      <formula>0.5</formula>
    </cfRule>
    <cfRule type="cellIs" dxfId="394" priority="15" operator="equal">
      <formula>0.5</formula>
    </cfRule>
    <cfRule type="cellIs" dxfId="393" priority="16" operator="greaterThan">
      <formula>50</formula>
    </cfRule>
  </conditionalFormatting>
  <conditionalFormatting sqref="L88">
    <cfRule type="cellIs" dxfId="392" priority="5" operator="greaterThan">
      <formula>0.5</formula>
    </cfRule>
    <cfRule type="cellIs" dxfId="391" priority="6" operator="lessThan">
      <formula>0.5</formula>
    </cfRule>
    <cfRule type="cellIs" dxfId="390" priority="7" operator="equal">
      <formula>0.5</formula>
    </cfRule>
    <cfRule type="cellIs" dxfId="389" priority="8" operator="greaterThan">
      <formula>50</formula>
    </cfRule>
  </conditionalFormatting>
  <conditionalFormatting sqref="I88">
    <cfRule type="cellIs" dxfId="388" priority="9" operator="greaterThan">
      <formula>0.5</formula>
    </cfRule>
    <cfRule type="cellIs" dxfId="387" priority="10" operator="lessThan">
      <formula>0.5</formula>
    </cfRule>
    <cfRule type="cellIs" dxfId="386" priority="11" operator="equal">
      <formula>0.5</formula>
    </cfRule>
    <cfRule type="cellIs" dxfId="385" priority="12" operator="greaterThan">
      <formula>50</formula>
    </cfRule>
  </conditionalFormatting>
  <conditionalFormatting sqref="G88:H88">
    <cfRule type="cellIs" dxfId="384" priority="1" operator="greaterThan">
      <formula>0.5</formula>
    </cfRule>
    <cfRule type="cellIs" dxfId="383" priority="2" operator="lessThan">
      <formula>0.5</formula>
    </cfRule>
    <cfRule type="cellIs" dxfId="382" priority="3" operator="equal">
      <formula>0.5</formula>
    </cfRule>
    <cfRule type="cellIs" dxfId="381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opLeftCell="A10" zoomScaleNormal="100" workbookViewId="0">
      <selection activeCell="C19" sqref="C19:D30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18" x14ac:dyDescent="0.35">
      <c r="A1" s="747" t="s">
        <v>62</v>
      </c>
      <c r="B1" s="747"/>
      <c r="C1" s="747"/>
      <c r="D1" s="747"/>
      <c r="E1" s="747"/>
      <c r="F1" s="747"/>
      <c r="G1" s="747"/>
      <c r="H1" s="747"/>
      <c r="I1" s="747"/>
      <c r="J1" s="747"/>
      <c r="K1" s="747"/>
      <c r="L1" s="747"/>
      <c r="M1" s="747"/>
      <c r="N1" s="747"/>
      <c r="O1" s="747"/>
      <c r="P1" s="747"/>
      <c r="Q1" s="747"/>
      <c r="R1" s="747"/>
      <c r="S1" s="747"/>
      <c r="T1" s="747"/>
    </row>
    <row r="2" spans="1:32" ht="18" x14ac:dyDescent="0.35">
      <c r="A2" s="182" t="s">
        <v>96</v>
      </c>
      <c r="B2" s="470" t="s">
        <v>170</v>
      </c>
      <c r="C2" s="470"/>
      <c r="D2" s="470"/>
      <c r="E2" s="188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229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229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Listes!E10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>
        <v>2</v>
      </c>
      <c r="C13" s="547" t="s">
        <v>291</v>
      </c>
      <c r="D13" s="548"/>
      <c r="E13" s="549"/>
      <c r="F13" s="550"/>
      <c r="G13" s="245"/>
      <c r="H13" s="168"/>
      <c r="I13" s="168"/>
      <c r="J13" s="30"/>
      <c r="K13" s="247" t="s">
        <v>28</v>
      </c>
      <c r="L13" s="171"/>
      <c r="M13" s="172"/>
      <c r="N13" s="172"/>
      <c r="O13" s="172"/>
      <c r="P13" s="196"/>
      <c r="Q13" s="178"/>
      <c r="R13" s="712" t="str">
        <f>IF(U13="","",VLOOKUP(U13,Listes!$C$1:$D$19,2))</f>
        <v/>
      </c>
      <c r="S13" s="713"/>
      <c r="T13" s="713"/>
      <c r="U13" s="233"/>
      <c r="V13" s="176"/>
      <c r="W13" s="177"/>
      <c r="X13" s="177"/>
      <c r="Y13" s="177"/>
      <c r="Z13" s="178"/>
      <c r="AA13" s="738">
        <f>H46</f>
        <v>2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39">
        <v>5</v>
      </c>
      <c r="C14" s="527" t="s">
        <v>291</v>
      </c>
      <c r="D14" s="528"/>
      <c r="E14" s="535"/>
      <c r="F14" s="536"/>
      <c r="G14" s="246"/>
      <c r="H14" s="169"/>
      <c r="I14" s="169"/>
      <c r="J14" s="36"/>
      <c r="K14" s="248" t="s">
        <v>28</v>
      </c>
      <c r="L14" s="174"/>
      <c r="M14" s="175"/>
      <c r="N14" s="175"/>
      <c r="O14" s="175"/>
      <c r="P14" s="197"/>
      <c r="Q14" s="410"/>
      <c r="R14" s="736" t="str">
        <f>IF(U14="","",VLOOKUP(U14,Listes!$C$1:$D$19,2))</f>
        <v>Lit et analyse l'ensemble des pièces</v>
      </c>
      <c r="S14" s="737"/>
      <c r="T14" s="737"/>
      <c r="U14" s="234">
        <v>101</v>
      </c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39">
        <v>4</v>
      </c>
      <c r="C15" s="527" t="s">
        <v>291</v>
      </c>
      <c r="D15" s="528"/>
      <c r="E15" s="535"/>
      <c r="F15" s="536"/>
      <c r="G15" s="246"/>
      <c r="H15" s="246" t="s">
        <v>28</v>
      </c>
      <c r="I15" s="169"/>
      <c r="J15" s="36"/>
      <c r="K15" s="413" t="s">
        <v>28</v>
      </c>
      <c r="L15" s="174"/>
      <c r="M15" s="175"/>
      <c r="N15" s="175"/>
      <c r="O15" s="175"/>
      <c r="P15" s="197"/>
      <c r="Q15" s="410"/>
      <c r="R15" s="736" t="str">
        <f>IF(U15="","",VLOOKUP(U15,Listes!$C$1:$D$19,2))</f>
        <v>Apprécie la validité des pièces</v>
      </c>
      <c r="S15" s="737"/>
      <c r="T15" s="737"/>
      <c r="U15" s="234">
        <v>102</v>
      </c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39">
        <v>8</v>
      </c>
      <c r="C16" s="527" t="s">
        <v>291</v>
      </c>
      <c r="D16" s="528"/>
      <c r="E16" s="535"/>
      <c r="F16" s="536"/>
      <c r="G16" s="246"/>
      <c r="H16" s="169"/>
      <c r="I16" s="169"/>
      <c r="J16" s="36"/>
      <c r="K16" s="413" t="s">
        <v>28</v>
      </c>
      <c r="L16" s="174"/>
      <c r="M16" s="175"/>
      <c r="N16" s="175"/>
      <c r="O16" s="175"/>
      <c r="P16" s="197"/>
      <c r="Q16" s="410"/>
      <c r="R16" s="736" t="str">
        <f>IF(U16="","",VLOOKUP(U16,Listes!$C$1:$D$19,2))</f>
        <v/>
      </c>
      <c r="S16" s="737"/>
      <c r="T16" s="737"/>
      <c r="U16" s="234"/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39">
        <v>6</v>
      </c>
      <c r="C17" s="527" t="s">
        <v>291</v>
      </c>
      <c r="D17" s="528"/>
      <c r="E17" s="535"/>
      <c r="F17" s="536"/>
      <c r="G17" s="246"/>
      <c r="H17" s="169"/>
      <c r="I17" s="169"/>
      <c r="J17" s="36"/>
      <c r="K17" s="413" t="s">
        <v>28</v>
      </c>
      <c r="L17" s="174" t="s">
        <v>28</v>
      </c>
      <c r="M17" s="175"/>
      <c r="N17" s="175"/>
      <c r="O17" s="175"/>
      <c r="P17" s="197" t="s">
        <v>28</v>
      </c>
      <c r="Q17" s="410" t="s">
        <v>286</v>
      </c>
      <c r="R17" s="736" t="str">
        <f>IF(U17="","",VLOOKUP(U17,Listes!$C$1:$D$19,2))</f>
        <v>Vérifie la cohérence droits attendus et réels</v>
      </c>
      <c r="S17" s="737"/>
      <c r="T17" s="737"/>
      <c r="U17" s="234">
        <v>112</v>
      </c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39">
        <v>3</v>
      </c>
      <c r="C18" s="527" t="s">
        <v>291</v>
      </c>
      <c r="D18" s="528"/>
      <c r="E18" s="535"/>
      <c r="F18" s="536"/>
      <c r="G18" s="246"/>
      <c r="H18" s="169"/>
      <c r="I18" s="169"/>
      <c r="J18" s="36"/>
      <c r="K18" s="413" t="s">
        <v>28</v>
      </c>
      <c r="L18" s="174"/>
      <c r="M18" s="175"/>
      <c r="N18" s="175"/>
      <c r="O18" s="175"/>
      <c r="P18" s="197"/>
      <c r="Q18" s="410"/>
      <c r="R18" s="736" t="str">
        <f>IF(U18="","",VLOOKUP(U18,Listes!$C$1:$D$19,2))</f>
        <v/>
      </c>
      <c r="S18" s="737"/>
      <c r="T18" s="737"/>
      <c r="U18" s="234"/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39">
        <v>1</v>
      </c>
      <c r="C19" s="527"/>
      <c r="D19" s="528"/>
      <c r="E19" s="535"/>
      <c r="F19" s="536"/>
      <c r="G19" s="246"/>
      <c r="H19" s="169"/>
      <c r="I19" s="169"/>
      <c r="J19" s="36"/>
      <c r="K19" s="413" t="s">
        <v>28</v>
      </c>
      <c r="L19" s="174"/>
      <c r="M19" s="175"/>
      <c r="N19" s="175"/>
      <c r="O19" s="175"/>
      <c r="P19" s="197"/>
      <c r="Q19" s="410"/>
      <c r="R19" s="736" t="str">
        <f>IF(U19="","",VLOOKUP(U19,Listes!$C$1:$D$19,2))</f>
        <v/>
      </c>
      <c r="S19" s="737"/>
      <c r="T19" s="737"/>
      <c r="U19" s="234"/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39">
        <v>9</v>
      </c>
      <c r="C20" s="527"/>
      <c r="D20" s="528"/>
      <c r="E20" s="535"/>
      <c r="F20" s="536"/>
      <c r="G20" s="246"/>
      <c r="H20" s="169"/>
      <c r="I20" s="169" t="s">
        <v>28</v>
      </c>
      <c r="J20" s="36"/>
      <c r="K20" s="413" t="s">
        <v>28</v>
      </c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39">
        <v>2</v>
      </c>
      <c r="C21" s="527"/>
      <c r="D21" s="528"/>
      <c r="E21" s="535"/>
      <c r="F21" s="536"/>
      <c r="G21" s="246"/>
      <c r="H21" s="169"/>
      <c r="I21" s="169"/>
      <c r="J21" s="36"/>
      <c r="K21" s="413" t="s">
        <v>28</v>
      </c>
      <c r="L21" s="174"/>
      <c r="M21" s="175"/>
      <c r="N21" s="175"/>
      <c r="O21" s="175"/>
      <c r="P21" s="197"/>
      <c r="Q21" s="410"/>
      <c r="R21" s="736" t="str">
        <f>IF(U21="","",VLOOKUP(U21,Listes!$C$1:$D$19,2))</f>
        <v/>
      </c>
      <c r="S21" s="737"/>
      <c r="T21" s="737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39">
        <v>5</v>
      </c>
      <c r="C22" s="527"/>
      <c r="D22" s="528"/>
      <c r="E22" s="535"/>
      <c r="F22" s="536"/>
      <c r="G22" s="246"/>
      <c r="H22" s="169"/>
      <c r="I22" s="169"/>
      <c r="J22" s="36"/>
      <c r="K22" s="413" t="s">
        <v>29</v>
      </c>
      <c r="L22" s="174"/>
      <c r="M22" s="175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39">
        <v>8</v>
      </c>
      <c r="C23" s="527"/>
      <c r="D23" s="528"/>
      <c r="E23" s="535"/>
      <c r="F23" s="536"/>
      <c r="G23" s="246"/>
      <c r="H23" s="169"/>
      <c r="I23" s="169"/>
      <c r="J23" s="36"/>
      <c r="K23" s="413" t="s">
        <v>29</v>
      </c>
      <c r="L23" s="174"/>
      <c r="M23" s="175"/>
      <c r="N23" s="175"/>
      <c r="O23" s="175"/>
      <c r="P23" s="197"/>
      <c r="Q23" s="410"/>
      <c r="R23" s="736" t="str">
        <f>IF(U23="","",VLOOKUP(U23,Listes!$C$1:$D$19,2))</f>
        <v/>
      </c>
      <c r="S23" s="737"/>
      <c r="T23" s="737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39">
        <v>2</v>
      </c>
      <c r="C24" s="527"/>
      <c r="D24" s="528"/>
      <c r="E24" s="535"/>
      <c r="F24" s="536"/>
      <c r="G24" s="246"/>
      <c r="H24" s="169"/>
      <c r="I24" s="246"/>
      <c r="J24" s="36"/>
      <c r="K24" s="413" t="s">
        <v>29</v>
      </c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39">
        <v>3</v>
      </c>
      <c r="C25" s="527"/>
      <c r="D25" s="528"/>
      <c r="E25" s="535"/>
      <c r="F25" s="536"/>
      <c r="G25" s="246"/>
      <c r="H25" s="169" t="s">
        <v>28</v>
      </c>
      <c r="I25" s="169"/>
      <c r="J25" s="36"/>
      <c r="K25" s="413" t="s">
        <v>29</v>
      </c>
      <c r="L25" s="174"/>
      <c r="M25" s="175"/>
      <c r="N25" s="175"/>
      <c r="O25" s="175"/>
      <c r="P25" s="197"/>
      <c r="Q25" s="410"/>
      <c r="R25" s="736" t="str">
        <f>IF(U25="","",VLOOKUP(U25,Listes!$C$1:$D$19,2))</f>
        <v/>
      </c>
      <c r="S25" s="737"/>
      <c r="T25" s="737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39">
        <v>6</v>
      </c>
      <c r="C26" s="527"/>
      <c r="D26" s="528"/>
      <c r="E26" s="535"/>
      <c r="F26" s="536"/>
      <c r="G26" s="246"/>
      <c r="H26" s="169"/>
      <c r="I26" s="169"/>
      <c r="J26" s="36"/>
      <c r="K26" s="413" t="s">
        <v>29</v>
      </c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39">
        <v>1</v>
      </c>
      <c r="C27" s="527"/>
      <c r="D27" s="528"/>
      <c r="E27" s="535"/>
      <c r="F27" s="536"/>
      <c r="G27" s="246"/>
      <c r="H27" s="169"/>
      <c r="I27" s="169"/>
      <c r="J27" s="36"/>
      <c r="K27" s="413" t="s">
        <v>29</v>
      </c>
      <c r="L27" s="174"/>
      <c r="M27" s="175"/>
      <c r="N27" s="175"/>
      <c r="O27" s="175"/>
      <c r="P27" s="197"/>
      <c r="Q27" s="410"/>
      <c r="R27" s="736" t="str">
        <f>IF(U27="","",VLOOKUP(U27,Listes!$C$1:$D$19,2))</f>
        <v/>
      </c>
      <c r="S27" s="737"/>
      <c r="T27" s="737"/>
      <c r="U27" s="234"/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39">
        <v>2</v>
      </c>
      <c r="C28" s="527"/>
      <c r="D28" s="528"/>
      <c r="E28" s="535"/>
      <c r="F28" s="536"/>
      <c r="G28" s="246"/>
      <c r="H28" s="169"/>
      <c r="I28" s="169"/>
      <c r="J28" s="36"/>
      <c r="K28" s="413" t="s">
        <v>29</v>
      </c>
      <c r="L28" s="174"/>
      <c r="M28" s="175"/>
      <c r="N28" s="175"/>
      <c r="O28" s="175"/>
      <c r="P28" s="197"/>
      <c r="Q28" s="410"/>
      <c r="R28" s="736" t="str">
        <f>IF(U28="","",VLOOKUP(U28,Listes!$C$1:$D$19,2))</f>
        <v/>
      </c>
      <c r="S28" s="737"/>
      <c r="T28" s="737"/>
      <c r="U28" s="234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39">
        <v>8</v>
      </c>
      <c r="C29" s="527"/>
      <c r="D29" s="528"/>
      <c r="E29" s="535"/>
      <c r="F29" s="536"/>
      <c r="G29" s="246"/>
      <c r="H29" s="246"/>
      <c r="I29" s="169"/>
      <c r="J29" s="36"/>
      <c r="K29" s="413" t="s">
        <v>29</v>
      </c>
      <c r="L29" s="174"/>
      <c r="M29" s="175"/>
      <c r="N29" s="175"/>
      <c r="O29" s="175"/>
      <c r="P29" s="197"/>
      <c r="Q29" s="410"/>
      <c r="R29" s="736" t="str">
        <f>IF(U29="","",VLOOKUP(U29,Listes!$C$1:$D$19,2))</f>
        <v/>
      </c>
      <c r="S29" s="737"/>
      <c r="T29" s="737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61">
        <v>4</v>
      </c>
      <c r="C30" s="527"/>
      <c r="D30" s="528"/>
      <c r="E30" s="535"/>
      <c r="F30" s="536"/>
      <c r="G30" s="246"/>
      <c r="H30" s="169"/>
      <c r="I30" s="169"/>
      <c r="J30" s="36"/>
      <c r="K30" s="413" t="s">
        <v>29</v>
      </c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61"/>
      <c r="C31" s="746"/>
      <c r="D31" s="528"/>
      <c r="E31" s="535"/>
      <c r="F31" s="536"/>
      <c r="G31" s="246"/>
      <c r="H31" s="169"/>
      <c r="I31" s="169"/>
      <c r="J31" s="36"/>
      <c r="K31" s="248"/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07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07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07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07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07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07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07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07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07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07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07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07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07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30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79</v>
      </c>
      <c r="C46" s="719">
        <f>COUNTA(C13:D45)</f>
        <v>6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2</v>
      </c>
      <c r="I46" s="604">
        <f>COUNTIF(I13:I45,"oui")</f>
        <v>1</v>
      </c>
      <c r="J46" s="612"/>
      <c r="K46" s="625">
        <f t="shared" ref="K46:P46" si="0">COUNTIF(K13:K45,"oui")</f>
        <v>9</v>
      </c>
      <c r="L46" s="628">
        <f t="shared" si="0"/>
        <v>1</v>
      </c>
      <c r="M46" s="631">
        <f t="shared" si="0"/>
        <v>0</v>
      </c>
      <c r="N46" s="631">
        <f t="shared" si="0"/>
        <v>0</v>
      </c>
      <c r="O46" s="631">
        <f t="shared" si="0"/>
        <v>0</v>
      </c>
      <c r="P46" s="634">
        <f t="shared" si="0"/>
        <v>1</v>
      </c>
      <c r="Q46" s="395"/>
      <c r="R46" s="689" t="s">
        <v>55</v>
      </c>
      <c r="S46" s="690"/>
      <c r="T46" s="725">
        <f>IF(P46=0,"",P46/C46)</f>
        <v>0.16666666666666666</v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6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7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1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>
        <f>K53/G53</f>
        <v>0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2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>
        <f>C71/(G68+L68)</f>
        <v>0</v>
      </c>
      <c r="D72" s="710"/>
      <c r="E72" s="710"/>
      <c r="F72" s="711"/>
      <c r="G72" s="709">
        <f>G71/(G68+L68)</f>
        <v>0</v>
      </c>
      <c r="H72" s="710"/>
      <c r="I72" s="709">
        <f>I71/(G68+L68)</f>
        <v>0</v>
      </c>
      <c r="J72" s="710"/>
      <c r="K72" s="710"/>
      <c r="L72" s="709">
        <f>L71/(G68+L68)</f>
        <v>0</v>
      </c>
      <c r="M72" s="710">
        <f>L71/(G68+L68)</f>
        <v>0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B2:D2"/>
    <mergeCell ref="D4:H4"/>
    <mergeCell ref="D6:H6"/>
    <mergeCell ref="E8:I8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380" priority="45" operator="equal">
      <formula>0.5</formula>
    </cfRule>
    <cfRule type="cellIs" dxfId="379" priority="46" operator="lessThan">
      <formula>0.5</formula>
    </cfRule>
    <cfRule type="cellIs" dxfId="378" priority="47" operator="greaterThan">
      <formula>0.5</formula>
    </cfRule>
    <cfRule type="aboveAverage" priority="48"/>
  </conditionalFormatting>
  <conditionalFormatting sqref="C57:F57">
    <cfRule type="cellIs" dxfId="377" priority="42" operator="equal">
      <formula>0.5</formula>
    </cfRule>
    <cfRule type="cellIs" dxfId="376" priority="43" operator="lessThan">
      <formula>0.5</formula>
    </cfRule>
    <cfRule type="cellIs" dxfId="375" priority="44" operator="greaterThan">
      <formula>0.5</formula>
    </cfRule>
  </conditionalFormatting>
  <conditionalFormatting sqref="G57:H57">
    <cfRule type="cellIs" dxfId="374" priority="39" operator="equal">
      <formula>0.5</formula>
    </cfRule>
    <cfRule type="cellIs" dxfId="373" priority="40" operator="lessThan">
      <formula>0.5</formula>
    </cfRule>
    <cfRule type="cellIs" dxfId="372" priority="41" operator="greaterThan">
      <formula>0.5</formula>
    </cfRule>
  </conditionalFormatting>
  <conditionalFormatting sqref="I57">
    <cfRule type="cellIs" dxfId="371" priority="36" operator="equal">
      <formula>0.5</formula>
    </cfRule>
    <cfRule type="cellIs" dxfId="370" priority="37" operator="lessThan">
      <formula>0.5</formula>
    </cfRule>
    <cfRule type="cellIs" dxfId="369" priority="38" operator="greaterThan">
      <formula>0.5</formula>
    </cfRule>
  </conditionalFormatting>
  <conditionalFormatting sqref="L57">
    <cfRule type="cellIs" dxfId="368" priority="33" operator="equal">
      <formula>0.5</formula>
    </cfRule>
    <cfRule type="cellIs" dxfId="367" priority="34" operator="lessThan">
      <formula>0.5</formula>
    </cfRule>
    <cfRule type="cellIs" dxfId="366" priority="35" operator="greaterThan">
      <formula>0.5</formula>
    </cfRule>
  </conditionalFormatting>
  <conditionalFormatting sqref="C72:F72">
    <cfRule type="cellIs" dxfId="365" priority="29" operator="greaterThan">
      <formula>0.5</formula>
    </cfRule>
    <cfRule type="cellIs" dxfId="364" priority="30" operator="lessThan">
      <formula>0.5</formula>
    </cfRule>
    <cfRule type="cellIs" dxfId="363" priority="31" operator="equal">
      <formula>0.5</formula>
    </cfRule>
    <cfRule type="cellIs" dxfId="362" priority="32" operator="greaterThan">
      <formula>50</formula>
    </cfRule>
  </conditionalFormatting>
  <conditionalFormatting sqref="L72">
    <cfRule type="cellIs" dxfId="361" priority="17" operator="greaterThan">
      <formula>0.5</formula>
    </cfRule>
    <cfRule type="cellIs" dxfId="360" priority="18" operator="lessThan">
      <formula>0.5</formula>
    </cfRule>
    <cfRule type="cellIs" dxfId="359" priority="19" operator="equal">
      <formula>0.5</formula>
    </cfRule>
    <cfRule type="cellIs" dxfId="358" priority="20" operator="greaterThan">
      <formula>50</formula>
    </cfRule>
  </conditionalFormatting>
  <conditionalFormatting sqref="G72:H72">
    <cfRule type="cellIs" dxfId="357" priority="25" operator="greaterThan">
      <formula>0.5</formula>
    </cfRule>
    <cfRule type="cellIs" dxfId="356" priority="26" operator="lessThan">
      <formula>0.5</formula>
    </cfRule>
    <cfRule type="cellIs" dxfId="355" priority="27" operator="equal">
      <formula>0.5</formula>
    </cfRule>
    <cfRule type="cellIs" dxfId="354" priority="28" operator="greaterThan">
      <formula>50</formula>
    </cfRule>
  </conditionalFormatting>
  <conditionalFormatting sqref="I72">
    <cfRule type="cellIs" dxfId="353" priority="21" operator="greaterThan">
      <formula>0.5</formula>
    </cfRule>
    <cfRule type="cellIs" dxfId="352" priority="22" operator="lessThan">
      <formula>0.5</formula>
    </cfRule>
    <cfRule type="cellIs" dxfId="351" priority="23" operator="equal">
      <formula>0.5</formula>
    </cfRule>
    <cfRule type="cellIs" dxfId="350" priority="24" operator="greaterThan">
      <formula>50</formula>
    </cfRule>
  </conditionalFormatting>
  <conditionalFormatting sqref="C88:F88">
    <cfRule type="cellIs" dxfId="349" priority="13" operator="greaterThan">
      <formula>0.5</formula>
    </cfRule>
    <cfRule type="cellIs" dxfId="348" priority="14" operator="lessThan">
      <formula>0.5</formula>
    </cfRule>
    <cfRule type="cellIs" dxfId="347" priority="15" operator="equal">
      <formula>0.5</formula>
    </cfRule>
    <cfRule type="cellIs" dxfId="346" priority="16" operator="greaterThan">
      <formula>50</formula>
    </cfRule>
  </conditionalFormatting>
  <conditionalFormatting sqref="L88">
    <cfRule type="cellIs" dxfId="345" priority="5" operator="greaterThan">
      <formula>0.5</formula>
    </cfRule>
    <cfRule type="cellIs" dxfId="344" priority="6" operator="lessThan">
      <formula>0.5</formula>
    </cfRule>
    <cfRule type="cellIs" dxfId="343" priority="7" operator="equal">
      <formula>0.5</formula>
    </cfRule>
    <cfRule type="cellIs" dxfId="342" priority="8" operator="greaterThan">
      <formula>50</formula>
    </cfRule>
  </conditionalFormatting>
  <conditionalFormatting sqref="I88">
    <cfRule type="cellIs" dxfId="341" priority="9" operator="greaterThan">
      <formula>0.5</formula>
    </cfRule>
    <cfRule type="cellIs" dxfId="340" priority="10" operator="lessThan">
      <formula>0.5</formula>
    </cfRule>
    <cfRule type="cellIs" dxfId="339" priority="11" operator="equal">
      <formula>0.5</formula>
    </cfRule>
    <cfRule type="cellIs" dxfId="338" priority="12" operator="greaterThan">
      <formula>50</formula>
    </cfRule>
  </conditionalFormatting>
  <conditionalFormatting sqref="G88:H88">
    <cfRule type="cellIs" dxfId="337" priority="1" operator="greaterThan">
      <formula>0.5</formula>
    </cfRule>
    <cfRule type="cellIs" dxfId="336" priority="2" operator="lessThan">
      <formula>0.5</formula>
    </cfRule>
    <cfRule type="cellIs" dxfId="335" priority="3" operator="equal">
      <formula>0.5</formula>
    </cfRule>
    <cfRule type="cellIs" dxfId="334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opLeftCell="A10" zoomScaleNormal="100" workbookViewId="0">
      <selection activeCell="C28" sqref="C28:D28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83">
        <v>1</v>
      </c>
      <c r="R6" s="184" t="s">
        <v>61</v>
      </c>
      <c r="S6" s="56">
        <f>Listes!E11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>
        <v>2</v>
      </c>
      <c r="C13" s="547" t="s">
        <v>291</v>
      </c>
      <c r="D13" s="548"/>
      <c r="E13" s="549"/>
      <c r="F13" s="550"/>
      <c r="G13" s="168"/>
      <c r="H13" s="168"/>
      <c r="I13" s="168"/>
      <c r="J13" s="30"/>
      <c r="K13" s="247" t="s">
        <v>28</v>
      </c>
      <c r="L13" s="171"/>
      <c r="M13" s="172"/>
      <c r="N13" s="172"/>
      <c r="O13" s="172"/>
      <c r="P13" s="196"/>
      <c r="Q13" s="178"/>
      <c r="R13" s="712" t="str">
        <f>IF(U13="","",VLOOKUP(U13,Listes!$C$1:$D$19,2))</f>
        <v/>
      </c>
      <c r="S13" s="713"/>
      <c r="T13" s="713"/>
      <c r="U13" s="233"/>
      <c r="V13" s="176"/>
      <c r="W13" s="177"/>
      <c r="X13" s="177"/>
      <c r="Y13" s="177"/>
      <c r="Z13" s="178"/>
      <c r="AA13" s="738">
        <f>H46</f>
        <v>4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>
        <v>4</v>
      </c>
      <c r="C14" s="527" t="s">
        <v>291</v>
      </c>
      <c r="D14" s="528"/>
      <c r="E14" s="535"/>
      <c r="F14" s="536"/>
      <c r="G14" s="246"/>
      <c r="H14" s="169"/>
      <c r="I14" s="169"/>
      <c r="J14" s="36"/>
      <c r="K14" s="248" t="s">
        <v>28</v>
      </c>
      <c r="L14" s="174"/>
      <c r="M14" s="175" t="s">
        <v>28</v>
      </c>
      <c r="N14" s="175"/>
      <c r="O14" s="175"/>
      <c r="P14" s="197"/>
      <c r="Q14" s="410" t="s">
        <v>282</v>
      </c>
      <c r="R14" s="736" t="str">
        <f>IF(U14="","",VLOOKUP(U14,Listes!$C$1:$D$19,2))</f>
        <v>Saisit correctement les informations</v>
      </c>
      <c r="S14" s="737"/>
      <c r="T14" s="737"/>
      <c r="U14" s="234">
        <v>121</v>
      </c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22">
        <v>2</v>
      </c>
      <c r="C15" s="527" t="s">
        <v>291</v>
      </c>
      <c r="D15" s="528"/>
      <c r="E15" s="535"/>
      <c r="F15" s="536"/>
      <c r="G15" s="246"/>
      <c r="H15" s="169" t="s">
        <v>28</v>
      </c>
      <c r="I15" s="169"/>
      <c r="J15" s="36"/>
      <c r="K15" s="413" t="s">
        <v>28</v>
      </c>
      <c r="L15" s="174"/>
      <c r="M15" s="175"/>
      <c r="N15" s="175"/>
      <c r="O15" s="175"/>
      <c r="P15" s="197"/>
      <c r="Q15" s="410"/>
      <c r="R15" s="736" t="str">
        <f>IF(U15="","",VLOOKUP(U15,Listes!$C$1:$D$19,2))</f>
        <v>Lit et analyse l'ensemble des pièces</v>
      </c>
      <c r="S15" s="737"/>
      <c r="T15" s="737"/>
      <c r="U15" s="234">
        <v>101</v>
      </c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>
        <v>6</v>
      </c>
      <c r="C16" s="527" t="s">
        <v>291</v>
      </c>
      <c r="D16" s="528"/>
      <c r="E16" s="535"/>
      <c r="F16" s="536"/>
      <c r="G16" s="246"/>
      <c r="H16" s="169"/>
      <c r="I16" s="169" t="s">
        <v>28</v>
      </c>
      <c r="J16" s="36"/>
      <c r="K16" s="413" t="s">
        <v>28</v>
      </c>
      <c r="L16" s="174"/>
      <c r="M16" s="175"/>
      <c r="N16" s="175"/>
      <c r="O16" s="175"/>
      <c r="P16" s="197"/>
      <c r="Q16" s="410"/>
      <c r="R16" s="736" t="str">
        <f>IF(U16="","",VLOOKUP(U16,Listes!$C$1:$D$19,2))</f>
        <v>Vérifie l'exhaustivité des pièces ( à réclamer ou dans le Sdp)</v>
      </c>
      <c r="S16" s="737"/>
      <c r="T16" s="737"/>
      <c r="U16" s="234">
        <v>103</v>
      </c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>
        <v>2</v>
      </c>
      <c r="C17" s="527" t="s">
        <v>291</v>
      </c>
      <c r="D17" s="528"/>
      <c r="E17" s="535"/>
      <c r="F17" s="536"/>
      <c r="G17" s="246"/>
      <c r="H17" s="169"/>
      <c r="I17" s="169"/>
      <c r="J17" s="36"/>
      <c r="K17" s="413" t="s">
        <v>28</v>
      </c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>
        <v>4</v>
      </c>
      <c r="C18" s="527" t="s">
        <v>291</v>
      </c>
      <c r="D18" s="528"/>
      <c r="E18" s="535"/>
      <c r="F18" s="536"/>
      <c r="G18" s="246"/>
      <c r="H18" s="169"/>
      <c r="I18" s="169"/>
      <c r="J18" s="36"/>
      <c r="K18" s="413" t="s">
        <v>28</v>
      </c>
      <c r="L18" s="174"/>
      <c r="M18" s="175"/>
      <c r="N18" s="175"/>
      <c r="O18" s="175"/>
      <c r="P18" s="197"/>
      <c r="Q18" s="410"/>
      <c r="R18" s="736" t="str">
        <f>IF(U18="","",VLOOKUP(U18,Listes!$C$1:$D$19,2))</f>
        <v>Vérifie l'exhaustivité des pièces ( à réclamer ou dans le Sdp)</v>
      </c>
      <c r="S18" s="737"/>
      <c r="T18" s="737"/>
      <c r="U18" s="234">
        <v>103</v>
      </c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>
        <v>8</v>
      </c>
      <c r="C19" s="527" t="s">
        <v>291</v>
      </c>
      <c r="D19" s="528"/>
      <c r="E19" s="535"/>
      <c r="F19" s="536"/>
      <c r="G19" s="246"/>
      <c r="H19" s="169"/>
      <c r="I19" s="169"/>
      <c r="J19" s="36"/>
      <c r="K19" s="413" t="s">
        <v>28</v>
      </c>
      <c r="L19" s="174"/>
      <c r="M19" s="175"/>
      <c r="N19" s="175"/>
      <c r="O19" s="175"/>
      <c r="P19" s="197"/>
      <c r="Q19" s="410"/>
      <c r="R19" s="736" t="str">
        <f>IF(U19="","",VLOOKUP(U19,Listes!$C$1:$D$19,2))</f>
        <v/>
      </c>
      <c r="S19" s="737"/>
      <c r="T19" s="737"/>
      <c r="U19" s="234"/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>
        <v>3</v>
      </c>
      <c r="C20" s="527"/>
      <c r="D20" s="528"/>
      <c r="E20" s="535"/>
      <c r="F20" s="536"/>
      <c r="G20" s="246"/>
      <c r="H20" s="169"/>
      <c r="I20" s="169"/>
      <c r="J20" s="36"/>
      <c r="K20" s="413" t="s">
        <v>28</v>
      </c>
      <c r="L20" s="174" t="s">
        <v>28</v>
      </c>
      <c r="M20" s="175"/>
      <c r="N20" s="175"/>
      <c r="O20" s="175"/>
      <c r="P20" s="197"/>
      <c r="Q20" s="410" t="s">
        <v>282</v>
      </c>
      <c r="R20" s="736" t="str">
        <f>IF(U20="","",VLOOKUP(U20,Listes!$C$1:$D$19,2))</f>
        <v>S'adapte au circuit interne de travail</v>
      </c>
      <c r="S20" s="737"/>
      <c r="T20" s="737"/>
      <c r="U20" s="234">
        <v>201</v>
      </c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>
        <v>1</v>
      </c>
      <c r="C21" s="527"/>
      <c r="D21" s="528"/>
      <c r="E21" s="535"/>
      <c r="F21" s="536"/>
      <c r="G21" s="246"/>
      <c r="H21" s="169" t="s">
        <v>28</v>
      </c>
      <c r="I21" s="169"/>
      <c r="J21" s="36"/>
      <c r="K21" s="413" t="s">
        <v>28</v>
      </c>
      <c r="L21" s="174"/>
      <c r="M21" s="175"/>
      <c r="N21" s="175"/>
      <c r="O21" s="175"/>
      <c r="P21" s="197"/>
      <c r="Q21" s="410"/>
      <c r="R21" s="736" t="str">
        <f>IF(U21="","",VLOOKUP(U21,Listes!$C$1:$D$19,2))</f>
        <v/>
      </c>
      <c r="S21" s="737"/>
      <c r="T21" s="737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>
        <v>5</v>
      </c>
      <c r="C22" s="527"/>
      <c r="D22" s="528"/>
      <c r="E22" s="535"/>
      <c r="F22" s="536"/>
      <c r="G22" s="246"/>
      <c r="H22" s="169"/>
      <c r="I22" s="169"/>
      <c r="J22" s="36"/>
      <c r="K22" s="413" t="s">
        <v>29</v>
      </c>
      <c r="L22" s="174"/>
      <c r="M22" s="249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>
        <v>9</v>
      </c>
      <c r="C23" s="527"/>
      <c r="D23" s="528"/>
      <c r="E23" s="535"/>
      <c r="F23" s="536"/>
      <c r="G23" s="246"/>
      <c r="H23" s="169"/>
      <c r="I23" s="169" t="s">
        <v>28</v>
      </c>
      <c r="J23" s="36"/>
      <c r="K23" s="413" t="s">
        <v>29</v>
      </c>
      <c r="L23" s="174"/>
      <c r="M23" s="175"/>
      <c r="N23" s="175"/>
      <c r="O23" s="175"/>
      <c r="P23" s="197"/>
      <c r="Q23" s="410"/>
      <c r="R23" s="736" t="str">
        <f>IF(U23="","",VLOOKUP(U23,Listes!$C$1:$D$19,2))</f>
        <v/>
      </c>
      <c r="S23" s="737"/>
      <c r="T23" s="737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>
        <v>3</v>
      </c>
      <c r="C24" s="527"/>
      <c r="D24" s="528"/>
      <c r="E24" s="535"/>
      <c r="F24" s="536"/>
      <c r="G24" s="246"/>
      <c r="H24" s="169"/>
      <c r="I24" s="246" t="s">
        <v>28</v>
      </c>
      <c r="J24" s="36"/>
      <c r="K24" s="413" t="s">
        <v>29</v>
      </c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>
        <v>4</v>
      </c>
      <c r="C25" s="527"/>
      <c r="D25" s="528"/>
      <c r="E25" s="535"/>
      <c r="F25" s="536"/>
      <c r="G25" s="246"/>
      <c r="H25" s="169"/>
      <c r="I25" s="246"/>
      <c r="J25" s="36"/>
      <c r="K25" s="413" t="s">
        <v>29</v>
      </c>
      <c r="L25" s="174"/>
      <c r="M25" s="175"/>
      <c r="N25" s="175"/>
      <c r="O25" s="175"/>
      <c r="P25" s="197"/>
      <c r="Q25" s="410"/>
      <c r="R25" s="736" t="str">
        <f>IF(U25="","",VLOOKUP(U25,Listes!$C$1:$D$19,2))</f>
        <v/>
      </c>
      <c r="S25" s="737"/>
      <c r="T25" s="737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>
        <v>8</v>
      </c>
      <c r="C26" s="527"/>
      <c r="D26" s="528"/>
      <c r="E26" s="535"/>
      <c r="F26" s="536"/>
      <c r="G26" s="169"/>
      <c r="H26" s="169"/>
      <c r="I26" s="169"/>
      <c r="J26" s="36"/>
      <c r="K26" s="413" t="s">
        <v>29</v>
      </c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>
        <v>5</v>
      </c>
      <c r="C27" s="527"/>
      <c r="D27" s="528"/>
      <c r="E27" s="535"/>
      <c r="F27" s="536"/>
      <c r="G27" s="169"/>
      <c r="H27" s="169" t="s">
        <v>28</v>
      </c>
      <c r="I27" s="169"/>
      <c r="J27" s="36"/>
      <c r="K27" s="413" t="s">
        <v>29</v>
      </c>
      <c r="L27" s="174"/>
      <c r="M27" s="175"/>
      <c r="N27" s="175"/>
      <c r="O27" s="175"/>
      <c r="P27" s="197"/>
      <c r="Q27" s="410"/>
      <c r="R27" s="736" t="str">
        <f>IF(U27="","",VLOOKUP(U27,Listes!$C$1:$D$19,2))</f>
        <v/>
      </c>
      <c r="S27" s="737"/>
      <c r="T27" s="737"/>
      <c r="U27" s="234"/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>
        <v>6</v>
      </c>
      <c r="C28" s="527"/>
      <c r="D28" s="528"/>
      <c r="E28" s="535"/>
      <c r="F28" s="536"/>
      <c r="G28" s="169"/>
      <c r="H28" s="169"/>
      <c r="I28" s="169"/>
      <c r="J28" s="36"/>
      <c r="K28" s="413" t="s">
        <v>28</v>
      </c>
      <c r="L28" s="174"/>
      <c r="M28" s="175"/>
      <c r="N28" s="175"/>
      <c r="O28" s="175"/>
      <c r="P28" s="197"/>
      <c r="Q28" s="410"/>
      <c r="R28" s="736" t="str">
        <f>IF(U28="","",VLOOKUP(U28,Listes!$C$1:$D$19,2))</f>
        <v/>
      </c>
      <c r="S28" s="737"/>
      <c r="T28" s="737"/>
      <c r="U28" s="234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>
        <v>1</v>
      </c>
      <c r="C29" s="527"/>
      <c r="D29" s="528"/>
      <c r="E29" s="535"/>
      <c r="F29" s="536"/>
      <c r="G29" s="169"/>
      <c r="H29" s="169"/>
      <c r="I29" s="169"/>
      <c r="J29" s="36"/>
      <c r="K29" s="413" t="s">
        <v>28</v>
      </c>
      <c r="L29" s="174"/>
      <c r="M29" s="175"/>
      <c r="N29" s="175"/>
      <c r="O29" s="175"/>
      <c r="P29" s="197"/>
      <c r="Q29" s="410"/>
      <c r="R29" s="736" t="str">
        <f>IF(U29="","",VLOOKUP(U29,Listes!$C$1:$D$19,2))</f>
        <v/>
      </c>
      <c r="S29" s="737"/>
      <c r="T29" s="737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>
        <v>1</v>
      </c>
      <c r="C30" s="527"/>
      <c r="D30" s="528"/>
      <c r="E30" s="535"/>
      <c r="F30" s="536"/>
      <c r="G30" s="169"/>
      <c r="H30" s="169"/>
      <c r="I30" s="169"/>
      <c r="J30" s="36"/>
      <c r="K30" s="413" t="s">
        <v>28</v>
      </c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>
        <v>1</v>
      </c>
      <c r="C31" s="527"/>
      <c r="D31" s="528"/>
      <c r="E31" s="535"/>
      <c r="F31" s="536"/>
      <c r="G31" s="169"/>
      <c r="H31" s="169" t="s">
        <v>28</v>
      </c>
      <c r="I31" s="169"/>
      <c r="J31" s="36"/>
      <c r="K31" s="413" t="s">
        <v>28</v>
      </c>
      <c r="L31" s="174"/>
      <c r="M31" s="175"/>
      <c r="N31" s="175" t="s">
        <v>28</v>
      </c>
      <c r="O31" s="175"/>
      <c r="P31" s="197"/>
      <c r="Q31" s="410" t="s">
        <v>287</v>
      </c>
      <c r="R31" s="736" t="str">
        <f>IF(U31="","",VLOOKUP(U31,Listes!$C$1:$D$19,2))</f>
        <v>Lit et analyse l'ensemble des pièces</v>
      </c>
      <c r="S31" s="737"/>
      <c r="T31" s="737"/>
      <c r="U31" s="234">
        <v>101</v>
      </c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>
        <v>12</v>
      </c>
      <c r="C32" s="527"/>
      <c r="D32" s="528"/>
      <c r="E32" s="535"/>
      <c r="F32" s="536"/>
      <c r="G32" s="169"/>
      <c r="H32" s="169"/>
      <c r="I32" s="169"/>
      <c r="J32" s="36"/>
      <c r="K32" s="413" t="s">
        <v>28</v>
      </c>
      <c r="L32" s="174"/>
      <c r="M32" s="175"/>
      <c r="N32" s="175"/>
      <c r="O32" s="175"/>
      <c r="P32" s="197"/>
      <c r="Q32" s="410"/>
      <c r="R32" s="736" t="str">
        <f>IF(U32="","",VLOOKUP(U32,Listes!$C$1:$D$19,2))</f>
        <v>Vérifie la cohérence droits attendus et réels</v>
      </c>
      <c r="S32" s="737"/>
      <c r="T32" s="737"/>
      <c r="U32" s="234">
        <v>112</v>
      </c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>
        <v>2</v>
      </c>
      <c r="C33" s="527"/>
      <c r="D33" s="528"/>
      <c r="E33" s="535"/>
      <c r="F33" s="536"/>
      <c r="G33" s="169"/>
      <c r="H33" s="169"/>
      <c r="I33" s="169"/>
      <c r="J33" s="36"/>
      <c r="K33" s="413" t="s">
        <v>28</v>
      </c>
      <c r="L33" s="174"/>
      <c r="M33" s="175" t="s">
        <v>28</v>
      </c>
      <c r="N33" s="175"/>
      <c r="O33" s="175"/>
      <c r="P33" s="197"/>
      <c r="Q33" s="410" t="s">
        <v>281</v>
      </c>
      <c r="R33" s="736" t="str">
        <f>IF(U33="","",VLOOKUP(U33,Listes!$C$1:$D$19,2))</f>
        <v>Détermine les droits potentiels</v>
      </c>
      <c r="S33" s="737"/>
      <c r="T33" s="737"/>
      <c r="U33" s="234">
        <v>111</v>
      </c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>
        <v>5</v>
      </c>
      <c r="C34" s="527"/>
      <c r="D34" s="528"/>
      <c r="E34" s="535"/>
      <c r="F34" s="536"/>
      <c r="G34" s="169"/>
      <c r="H34" s="169"/>
      <c r="I34" s="169"/>
      <c r="J34" s="36"/>
      <c r="K34" s="413" t="s">
        <v>28</v>
      </c>
      <c r="L34" s="174"/>
      <c r="M34" s="175"/>
      <c r="N34" s="175"/>
      <c r="O34" s="175"/>
      <c r="P34" s="197"/>
      <c r="Q34" s="410"/>
      <c r="R34" s="736" t="str">
        <f>IF(U34="","",VLOOKUP(U34,Listes!$C$1:$D$19,2))</f>
        <v>Vérifie la cohérence droits attendus et réels</v>
      </c>
      <c r="S34" s="737"/>
      <c r="T34" s="737"/>
      <c r="U34" s="234">
        <v>112</v>
      </c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>
        <v>6</v>
      </c>
      <c r="C35" s="527"/>
      <c r="D35" s="528"/>
      <c r="E35" s="535"/>
      <c r="F35" s="536"/>
      <c r="G35" s="169"/>
      <c r="H35" s="169"/>
      <c r="I35" s="169"/>
      <c r="J35" s="36"/>
      <c r="K35" s="413" t="s">
        <v>28</v>
      </c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100</v>
      </c>
      <c r="C46" s="719">
        <f>COUNTA(C13:D45)</f>
        <v>7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4</v>
      </c>
      <c r="I46" s="604">
        <f>COUNTIF(I13:I45,"oui")</f>
        <v>3</v>
      </c>
      <c r="J46" s="612"/>
      <c r="K46" s="625">
        <f t="shared" ref="K46:P46" si="0">COUNTIF(K13:K45,"oui")</f>
        <v>17</v>
      </c>
      <c r="L46" s="628">
        <f t="shared" si="0"/>
        <v>1</v>
      </c>
      <c r="M46" s="631">
        <f t="shared" si="0"/>
        <v>2</v>
      </c>
      <c r="N46" s="631">
        <f t="shared" si="0"/>
        <v>1</v>
      </c>
      <c r="O46" s="631">
        <f t="shared" si="0"/>
        <v>0</v>
      </c>
      <c r="P46" s="634">
        <f t="shared" si="0"/>
        <v>0</v>
      </c>
      <c r="Q46" s="395"/>
      <c r="R46" s="689" t="s">
        <v>55</v>
      </c>
      <c r="S46" s="690"/>
      <c r="T46" s="725" t="str">
        <f>IF(P46=0,"",P46/C46)</f>
        <v/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6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7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3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>
        <f>K53/G53</f>
        <v>0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4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>
        <f>C71/(G68+L68)</f>
        <v>0</v>
      </c>
      <c r="D72" s="710"/>
      <c r="E72" s="710"/>
      <c r="F72" s="711"/>
      <c r="G72" s="709">
        <f>G71/(G68+L68)</f>
        <v>0</v>
      </c>
      <c r="H72" s="710"/>
      <c r="I72" s="709">
        <f>I71/(G68+L68)</f>
        <v>0</v>
      </c>
      <c r="J72" s="710"/>
      <c r="K72" s="710"/>
      <c r="L72" s="709">
        <f>L71/(G68+L68)</f>
        <v>0</v>
      </c>
      <c r="M72" s="710">
        <f>L71/(G68+L68)</f>
        <v>0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333" priority="45" operator="equal">
      <formula>0.5</formula>
    </cfRule>
    <cfRule type="cellIs" dxfId="332" priority="46" operator="lessThan">
      <formula>0.5</formula>
    </cfRule>
    <cfRule type="cellIs" dxfId="331" priority="47" operator="greaterThan">
      <formula>0.5</formula>
    </cfRule>
    <cfRule type="aboveAverage" priority="48"/>
  </conditionalFormatting>
  <conditionalFormatting sqref="C57:F57">
    <cfRule type="cellIs" dxfId="330" priority="42" operator="equal">
      <formula>0.5</formula>
    </cfRule>
    <cfRule type="cellIs" dxfId="329" priority="43" operator="lessThan">
      <formula>0.5</formula>
    </cfRule>
    <cfRule type="cellIs" dxfId="328" priority="44" operator="greaterThan">
      <formula>0.5</formula>
    </cfRule>
  </conditionalFormatting>
  <conditionalFormatting sqref="G57:H57">
    <cfRule type="cellIs" dxfId="327" priority="39" operator="equal">
      <formula>0.5</formula>
    </cfRule>
    <cfRule type="cellIs" dxfId="326" priority="40" operator="lessThan">
      <formula>0.5</formula>
    </cfRule>
    <cfRule type="cellIs" dxfId="325" priority="41" operator="greaterThan">
      <formula>0.5</formula>
    </cfRule>
  </conditionalFormatting>
  <conditionalFormatting sqref="I57">
    <cfRule type="cellIs" dxfId="324" priority="36" operator="equal">
      <formula>0.5</formula>
    </cfRule>
    <cfRule type="cellIs" dxfId="323" priority="37" operator="lessThan">
      <formula>0.5</formula>
    </cfRule>
    <cfRule type="cellIs" dxfId="322" priority="38" operator="greaterThan">
      <formula>0.5</formula>
    </cfRule>
  </conditionalFormatting>
  <conditionalFormatting sqref="L57">
    <cfRule type="cellIs" dxfId="321" priority="33" operator="equal">
      <formula>0.5</formula>
    </cfRule>
    <cfRule type="cellIs" dxfId="320" priority="34" operator="lessThan">
      <formula>0.5</formula>
    </cfRule>
    <cfRule type="cellIs" dxfId="319" priority="35" operator="greaterThan">
      <formula>0.5</formula>
    </cfRule>
  </conditionalFormatting>
  <conditionalFormatting sqref="C72:F72">
    <cfRule type="cellIs" dxfId="318" priority="29" operator="greaterThan">
      <formula>0.5</formula>
    </cfRule>
    <cfRule type="cellIs" dxfId="317" priority="30" operator="lessThan">
      <formula>0.5</formula>
    </cfRule>
    <cfRule type="cellIs" dxfId="316" priority="31" operator="equal">
      <formula>0.5</formula>
    </cfRule>
    <cfRule type="cellIs" dxfId="315" priority="32" operator="greaterThan">
      <formula>50</formula>
    </cfRule>
  </conditionalFormatting>
  <conditionalFormatting sqref="L72">
    <cfRule type="cellIs" dxfId="314" priority="17" operator="greaterThan">
      <formula>0.5</formula>
    </cfRule>
    <cfRule type="cellIs" dxfId="313" priority="18" operator="lessThan">
      <formula>0.5</formula>
    </cfRule>
    <cfRule type="cellIs" dxfId="312" priority="19" operator="equal">
      <formula>0.5</formula>
    </cfRule>
    <cfRule type="cellIs" dxfId="311" priority="20" operator="greaterThan">
      <formula>50</formula>
    </cfRule>
  </conditionalFormatting>
  <conditionalFormatting sqref="G72:H72">
    <cfRule type="cellIs" dxfId="310" priority="25" operator="greaterThan">
      <formula>0.5</formula>
    </cfRule>
    <cfRule type="cellIs" dxfId="309" priority="26" operator="lessThan">
      <formula>0.5</formula>
    </cfRule>
    <cfRule type="cellIs" dxfId="308" priority="27" operator="equal">
      <formula>0.5</formula>
    </cfRule>
    <cfRule type="cellIs" dxfId="307" priority="28" operator="greaterThan">
      <formula>50</formula>
    </cfRule>
  </conditionalFormatting>
  <conditionalFormatting sqref="I72">
    <cfRule type="cellIs" dxfId="306" priority="21" operator="greaterThan">
      <formula>0.5</formula>
    </cfRule>
    <cfRule type="cellIs" dxfId="305" priority="22" operator="lessThan">
      <formula>0.5</formula>
    </cfRule>
    <cfRule type="cellIs" dxfId="304" priority="23" operator="equal">
      <formula>0.5</formula>
    </cfRule>
    <cfRule type="cellIs" dxfId="303" priority="24" operator="greaterThan">
      <formula>50</formula>
    </cfRule>
  </conditionalFormatting>
  <conditionalFormatting sqref="C88:F88">
    <cfRule type="cellIs" dxfId="302" priority="13" operator="greaterThan">
      <formula>0.5</formula>
    </cfRule>
    <cfRule type="cellIs" dxfId="301" priority="14" operator="lessThan">
      <formula>0.5</formula>
    </cfRule>
    <cfRule type="cellIs" dxfId="300" priority="15" operator="equal">
      <formula>0.5</formula>
    </cfRule>
    <cfRule type="cellIs" dxfId="299" priority="16" operator="greaterThan">
      <formula>50</formula>
    </cfRule>
  </conditionalFormatting>
  <conditionalFormatting sqref="L88">
    <cfRule type="cellIs" dxfId="298" priority="5" operator="greaterThan">
      <formula>0.5</formula>
    </cfRule>
    <cfRule type="cellIs" dxfId="297" priority="6" operator="lessThan">
      <formula>0.5</formula>
    </cfRule>
    <cfRule type="cellIs" dxfId="296" priority="7" operator="equal">
      <formula>0.5</formula>
    </cfRule>
    <cfRule type="cellIs" dxfId="295" priority="8" operator="greaterThan">
      <formula>50</formula>
    </cfRule>
  </conditionalFormatting>
  <conditionalFormatting sqref="I88">
    <cfRule type="cellIs" dxfId="294" priority="9" operator="greaterThan">
      <formula>0.5</formula>
    </cfRule>
    <cfRule type="cellIs" dxfId="293" priority="10" operator="lessThan">
      <formula>0.5</formula>
    </cfRule>
    <cfRule type="cellIs" dxfId="292" priority="11" operator="equal">
      <formula>0.5</formula>
    </cfRule>
    <cfRule type="cellIs" dxfId="291" priority="12" operator="greaterThan">
      <formula>50</formula>
    </cfRule>
  </conditionalFormatting>
  <conditionalFormatting sqref="G88:H88">
    <cfRule type="cellIs" dxfId="290" priority="1" operator="greaterThan">
      <formula>0.5</formula>
    </cfRule>
    <cfRule type="cellIs" dxfId="289" priority="2" operator="lessThan">
      <formula>0.5</formula>
    </cfRule>
    <cfRule type="cellIs" dxfId="288" priority="3" operator="equal">
      <formula>0.5</formula>
    </cfRule>
    <cfRule type="cellIs" dxfId="287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Q12" sqref="Q12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83">
        <v>1</v>
      </c>
      <c r="R6" s="184" t="s">
        <v>61</v>
      </c>
      <c r="S6" s="56" t="str">
        <f>IF(OR($O$4=2,$O$4=4),Listes!E12,"")</f>
        <v/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206"/>
      <c r="B13" s="223"/>
      <c r="C13" s="748"/>
      <c r="D13" s="749"/>
      <c r="E13" s="549"/>
      <c r="F13" s="550"/>
      <c r="G13" s="168"/>
      <c r="H13" s="168"/>
      <c r="I13" s="168"/>
      <c r="J13" s="30"/>
      <c r="K13" s="199"/>
      <c r="L13" s="171"/>
      <c r="M13" s="172"/>
      <c r="N13" s="172"/>
      <c r="O13" s="172"/>
      <c r="P13" s="196"/>
      <c r="Q13" s="178"/>
      <c r="R13" s="712" t="str">
        <f>IF(U13="","",VLOOKUP(U13,Listes!$C$1:$D$19,2))</f>
        <v/>
      </c>
      <c r="S13" s="713"/>
      <c r="T13" s="713"/>
      <c r="U13" s="233"/>
      <c r="V13" s="176"/>
      <c r="W13" s="177"/>
      <c r="X13" s="177"/>
      <c r="Y13" s="177"/>
      <c r="Z13" s="178"/>
      <c r="AA13" s="738">
        <f>H46</f>
        <v>0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/>
      <c r="C14" s="746"/>
      <c r="D14" s="528"/>
      <c r="E14" s="535"/>
      <c r="F14" s="536"/>
      <c r="G14" s="246"/>
      <c r="H14" s="169"/>
      <c r="I14" s="169"/>
      <c r="J14" s="36"/>
      <c r="K14" s="198"/>
      <c r="L14" s="174"/>
      <c r="M14" s="175"/>
      <c r="N14" s="175"/>
      <c r="O14" s="175"/>
      <c r="P14" s="197"/>
      <c r="Q14" s="410"/>
      <c r="R14" s="736" t="str">
        <f>IF(U14="","",VLOOKUP(U14,Listes!$C$1:$D$19,2))</f>
        <v/>
      </c>
      <c r="S14" s="737"/>
      <c r="T14" s="737"/>
      <c r="U14" s="234"/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4"/>
      <c r="B15" s="222"/>
      <c r="C15" s="746"/>
      <c r="D15" s="528"/>
      <c r="E15" s="535"/>
      <c r="F15" s="536"/>
      <c r="G15" s="246"/>
      <c r="H15" s="169"/>
      <c r="I15" s="169"/>
      <c r="J15" s="36"/>
      <c r="K15" s="248"/>
      <c r="L15" s="174"/>
      <c r="M15" s="175"/>
      <c r="N15" s="175"/>
      <c r="O15" s="175"/>
      <c r="P15" s="197"/>
      <c r="Q15" s="410"/>
      <c r="R15" s="736" t="str">
        <f>IF(U15="","",VLOOKUP(U15,Listes!$C$1:$D$19,2))</f>
        <v/>
      </c>
      <c r="S15" s="737"/>
      <c r="T15" s="737"/>
      <c r="U15" s="234"/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4"/>
      <c r="B16" s="222"/>
      <c r="C16" s="746"/>
      <c r="D16" s="528"/>
      <c r="E16" s="535"/>
      <c r="F16" s="536"/>
      <c r="G16" s="246"/>
      <c r="H16" s="169"/>
      <c r="I16" s="169"/>
      <c r="J16" s="36"/>
      <c r="K16" s="248"/>
      <c r="L16" s="174"/>
      <c r="M16" s="175"/>
      <c r="N16" s="175"/>
      <c r="O16" s="175"/>
      <c r="P16" s="197"/>
      <c r="Q16" s="410"/>
      <c r="R16" s="736" t="str">
        <f>IF(U16="","",VLOOKUP(U16,Listes!$C$1:$D$19,2))</f>
        <v/>
      </c>
      <c r="S16" s="737"/>
      <c r="T16" s="737"/>
      <c r="U16" s="234"/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/>
      <c r="C17" s="746"/>
      <c r="D17" s="528"/>
      <c r="E17" s="535"/>
      <c r="F17" s="536"/>
      <c r="G17" s="246"/>
      <c r="H17" s="169"/>
      <c r="I17" s="169"/>
      <c r="J17" s="36"/>
      <c r="K17" s="248"/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/>
      <c r="C18" s="746"/>
      <c r="D18" s="528"/>
      <c r="E18" s="535"/>
      <c r="F18" s="536"/>
      <c r="G18" s="169"/>
      <c r="H18" s="169"/>
      <c r="I18" s="169"/>
      <c r="J18" s="36"/>
      <c r="K18" s="248"/>
      <c r="L18" s="174"/>
      <c r="M18" s="175"/>
      <c r="N18" s="175"/>
      <c r="O18" s="175"/>
      <c r="P18" s="197"/>
      <c r="Q18" s="410"/>
      <c r="R18" s="736" t="str">
        <f>IF(U18="","",VLOOKUP(U18,Listes!$C$1:$D$19,2))</f>
        <v/>
      </c>
      <c r="S18" s="737"/>
      <c r="T18" s="737"/>
      <c r="U18" s="234"/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/>
      <c r="C19" s="746"/>
      <c r="D19" s="528"/>
      <c r="E19" s="535"/>
      <c r="F19" s="536"/>
      <c r="G19" s="246"/>
      <c r="H19" s="169"/>
      <c r="I19" s="169"/>
      <c r="J19" s="36"/>
      <c r="K19" s="248"/>
      <c r="L19" s="174"/>
      <c r="M19" s="175"/>
      <c r="N19" s="175"/>
      <c r="O19" s="175"/>
      <c r="P19" s="197"/>
      <c r="Q19" s="410"/>
      <c r="R19" s="736" t="str">
        <f>IF(U19="","",VLOOKUP(U19,Listes!$C$1:$D$19,2))</f>
        <v/>
      </c>
      <c r="S19" s="737"/>
      <c r="T19" s="737"/>
      <c r="U19" s="234"/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/>
      <c r="C20" s="746"/>
      <c r="D20" s="528"/>
      <c r="E20" s="535"/>
      <c r="F20" s="536"/>
      <c r="G20" s="246"/>
      <c r="H20" s="169"/>
      <c r="I20" s="169"/>
      <c r="J20" s="36"/>
      <c r="K20" s="248"/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/>
      <c r="C21" s="535"/>
      <c r="D21" s="528"/>
      <c r="E21" s="535"/>
      <c r="F21" s="536"/>
      <c r="G21" s="169"/>
      <c r="H21" s="169"/>
      <c r="I21" s="169"/>
      <c r="J21" s="36"/>
      <c r="K21" s="198"/>
      <c r="L21" s="174"/>
      <c r="M21" s="175"/>
      <c r="N21" s="175"/>
      <c r="O21" s="175"/>
      <c r="P21" s="197"/>
      <c r="Q21" s="410"/>
      <c r="R21" s="736" t="str">
        <f>IF(U21="","",VLOOKUP(U21,Listes!$C$1:$D$19,2))</f>
        <v/>
      </c>
      <c r="S21" s="737"/>
      <c r="T21" s="737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/>
      <c r="C22" s="535"/>
      <c r="D22" s="528"/>
      <c r="E22" s="535"/>
      <c r="F22" s="536"/>
      <c r="G22" s="169"/>
      <c r="H22" s="169"/>
      <c r="I22" s="169"/>
      <c r="J22" s="36"/>
      <c r="K22" s="198"/>
      <c r="L22" s="174"/>
      <c r="M22" s="175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/>
      <c r="C23" s="535"/>
      <c r="D23" s="528"/>
      <c r="E23" s="535"/>
      <c r="F23" s="536"/>
      <c r="G23" s="169"/>
      <c r="H23" s="169"/>
      <c r="I23" s="169"/>
      <c r="J23" s="36"/>
      <c r="K23" s="198"/>
      <c r="L23" s="174"/>
      <c r="M23" s="175"/>
      <c r="N23" s="175"/>
      <c r="O23" s="175"/>
      <c r="P23" s="197"/>
      <c r="Q23" s="410"/>
      <c r="R23" s="736" t="str">
        <f>IF(U23="","",VLOOKUP(U23,Listes!$C$1:$D$19,2))</f>
        <v/>
      </c>
      <c r="S23" s="737"/>
      <c r="T23" s="737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/>
      <c r="C24" s="535"/>
      <c r="D24" s="528"/>
      <c r="E24" s="535"/>
      <c r="F24" s="536"/>
      <c r="G24" s="169"/>
      <c r="H24" s="169"/>
      <c r="I24" s="169"/>
      <c r="J24" s="36"/>
      <c r="K24" s="198"/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/>
      <c r="C25" s="535"/>
      <c r="D25" s="528"/>
      <c r="E25" s="535"/>
      <c r="F25" s="536"/>
      <c r="G25" s="169"/>
      <c r="H25" s="169"/>
      <c r="I25" s="169"/>
      <c r="J25" s="36"/>
      <c r="K25" s="198"/>
      <c r="L25" s="174"/>
      <c r="M25" s="175"/>
      <c r="N25" s="175"/>
      <c r="O25" s="175"/>
      <c r="P25" s="175"/>
      <c r="Q25" s="410"/>
      <c r="R25" s="736" t="str">
        <f>IF(U25="","",VLOOKUP(U25,Listes!$C$1:$D$19,2))</f>
        <v/>
      </c>
      <c r="S25" s="737"/>
      <c r="T25" s="737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/>
      <c r="C26" s="535"/>
      <c r="D26" s="528"/>
      <c r="E26" s="535"/>
      <c r="F26" s="536"/>
      <c r="G26" s="169"/>
      <c r="H26" s="169"/>
      <c r="I26" s="169"/>
      <c r="J26" s="36"/>
      <c r="K26" s="198"/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/>
      <c r="C27" s="535"/>
      <c r="D27" s="528"/>
      <c r="E27" s="535"/>
      <c r="F27" s="536"/>
      <c r="G27" s="169"/>
      <c r="H27" s="169"/>
      <c r="I27" s="169"/>
      <c r="J27" s="36"/>
      <c r="K27" s="198"/>
      <c r="L27" s="174"/>
      <c r="M27" s="175"/>
      <c r="N27" s="175"/>
      <c r="O27" s="175"/>
      <c r="P27" s="197"/>
      <c r="Q27" s="410"/>
      <c r="R27" s="736" t="str">
        <f>IF(U27="","",VLOOKUP(U27,Listes!$C$1:$D$19,2))</f>
        <v/>
      </c>
      <c r="S27" s="737"/>
      <c r="T27" s="737"/>
      <c r="U27" s="234"/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/>
      <c r="C28" s="535"/>
      <c r="D28" s="528"/>
      <c r="E28" s="535"/>
      <c r="F28" s="536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10"/>
      <c r="R28" s="736" t="str">
        <f>IF(U28="","",VLOOKUP(U28,Listes!$C$1:$D$19,2))</f>
        <v/>
      </c>
      <c r="S28" s="737"/>
      <c r="T28" s="737"/>
      <c r="U28" s="234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/>
      <c r="C29" s="535"/>
      <c r="D29" s="528"/>
      <c r="E29" s="535"/>
      <c r="F29" s="536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10"/>
      <c r="R29" s="736" t="str">
        <f>IF(U29="","",VLOOKUP(U29,Listes!$C$1:$D$19,2))</f>
        <v/>
      </c>
      <c r="S29" s="737"/>
      <c r="T29" s="737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/>
      <c r="C30" s="535"/>
      <c r="D30" s="528"/>
      <c r="E30" s="535"/>
      <c r="F30" s="536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35"/>
      <c r="D31" s="528"/>
      <c r="E31" s="535"/>
      <c r="F31" s="536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0</v>
      </c>
      <c r="C46" s="719">
        <f>COUNTA(C13:D45)</f>
        <v>0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0</v>
      </c>
      <c r="I46" s="604">
        <f>COUNTIF(I13:I45,"oui")</f>
        <v>0</v>
      </c>
      <c r="J46" s="612"/>
      <c r="K46" s="625">
        <f t="shared" ref="K46:P46" si="0">COUNTIF(K13:K45,"oui")</f>
        <v>0</v>
      </c>
      <c r="L46" s="628">
        <f t="shared" si="0"/>
        <v>0</v>
      </c>
      <c r="M46" s="631">
        <f t="shared" si="0"/>
        <v>0</v>
      </c>
      <c r="N46" s="631">
        <f t="shared" si="0"/>
        <v>0</v>
      </c>
      <c r="O46" s="631">
        <f t="shared" si="0"/>
        <v>0</v>
      </c>
      <c r="P46" s="634">
        <f t="shared" si="0"/>
        <v>0</v>
      </c>
      <c r="Q46" s="392"/>
      <c r="R46" s="689" t="s">
        <v>55</v>
      </c>
      <c r="S46" s="690"/>
      <c r="T46" s="725" t="str">
        <f>IF(P46=0,"",P46/C46)</f>
        <v/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3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4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5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0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 t="e">
        <f>K53/G53</f>
        <v>#DIV/0!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0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 t="e">
        <f>C71/(G68+L68)</f>
        <v>#DIV/0!</v>
      </c>
      <c r="D72" s="710"/>
      <c r="E72" s="710"/>
      <c r="F72" s="711"/>
      <c r="G72" s="709" t="e">
        <f>G71/(G68+L68)</f>
        <v>#DIV/0!</v>
      </c>
      <c r="H72" s="710"/>
      <c r="I72" s="709" t="e">
        <f>I71/(G68+L68)</f>
        <v>#DIV/0!</v>
      </c>
      <c r="J72" s="710"/>
      <c r="K72" s="710"/>
      <c r="L72" s="709" t="e">
        <f>L71/(G68+L68)</f>
        <v>#DIV/0!</v>
      </c>
      <c r="M72" s="710" t="e">
        <f>L71/(G68+L68)</f>
        <v>#DIV/0!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286" priority="45" operator="equal">
      <formula>0.5</formula>
    </cfRule>
    <cfRule type="cellIs" dxfId="285" priority="46" operator="lessThan">
      <formula>0.5</formula>
    </cfRule>
    <cfRule type="cellIs" dxfId="284" priority="47" operator="greaterThan">
      <formula>0.5</formula>
    </cfRule>
    <cfRule type="aboveAverage" priority="48"/>
  </conditionalFormatting>
  <conditionalFormatting sqref="C57:F57">
    <cfRule type="cellIs" dxfId="283" priority="42" operator="equal">
      <formula>0.5</formula>
    </cfRule>
    <cfRule type="cellIs" dxfId="282" priority="43" operator="lessThan">
      <formula>0.5</formula>
    </cfRule>
    <cfRule type="cellIs" dxfId="281" priority="44" operator="greaterThan">
      <formula>0.5</formula>
    </cfRule>
  </conditionalFormatting>
  <conditionalFormatting sqref="G57:H57">
    <cfRule type="cellIs" dxfId="280" priority="39" operator="equal">
      <formula>0.5</formula>
    </cfRule>
    <cfRule type="cellIs" dxfId="279" priority="40" operator="lessThan">
      <formula>0.5</formula>
    </cfRule>
    <cfRule type="cellIs" dxfId="278" priority="41" operator="greaterThan">
      <formula>0.5</formula>
    </cfRule>
  </conditionalFormatting>
  <conditionalFormatting sqref="I57">
    <cfRule type="cellIs" dxfId="277" priority="36" operator="equal">
      <formula>0.5</formula>
    </cfRule>
    <cfRule type="cellIs" dxfId="276" priority="37" operator="lessThan">
      <formula>0.5</formula>
    </cfRule>
    <cfRule type="cellIs" dxfId="275" priority="38" operator="greaterThan">
      <formula>0.5</formula>
    </cfRule>
  </conditionalFormatting>
  <conditionalFormatting sqref="L57">
    <cfRule type="cellIs" dxfId="274" priority="33" operator="equal">
      <formula>0.5</formula>
    </cfRule>
    <cfRule type="cellIs" dxfId="273" priority="34" operator="lessThan">
      <formula>0.5</formula>
    </cfRule>
    <cfRule type="cellIs" dxfId="272" priority="35" operator="greaterThan">
      <formula>0.5</formula>
    </cfRule>
  </conditionalFormatting>
  <conditionalFormatting sqref="C72:F72">
    <cfRule type="cellIs" dxfId="271" priority="29" operator="greaterThan">
      <formula>0.5</formula>
    </cfRule>
    <cfRule type="cellIs" dxfId="270" priority="30" operator="lessThan">
      <formula>0.5</formula>
    </cfRule>
    <cfRule type="cellIs" dxfId="269" priority="31" operator="equal">
      <formula>0.5</formula>
    </cfRule>
    <cfRule type="cellIs" dxfId="268" priority="32" operator="greaterThan">
      <formula>50</formula>
    </cfRule>
  </conditionalFormatting>
  <conditionalFormatting sqref="L72">
    <cfRule type="cellIs" dxfId="267" priority="17" operator="greaterThan">
      <formula>0.5</formula>
    </cfRule>
    <cfRule type="cellIs" dxfId="266" priority="18" operator="lessThan">
      <formula>0.5</formula>
    </cfRule>
    <cfRule type="cellIs" dxfId="265" priority="19" operator="equal">
      <formula>0.5</formula>
    </cfRule>
    <cfRule type="cellIs" dxfId="264" priority="20" operator="greaterThan">
      <formula>50</formula>
    </cfRule>
  </conditionalFormatting>
  <conditionalFormatting sqref="G72:H72">
    <cfRule type="cellIs" dxfId="263" priority="25" operator="greaterThan">
      <formula>0.5</formula>
    </cfRule>
    <cfRule type="cellIs" dxfId="262" priority="26" operator="lessThan">
      <formula>0.5</formula>
    </cfRule>
    <cfRule type="cellIs" dxfId="261" priority="27" operator="equal">
      <formula>0.5</formula>
    </cfRule>
    <cfRule type="cellIs" dxfId="260" priority="28" operator="greaterThan">
      <formula>50</formula>
    </cfRule>
  </conditionalFormatting>
  <conditionalFormatting sqref="I72">
    <cfRule type="cellIs" dxfId="259" priority="21" operator="greaterThan">
      <formula>0.5</formula>
    </cfRule>
    <cfRule type="cellIs" dxfId="258" priority="22" operator="lessThan">
      <formula>0.5</formula>
    </cfRule>
    <cfRule type="cellIs" dxfId="257" priority="23" operator="equal">
      <formula>0.5</formula>
    </cfRule>
    <cfRule type="cellIs" dxfId="256" priority="24" operator="greaterThan">
      <formula>50</formula>
    </cfRule>
  </conditionalFormatting>
  <conditionalFormatting sqref="C88:F88">
    <cfRule type="cellIs" dxfId="255" priority="13" operator="greaterThan">
      <formula>0.5</formula>
    </cfRule>
    <cfRule type="cellIs" dxfId="254" priority="14" operator="lessThan">
      <formula>0.5</formula>
    </cfRule>
    <cfRule type="cellIs" dxfId="253" priority="15" operator="equal">
      <formula>0.5</formula>
    </cfRule>
    <cfRule type="cellIs" dxfId="252" priority="16" operator="greaterThan">
      <formula>50</formula>
    </cfRule>
  </conditionalFormatting>
  <conditionalFormatting sqref="L88">
    <cfRule type="cellIs" dxfId="251" priority="5" operator="greaterThan">
      <formula>0.5</formula>
    </cfRule>
    <cfRule type="cellIs" dxfId="250" priority="6" operator="lessThan">
      <formula>0.5</formula>
    </cfRule>
    <cfRule type="cellIs" dxfId="249" priority="7" operator="equal">
      <formula>0.5</formula>
    </cfRule>
    <cfRule type="cellIs" dxfId="248" priority="8" operator="greaterThan">
      <formula>50</formula>
    </cfRule>
  </conditionalFormatting>
  <conditionalFormatting sqref="I88">
    <cfRule type="cellIs" dxfId="247" priority="9" operator="greaterThan">
      <formula>0.5</formula>
    </cfRule>
    <cfRule type="cellIs" dxfId="246" priority="10" operator="lessThan">
      <formula>0.5</formula>
    </cfRule>
    <cfRule type="cellIs" dxfId="245" priority="11" operator="equal">
      <formula>0.5</formula>
    </cfRule>
    <cfRule type="cellIs" dxfId="244" priority="12" operator="greaterThan">
      <formula>50</formula>
    </cfRule>
  </conditionalFormatting>
  <conditionalFormatting sqref="G88:H88">
    <cfRule type="cellIs" dxfId="243" priority="1" operator="greaterThan">
      <formula>0.5</formula>
    </cfRule>
    <cfRule type="cellIs" dxfId="242" priority="2" operator="lessThan">
      <formula>0.5</formula>
    </cfRule>
    <cfRule type="cellIs" dxfId="241" priority="3" operator="equal">
      <formula>0.5</formula>
    </cfRule>
    <cfRule type="cellIs" dxfId="240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fitToWidth="0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Q12" sqref="Q12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470"/>
      <c r="G2" s="470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83">
        <v>1</v>
      </c>
      <c r="R6" s="184" t="s">
        <v>61</v>
      </c>
      <c r="S6" s="56" t="str">
        <f>IF(OR($O$4=2,$O$4=4),Listes!E13,"")</f>
        <v/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/>
      <c r="C13" s="547"/>
      <c r="D13" s="548"/>
      <c r="E13" s="549"/>
      <c r="F13" s="550"/>
      <c r="G13" s="168"/>
      <c r="H13" s="168"/>
      <c r="I13" s="168"/>
      <c r="J13" s="30"/>
      <c r="K13" s="199"/>
      <c r="L13" s="171"/>
      <c r="M13" s="172"/>
      <c r="N13" s="172"/>
      <c r="O13" s="172"/>
      <c r="P13" s="196"/>
      <c r="Q13" s="178"/>
      <c r="R13" s="712" t="str">
        <f>IF(U13="","",VLOOKUP(U13,Listes!$C$1:$D$19,2))</f>
        <v/>
      </c>
      <c r="S13" s="713"/>
      <c r="T13" s="713"/>
      <c r="U13" s="233"/>
      <c r="V13" s="176"/>
      <c r="W13" s="177"/>
      <c r="X13" s="177"/>
      <c r="Y13" s="177"/>
      <c r="Z13" s="178"/>
      <c r="AA13" s="738">
        <f>H46</f>
        <v>0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/>
      <c r="C14" s="527"/>
      <c r="D14" s="528"/>
      <c r="E14" s="535"/>
      <c r="F14" s="536"/>
      <c r="G14" s="251"/>
      <c r="H14" s="169"/>
      <c r="I14" s="169"/>
      <c r="J14" s="36"/>
      <c r="K14" s="198"/>
      <c r="L14" s="174"/>
      <c r="M14" s="175"/>
      <c r="N14" s="175"/>
      <c r="O14" s="175"/>
      <c r="P14" s="197"/>
      <c r="Q14" s="410"/>
      <c r="R14" s="736" t="str">
        <f>IF(U14="","",VLOOKUP(U14,Listes!$C$1:$D$19,2))</f>
        <v/>
      </c>
      <c r="S14" s="737"/>
      <c r="T14" s="737"/>
      <c r="U14" s="234"/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22"/>
      <c r="C15" s="527"/>
      <c r="D15" s="528"/>
      <c r="E15" s="535"/>
      <c r="F15" s="536"/>
      <c r="G15" s="251"/>
      <c r="H15" s="169"/>
      <c r="I15" s="169"/>
      <c r="J15" s="36"/>
      <c r="K15" s="250"/>
      <c r="L15" s="174"/>
      <c r="M15" s="175"/>
      <c r="N15" s="175"/>
      <c r="O15" s="175"/>
      <c r="P15" s="197"/>
      <c r="Q15" s="410"/>
      <c r="R15" s="736" t="str">
        <f>IF(U15="","",VLOOKUP(U15,Listes!$C$1:$D$19,2))</f>
        <v/>
      </c>
      <c r="S15" s="737"/>
      <c r="T15" s="737"/>
      <c r="U15" s="234"/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/>
      <c r="C16" s="527"/>
      <c r="D16" s="528"/>
      <c r="E16" s="535"/>
      <c r="F16" s="536"/>
      <c r="G16" s="251"/>
      <c r="H16" s="169"/>
      <c r="I16" s="169"/>
      <c r="J16" s="36"/>
      <c r="K16" s="250"/>
      <c r="L16" s="174"/>
      <c r="M16" s="175"/>
      <c r="N16" s="175"/>
      <c r="O16" s="175"/>
      <c r="P16" s="197"/>
      <c r="Q16" s="410"/>
      <c r="R16" s="736" t="str">
        <f>IF(U16="","",VLOOKUP(U16,Listes!$C$1:$D$19,2))</f>
        <v/>
      </c>
      <c r="S16" s="737"/>
      <c r="T16" s="737"/>
      <c r="U16" s="234"/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/>
      <c r="C17" s="527"/>
      <c r="D17" s="528"/>
      <c r="E17" s="535"/>
      <c r="F17" s="536"/>
      <c r="G17" s="169"/>
      <c r="H17" s="169"/>
      <c r="I17" s="169"/>
      <c r="J17" s="36"/>
      <c r="K17" s="250"/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/>
      <c r="C18" s="527"/>
      <c r="D18" s="528"/>
      <c r="E18" s="535"/>
      <c r="F18" s="536"/>
      <c r="G18" s="251"/>
      <c r="H18" s="169"/>
      <c r="I18" s="169"/>
      <c r="J18" s="36"/>
      <c r="K18" s="250"/>
      <c r="L18" s="174"/>
      <c r="M18" s="175"/>
      <c r="N18" s="175"/>
      <c r="O18" s="175"/>
      <c r="P18" s="197"/>
      <c r="Q18" s="410"/>
      <c r="R18" s="736" t="str">
        <f>IF(U18="","",VLOOKUP(U18,Listes!$C$1:$D$19,2))</f>
        <v/>
      </c>
      <c r="S18" s="737"/>
      <c r="T18" s="737"/>
      <c r="U18" s="234"/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/>
      <c r="C19" s="527"/>
      <c r="D19" s="528"/>
      <c r="E19" s="535"/>
      <c r="F19" s="536"/>
      <c r="G19" s="251"/>
      <c r="H19" s="169"/>
      <c r="I19" s="169"/>
      <c r="J19" s="36"/>
      <c r="K19" s="250"/>
      <c r="L19" s="174"/>
      <c r="M19" s="175"/>
      <c r="N19" s="175"/>
      <c r="O19" s="175"/>
      <c r="P19" s="197"/>
      <c r="Q19" s="410"/>
      <c r="R19" s="736" t="str">
        <f>IF(U19="","",VLOOKUP(U19,Listes!$C$1:$D$19,2))</f>
        <v/>
      </c>
      <c r="S19" s="737"/>
      <c r="T19" s="737"/>
      <c r="U19" s="234"/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/>
      <c r="C20" s="527"/>
      <c r="D20" s="528"/>
      <c r="E20" s="535"/>
      <c r="F20" s="536"/>
      <c r="G20" s="251"/>
      <c r="H20" s="169"/>
      <c r="I20" s="169"/>
      <c r="J20" s="36"/>
      <c r="K20" s="250"/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/>
      <c r="C21" s="527"/>
      <c r="D21" s="528"/>
      <c r="E21" s="535"/>
      <c r="F21" s="536"/>
      <c r="G21" s="251"/>
      <c r="H21" s="169"/>
      <c r="I21" s="169"/>
      <c r="J21" s="36"/>
      <c r="K21" s="250"/>
      <c r="L21" s="174"/>
      <c r="M21" s="175"/>
      <c r="N21" s="175"/>
      <c r="O21" s="175"/>
      <c r="P21" s="197"/>
      <c r="Q21" s="410"/>
      <c r="R21" s="736" t="str">
        <f>IF(U21="","",VLOOKUP(U21,Listes!$C$1:$D$19,2))</f>
        <v/>
      </c>
      <c r="S21" s="737"/>
      <c r="T21" s="737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/>
      <c r="C22" s="527"/>
      <c r="D22" s="528"/>
      <c r="E22" s="535"/>
      <c r="F22" s="536"/>
      <c r="G22" s="251"/>
      <c r="H22" s="169"/>
      <c r="I22" s="169"/>
      <c r="J22" s="36"/>
      <c r="K22" s="250"/>
      <c r="L22" s="174"/>
      <c r="M22" s="175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/>
      <c r="C23" s="527"/>
      <c r="D23" s="528"/>
      <c r="E23" s="535"/>
      <c r="F23" s="536"/>
      <c r="G23" s="251"/>
      <c r="H23" s="169"/>
      <c r="I23" s="169"/>
      <c r="J23" s="36"/>
      <c r="K23" s="250"/>
      <c r="L23" s="174"/>
      <c r="M23" s="175"/>
      <c r="N23" s="175"/>
      <c r="O23" s="175"/>
      <c r="P23" s="197"/>
      <c r="Q23" s="410"/>
      <c r="R23" s="736" t="str">
        <f>IF(U23="","",VLOOKUP(U23,Listes!$C$1:$D$19,2))</f>
        <v/>
      </c>
      <c r="S23" s="737"/>
      <c r="T23" s="737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/>
      <c r="C24" s="527"/>
      <c r="D24" s="528"/>
      <c r="E24" s="535"/>
      <c r="F24" s="536"/>
      <c r="G24" s="251"/>
      <c r="H24" s="169"/>
      <c r="I24" s="169"/>
      <c r="J24" s="36"/>
      <c r="K24" s="250"/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/>
      <c r="C25" s="527"/>
      <c r="D25" s="528"/>
      <c r="E25" s="535"/>
      <c r="F25" s="536"/>
      <c r="G25" s="251"/>
      <c r="H25" s="169"/>
      <c r="I25" s="169"/>
      <c r="J25" s="36"/>
      <c r="K25" s="250"/>
      <c r="L25" s="174"/>
      <c r="M25" s="175"/>
      <c r="N25" s="175"/>
      <c r="O25" s="175"/>
      <c r="P25" s="197"/>
      <c r="Q25" s="410"/>
      <c r="R25" s="736" t="str">
        <f>IF(U25="","",VLOOKUP(U25,Listes!$C$1:$D$19,2))</f>
        <v/>
      </c>
      <c r="S25" s="737"/>
      <c r="T25" s="737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/>
      <c r="C26" s="527"/>
      <c r="D26" s="528"/>
      <c r="E26" s="535"/>
      <c r="F26" s="536"/>
      <c r="G26" s="251"/>
      <c r="H26" s="169"/>
      <c r="I26" s="169"/>
      <c r="J26" s="36"/>
      <c r="K26" s="250"/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/>
      <c r="C27" s="527"/>
      <c r="D27" s="528"/>
      <c r="E27" s="535"/>
      <c r="F27" s="536"/>
      <c r="G27" s="251"/>
      <c r="H27" s="169"/>
      <c r="I27" s="169"/>
      <c r="J27" s="36"/>
      <c r="K27" s="250"/>
      <c r="L27" s="174"/>
      <c r="M27" s="175"/>
      <c r="N27" s="175"/>
      <c r="O27" s="175"/>
      <c r="P27" s="197"/>
      <c r="Q27" s="410"/>
      <c r="R27" s="736" t="str">
        <f>IF(U27="","",VLOOKUP(U27,Listes!$C$1:$D$19,2))</f>
        <v/>
      </c>
      <c r="S27" s="737"/>
      <c r="T27" s="737"/>
      <c r="U27" s="234"/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/>
      <c r="C28" s="535"/>
      <c r="D28" s="528"/>
      <c r="E28" s="535"/>
      <c r="F28" s="536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10"/>
      <c r="R28" s="736" t="str">
        <f>IF(U28="","",VLOOKUP(U28,Listes!$C$1:$D$19,2))</f>
        <v/>
      </c>
      <c r="S28" s="737"/>
      <c r="T28" s="737"/>
      <c r="U28" s="234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/>
      <c r="C29" s="535"/>
      <c r="D29" s="528"/>
      <c r="E29" s="535"/>
      <c r="F29" s="536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10"/>
      <c r="R29" s="736" t="str">
        <f>IF(U29="","",VLOOKUP(U29,Listes!$C$1:$D$19,2))</f>
        <v/>
      </c>
      <c r="S29" s="737"/>
      <c r="T29" s="737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/>
      <c r="C30" s="535"/>
      <c r="D30" s="528"/>
      <c r="E30" s="535"/>
      <c r="F30" s="536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35"/>
      <c r="D31" s="528"/>
      <c r="E31" s="535"/>
      <c r="F31" s="536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0</v>
      </c>
      <c r="C46" s="719">
        <f>COUNTA(C13:D45)</f>
        <v>0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0</v>
      </c>
      <c r="I46" s="604">
        <f>COUNTIF(I13:I45,"oui")</f>
        <v>0</v>
      </c>
      <c r="J46" s="612"/>
      <c r="K46" s="625">
        <f t="shared" ref="K46:P46" si="0">COUNTIF(K13:K45,"oui")</f>
        <v>0</v>
      </c>
      <c r="L46" s="628">
        <f t="shared" si="0"/>
        <v>0</v>
      </c>
      <c r="M46" s="631">
        <f t="shared" si="0"/>
        <v>0</v>
      </c>
      <c r="N46" s="631">
        <f t="shared" si="0"/>
        <v>0</v>
      </c>
      <c r="O46" s="631">
        <f t="shared" si="0"/>
        <v>0</v>
      </c>
      <c r="P46" s="634">
        <f t="shared" si="0"/>
        <v>0</v>
      </c>
      <c r="Q46" s="392"/>
      <c r="R46" s="689" t="s">
        <v>55</v>
      </c>
      <c r="S46" s="690"/>
      <c r="T46" s="725" t="str">
        <f>IF(P46=0,"",P46/C46)</f>
        <v/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3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4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0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 t="e">
        <f>K53/G53</f>
        <v>#DIV/0!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0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 t="e">
        <f>C71/(G68+L68)</f>
        <v>#DIV/0!</v>
      </c>
      <c r="D72" s="710"/>
      <c r="E72" s="710"/>
      <c r="F72" s="711"/>
      <c r="G72" s="709" t="e">
        <f>G71/(G68+L68)</f>
        <v>#DIV/0!</v>
      </c>
      <c r="H72" s="710"/>
      <c r="I72" s="709" t="e">
        <f>I71/(G68+L68)</f>
        <v>#DIV/0!</v>
      </c>
      <c r="J72" s="710"/>
      <c r="K72" s="710"/>
      <c r="L72" s="709" t="e">
        <f>L71/(G68+L68)</f>
        <v>#DIV/0!</v>
      </c>
      <c r="M72" s="710" t="e">
        <f>L71/(G68+L68)</f>
        <v>#DIV/0!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G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5:D25"/>
    <mergeCell ref="E26:F26"/>
    <mergeCell ref="R26:T26"/>
    <mergeCell ref="C27:D27"/>
    <mergeCell ref="E27:F27"/>
    <mergeCell ref="R27:T27"/>
    <mergeCell ref="C24:D24"/>
    <mergeCell ref="E24:F24"/>
    <mergeCell ref="R24:T24"/>
    <mergeCell ref="E25:F25"/>
    <mergeCell ref="R25:T25"/>
    <mergeCell ref="C26:D26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239" priority="45" operator="equal">
      <formula>0.5</formula>
    </cfRule>
    <cfRule type="cellIs" dxfId="238" priority="46" operator="lessThan">
      <formula>0.5</formula>
    </cfRule>
    <cfRule type="cellIs" dxfId="237" priority="47" operator="greaterThan">
      <formula>0.5</formula>
    </cfRule>
    <cfRule type="aboveAverage" priority="48"/>
  </conditionalFormatting>
  <conditionalFormatting sqref="C57:F57">
    <cfRule type="cellIs" dxfId="236" priority="42" operator="equal">
      <formula>0.5</formula>
    </cfRule>
    <cfRule type="cellIs" dxfId="235" priority="43" operator="lessThan">
      <formula>0.5</formula>
    </cfRule>
    <cfRule type="cellIs" dxfId="234" priority="44" operator="greaterThan">
      <formula>0.5</formula>
    </cfRule>
  </conditionalFormatting>
  <conditionalFormatting sqref="G57:H57">
    <cfRule type="cellIs" dxfId="233" priority="39" operator="equal">
      <formula>0.5</formula>
    </cfRule>
    <cfRule type="cellIs" dxfId="232" priority="40" operator="lessThan">
      <formula>0.5</formula>
    </cfRule>
    <cfRule type="cellIs" dxfId="231" priority="41" operator="greaterThan">
      <formula>0.5</formula>
    </cfRule>
  </conditionalFormatting>
  <conditionalFormatting sqref="I57">
    <cfRule type="cellIs" dxfId="230" priority="36" operator="equal">
      <formula>0.5</formula>
    </cfRule>
    <cfRule type="cellIs" dxfId="229" priority="37" operator="lessThan">
      <formula>0.5</formula>
    </cfRule>
    <cfRule type="cellIs" dxfId="228" priority="38" operator="greaterThan">
      <formula>0.5</formula>
    </cfRule>
  </conditionalFormatting>
  <conditionalFormatting sqref="L57">
    <cfRule type="cellIs" dxfId="227" priority="33" operator="equal">
      <formula>0.5</formula>
    </cfRule>
    <cfRule type="cellIs" dxfId="226" priority="34" operator="lessThan">
      <formula>0.5</formula>
    </cfRule>
    <cfRule type="cellIs" dxfId="225" priority="35" operator="greaterThan">
      <formula>0.5</formula>
    </cfRule>
  </conditionalFormatting>
  <conditionalFormatting sqref="C72:F72">
    <cfRule type="cellIs" dxfId="224" priority="29" operator="greaterThan">
      <formula>0.5</formula>
    </cfRule>
    <cfRule type="cellIs" dxfId="223" priority="30" operator="lessThan">
      <formula>0.5</formula>
    </cfRule>
    <cfRule type="cellIs" dxfId="222" priority="31" operator="equal">
      <formula>0.5</formula>
    </cfRule>
    <cfRule type="cellIs" dxfId="221" priority="32" operator="greaterThan">
      <formula>50</formula>
    </cfRule>
  </conditionalFormatting>
  <conditionalFormatting sqref="L72">
    <cfRule type="cellIs" dxfId="220" priority="17" operator="greaterThan">
      <formula>0.5</formula>
    </cfRule>
    <cfRule type="cellIs" dxfId="219" priority="18" operator="lessThan">
      <formula>0.5</formula>
    </cfRule>
    <cfRule type="cellIs" dxfId="218" priority="19" operator="equal">
      <formula>0.5</formula>
    </cfRule>
    <cfRule type="cellIs" dxfId="217" priority="20" operator="greaterThan">
      <formula>50</formula>
    </cfRule>
  </conditionalFormatting>
  <conditionalFormatting sqref="G72:H72">
    <cfRule type="cellIs" dxfId="216" priority="25" operator="greaterThan">
      <formula>0.5</formula>
    </cfRule>
    <cfRule type="cellIs" dxfId="215" priority="26" operator="lessThan">
      <formula>0.5</formula>
    </cfRule>
    <cfRule type="cellIs" dxfId="214" priority="27" operator="equal">
      <formula>0.5</formula>
    </cfRule>
    <cfRule type="cellIs" dxfId="213" priority="28" operator="greaterThan">
      <formula>50</formula>
    </cfRule>
  </conditionalFormatting>
  <conditionalFormatting sqref="I72">
    <cfRule type="cellIs" dxfId="212" priority="21" operator="greaterThan">
      <formula>0.5</formula>
    </cfRule>
    <cfRule type="cellIs" dxfId="211" priority="22" operator="lessThan">
      <formula>0.5</formula>
    </cfRule>
    <cfRule type="cellIs" dxfId="210" priority="23" operator="equal">
      <formula>0.5</formula>
    </cfRule>
    <cfRule type="cellIs" dxfId="209" priority="24" operator="greaterThan">
      <formula>50</formula>
    </cfRule>
  </conditionalFormatting>
  <conditionalFormatting sqref="C88:F88">
    <cfRule type="cellIs" dxfId="208" priority="13" operator="greaterThan">
      <formula>0.5</formula>
    </cfRule>
    <cfRule type="cellIs" dxfId="207" priority="14" operator="lessThan">
      <formula>0.5</formula>
    </cfRule>
    <cfRule type="cellIs" dxfId="206" priority="15" operator="equal">
      <formula>0.5</formula>
    </cfRule>
    <cfRule type="cellIs" dxfId="205" priority="16" operator="greaterThan">
      <formula>50</formula>
    </cfRule>
  </conditionalFormatting>
  <conditionalFormatting sqref="L88">
    <cfRule type="cellIs" dxfId="204" priority="5" operator="greaterThan">
      <formula>0.5</formula>
    </cfRule>
    <cfRule type="cellIs" dxfId="203" priority="6" operator="lessThan">
      <formula>0.5</formula>
    </cfRule>
    <cfRule type="cellIs" dxfId="202" priority="7" operator="equal">
      <formula>0.5</formula>
    </cfRule>
    <cfRule type="cellIs" dxfId="201" priority="8" operator="greaterThan">
      <formula>50</formula>
    </cfRule>
  </conditionalFormatting>
  <conditionalFormatting sqref="I88">
    <cfRule type="cellIs" dxfId="200" priority="9" operator="greaterThan">
      <formula>0.5</formula>
    </cfRule>
    <cfRule type="cellIs" dxfId="199" priority="10" operator="lessThan">
      <formula>0.5</formula>
    </cfRule>
    <cfRule type="cellIs" dxfId="198" priority="11" operator="equal">
      <formula>0.5</formula>
    </cfRule>
    <cfRule type="cellIs" dxfId="197" priority="12" operator="greaterThan">
      <formula>50</formula>
    </cfRule>
  </conditionalFormatting>
  <conditionalFormatting sqref="G88:H88">
    <cfRule type="cellIs" dxfId="196" priority="1" operator="greaterThan">
      <formula>0.5</formula>
    </cfRule>
    <cfRule type="cellIs" dxfId="195" priority="2" operator="lessThan">
      <formula>0.5</formula>
    </cfRule>
    <cfRule type="cellIs" dxfId="194" priority="3" operator="equal">
      <formula>0.5</formula>
    </cfRule>
    <cfRule type="cellIs" dxfId="193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3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V44:Z45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R12" sqref="R12:T12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470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83">
        <v>1</v>
      </c>
      <c r="R6" s="184" t="s">
        <v>61</v>
      </c>
      <c r="S6" s="56" t="str">
        <f>IF(OR($O$4=2,$O$4=4),Listes!E14,"")</f>
        <v/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/>
      <c r="C13" s="547"/>
      <c r="D13" s="548"/>
      <c r="E13" s="549"/>
      <c r="F13" s="550"/>
      <c r="G13" s="168"/>
      <c r="H13" s="168"/>
      <c r="I13" s="168"/>
      <c r="J13" s="30"/>
      <c r="K13" s="199"/>
      <c r="L13" s="171"/>
      <c r="M13" s="172"/>
      <c r="N13" s="172"/>
      <c r="O13" s="172"/>
      <c r="P13" s="196"/>
      <c r="Q13" s="178"/>
      <c r="R13" s="712" t="str">
        <f>IF(U13="","",VLOOKUP(U13,Listes!$C$1:$D$19,2))</f>
        <v/>
      </c>
      <c r="S13" s="713"/>
      <c r="T13" s="713"/>
      <c r="U13" s="233"/>
      <c r="V13" s="176"/>
      <c r="W13" s="177"/>
      <c r="X13" s="177"/>
      <c r="Y13" s="177"/>
      <c r="Z13" s="178"/>
      <c r="AA13" s="738">
        <f>H46</f>
        <v>0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/>
      <c r="C14" s="527"/>
      <c r="D14" s="528"/>
      <c r="E14" s="535"/>
      <c r="F14" s="536"/>
      <c r="G14" s="169"/>
      <c r="H14" s="169"/>
      <c r="I14" s="169"/>
      <c r="J14" s="36"/>
      <c r="K14" s="198"/>
      <c r="L14" s="174"/>
      <c r="M14" s="175"/>
      <c r="N14" s="175"/>
      <c r="O14" s="175"/>
      <c r="P14" s="197"/>
      <c r="Q14" s="410"/>
      <c r="R14" s="736" t="str">
        <f>IF(U14="","",VLOOKUP(U14,Listes!$C$1:$D$19,2))</f>
        <v/>
      </c>
      <c r="S14" s="737"/>
      <c r="T14" s="737"/>
      <c r="U14" s="234"/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22"/>
      <c r="C15" s="527"/>
      <c r="D15" s="528"/>
      <c r="E15" s="535"/>
      <c r="F15" s="536"/>
      <c r="G15" s="169"/>
      <c r="H15" s="169"/>
      <c r="I15" s="169"/>
      <c r="J15" s="36"/>
      <c r="K15" s="198"/>
      <c r="L15" s="174"/>
      <c r="M15" s="175"/>
      <c r="N15" s="175"/>
      <c r="O15" s="175"/>
      <c r="P15" s="197"/>
      <c r="Q15" s="410"/>
      <c r="R15" s="736" t="str">
        <f>IF(U15="","",VLOOKUP(U15,Listes!$C$1:$D$19,2))</f>
        <v/>
      </c>
      <c r="S15" s="737"/>
      <c r="T15" s="737"/>
      <c r="U15" s="234"/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/>
      <c r="C16" s="527"/>
      <c r="D16" s="528"/>
      <c r="E16" s="535"/>
      <c r="F16" s="536"/>
      <c r="G16" s="169"/>
      <c r="H16" s="169"/>
      <c r="I16" s="169"/>
      <c r="J16" s="36"/>
      <c r="K16" s="198"/>
      <c r="L16" s="174"/>
      <c r="M16" s="175"/>
      <c r="N16" s="175"/>
      <c r="O16" s="175"/>
      <c r="P16" s="197"/>
      <c r="Q16" s="410"/>
      <c r="R16" s="736" t="str">
        <f>IF(U16="","",VLOOKUP(U16,Listes!$C$1:$D$19,2))</f>
        <v/>
      </c>
      <c r="S16" s="737"/>
      <c r="T16" s="737"/>
      <c r="U16" s="234"/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/>
      <c r="C17" s="527"/>
      <c r="D17" s="528"/>
      <c r="E17" s="535"/>
      <c r="F17" s="536"/>
      <c r="G17" s="169"/>
      <c r="H17" s="169"/>
      <c r="I17" s="169"/>
      <c r="J17" s="36"/>
      <c r="K17" s="198"/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/>
      <c r="C18" s="527"/>
      <c r="D18" s="528"/>
      <c r="E18" s="535"/>
      <c r="F18" s="536"/>
      <c r="G18" s="169"/>
      <c r="H18" s="169"/>
      <c r="I18" s="169"/>
      <c r="J18" s="36"/>
      <c r="K18" s="198"/>
      <c r="L18" s="174"/>
      <c r="M18" s="175"/>
      <c r="N18" s="175"/>
      <c r="O18" s="175"/>
      <c r="P18" s="197"/>
      <c r="Q18" s="410"/>
      <c r="R18" s="736" t="str">
        <f>IF(U18="","",VLOOKUP(U18,Listes!$C$1:$D$19,2))</f>
        <v/>
      </c>
      <c r="S18" s="737"/>
      <c r="T18" s="737"/>
      <c r="U18" s="234"/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/>
      <c r="C19" s="527"/>
      <c r="D19" s="528"/>
      <c r="E19" s="535"/>
      <c r="F19" s="536"/>
      <c r="G19" s="169"/>
      <c r="H19" s="169"/>
      <c r="I19" s="169"/>
      <c r="J19" s="36"/>
      <c r="K19" s="198"/>
      <c r="L19" s="174"/>
      <c r="M19" s="175"/>
      <c r="N19" s="175"/>
      <c r="O19" s="175"/>
      <c r="P19" s="197"/>
      <c r="Q19" s="410"/>
      <c r="R19" s="736" t="str">
        <f>IF(U19="","",VLOOKUP(U19,Listes!$C$1:$D$19,2))</f>
        <v/>
      </c>
      <c r="S19" s="737"/>
      <c r="T19" s="737"/>
      <c r="U19" s="234"/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/>
      <c r="C20" s="527"/>
      <c r="D20" s="528"/>
      <c r="E20" s="535"/>
      <c r="F20" s="536"/>
      <c r="G20" s="169"/>
      <c r="H20" s="169"/>
      <c r="I20" s="169"/>
      <c r="J20" s="36"/>
      <c r="K20" s="198"/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/>
      <c r="C21" s="527"/>
      <c r="D21" s="528"/>
      <c r="E21" s="535"/>
      <c r="F21" s="536"/>
      <c r="G21" s="169"/>
      <c r="H21" s="169"/>
      <c r="I21" s="169"/>
      <c r="J21" s="36"/>
      <c r="K21" s="198"/>
      <c r="L21" s="174"/>
      <c r="M21" s="175"/>
      <c r="N21" s="175"/>
      <c r="O21" s="175"/>
      <c r="P21" s="197"/>
      <c r="Q21" s="410"/>
      <c r="R21" s="736" t="str">
        <f>IF(U21="","",VLOOKUP(U21,Listes!$C$1:$D$19,2))</f>
        <v/>
      </c>
      <c r="S21" s="737"/>
      <c r="T21" s="737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/>
      <c r="C22" s="527"/>
      <c r="D22" s="528"/>
      <c r="E22" s="535"/>
      <c r="F22" s="536"/>
      <c r="G22" s="169"/>
      <c r="H22" s="169"/>
      <c r="I22" s="169"/>
      <c r="J22" s="36"/>
      <c r="K22" s="198"/>
      <c r="L22" s="174"/>
      <c r="M22" s="175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/>
      <c r="C23" s="527"/>
      <c r="D23" s="528"/>
      <c r="E23" s="535"/>
      <c r="F23" s="536"/>
      <c r="G23" s="169"/>
      <c r="H23" s="169"/>
      <c r="I23" s="169"/>
      <c r="J23" s="36"/>
      <c r="K23" s="198"/>
      <c r="L23" s="174"/>
      <c r="M23" s="175"/>
      <c r="N23" s="175"/>
      <c r="O23" s="175"/>
      <c r="P23" s="197"/>
      <c r="Q23" s="410"/>
      <c r="R23" s="736" t="str">
        <f>IF(U23="","",VLOOKUP(U23,Listes!$C$1:$D$19,2))</f>
        <v/>
      </c>
      <c r="S23" s="737"/>
      <c r="T23" s="737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/>
      <c r="C24" s="527"/>
      <c r="D24" s="528"/>
      <c r="E24" s="535"/>
      <c r="F24" s="536"/>
      <c r="G24" s="169"/>
      <c r="H24" s="169"/>
      <c r="I24" s="169"/>
      <c r="J24" s="36"/>
      <c r="K24" s="198"/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/>
      <c r="C25" s="527"/>
      <c r="D25" s="528"/>
      <c r="E25" s="535"/>
      <c r="F25" s="536"/>
      <c r="G25" s="169"/>
      <c r="H25" s="169"/>
      <c r="I25" s="169"/>
      <c r="J25" s="36"/>
      <c r="K25" s="198"/>
      <c r="L25" s="174"/>
      <c r="M25" s="175"/>
      <c r="N25" s="175"/>
      <c r="O25" s="175"/>
      <c r="P25" s="197"/>
      <c r="Q25" s="410"/>
      <c r="R25" s="736" t="str">
        <f>IF(U25="","",VLOOKUP(U25,Listes!$C$1:$D$19,2))</f>
        <v/>
      </c>
      <c r="S25" s="737"/>
      <c r="T25" s="737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/>
      <c r="C26" s="527"/>
      <c r="D26" s="528"/>
      <c r="E26" s="535"/>
      <c r="F26" s="536"/>
      <c r="G26" s="169"/>
      <c r="H26" s="169"/>
      <c r="I26" s="169"/>
      <c r="J26" s="36"/>
      <c r="K26" s="198"/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/>
      <c r="C27" s="535"/>
      <c r="D27" s="528"/>
      <c r="E27" s="535"/>
      <c r="F27" s="536"/>
      <c r="G27" s="169"/>
      <c r="H27" s="169"/>
      <c r="I27" s="169"/>
      <c r="J27" s="36"/>
      <c r="K27" s="198"/>
      <c r="L27" s="174"/>
      <c r="M27" s="175"/>
      <c r="N27" s="175"/>
      <c r="O27" s="175"/>
      <c r="P27" s="197"/>
      <c r="Q27" s="410"/>
      <c r="R27" s="736" t="str">
        <f>IF(U27="","",VLOOKUP(U27,Listes!$C$1:$D$19,2))</f>
        <v/>
      </c>
      <c r="S27" s="737"/>
      <c r="T27" s="737"/>
      <c r="U27" s="234"/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/>
      <c r="C28" s="535"/>
      <c r="D28" s="528"/>
      <c r="E28" s="535"/>
      <c r="F28" s="536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10"/>
      <c r="R28" s="736" t="str">
        <f>IF(U28="","",VLOOKUP(U28,Listes!$C$1:$D$19,2))</f>
        <v/>
      </c>
      <c r="S28" s="737"/>
      <c r="T28" s="737"/>
      <c r="U28" s="234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/>
      <c r="C29" s="535"/>
      <c r="D29" s="528"/>
      <c r="E29" s="535"/>
      <c r="F29" s="536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10"/>
      <c r="R29" s="736" t="str">
        <f>IF(U29="","",VLOOKUP(U29,Listes!$C$1:$D$19,2))</f>
        <v/>
      </c>
      <c r="S29" s="737"/>
      <c r="T29" s="737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/>
      <c r="C30" s="535"/>
      <c r="D30" s="528"/>
      <c r="E30" s="535"/>
      <c r="F30" s="536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35"/>
      <c r="D31" s="528"/>
      <c r="E31" s="535"/>
      <c r="F31" s="536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0</v>
      </c>
      <c r="C46" s="719">
        <f>COUNTA(C13:D45)</f>
        <v>0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0</v>
      </c>
      <c r="I46" s="604">
        <f>COUNTIF(I13:I45,"oui")</f>
        <v>0</v>
      </c>
      <c r="J46" s="612"/>
      <c r="K46" s="625">
        <f t="shared" ref="K46:P46" si="0">COUNTIF(K13:K45,"oui")</f>
        <v>0</v>
      </c>
      <c r="L46" s="628">
        <f t="shared" si="0"/>
        <v>0</v>
      </c>
      <c r="M46" s="631">
        <f t="shared" si="0"/>
        <v>0</v>
      </c>
      <c r="N46" s="631">
        <f t="shared" si="0"/>
        <v>0</v>
      </c>
      <c r="O46" s="631">
        <f t="shared" si="0"/>
        <v>0</v>
      </c>
      <c r="P46" s="634">
        <f t="shared" si="0"/>
        <v>0</v>
      </c>
      <c r="Q46" s="392"/>
      <c r="R46" s="689" t="s">
        <v>55</v>
      </c>
      <c r="S46" s="690"/>
      <c r="T46" s="725" t="str">
        <f>IF(P46=0,"",P46/C46)</f>
        <v/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3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4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0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 t="e">
        <f>K53/G53</f>
        <v>#DIV/0!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0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 t="e">
        <f>C71/(G68+L68)</f>
        <v>#DIV/0!</v>
      </c>
      <c r="D72" s="710"/>
      <c r="E72" s="710"/>
      <c r="F72" s="711"/>
      <c r="G72" s="709" t="e">
        <f>G71/(G68+L68)</f>
        <v>#DIV/0!</v>
      </c>
      <c r="H72" s="710"/>
      <c r="I72" s="709" t="e">
        <f>I71/(G68+L68)</f>
        <v>#DIV/0!</v>
      </c>
      <c r="J72" s="710"/>
      <c r="K72" s="710"/>
      <c r="L72" s="709" t="e">
        <f>L71/(G68+L68)</f>
        <v>#DIV/0!</v>
      </c>
      <c r="M72" s="710" t="e">
        <f>L71/(G68+L68)</f>
        <v>#DIV/0!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F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192" priority="45" operator="equal">
      <formula>0.5</formula>
    </cfRule>
    <cfRule type="cellIs" dxfId="191" priority="46" operator="lessThan">
      <formula>0.5</formula>
    </cfRule>
    <cfRule type="cellIs" dxfId="190" priority="47" operator="greaterThan">
      <formula>0.5</formula>
    </cfRule>
    <cfRule type="aboveAverage" priority="48"/>
  </conditionalFormatting>
  <conditionalFormatting sqref="C57:F57">
    <cfRule type="cellIs" dxfId="189" priority="42" operator="equal">
      <formula>0.5</formula>
    </cfRule>
    <cfRule type="cellIs" dxfId="188" priority="43" operator="lessThan">
      <formula>0.5</formula>
    </cfRule>
    <cfRule type="cellIs" dxfId="187" priority="44" operator="greaterThan">
      <formula>0.5</formula>
    </cfRule>
  </conditionalFormatting>
  <conditionalFormatting sqref="G57:H57">
    <cfRule type="cellIs" dxfId="186" priority="39" operator="equal">
      <formula>0.5</formula>
    </cfRule>
    <cfRule type="cellIs" dxfId="185" priority="40" operator="lessThan">
      <formula>0.5</formula>
    </cfRule>
    <cfRule type="cellIs" dxfId="184" priority="41" operator="greaterThan">
      <formula>0.5</formula>
    </cfRule>
  </conditionalFormatting>
  <conditionalFormatting sqref="I57">
    <cfRule type="cellIs" dxfId="183" priority="36" operator="equal">
      <formula>0.5</formula>
    </cfRule>
    <cfRule type="cellIs" dxfId="182" priority="37" operator="lessThan">
      <formula>0.5</formula>
    </cfRule>
    <cfRule type="cellIs" dxfId="181" priority="38" operator="greaterThan">
      <formula>0.5</formula>
    </cfRule>
  </conditionalFormatting>
  <conditionalFormatting sqref="L57">
    <cfRule type="cellIs" dxfId="180" priority="33" operator="equal">
      <formula>0.5</formula>
    </cfRule>
    <cfRule type="cellIs" dxfId="179" priority="34" operator="lessThan">
      <formula>0.5</formula>
    </cfRule>
    <cfRule type="cellIs" dxfId="178" priority="35" operator="greaterThan">
      <formula>0.5</formula>
    </cfRule>
  </conditionalFormatting>
  <conditionalFormatting sqref="C72:F72">
    <cfRule type="cellIs" dxfId="177" priority="29" operator="greaterThan">
      <formula>0.5</formula>
    </cfRule>
    <cfRule type="cellIs" dxfId="176" priority="30" operator="lessThan">
      <formula>0.5</formula>
    </cfRule>
    <cfRule type="cellIs" dxfId="175" priority="31" operator="equal">
      <formula>0.5</formula>
    </cfRule>
    <cfRule type="cellIs" dxfId="174" priority="32" operator="greaterThan">
      <formula>50</formula>
    </cfRule>
  </conditionalFormatting>
  <conditionalFormatting sqref="L72">
    <cfRule type="cellIs" dxfId="173" priority="17" operator="greaterThan">
      <formula>0.5</formula>
    </cfRule>
    <cfRule type="cellIs" dxfId="172" priority="18" operator="lessThan">
      <formula>0.5</formula>
    </cfRule>
    <cfRule type="cellIs" dxfId="171" priority="19" operator="equal">
      <formula>0.5</formula>
    </cfRule>
    <cfRule type="cellIs" dxfId="170" priority="20" operator="greaterThan">
      <formula>50</formula>
    </cfRule>
  </conditionalFormatting>
  <conditionalFormatting sqref="G72:H72">
    <cfRule type="cellIs" dxfId="169" priority="25" operator="greaterThan">
      <formula>0.5</formula>
    </cfRule>
    <cfRule type="cellIs" dxfId="168" priority="26" operator="lessThan">
      <formula>0.5</formula>
    </cfRule>
    <cfRule type="cellIs" dxfId="167" priority="27" operator="equal">
      <formula>0.5</formula>
    </cfRule>
    <cfRule type="cellIs" dxfId="166" priority="28" operator="greaterThan">
      <formula>50</formula>
    </cfRule>
  </conditionalFormatting>
  <conditionalFormatting sqref="I72">
    <cfRule type="cellIs" dxfId="165" priority="21" operator="greaterThan">
      <formula>0.5</formula>
    </cfRule>
    <cfRule type="cellIs" dxfId="164" priority="22" operator="lessThan">
      <formula>0.5</formula>
    </cfRule>
    <cfRule type="cellIs" dxfId="163" priority="23" operator="equal">
      <formula>0.5</formula>
    </cfRule>
    <cfRule type="cellIs" dxfId="162" priority="24" operator="greaterThan">
      <formula>50</formula>
    </cfRule>
  </conditionalFormatting>
  <conditionalFormatting sqref="C88:F88">
    <cfRule type="cellIs" dxfId="161" priority="13" operator="greaterThan">
      <formula>0.5</formula>
    </cfRule>
    <cfRule type="cellIs" dxfId="160" priority="14" operator="lessThan">
      <formula>0.5</formula>
    </cfRule>
    <cfRule type="cellIs" dxfId="159" priority="15" operator="equal">
      <formula>0.5</formula>
    </cfRule>
    <cfRule type="cellIs" dxfId="158" priority="16" operator="greaterThan">
      <formula>50</formula>
    </cfRule>
  </conditionalFormatting>
  <conditionalFormatting sqref="L88">
    <cfRule type="cellIs" dxfId="157" priority="5" operator="greaterThan">
      <formula>0.5</formula>
    </cfRule>
    <cfRule type="cellIs" dxfId="156" priority="6" operator="lessThan">
      <formula>0.5</formula>
    </cfRule>
    <cfRule type="cellIs" dxfId="155" priority="7" operator="equal">
      <formula>0.5</formula>
    </cfRule>
    <cfRule type="cellIs" dxfId="154" priority="8" operator="greaterThan">
      <formula>50</formula>
    </cfRule>
  </conditionalFormatting>
  <conditionalFormatting sqref="I88">
    <cfRule type="cellIs" dxfId="153" priority="9" operator="greaterThan">
      <formula>0.5</formula>
    </cfRule>
    <cfRule type="cellIs" dxfId="152" priority="10" operator="lessThan">
      <formula>0.5</formula>
    </cfRule>
    <cfRule type="cellIs" dxfId="151" priority="11" operator="equal">
      <formula>0.5</formula>
    </cfRule>
    <cfRule type="cellIs" dxfId="150" priority="12" operator="greaterThan">
      <formula>50</formula>
    </cfRule>
  </conditionalFormatting>
  <conditionalFormatting sqref="G88:H88">
    <cfRule type="cellIs" dxfId="149" priority="1" operator="greaterThan">
      <formula>0.5</formula>
    </cfRule>
    <cfRule type="cellIs" dxfId="148" priority="2" operator="lessThan">
      <formula>0.5</formula>
    </cfRule>
    <cfRule type="cellIs" dxfId="147" priority="3" operator="equal">
      <formula>0.5</formula>
    </cfRule>
    <cfRule type="cellIs" dxfId="146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M19" sqref="M19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470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83">
        <v>1</v>
      </c>
      <c r="R6" s="184" t="s">
        <v>61</v>
      </c>
      <c r="S6" s="56" t="str">
        <f>IF(OR($O$4=2,$O$4=4),Listes!E15,"")</f>
        <v/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/>
      <c r="C13" s="547"/>
      <c r="D13" s="548"/>
      <c r="E13" s="549"/>
      <c r="F13" s="550"/>
      <c r="G13" s="168"/>
      <c r="H13" s="168"/>
      <c r="I13" s="168"/>
      <c r="J13" s="30"/>
      <c r="K13" s="199"/>
      <c r="L13" s="171"/>
      <c r="M13" s="172"/>
      <c r="N13" s="172"/>
      <c r="O13" s="172"/>
      <c r="P13" s="196"/>
      <c r="Q13" s="178"/>
      <c r="R13" s="712" t="str">
        <f>IF(U13="","",VLOOKUP(U13,Listes!$C$1:$D$19,2))</f>
        <v/>
      </c>
      <c r="S13" s="713"/>
      <c r="T13" s="713"/>
      <c r="U13" s="233"/>
      <c r="V13" s="176"/>
      <c r="W13" s="177"/>
      <c r="X13" s="177"/>
      <c r="Y13" s="177"/>
      <c r="Z13" s="178"/>
      <c r="AA13" s="738">
        <f>H46</f>
        <v>0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/>
      <c r="C14" s="527"/>
      <c r="D14" s="528"/>
      <c r="E14" s="535"/>
      <c r="F14" s="536"/>
      <c r="G14" s="169"/>
      <c r="H14" s="169"/>
      <c r="I14" s="169"/>
      <c r="J14" s="36"/>
      <c r="K14" s="198"/>
      <c r="L14" s="174"/>
      <c r="M14" s="175"/>
      <c r="N14" s="175"/>
      <c r="O14" s="175"/>
      <c r="P14" s="197"/>
      <c r="Q14" s="410"/>
      <c r="R14" s="736" t="str">
        <f>IF(U14="","",VLOOKUP(U14,Listes!$C$1:$D$19,2))</f>
        <v/>
      </c>
      <c r="S14" s="737"/>
      <c r="T14" s="737"/>
      <c r="U14" s="234"/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22"/>
      <c r="C15" s="527"/>
      <c r="D15" s="528"/>
      <c r="E15" s="535"/>
      <c r="F15" s="536"/>
      <c r="G15" s="169"/>
      <c r="H15" s="169"/>
      <c r="I15" s="169"/>
      <c r="J15" s="36"/>
      <c r="K15" s="198"/>
      <c r="L15" s="174"/>
      <c r="M15" s="175"/>
      <c r="N15" s="175"/>
      <c r="O15" s="175"/>
      <c r="P15" s="197"/>
      <c r="Q15" s="410"/>
      <c r="R15" s="736" t="str">
        <f>IF(U15="","",VLOOKUP(U15,Listes!$C$1:$D$19,2))</f>
        <v/>
      </c>
      <c r="S15" s="737"/>
      <c r="T15" s="737"/>
      <c r="U15" s="234"/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/>
      <c r="C16" s="527"/>
      <c r="D16" s="528"/>
      <c r="E16" s="535"/>
      <c r="F16" s="536"/>
      <c r="G16" s="169"/>
      <c r="H16" s="169"/>
      <c r="I16" s="169"/>
      <c r="J16" s="36"/>
      <c r="K16" s="198"/>
      <c r="L16" s="174"/>
      <c r="M16" s="175"/>
      <c r="N16" s="175"/>
      <c r="O16" s="175"/>
      <c r="P16" s="197"/>
      <c r="Q16" s="410"/>
      <c r="R16" s="736" t="str">
        <f>IF(U16="","",VLOOKUP(U16,Listes!$C$1:$D$19,2))</f>
        <v/>
      </c>
      <c r="S16" s="737"/>
      <c r="T16" s="737"/>
      <c r="U16" s="234"/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/>
      <c r="C17" s="527"/>
      <c r="D17" s="528"/>
      <c r="E17" s="535"/>
      <c r="F17" s="536"/>
      <c r="G17" s="169"/>
      <c r="H17" s="169"/>
      <c r="I17" s="169"/>
      <c r="J17" s="36"/>
      <c r="K17" s="198"/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/>
      <c r="C18" s="527"/>
      <c r="D18" s="528"/>
      <c r="E18" s="535"/>
      <c r="F18" s="536"/>
      <c r="G18" s="169"/>
      <c r="H18" s="169"/>
      <c r="I18" s="169"/>
      <c r="J18" s="36"/>
      <c r="K18" s="198"/>
      <c r="L18" s="174"/>
      <c r="M18" s="175"/>
      <c r="N18" s="175"/>
      <c r="O18" s="175"/>
      <c r="P18" s="197"/>
      <c r="Q18" s="410"/>
      <c r="R18" s="736" t="str">
        <f>IF(U18="","",VLOOKUP(U18,Listes!$C$1:$D$19,2))</f>
        <v/>
      </c>
      <c r="S18" s="737"/>
      <c r="T18" s="737"/>
      <c r="U18" s="234"/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/>
      <c r="C19" s="527"/>
      <c r="D19" s="528"/>
      <c r="E19" s="535"/>
      <c r="F19" s="536"/>
      <c r="G19" s="169"/>
      <c r="H19" s="169"/>
      <c r="I19" s="169"/>
      <c r="J19" s="36"/>
      <c r="K19" s="198"/>
      <c r="L19" s="174"/>
      <c r="M19" s="175"/>
      <c r="N19" s="175"/>
      <c r="O19" s="175"/>
      <c r="P19" s="197"/>
      <c r="Q19" s="410"/>
      <c r="R19" s="736" t="str">
        <f>IF(U19="","",VLOOKUP(U19,Listes!$C$1:$D$19,2))</f>
        <v/>
      </c>
      <c r="S19" s="737"/>
      <c r="T19" s="737"/>
      <c r="U19" s="234"/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/>
      <c r="C20" s="527"/>
      <c r="D20" s="528"/>
      <c r="E20" s="535"/>
      <c r="F20" s="536"/>
      <c r="G20" s="169"/>
      <c r="H20" s="169"/>
      <c r="I20" s="169"/>
      <c r="J20" s="36"/>
      <c r="K20" s="198"/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/>
      <c r="C21" s="527"/>
      <c r="D21" s="528"/>
      <c r="E21" s="535"/>
      <c r="F21" s="536"/>
      <c r="G21" s="169"/>
      <c r="H21" s="169"/>
      <c r="I21" s="169"/>
      <c r="J21" s="36"/>
      <c r="K21" s="198"/>
      <c r="L21" s="174"/>
      <c r="M21" s="175"/>
      <c r="N21" s="175"/>
      <c r="O21" s="175"/>
      <c r="P21" s="197"/>
      <c r="Q21" s="410"/>
      <c r="R21" s="736" t="str">
        <f>IF(U21="","",VLOOKUP(U21,Listes!$C$1:$D$19,2))</f>
        <v/>
      </c>
      <c r="S21" s="737"/>
      <c r="T21" s="737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/>
      <c r="C22" s="527"/>
      <c r="D22" s="528"/>
      <c r="E22" s="535"/>
      <c r="F22" s="536"/>
      <c r="G22" s="169"/>
      <c r="H22" s="169"/>
      <c r="I22" s="169"/>
      <c r="J22" s="36"/>
      <c r="K22" s="198"/>
      <c r="L22" s="174"/>
      <c r="M22" s="175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/>
      <c r="C23" s="527"/>
      <c r="D23" s="528"/>
      <c r="E23" s="535"/>
      <c r="F23" s="536"/>
      <c r="G23" s="169"/>
      <c r="H23" s="169"/>
      <c r="I23" s="169"/>
      <c r="J23" s="36"/>
      <c r="K23" s="198"/>
      <c r="L23" s="174"/>
      <c r="M23" s="175"/>
      <c r="N23" s="175"/>
      <c r="O23" s="175"/>
      <c r="P23" s="197"/>
      <c r="Q23" s="410"/>
      <c r="R23" s="736" t="str">
        <f>IF(U23="","",VLOOKUP(U23,Listes!$C$1:$D$19,2))</f>
        <v/>
      </c>
      <c r="S23" s="737"/>
      <c r="T23" s="737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/>
      <c r="C24" s="527"/>
      <c r="D24" s="528"/>
      <c r="E24" s="535"/>
      <c r="F24" s="536"/>
      <c r="G24" s="169"/>
      <c r="H24" s="169"/>
      <c r="I24" s="169"/>
      <c r="J24" s="36"/>
      <c r="K24" s="198"/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/>
      <c r="C25" s="527"/>
      <c r="D25" s="528"/>
      <c r="E25" s="535"/>
      <c r="F25" s="536"/>
      <c r="G25" s="169"/>
      <c r="H25" s="169"/>
      <c r="I25" s="169"/>
      <c r="J25" s="36"/>
      <c r="K25" s="198"/>
      <c r="L25" s="174"/>
      <c r="M25" s="175"/>
      <c r="N25" s="175"/>
      <c r="O25" s="175"/>
      <c r="P25" s="197"/>
      <c r="Q25" s="410"/>
      <c r="R25" s="736" t="str">
        <f>IF(U25="","",VLOOKUP(U25,Listes!$C$1:$D$19,2))</f>
        <v/>
      </c>
      <c r="S25" s="737"/>
      <c r="T25" s="737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/>
      <c r="C26" s="527"/>
      <c r="D26" s="528"/>
      <c r="E26" s="535"/>
      <c r="F26" s="536"/>
      <c r="G26" s="169"/>
      <c r="H26" s="169"/>
      <c r="I26" s="169"/>
      <c r="J26" s="36"/>
      <c r="K26" s="198"/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/>
      <c r="C27" s="527"/>
      <c r="D27" s="528"/>
      <c r="E27" s="535"/>
      <c r="F27" s="536"/>
      <c r="G27" s="169"/>
      <c r="H27" s="169"/>
      <c r="I27" s="169"/>
      <c r="J27" s="36"/>
      <c r="K27" s="198"/>
      <c r="L27" s="174"/>
      <c r="M27" s="175"/>
      <c r="N27" s="175"/>
      <c r="O27" s="175"/>
      <c r="P27" s="197"/>
      <c r="Q27" s="410"/>
      <c r="R27" s="736" t="str">
        <f>IF(U27="","",VLOOKUP(U27,Listes!$C$1:$D$19,2))</f>
        <v/>
      </c>
      <c r="S27" s="737"/>
      <c r="T27" s="737"/>
      <c r="U27" s="234"/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/>
      <c r="C28" s="527"/>
      <c r="D28" s="528"/>
      <c r="E28" s="535"/>
      <c r="F28" s="536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10"/>
      <c r="R28" s="736" t="str">
        <f>IF(U28="","",VLOOKUP(U28,Listes!$C$1:$D$19,2))</f>
        <v/>
      </c>
      <c r="S28" s="737"/>
      <c r="T28" s="737"/>
      <c r="U28" s="234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/>
      <c r="C29" s="527"/>
      <c r="D29" s="528"/>
      <c r="E29" s="535"/>
      <c r="F29" s="536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10"/>
      <c r="R29" s="736" t="str">
        <f>IF(U29="","",VLOOKUP(U29,Listes!$C$1:$D$19,2))</f>
        <v/>
      </c>
      <c r="S29" s="737"/>
      <c r="T29" s="737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/>
      <c r="C30" s="527"/>
      <c r="D30" s="528"/>
      <c r="E30" s="535"/>
      <c r="F30" s="536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27"/>
      <c r="D31" s="528"/>
      <c r="E31" s="535"/>
      <c r="F31" s="536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27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0</v>
      </c>
      <c r="C46" s="719">
        <f>COUNTA(C13:D45)</f>
        <v>0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0</v>
      </c>
      <c r="I46" s="604">
        <f>COUNTIF(I13:I45,"oui")</f>
        <v>0</v>
      </c>
      <c r="J46" s="612"/>
      <c r="K46" s="625">
        <f t="shared" ref="K46:P46" si="0">COUNTIF(K13:K45,"oui")</f>
        <v>0</v>
      </c>
      <c r="L46" s="628">
        <f t="shared" si="0"/>
        <v>0</v>
      </c>
      <c r="M46" s="631">
        <f t="shared" si="0"/>
        <v>0</v>
      </c>
      <c r="N46" s="631">
        <f t="shared" si="0"/>
        <v>0</v>
      </c>
      <c r="O46" s="631">
        <f t="shared" si="0"/>
        <v>0</v>
      </c>
      <c r="P46" s="634">
        <f t="shared" si="0"/>
        <v>0</v>
      </c>
      <c r="Q46" s="392"/>
      <c r="R46" s="689" t="s">
        <v>55</v>
      </c>
      <c r="S46" s="690"/>
      <c r="T46" s="725" t="str">
        <f>IF(P46=0,"",P46/C46)</f>
        <v/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3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4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0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 t="e">
        <f>K53/G53</f>
        <v>#DIV/0!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0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 t="e">
        <f>C71/(G68+L68)</f>
        <v>#DIV/0!</v>
      </c>
      <c r="D72" s="710"/>
      <c r="E72" s="710"/>
      <c r="F72" s="711"/>
      <c r="G72" s="709" t="e">
        <f>G71/(G68+L68)</f>
        <v>#DIV/0!</v>
      </c>
      <c r="H72" s="710"/>
      <c r="I72" s="709" t="e">
        <f>I71/(G68+L68)</f>
        <v>#DIV/0!</v>
      </c>
      <c r="J72" s="710"/>
      <c r="K72" s="710"/>
      <c r="L72" s="709" t="e">
        <f>L71/(G68+L68)</f>
        <v>#DIV/0!</v>
      </c>
      <c r="M72" s="710" t="e">
        <f>L71/(G68+L68)</f>
        <v>#DIV/0!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F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145" priority="45" operator="equal">
      <formula>0.5</formula>
    </cfRule>
    <cfRule type="cellIs" dxfId="144" priority="46" operator="lessThan">
      <formula>0.5</formula>
    </cfRule>
    <cfRule type="cellIs" dxfId="143" priority="47" operator="greaterThan">
      <formula>0.5</formula>
    </cfRule>
    <cfRule type="aboveAverage" priority="48"/>
  </conditionalFormatting>
  <conditionalFormatting sqref="C57:F57">
    <cfRule type="cellIs" dxfId="142" priority="42" operator="equal">
      <formula>0.5</formula>
    </cfRule>
    <cfRule type="cellIs" dxfId="141" priority="43" operator="lessThan">
      <formula>0.5</formula>
    </cfRule>
    <cfRule type="cellIs" dxfId="140" priority="44" operator="greaterThan">
      <formula>0.5</formula>
    </cfRule>
  </conditionalFormatting>
  <conditionalFormatting sqref="G57:H57">
    <cfRule type="cellIs" dxfId="139" priority="39" operator="equal">
      <formula>0.5</formula>
    </cfRule>
    <cfRule type="cellIs" dxfId="138" priority="40" operator="lessThan">
      <formula>0.5</formula>
    </cfRule>
    <cfRule type="cellIs" dxfId="137" priority="41" operator="greaterThan">
      <formula>0.5</formula>
    </cfRule>
  </conditionalFormatting>
  <conditionalFormatting sqref="I57">
    <cfRule type="cellIs" dxfId="136" priority="36" operator="equal">
      <formula>0.5</formula>
    </cfRule>
    <cfRule type="cellIs" dxfId="135" priority="37" operator="lessThan">
      <formula>0.5</formula>
    </cfRule>
    <cfRule type="cellIs" dxfId="134" priority="38" operator="greaterThan">
      <formula>0.5</formula>
    </cfRule>
  </conditionalFormatting>
  <conditionalFormatting sqref="L57">
    <cfRule type="cellIs" dxfId="133" priority="33" operator="equal">
      <formula>0.5</formula>
    </cfRule>
    <cfRule type="cellIs" dxfId="132" priority="34" operator="lessThan">
      <formula>0.5</formula>
    </cfRule>
    <cfRule type="cellIs" dxfId="131" priority="35" operator="greaterThan">
      <formula>0.5</formula>
    </cfRule>
  </conditionalFormatting>
  <conditionalFormatting sqref="C72:F72">
    <cfRule type="cellIs" dxfId="130" priority="29" operator="greaterThan">
      <formula>0.5</formula>
    </cfRule>
    <cfRule type="cellIs" dxfId="129" priority="30" operator="lessThan">
      <formula>0.5</formula>
    </cfRule>
    <cfRule type="cellIs" dxfId="128" priority="31" operator="equal">
      <formula>0.5</formula>
    </cfRule>
    <cfRule type="cellIs" dxfId="127" priority="32" operator="greaterThan">
      <formula>50</formula>
    </cfRule>
  </conditionalFormatting>
  <conditionalFormatting sqref="L72">
    <cfRule type="cellIs" dxfId="126" priority="17" operator="greaterThan">
      <formula>0.5</formula>
    </cfRule>
    <cfRule type="cellIs" dxfId="125" priority="18" operator="lessThan">
      <formula>0.5</formula>
    </cfRule>
    <cfRule type="cellIs" dxfId="124" priority="19" operator="equal">
      <formula>0.5</formula>
    </cfRule>
    <cfRule type="cellIs" dxfId="123" priority="20" operator="greaterThan">
      <formula>50</formula>
    </cfRule>
  </conditionalFormatting>
  <conditionalFormatting sqref="G72:H72">
    <cfRule type="cellIs" dxfId="122" priority="25" operator="greaterThan">
      <formula>0.5</formula>
    </cfRule>
    <cfRule type="cellIs" dxfId="121" priority="26" operator="lessThan">
      <formula>0.5</formula>
    </cfRule>
    <cfRule type="cellIs" dxfId="120" priority="27" operator="equal">
      <formula>0.5</formula>
    </cfRule>
    <cfRule type="cellIs" dxfId="119" priority="28" operator="greaterThan">
      <formula>50</formula>
    </cfRule>
  </conditionalFormatting>
  <conditionalFormatting sqref="I72">
    <cfRule type="cellIs" dxfId="118" priority="21" operator="greaterThan">
      <formula>0.5</formula>
    </cfRule>
    <cfRule type="cellIs" dxfId="117" priority="22" operator="lessThan">
      <formula>0.5</formula>
    </cfRule>
    <cfRule type="cellIs" dxfId="116" priority="23" operator="equal">
      <formula>0.5</formula>
    </cfRule>
    <cfRule type="cellIs" dxfId="115" priority="24" operator="greaterThan">
      <formula>50</formula>
    </cfRule>
  </conditionalFormatting>
  <conditionalFormatting sqref="C88:F88">
    <cfRule type="cellIs" dxfId="114" priority="13" operator="greaterThan">
      <formula>0.5</formula>
    </cfRule>
    <cfRule type="cellIs" dxfId="113" priority="14" operator="lessThan">
      <formula>0.5</formula>
    </cfRule>
    <cfRule type="cellIs" dxfId="112" priority="15" operator="equal">
      <formula>0.5</formula>
    </cfRule>
    <cfRule type="cellIs" dxfId="111" priority="16" operator="greaterThan">
      <formula>50</formula>
    </cfRule>
  </conditionalFormatting>
  <conditionalFormatting sqref="L88">
    <cfRule type="cellIs" dxfId="110" priority="5" operator="greaterThan">
      <formula>0.5</formula>
    </cfRule>
    <cfRule type="cellIs" dxfId="109" priority="6" operator="lessThan">
      <formula>0.5</formula>
    </cfRule>
    <cfRule type="cellIs" dxfId="108" priority="7" operator="equal">
      <formula>0.5</formula>
    </cfRule>
    <cfRule type="cellIs" dxfId="107" priority="8" operator="greaterThan">
      <formula>50</formula>
    </cfRule>
  </conditionalFormatting>
  <conditionalFormatting sqref="I88">
    <cfRule type="cellIs" dxfId="106" priority="9" operator="greaterThan">
      <formula>0.5</formula>
    </cfRule>
    <cfRule type="cellIs" dxfId="105" priority="10" operator="lessThan">
      <formula>0.5</formula>
    </cfRule>
    <cfRule type="cellIs" dxfId="104" priority="11" operator="equal">
      <formula>0.5</formula>
    </cfRule>
    <cfRule type="cellIs" dxfId="103" priority="12" operator="greaterThan">
      <formula>50</formula>
    </cfRule>
  </conditionalFormatting>
  <conditionalFormatting sqref="G88:H88">
    <cfRule type="cellIs" dxfId="102" priority="1" operator="greaterThan">
      <formula>0.5</formula>
    </cfRule>
    <cfRule type="cellIs" dxfId="101" priority="2" operator="lessThan">
      <formula>0.5</formula>
    </cfRule>
    <cfRule type="cellIs" dxfId="100" priority="3" operator="equal">
      <formula>0.5</formula>
    </cfRule>
    <cfRule type="cellIs" dxfId="99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Q12" sqref="Q12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57" t="s">
        <v>62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2" spans="1:32" ht="18" x14ac:dyDescent="0.35">
      <c r="A2" s="182" t="s">
        <v>96</v>
      </c>
      <c r="B2" s="470" t="s">
        <v>170</v>
      </c>
      <c r="C2" s="470"/>
      <c r="D2" s="470"/>
      <c r="E2" s="470"/>
      <c r="F2" s="470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390"/>
      <c r="R2" s="182"/>
      <c r="S2" s="182"/>
      <c r="T2" s="182"/>
    </row>
    <row r="3" spans="1:32" x14ac:dyDescent="0.35">
      <c r="T3" s="319" t="s">
        <v>172</v>
      </c>
      <c r="U3" t="s">
        <v>29</v>
      </c>
      <c r="W3">
        <f>IF(U3="Oui",1,0)</f>
        <v>0</v>
      </c>
    </row>
    <row r="4" spans="1:32" ht="15.5" x14ac:dyDescent="0.35">
      <c r="A4" s="86" t="s">
        <v>76</v>
      </c>
      <c r="B4" s="86"/>
      <c r="C4" s="86"/>
      <c r="D4" s="506">
        <f>Synthèse!D3</f>
        <v>0</v>
      </c>
      <c r="E4" s="506"/>
      <c r="F4" s="506"/>
      <c r="G4" s="506"/>
      <c r="H4" s="506"/>
      <c r="I4" s="506"/>
      <c r="N4" t="s">
        <v>94</v>
      </c>
      <c r="O4" s="194">
        <f>Synthèse!I3</f>
        <v>0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6" t="s">
        <v>77</v>
      </c>
      <c r="B6" s="86"/>
      <c r="C6" s="86"/>
      <c r="D6" s="506">
        <f>Synthèse!D5</f>
        <v>0</v>
      </c>
      <c r="E6" s="506"/>
      <c r="F6" s="506"/>
      <c r="G6" s="506"/>
      <c r="H6" s="506"/>
      <c r="I6" s="506"/>
      <c r="J6" s="11"/>
      <c r="K6" s="11"/>
      <c r="L6" s="11"/>
      <c r="N6" s="11" t="s">
        <v>60</v>
      </c>
      <c r="O6" s="183">
        <v>1</v>
      </c>
      <c r="R6" s="184" t="s">
        <v>61</v>
      </c>
      <c r="S6" s="56" t="str">
        <f>IF(OR($O$4=2,$O$4=4),Listes!E16,"")</f>
        <v/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7" t="s">
        <v>63</v>
      </c>
      <c r="B8" s="87"/>
      <c r="C8" s="87"/>
      <c r="D8" s="87"/>
      <c r="E8" s="506" t="str">
        <f>Synthèse!E7</f>
        <v>DESBONNE Stevie</v>
      </c>
      <c r="F8" s="506"/>
      <c r="G8" s="506"/>
      <c r="H8" s="506"/>
      <c r="I8" s="506"/>
      <c r="J8" s="11"/>
      <c r="K8" s="11"/>
      <c r="L8" s="11"/>
      <c r="N8" s="11" t="s">
        <v>64</v>
      </c>
      <c r="O8" s="56">
        <f>Synthèse!I5</f>
        <v>0</v>
      </c>
      <c r="P8" s="14" t="s">
        <v>65</v>
      </c>
      <c r="Q8" s="391"/>
      <c r="R8" s="56">
        <f>Synthèse!K5</f>
        <v>0</v>
      </c>
    </row>
    <row r="9" spans="1:32" ht="15" thickBot="1" x14ac:dyDescent="0.4"/>
    <row r="10" spans="1:32" ht="28.5" customHeight="1" thickBot="1" x14ac:dyDescent="0.4">
      <c r="A10" s="480" t="s">
        <v>8</v>
      </c>
      <c r="B10" s="503" t="s">
        <v>99</v>
      </c>
      <c r="C10" s="483" t="s">
        <v>0</v>
      </c>
      <c r="D10" s="484"/>
      <c r="E10" s="489" t="s">
        <v>10</v>
      </c>
      <c r="F10" s="490"/>
      <c r="G10" s="484" t="s">
        <v>1</v>
      </c>
      <c r="H10" s="494" t="s">
        <v>50</v>
      </c>
      <c r="I10" s="484"/>
      <c r="J10" s="497"/>
      <c r="K10" s="500" t="s">
        <v>12</v>
      </c>
      <c r="L10" s="471" t="s">
        <v>2</v>
      </c>
      <c r="M10" s="472"/>
      <c r="N10" s="472"/>
      <c r="O10" s="472"/>
      <c r="P10" s="472"/>
      <c r="Q10" s="472"/>
      <c r="R10" s="472"/>
      <c r="S10" s="472"/>
      <c r="T10" s="473"/>
      <c r="U10" s="508" t="s">
        <v>79</v>
      </c>
      <c r="V10" s="511" t="s">
        <v>66</v>
      </c>
      <c r="W10" s="512"/>
      <c r="X10" s="512"/>
      <c r="Y10" s="512"/>
      <c r="Z10" s="513"/>
      <c r="AA10" s="514" t="s">
        <v>72</v>
      </c>
      <c r="AB10" s="515"/>
      <c r="AC10" s="515"/>
      <c r="AD10" s="515"/>
      <c r="AE10" s="515"/>
      <c r="AF10" s="516"/>
    </row>
    <row r="11" spans="1:32" ht="15.75" customHeight="1" thickBot="1" x14ac:dyDescent="0.4">
      <c r="A11" s="481"/>
      <c r="B11" s="504"/>
      <c r="C11" s="485"/>
      <c r="D11" s="486"/>
      <c r="E11" s="491"/>
      <c r="F11" s="492"/>
      <c r="G11" s="486"/>
      <c r="H11" s="495"/>
      <c r="I11" s="496"/>
      <c r="J11" s="498"/>
      <c r="K11" s="501"/>
      <c r="L11" s="474"/>
      <c r="M11" s="475"/>
      <c r="N11" s="475"/>
      <c r="O11" s="475"/>
      <c r="P11" s="475"/>
      <c r="Q11" s="475"/>
      <c r="R11" s="475"/>
      <c r="S11" s="475"/>
      <c r="T11" s="476"/>
      <c r="U11" s="509"/>
      <c r="V11" s="517" t="s">
        <v>66</v>
      </c>
      <c r="W11" s="519" t="s">
        <v>15</v>
      </c>
      <c r="X11" s="519"/>
      <c r="Y11" s="519"/>
      <c r="Z11" s="520"/>
      <c r="AA11" s="521" t="s">
        <v>71</v>
      </c>
      <c r="AB11" s="523" t="s">
        <v>69</v>
      </c>
      <c r="AC11" s="525" t="s">
        <v>73</v>
      </c>
      <c r="AD11" s="525"/>
      <c r="AE11" s="525"/>
      <c r="AF11" s="526"/>
    </row>
    <row r="12" spans="1:32" ht="42.5" thickBot="1" x14ac:dyDescent="0.4">
      <c r="A12" s="482"/>
      <c r="B12" s="505"/>
      <c r="C12" s="487"/>
      <c r="D12" s="488"/>
      <c r="E12" s="491"/>
      <c r="F12" s="492"/>
      <c r="G12" s="493"/>
      <c r="H12" s="54" t="s">
        <v>68</v>
      </c>
      <c r="I12" s="55" t="s">
        <v>11</v>
      </c>
      <c r="J12" s="499"/>
      <c r="K12" s="502"/>
      <c r="L12" s="15" t="s">
        <v>4</v>
      </c>
      <c r="M12" s="16" t="s">
        <v>5</v>
      </c>
      <c r="N12" s="16" t="s">
        <v>6</v>
      </c>
      <c r="O12" s="17" t="s">
        <v>7</v>
      </c>
      <c r="P12" s="131" t="s">
        <v>3</v>
      </c>
      <c r="Q12" s="411" t="s">
        <v>260</v>
      </c>
      <c r="R12" s="477" t="s">
        <v>13</v>
      </c>
      <c r="S12" s="478"/>
      <c r="T12" s="479"/>
      <c r="U12" s="510"/>
      <c r="V12" s="518"/>
      <c r="W12" s="53" t="s">
        <v>16</v>
      </c>
      <c r="X12" s="51" t="s">
        <v>17</v>
      </c>
      <c r="Y12" s="51" t="s">
        <v>54</v>
      </c>
      <c r="Z12" s="52" t="s">
        <v>67</v>
      </c>
      <c r="AA12" s="522"/>
      <c r="AB12" s="524"/>
      <c r="AC12" s="19" t="s">
        <v>21</v>
      </c>
      <c r="AD12" s="20" t="s">
        <v>26</v>
      </c>
      <c r="AE12" s="20" t="s">
        <v>27</v>
      </c>
      <c r="AF12" s="21" t="s">
        <v>22</v>
      </c>
    </row>
    <row r="13" spans="1:32" x14ac:dyDescent="0.35">
      <c r="A13" s="163"/>
      <c r="B13" s="223"/>
      <c r="C13" s="549"/>
      <c r="D13" s="548"/>
      <c r="E13" s="549"/>
      <c r="F13" s="550"/>
      <c r="G13" s="168"/>
      <c r="H13" s="168"/>
      <c r="I13" s="168"/>
      <c r="J13" s="30"/>
      <c r="K13" s="199"/>
      <c r="L13" s="171"/>
      <c r="M13" s="172"/>
      <c r="N13" s="172"/>
      <c r="O13" s="172"/>
      <c r="P13" s="196"/>
      <c r="Q13" s="178"/>
      <c r="R13" s="712" t="str">
        <f>IF(U13="","",VLOOKUP(U13,Listes!$C$1:$D$19,2))</f>
        <v/>
      </c>
      <c r="S13" s="713"/>
      <c r="T13" s="713"/>
      <c r="U13" s="233"/>
      <c r="V13" s="176"/>
      <c r="W13" s="177"/>
      <c r="X13" s="177"/>
      <c r="Y13" s="177"/>
      <c r="Z13" s="178"/>
      <c r="AA13" s="738">
        <f>H46</f>
        <v>0</v>
      </c>
      <c r="AB13" s="556"/>
      <c r="AC13" s="540"/>
      <c r="AD13" s="540"/>
      <c r="AE13" s="540"/>
      <c r="AF13" s="542"/>
    </row>
    <row r="14" spans="1:32" ht="15" thickBot="1" x14ac:dyDescent="0.4">
      <c r="A14" s="164"/>
      <c r="B14" s="222"/>
      <c r="C14" s="527"/>
      <c r="D14" s="528"/>
      <c r="E14" s="535"/>
      <c r="F14" s="536"/>
      <c r="G14" s="169"/>
      <c r="H14" s="169"/>
      <c r="I14" s="169"/>
      <c r="J14" s="36"/>
      <c r="K14" s="198"/>
      <c r="L14" s="174"/>
      <c r="M14" s="175"/>
      <c r="N14" s="175"/>
      <c r="O14" s="175"/>
      <c r="P14" s="197"/>
      <c r="Q14" s="410"/>
      <c r="R14" s="736" t="str">
        <f>IF(U14="","",VLOOKUP(U14,Listes!$C$1:$D$19,2))</f>
        <v/>
      </c>
      <c r="S14" s="737"/>
      <c r="T14" s="737"/>
      <c r="U14" s="234"/>
      <c r="V14" s="174"/>
      <c r="W14" s="175"/>
      <c r="X14" s="175"/>
      <c r="Y14" s="175"/>
      <c r="Z14" s="179"/>
      <c r="AA14" s="739"/>
      <c r="AB14" s="557"/>
      <c r="AC14" s="541"/>
      <c r="AD14" s="541"/>
      <c r="AE14" s="541"/>
      <c r="AF14" s="543"/>
    </row>
    <row r="15" spans="1:32" ht="15" x14ac:dyDescent="0.25">
      <c r="A15" s="165"/>
      <c r="B15" s="222"/>
      <c r="C15" s="527"/>
      <c r="D15" s="528"/>
      <c r="E15" s="535"/>
      <c r="F15" s="536"/>
      <c r="G15" s="169"/>
      <c r="H15" s="169"/>
      <c r="I15" s="169"/>
      <c r="J15" s="36"/>
      <c r="K15" s="198"/>
      <c r="L15" s="174"/>
      <c r="M15" s="175"/>
      <c r="N15" s="175"/>
      <c r="O15" s="175"/>
      <c r="P15" s="197"/>
      <c r="Q15" s="410"/>
      <c r="R15" s="736" t="str">
        <f>IF(U15="","",VLOOKUP(U15,Listes!$C$1:$D$19,2))</f>
        <v/>
      </c>
      <c r="S15" s="737"/>
      <c r="T15" s="737"/>
      <c r="U15" s="234"/>
      <c r="V15" s="174"/>
      <c r="W15" s="175"/>
      <c r="X15" s="175"/>
      <c r="Y15" s="175"/>
      <c r="Z15" s="179"/>
      <c r="AA15" s="532"/>
      <c r="AB15" s="533"/>
      <c r="AC15" s="533"/>
      <c r="AD15" s="533"/>
      <c r="AE15" s="533"/>
      <c r="AF15" s="534"/>
    </row>
    <row r="16" spans="1:32" ht="15" x14ac:dyDescent="0.25">
      <c r="A16" s="165"/>
      <c r="B16" s="222"/>
      <c r="C16" s="527"/>
      <c r="D16" s="528"/>
      <c r="E16" s="535"/>
      <c r="F16" s="536"/>
      <c r="G16" s="169"/>
      <c r="H16" s="169"/>
      <c r="I16" s="169"/>
      <c r="J16" s="36"/>
      <c r="K16" s="198"/>
      <c r="L16" s="174"/>
      <c r="M16" s="175"/>
      <c r="N16" s="175"/>
      <c r="O16" s="175"/>
      <c r="P16" s="197"/>
      <c r="Q16" s="410"/>
      <c r="R16" s="736" t="str">
        <f>IF(U16="","",VLOOKUP(U16,Listes!$C$1:$D$19,2))</f>
        <v/>
      </c>
      <c r="S16" s="737"/>
      <c r="T16" s="737"/>
      <c r="U16" s="234"/>
      <c r="V16" s="174"/>
      <c r="W16" s="175"/>
      <c r="X16" s="175"/>
      <c r="Y16" s="175"/>
      <c r="Z16" s="179"/>
      <c r="AA16" s="537" t="s">
        <v>74</v>
      </c>
      <c r="AB16" s="538"/>
      <c r="AC16" s="538"/>
      <c r="AD16" s="538"/>
      <c r="AE16" s="538"/>
      <c r="AF16" s="539"/>
    </row>
    <row r="17" spans="1:32" x14ac:dyDescent="0.35">
      <c r="A17" s="165"/>
      <c r="B17" s="222"/>
      <c r="C17" s="527"/>
      <c r="D17" s="528"/>
      <c r="E17" s="535"/>
      <c r="F17" s="536"/>
      <c r="G17" s="169"/>
      <c r="H17" s="169"/>
      <c r="I17" s="169"/>
      <c r="J17" s="36"/>
      <c r="K17" s="198"/>
      <c r="L17" s="174"/>
      <c r="M17" s="175"/>
      <c r="N17" s="175"/>
      <c r="O17" s="175"/>
      <c r="P17" s="197"/>
      <c r="Q17" s="410"/>
      <c r="R17" s="736" t="str">
        <f>IF(U17="","",VLOOKUP(U17,Listes!$C$1:$D$19,2))</f>
        <v/>
      </c>
      <c r="S17" s="737"/>
      <c r="T17" s="737"/>
      <c r="U17" s="234"/>
      <c r="V17" s="174"/>
      <c r="W17" s="175"/>
      <c r="X17" s="175"/>
      <c r="Y17" s="175"/>
      <c r="Z17" s="179"/>
      <c r="AA17" s="558"/>
      <c r="AB17" s="559"/>
      <c r="AC17" s="559"/>
      <c r="AD17" s="559"/>
      <c r="AE17" s="559"/>
      <c r="AF17" s="560"/>
    </row>
    <row r="18" spans="1:32" x14ac:dyDescent="0.35">
      <c r="A18" s="165"/>
      <c r="B18" s="222"/>
      <c r="C18" s="527"/>
      <c r="D18" s="528"/>
      <c r="E18" s="535"/>
      <c r="F18" s="536"/>
      <c r="G18" s="169"/>
      <c r="H18" s="169"/>
      <c r="I18" s="169"/>
      <c r="J18" s="36"/>
      <c r="K18" s="198"/>
      <c r="L18" s="174"/>
      <c r="M18" s="175"/>
      <c r="N18" s="175"/>
      <c r="O18" s="175"/>
      <c r="P18" s="197"/>
      <c r="Q18" s="410"/>
      <c r="R18" s="736" t="str">
        <f>IF(U18="","",VLOOKUP(U18,Listes!$C$1:$D$19,2))</f>
        <v/>
      </c>
      <c r="S18" s="737"/>
      <c r="T18" s="737"/>
      <c r="U18" s="234"/>
      <c r="V18" s="174"/>
      <c r="W18" s="175"/>
      <c r="X18" s="175"/>
      <c r="Y18" s="175"/>
      <c r="Z18" s="179"/>
      <c r="AA18" s="561"/>
      <c r="AB18" s="562"/>
      <c r="AC18" s="562"/>
      <c r="AD18" s="562"/>
      <c r="AE18" s="562"/>
      <c r="AF18" s="563"/>
    </row>
    <row r="19" spans="1:32" x14ac:dyDescent="0.35">
      <c r="A19" s="165"/>
      <c r="B19" s="222"/>
      <c r="C19" s="527"/>
      <c r="D19" s="528"/>
      <c r="E19" s="535"/>
      <c r="F19" s="536"/>
      <c r="G19" s="169"/>
      <c r="H19" s="169"/>
      <c r="I19" s="169"/>
      <c r="J19" s="36"/>
      <c r="K19" s="198"/>
      <c r="L19" s="174"/>
      <c r="M19" s="175"/>
      <c r="N19" s="175"/>
      <c r="O19" s="175"/>
      <c r="P19" s="197"/>
      <c r="Q19" s="410"/>
      <c r="R19" s="736" t="str">
        <f>IF(U19="","",VLOOKUP(U19,Listes!$C$1:$D$19,2))</f>
        <v/>
      </c>
      <c r="S19" s="737"/>
      <c r="T19" s="737"/>
      <c r="U19" s="234"/>
      <c r="V19" s="174"/>
      <c r="W19" s="175"/>
      <c r="X19" s="175"/>
      <c r="Y19" s="175"/>
      <c r="Z19" s="179"/>
      <c r="AA19" s="561"/>
      <c r="AB19" s="562"/>
      <c r="AC19" s="562"/>
      <c r="AD19" s="562"/>
      <c r="AE19" s="562"/>
      <c r="AF19" s="563"/>
    </row>
    <row r="20" spans="1:32" x14ac:dyDescent="0.35">
      <c r="A20" s="165"/>
      <c r="B20" s="222"/>
      <c r="C20" s="527"/>
      <c r="D20" s="528"/>
      <c r="E20" s="535"/>
      <c r="F20" s="536"/>
      <c r="G20" s="169"/>
      <c r="H20" s="169"/>
      <c r="I20" s="169"/>
      <c r="J20" s="36"/>
      <c r="K20" s="198"/>
      <c r="L20" s="174"/>
      <c r="M20" s="175"/>
      <c r="N20" s="175"/>
      <c r="O20" s="175"/>
      <c r="P20" s="197"/>
      <c r="Q20" s="410"/>
      <c r="R20" s="736" t="str">
        <f>IF(U20="","",VLOOKUP(U20,Listes!$C$1:$D$19,2))</f>
        <v/>
      </c>
      <c r="S20" s="737"/>
      <c r="T20" s="737"/>
      <c r="U20" s="234"/>
      <c r="V20" s="174"/>
      <c r="W20" s="175"/>
      <c r="X20" s="175"/>
      <c r="Y20" s="175"/>
      <c r="Z20" s="179"/>
      <c r="AA20" s="561"/>
      <c r="AB20" s="562"/>
      <c r="AC20" s="562"/>
      <c r="AD20" s="562"/>
      <c r="AE20" s="562"/>
      <c r="AF20" s="563"/>
    </row>
    <row r="21" spans="1:32" x14ac:dyDescent="0.35">
      <c r="A21" s="165"/>
      <c r="B21" s="222"/>
      <c r="C21" s="527"/>
      <c r="D21" s="528"/>
      <c r="E21" s="535"/>
      <c r="F21" s="536"/>
      <c r="G21" s="169"/>
      <c r="H21" s="169"/>
      <c r="I21" s="169"/>
      <c r="J21" s="36"/>
      <c r="K21" s="198"/>
      <c r="L21" s="174"/>
      <c r="M21" s="175"/>
      <c r="N21" s="175"/>
      <c r="O21" s="175"/>
      <c r="P21" s="197"/>
      <c r="Q21" s="410"/>
      <c r="R21" s="736" t="str">
        <f>IF(U21="","",VLOOKUP(U21,Listes!$C$1:$D$19,2))</f>
        <v/>
      </c>
      <c r="S21" s="737"/>
      <c r="T21" s="737"/>
      <c r="U21" s="234"/>
      <c r="V21" s="174"/>
      <c r="W21" s="175"/>
      <c r="X21" s="175"/>
      <c r="Y21" s="175"/>
      <c r="Z21" s="179"/>
      <c r="AA21" s="561"/>
      <c r="AB21" s="562"/>
      <c r="AC21" s="562"/>
      <c r="AD21" s="562"/>
      <c r="AE21" s="562"/>
      <c r="AF21" s="563"/>
    </row>
    <row r="22" spans="1:32" x14ac:dyDescent="0.35">
      <c r="A22" s="165"/>
      <c r="B22" s="222"/>
      <c r="C22" s="527"/>
      <c r="D22" s="528"/>
      <c r="E22" s="535"/>
      <c r="F22" s="536"/>
      <c r="G22" s="169"/>
      <c r="H22" s="169"/>
      <c r="I22" s="169"/>
      <c r="J22" s="36"/>
      <c r="K22" s="198"/>
      <c r="L22" s="174"/>
      <c r="M22" s="175"/>
      <c r="N22" s="175"/>
      <c r="O22" s="175"/>
      <c r="P22" s="197"/>
      <c r="Q22" s="410"/>
      <c r="R22" s="736" t="str">
        <f>IF(U22="","",VLOOKUP(U22,Listes!$C$1:$D$19,2))</f>
        <v/>
      </c>
      <c r="S22" s="737"/>
      <c r="T22" s="737"/>
      <c r="U22" s="234"/>
      <c r="V22" s="174"/>
      <c r="W22" s="175"/>
      <c r="X22" s="175"/>
      <c r="Y22" s="175"/>
      <c r="Z22" s="179"/>
      <c r="AA22" s="561"/>
      <c r="AB22" s="562"/>
      <c r="AC22" s="562"/>
      <c r="AD22" s="562"/>
      <c r="AE22" s="562"/>
      <c r="AF22" s="563"/>
    </row>
    <row r="23" spans="1:32" x14ac:dyDescent="0.35">
      <c r="A23" s="165"/>
      <c r="B23" s="222"/>
      <c r="C23" s="527"/>
      <c r="D23" s="528"/>
      <c r="E23" s="535"/>
      <c r="F23" s="536"/>
      <c r="G23" s="169"/>
      <c r="H23" s="169"/>
      <c r="I23" s="169"/>
      <c r="J23" s="36"/>
      <c r="K23" s="198"/>
      <c r="L23" s="174"/>
      <c r="M23" s="175"/>
      <c r="N23" s="175"/>
      <c r="O23" s="175"/>
      <c r="P23" s="197"/>
      <c r="Q23" s="410"/>
      <c r="R23" s="736" t="str">
        <f>IF(U23="","",VLOOKUP(U23,Listes!$C$1:$D$19,2))</f>
        <v/>
      </c>
      <c r="S23" s="737"/>
      <c r="T23" s="737"/>
      <c r="U23" s="234"/>
      <c r="V23" s="174"/>
      <c r="W23" s="175"/>
      <c r="X23" s="175"/>
      <c r="Y23" s="175"/>
      <c r="Z23" s="179"/>
      <c r="AA23" s="561"/>
      <c r="AB23" s="562"/>
      <c r="AC23" s="562"/>
      <c r="AD23" s="562"/>
      <c r="AE23" s="562"/>
      <c r="AF23" s="563"/>
    </row>
    <row r="24" spans="1:32" x14ac:dyDescent="0.35">
      <c r="A24" s="165"/>
      <c r="B24" s="222"/>
      <c r="C24" s="527"/>
      <c r="D24" s="528"/>
      <c r="E24" s="535"/>
      <c r="F24" s="536"/>
      <c r="G24" s="169"/>
      <c r="H24" s="169"/>
      <c r="I24" s="169"/>
      <c r="J24" s="36"/>
      <c r="K24" s="198"/>
      <c r="L24" s="174"/>
      <c r="M24" s="175"/>
      <c r="N24" s="175"/>
      <c r="O24" s="175"/>
      <c r="P24" s="197"/>
      <c r="Q24" s="410"/>
      <c r="R24" s="736" t="str">
        <f>IF(U24="","",VLOOKUP(U24,Listes!$C$1:$D$19,2))</f>
        <v/>
      </c>
      <c r="S24" s="737"/>
      <c r="T24" s="737"/>
      <c r="U24" s="234"/>
      <c r="V24" s="174"/>
      <c r="W24" s="175"/>
      <c r="X24" s="175"/>
      <c r="Y24" s="175"/>
      <c r="Z24" s="179"/>
      <c r="AA24" s="561"/>
      <c r="AB24" s="562"/>
      <c r="AC24" s="562"/>
      <c r="AD24" s="562"/>
      <c r="AE24" s="562"/>
      <c r="AF24" s="563"/>
    </row>
    <row r="25" spans="1:32" x14ac:dyDescent="0.35">
      <c r="A25" s="165"/>
      <c r="B25" s="222"/>
      <c r="C25" s="527"/>
      <c r="D25" s="528"/>
      <c r="E25" s="535"/>
      <c r="F25" s="536"/>
      <c r="G25" s="169"/>
      <c r="H25" s="169"/>
      <c r="I25" s="169"/>
      <c r="J25" s="36"/>
      <c r="K25" s="198"/>
      <c r="L25" s="174"/>
      <c r="M25" s="175"/>
      <c r="N25" s="175"/>
      <c r="O25" s="175"/>
      <c r="P25" s="197"/>
      <c r="Q25" s="410"/>
      <c r="R25" s="736" t="str">
        <f>IF(U25="","",VLOOKUP(U25,Listes!$C$1:$D$19,2))</f>
        <v/>
      </c>
      <c r="S25" s="737"/>
      <c r="T25" s="737"/>
      <c r="U25" s="234"/>
      <c r="V25" s="174"/>
      <c r="W25" s="175"/>
      <c r="X25" s="175"/>
      <c r="Y25" s="175"/>
      <c r="Z25" s="179"/>
      <c r="AA25" s="561"/>
      <c r="AB25" s="562"/>
      <c r="AC25" s="562"/>
      <c r="AD25" s="562"/>
      <c r="AE25" s="562"/>
      <c r="AF25" s="563"/>
    </row>
    <row r="26" spans="1:32" x14ac:dyDescent="0.35">
      <c r="A26" s="165"/>
      <c r="B26" s="222"/>
      <c r="C26" s="527"/>
      <c r="D26" s="528"/>
      <c r="E26" s="535"/>
      <c r="F26" s="536"/>
      <c r="G26" s="169"/>
      <c r="H26" s="169"/>
      <c r="I26" s="169"/>
      <c r="J26" s="36"/>
      <c r="K26" s="198"/>
      <c r="L26" s="174"/>
      <c r="M26" s="175"/>
      <c r="N26" s="175"/>
      <c r="O26" s="175"/>
      <c r="P26" s="197"/>
      <c r="Q26" s="410"/>
      <c r="R26" s="736" t="str">
        <f>IF(U26="","",VLOOKUP(U26,Listes!$C$1:$D$19,2))</f>
        <v/>
      </c>
      <c r="S26" s="737"/>
      <c r="T26" s="737"/>
      <c r="U26" s="234"/>
      <c r="V26" s="174"/>
      <c r="W26" s="175"/>
      <c r="X26" s="175"/>
      <c r="Y26" s="175"/>
      <c r="Z26" s="179"/>
      <c r="AA26" s="561"/>
      <c r="AB26" s="562"/>
      <c r="AC26" s="562"/>
      <c r="AD26" s="562"/>
      <c r="AE26" s="562"/>
      <c r="AF26" s="563"/>
    </row>
    <row r="27" spans="1:32" x14ac:dyDescent="0.35">
      <c r="A27" s="165"/>
      <c r="B27" s="222"/>
      <c r="C27" s="527"/>
      <c r="D27" s="528"/>
      <c r="E27" s="535"/>
      <c r="F27" s="536"/>
      <c r="G27" s="169"/>
      <c r="H27" s="169"/>
      <c r="I27" s="169"/>
      <c r="J27" s="36"/>
      <c r="K27" s="198"/>
      <c r="L27" s="174"/>
      <c r="M27" s="175"/>
      <c r="N27" s="175"/>
      <c r="O27" s="175"/>
      <c r="P27" s="197"/>
      <c r="Q27" s="410"/>
      <c r="R27" s="736" t="str">
        <f>IF(U27="","",VLOOKUP(U27,Listes!$C$1:$D$19,2))</f>
        <v/>
      </c>
      <c r="S27" s="737"/>
      <c r="T27" s="737"/>
      <c r="U27" s="234"/>
      <c r="V27" s="174"/>
      <c r="W27" s="175"/>
      <c r="X27" s="175"/>
      <c r="Y27" s="175"/>
      <c r="Z27" s="179"/>
      <c r="AA27" s="561"/>
      <c r="AB27" s="562"/>
      <c r="AC27" s="562"/>
      <c r="AD27" s="562"/>
      <c r="AE27" s="562"/>
      <c r="AF27" s="563"/>
    </row>
    <row r="28" spans="1:32" x14ac:dyDescent="0.35">
      <c r="A28" s="165"/>
      <c r="B28" s="222"/>
      <c r="C28" s="527"/>
      <c r="D28" s="528"/>
      <c r="E28" s="535"/>
      <c r="F28" s="536"/>
      <c r="G28" s="169"/>
      <c r="H28" s="169"/>
      <c r="I28" s="169"/>
      <c r="J28" s="36"/>
      <c r="K28" s="198"/>
      <c r="L28" s="174"/>
      <c r="M28" s="175"/>
      <c r="N28" s="175"/>
      <c r="O28" s="175"/>
      <c r="P28" s="197"/>
      <c r="Q28" s="410"/>
      <c r="R28" s="736" t="str">
        <f>IF(U28="","",VLOOKUP(U28,Listes!$C$1:$D$19,2))</f>
        <v/>
      </c>
      <c r="S28" s="737"/>
      <c r="T28" s="737"/>
      <c r="U28" s="234"/>
      <c r="V28" s="174"/>
      <c r="W28" s="175"/>
      <c r="X28" s="175"/>
      <c r="Y28" s="175"/>
      <c r="Z28" s="179"/>
      <c r="AA28" s="561"/>
      <c r="AB28" s="562"/>
      <c r="AC28" s="562"/>
      <c r="AD28" s="562"/>
      <c r="AE28" s="562"/>
      <c r="AF28" s="563"/>
    </row>
    <row r="29" spans="1:32" x14ac:dyDescent="0.35">
      <c r="A29" s="165"/>
      <c r="B29" s="222"/>
      <c r="C29" s="535"/>
      <c r="D29" s="528"/>
      <c r="E29" s="535"/>
      <c r="F29" s="536"/>
      <c r="G29" s="169"/>
      <c r="H29" s="169"/>
      <c r="I29" s="169"/>
      <c r="J29" s="36"/>
      <c r="K29" s="198"/>
      <c r="L29" s="174"/>
      <c r="M29" s="175"/>
      <c r="N29" s="175"/>
      <c r="O29" s="175"/>
      <c r="P29" s="197"/>
      <c r="Q29" s="410"/>
      <c r="R29" s="736" t="str">
        <f>IF(U29="","",VLOOKUP(U29,Listes!$C$1:$D$19,2))</f>
        <v/>
      </c>
      <c r="S29" s="737"/>
      <c r="T29" s="737"/>
      <c r="U29" s="234"/>
      <c r="V29" s="174"/>
      <c r="W29" s="175"/>
      <c r="X29" s="175"/>
      <c r="Y29" s="175"/>
      <c r="Z29" s="179"/>
      <c r="AA29" s="564"/>
      <c r="AB29" s="565"/>
      <c r="AC29" s="565"/>
      <c r="AD29" s="565"/>
      <c r="AE29" s="565"/>
      <c r="AF29" s="566"/>
    </row>
    <row r="30" spans="1:32" x14ac:dyDescent="0.35">
      <c r="A30" s="165"/>
      <c r="B30" s="222"/>
      <c r="C30" s="535"/>
      <c r="D30" s="528"/>
      <c r="E30" s="535"/>
      <c r="F30" s="536"/>
      <c r="G30" s="169"/>
      <c r="H30" s="169"/>
      <c r="I30" s="169"/>
      <c r="J30" s="36"/>
      <c r="K30" s="198"/>
      <c r="L30" s="174"/>
      <c r="M30" s="175"/>
      <c r="N30" s="175"/>
      <c r="O30" s="175"/>
      <c r="P30" s="197"/>
      <c r="Q30" s="410"/>
      <c r="R30" s="736" t="str">
        <f>IF(U30="","",VLOOKUP(U30,Listes!$C$1:$D$19,2))</f>
        <v/>
      </c>
      <c r="S30" s="737"/>
      <c r="T30" s="737"/>
      <c r="U30" s="234"/>
      <c r="V30" s="174"/>
      <c r="W30" s="175"/>
      <c r="X30" s="175"/>
      <c r="Y30" s="175"/>
      <c r="Z30" s="179"/>
      <c r="AA30" s="567" t="s">
        <v>75</v>
      </c>
      <c r="AB30" s="568"/>
      <c r="AC30" s="568"/>
      <c r="AD30" s="568"/>
      <c r="AE30" s="568"/>
      <c r="AF30" s="569"/>
    </row>
    <row r="31" spans="1:32" ht="15" thickBot="1" x14ac:dyDescent="0.4">
      <c r="A31" s="165"/>
      <c r="B31" s="222"/>
      <c r="C31" s="535"/>
      <c r="D31" s="528"/>
      <c r="E31" s="535"/>
      <c r="F31" s="536"/>
      <c r="G31" s="169"/>
      <c r="H31" s="169"/>
      <c r="I31" s="169"/>
      <c r="J31" s="36"/>
      <c r="K31" s="198"/>
      <c r="L31" s="174"/>
      <c r="M31" s="175"/>
      <c r="N31" s="175"/>
      <c r="O31" s="175"/>
      <c r="P31" s="197"/>
      <c r="Q31" s="410"/>
      <c r="R31" s="736" t="str">
        <f>IF(U31="","",VLOOKUP(U31,Listes!$C$1:$D$19,2))</f>
        <v/>
      </c>
      <c r="S31" s="737"/>
      <c r="T31" s="737"/>
      <c r="U31" s="234"/>
      <c r="V31" s="174"/>
      <c r="W31" s="175"/>
      <c r="X31" s="175"/>
      <c r="Y31" s="175"/>
      <c r="Z31" s="179"/>
      <c r="AA31" s="570"/>
      <c r="AB31" s="571"/>
      <c r="AC31" s="571"/>
      <c r="AD31" s="571"/>
      <c r="AE31" s="571"/>
      <c r="AF31" s="572"/>
    </row>
    <row r="32" spans="1:32" ht="15.75" customHeight="1" thickBot="1" x14ac:dyDescent="0.4">
      <c r="A32" s="165"/>
      <c r="B32" s="222"/>
      <c r="C32" s="535"/>
      <c r="D32" s="528"/>
      <c r="E32" s="535"/>
      <c r="F32" s="536"/>
      <c r="G32" s="169"/>
      <c r="H32" s="169"/>
      <c r="I32" s="169"/>
      <c r="J32" s="36"/>
      <c r="K32" s="198"/>
      <c r="L32" s="174"/>
      <c r="M32" s="175"/>
      <c r="N32" s="175"/>
      <c r="O32" s="175"/>
      <c r="P32" s="197"/>
      <c r="Q32" s="410"/>
      <c r="R32" s="736" t="str">
        <f>IF(U32="","",VLOOKUP(U32,Listes!$C$1:$D$19,2))</f>
        <v/>
      </c>
      <c r="S32" s="737"/>
      <c r="T32" s="737"/>
      <c r="U32" s="234"/>
      <c r="V32" s="174"/>
      <c r="W32" s="175"/>
      <c r="X32" s="175"/>
      <c r="Y32" s="175"/>
      <c r="Z32" s="179"/>
      <c r="AA32" s="577" t="s">
        <v>84</v>
      </c>
      <c r="AB32" s="579" t="s">
        <v>70</v>
      </c>
      <c r="AC32" s="580" t="s">
        <v>73</v>
      </c>
      <c r="AD32" s="580"/>
      <c r="AE32" s="580"/>
      <c r="AF32" s="581"/>
    </row>
    <row r="33" spans="1:32" x14ac:dyDescent="0.35">
      <c r="A33" s="165"/>
      <c r="B33" s="222"/>
      <c r="C33" s="535"/>
      <c r="D33" s="528"/>
      <c r="E33" s="535"/>
      <c r="F33" s="536"/>
      <c r="G33" s="169"/>
      <c r="H33" s="169"/>
      <c r="I33" s="169"/>
      <c r="J33" s="36"/>
      <c r="K33" s="198"/>
      <c r="L33" s="174"/>
      <c r="M33" s="175"/>
      <c r="N33" s="175"/>
      <c r="O33" s="175"/>
      <c r="P33" s="197"/>
      <c r="Q33" s="410"/>
      <c r="R33" s="736" t="str">
        <f>IF(U33="","",VLOOKUP(U33,Listes!$C$1:$D$19,2))</f>
        <v/>
      </c>
      <c r="S33" s="737"/>
      <c r="T33" s="737"/>
      <c r="U33" s="234"/>
      <c r="V33" s="174"/>
      <c r="W33" s="175"/>
      <c r="X33" s="175"/>
      <c r="Y33" s="175"/>
      <c r="Z33" s="179"/>
      <c r="AA33" s="577"/>
      <c r="AB33" s="579"/>
      <c r="AC33" s="573" t="s">
        <v>21</v>
      </c>
      <c r="AD33" s="573" t="s">
        <v>26</v>
      </c>
      <c r="AE33" s="573" t="s">
        <v>27</v>
      </c>
      <c r="AF33" s="575" t="s">
        <v>22</v>
      </c>
    </row>
    <row r="34" spans="1:32" ht="15" thickBot="1" x14ac:dyDescent="0.4">
      <c r="A34" s="165"/>
      <c r="B34" s="222"/>
      <c r="C34" s="535"/>
      <c r="D34" s="528"/>
      <c r="E34" s="535"/>
      <c r="F34" s="536"/>
      <c r="G34" s="169"/>
      <c r="H34" s="169"/>
      <c r="I34" s="169"/>
      <c r="J34" s="36"/>
      <c r="K34" s="198"/>
      <c r="L34" s="174"/>
      <c r="M34" s="175"/>
      <c r="N34" s="175"/>
      <c r="O34" s="175"/>
      <c r="P34" s="197"/>
      <c r="Q34" s="410"/>
      <c r="R34" s="736" t="str">
        <f>IF(U34="","",VLOOKUP(U34,Listes!$C$1:$D$19,2))</f>
        <v/>
      </c>
      <c r="S34" s="737"/>
      <c r="T34" s="737"/>
      <c r="U34" s="234"/>
      <c r="V34" s="174"/>
      <c r="W34" s="175"/>
      <c r="X34" s="175"/>
      <c r="Y34" s="175"/>
      <c r="Z34" s="179"/>
      <c r="AA34" s="578"/>
      <c r="AB34" s="574"/>
      <c r="AC34" s="574"/>
      <c r="AD34" s="574"/>
      <c r="AE34" s="574"/>
      <c r="AF34" s="576"/>
    </row>
    <row r="35" spans="1:32" x14ac:dyDescent="0.35">
      <c r="A35" s="165"/>
      <c r="B35" s="222"/>
      <c r="C35" s="535"/>
      <c r="D35" s="528"/>
      <c r="E35" s="535"/>
      <c r="F35" s="536"/>
      <c r="G35" s="169"/>
      <c r="H35" s="169"/>
      <c r="I35" s="169"/>
      <c r="J35" s="36"/>
      <c r="K35" s="198"/>
      <c r="L35" s="174"/>
      <c r="M35" s="175"/>
      <c r="N35" s="175"/>
      <c r="O35" s="175"/>
      <c r="P35" s="197"/>
      <c r="Q35" s="410"/>
      <c r="R35" s="736" t="str">
        <f>IF(U35="","",VLOOKUP(U35,Listes!$C$1:$D$19,2))</f>
        <v/>
      </c>
      <c r="S35" s="737"/>
      <c r="T35" s="737"/>
      <c r="U35" s="234"/>
      <c r="V35" s="174"/>
      <c r="W35" s="175"/>
      <c r="X35" s="175"/>
      <c r="Y35" s="175"/>
      <c r="Z35" s="179"/>
      <c r="AA35" s="714"/>
      <c r="AB35" s="556"/>
      <c r="AC35" s="582"/>
      <c r="AD35" s="582"/>
      <c r="AE35" s="582"/>
      <c r="AF35" s="584"/>
    </row>
    <row r="36" spans="1:32" ht="15" thickBot="1" x14ac:dyDescent="0.4">
      <c r="A36" s="165"/>
      <c r="B36" s="222"/>
      <c r="C36" s="535"/>
      <c r="D36" s="528"/>
      <c r="E36" s="535"/>
      <c r="F36" s="536"/>
      <c r="G36" s="169"/>
      <c r="H36" s="169"/>
      <c r="I36" s="169"/>
      <c r="J36" s="36"/>
      <c r="K36" s="198"/>
      <c r="L36" s="174"/>
      <c r="M36" s="175"/>
      <c r="N36" s="175"/>
      <c r="O36" s="175"/>
      <c r="P36" s="197"/>
      <c r="Q36" s="410"/>
      <c r="R36" s="736" t="str">
        <f>IF(U36="","",VLOOKUP(U36,Listes!$C$1:$D$19,2))</f>
        <v/>
      </c>
      <c r="S36" s="737"/>
      <c r="T36" s="737"/>
      <c r="U36" s="234"/>
      <c r="V36" s="174"/>
      <c r="W36" s="175"/>
      <c r="X36" s="175"/>
      <c r="Y36" s="175"/>
      <c r="Z36" s="179"/>
      <c r="AA36" s="715"/>
      <c r="AB36" s="557"/>
      <c r="AC36" s="583"/>
      <c r="AD36" s="583"/>
      <c r="AE36" s="583"/>
      <c r="AF36" s="585"/>
    </row>
    <row r="37" spans="1:32" x14ac:dyDescent="0.35">
      <c r="A37" s="165"/>
      <c r="B37" s="222"/>
      <c r="C37" s="535"/>
      <c r="D37" s="528"/>
      <c r="E37" s="535"/>
      <c r="F37" s="536"/>
      <c r="G37" s="169"/>
      <c r="H37" s="169"/>
      <c r="I37" s="169"/>
      <c r="J37" s="36"/>
      <c r="K37" s="198"/>
      <c r="L37" s="174"/>
      <c r="M37" s="175"/>
      <c r="N37" s="175"/>
      <c r="O37" s="175"/>
      <c r="P37" s="197"/>
      <c r="Q37" s="410"/>
      <c r="R37" s="736" t="str">
        <f>IF(U37="","",VLOOKUP(U37,Listes!$C$1:$D$19,2))</f>
        <v/>
      </c>
      <c r="S37" s="737"/>
      <c r="T37" s="737"/>
      <c r="U37" s="234"/>
      <c r="V37" s="174"/>
      <c r="W37" s="175"/>
      <c r="X37" s="175"/>
      <c r="Y37" s="175"/>
      <c r="Z37" s="179"/>
      <c r="AA37" s="597"/>
      <c r="AB37" s="598"/>
      <c r="AC37" s="598"/>
      <c r="AD37" s="598"/>
      <c r="AE37" s="598"/>
      <c r="AF37" s="599"/>
    </row>
    <row r="38" spans="1:32" ht="15" thickBot="1" x14ac:dyDescent="0.4">
      <c r="A38" s="165"/>
      <c r="B38" s="222"/>
      <c r="C38" s="535"/>
      <c r="D38" s="528"/>
      <c r="E38" s="535"/>
      <c r="F38" s="536"/>
      <c r="G38" s="169"/>
      <c r="H38" s="169"/>
      <c r="I38" s="169"/>
      <c r="J38" s="36"/>
      <c r="K38" s="198"/>
      <c r="L38" s="174"/>
      <c r="M38" s="175"/>
      <c r="N38" s="175"/>
      <c r="O38" s="175"/>
      <c r="P38" s="197"/>
      <c r="Q38" s="410"/>
      <c r="R38" s="736" t="str">
        <f>IF(U38="","",VLOOKUP(U38,Listes!$C$1:$D$19,2))</f>
        <v/>
      </c>
      <c r="S38" s="737"/>
      <c r="T38" s="737"/>
      <c r="U38" s="234"/>
      <c r="V38" s="174"/>
      <c r="W38" s="175"/>
      <c r="X38" s="175"/>
      <c r="Y38" s="175"/>
      <c r="Z38" s="179"/>
      <c r="AA38" s="600" t="s">
        <v>74</v>
      </c>
      <c r="AB38" s="601"/>
      <c r="AC38" s="601"/>
      <c r="AD38" s="601"/>
      <c r="AE38" s="601"/>
      <c r="AF38" s="602"/>
    </row>
    <row r="39" spans="1:32" x14ac:dyDescent="0.35">
      <c r="A39" s="165"/>
      <c r="B39" s="222"/>
      <c r="C39" s="535"/>
      <c r="D39" s="528"/>
      <c r="E39" s="535"/>
      <c r="F39" s="536"/>
      <c r="G39" s="169"/>
      <c r="H39" s="169"/>
      <c r="I39" s="169"/>
      <c r="J39" s="36"/>
      <c r="K39" s="198"/>
      <c r="L39" s="174"/>
      <c r="M39" s="175"/>
      <c r="N39" s="175"/>
      <c r="O39" s="175"/>
      <c r="P39" s="197"/>
      <c r="Q39" s="410"/>
      <c r="R39" s="736" t="str">
        <f>IF(U39="","",VLOOKUP(U39,Listes!$C$1:$D$19,2))</f>
        <v/>
      </c>
      <c r="S39" s="737"/>
      <c r="T39" s="737"/>
      <c r="U39" s="234"/>
      <c r="V39" s="174"/>
      <c r="W39" s="175"/>
      <c r="X39" s="175"/>
      <c r="Y39" s="175"/>
      <c r="Z39" s="179"/>
      <c r="AA39" s="588"/>
      <c r="AB39" s="589"/>
      <c r="AC39" s="589"/>
      <c r="AD39" s="589"/>
      <c r="AE39" s="589"/>
      <c r="AF39" s="590"/>
    </row>
    <row r="40" spans="1:32" x14ac:dyDescent="0.35">
      <c r="A40" s="165"/>
      <c r="B40" s="222"/>
      <c r="C40" s="535"/>
      <c r="D40" s="528"/>
      <c r="E40" s="535"/>
      <c r="F40" s="536"/>
      <c r="G40" s="169"/>
      <c r="H40" s="169"/>
      <c r="I40" s="169"/>
      <c r="J40" s="36"/>
      <c r="K40" s="198"/>
      <c r="L40" s="174"/>
      <c r="M40" s="175"/>
      <c r="N40" s="175"/>
      <c r="O40" s="175"/>
      <c r="P40" s="197"/>
      <c r="Q40" s="410"/>
      <c r="R40" s="736" t="str">
        <f>IF(U40="","",VLOOKUP(U40,Listes!$C$1:$D$19,2))</f>
        <v/>
      </c>
      <c r="S40" s="737"/>
      <c r="T40" s="737"/>
      <c r="U40" s="234"/>
      <c r="V40" s="174"/>
      <c r="W40" s="175"/>
      <c r="X40" s="175"/>
      <c r="Y40" s="175"/>
      <c r="Z40" s="179"/>
      <c r="AA40" s="591"/>
      <c r="AB40" s="592"/>
      <c r="AC40" s="592"/>
      <c r="AD40" s="592"/>
      <c r="AE40" s="592"/>
      <c r="AF40" s="593"/>
    </row>
    <row r="41" spans="1:32" x14ac:dyDescent="0.35">
      <c r="A41" s="165"/>
      <c r="B41" s="222"/>
      <c r="C41" s="535"/>
      <c r="D41" s="528"/>
      <c r="E41" s="535"/>
      <c r="F41" s="536"/>
      <c r="G41" s="169"/>
      <c r="H41" s="169"/>
      <c r="I41" s="169"/>
      <c r="J41" s="36"/>
      <c r="K41" s="198"/>
      <c r="L41" s="174"/>
      <c r="M41" s="175"/>
      <c r="N41" s="175"/>
      <c r="O41" s="175"/>
      <c r="P41" s="197"/>
      <c r="Q41" s="410"/>
      <c r="R41" s="736" t="str">
        <f>IF(U41="","",VLOOKUP(U41,Listes!$C$1:$D$19,2))</f>
        <v/>
      </c>
      <c r="S41" s="737"/>
      <c r="T41" s="737"/>
      <c r="U41" s="234"/>
      <c r="V41" s="174"/>
      <c r="W41" s="175"/>
      <c r="X41" s="175"/>
      <c r="Y41" s="175"/>
      <c r="Z41" s="179"/>
      <c r="AA41" s="591"/>
      <c r="AB41" s="592"/>
      <c r="AC41" s="592"/>
      <c r="AD41" s="592"/>
      <c r="AE41" s="592"/>
      <c r="AF41" s="593"/>
    </row>
    <row r="42" spans="1:32" x14ac:dyDescent="0.35">
      <c r="A42" s="165"/>
      <c r="B42" s="222"/>
      <c r="C42" s="535"/>
      <c r="D42" s="528"/>
      <c r="E42" s="535"/>
      <c r="F42" s="536"/>
      <c r="G42" s="169"/>
      <c r="H42" s="169"/>
      <c r="I42" s="169"/>
      <c r="J42" s="36"/>
      <c r="K42" s="198"/>
      <c r="L42" s="174"/>
      <c r="M42" s="175"/>
      <c r="N42" s="175"/>
      <c r="O42" s="175"/>
      <c r="P42" s="197"/>
      <c r="Q42" s="410"/>
      <c r="R42" s="736" t="str">
        <f>IF(U42="","",VLOOKUP(U42,Listes!$C$1:$D$19,2))</f>
        <v/>
      </c>
      <c r="S42" s="737"/>
      <c r="T42" s="737"/>
      <c r="U42" s="234"/>
      <c r="V42" s="174"/>
      <c r="W42" s="175"/>
      <c r="X42" s="175"/>
      <c r="Y42" s="175"/>
      <c r="Z42" s="179"/>
      <c r="AA42" s="591"/>
      <c r="AB42" s="592"/>
      <c r="AC42" s="592"/>
      <c r="AD42" s="592"/>
      <c r="AE42" s="592"/>
      <c r="AF42" s="593"/>
    </row>
    <row r="43" spans="1:32" x14ac:dyDescent="0.35">
      <c r="A43" s="165"/>
      <c r="B43" s="222"/>
      <c r="C43" s="535"/>
      <c r="D43" s="528"/>
      <c r="E43" s="535"/>
      <c r="F43" s="536"/>
      <c r="G43" s="169"/>
      <c r="H43" s="169"/>
      <c r="I43" s="169"/>
      <c r="J43" s="36"/>
      <c r="K43" s="198"/>
      <c r="L43" s="174"/>
      <c r="M43" s="175"/>
      <c r="N43" s="175"/>
      <c r="O43" s="175"/>
      <c r="P43" s="197"/>
      <c r="Q43" s="410"/>
      <c r="R43" s="736" t="str">
        <f>IF(U43="","",VLOOKUP(U43,Listes!$C$1:$D$19,2))</f>
        <v/>
      </c>
      <c r="S43" s="737"/>
      <c r="T43" s="737"/>
      <c r="U43" s="234"/>
      <c r="V43" s="174"/>
      <c r="W43" s="175"/>
      <c r="X43" s="175"/>
      <c r="Y43" s="175"/>
      <c r="Z43" s="179"/>
      <c r="AA43" s="591"/>
      <c r="AB43" s="592"/>
      <c r="AC43" s="592"/>
      <c r="AD43" s="592"/>
      <c r="AE43" s="592"/>
      <c r="AF43" s="593"/>
    </row>
    <row r="44" spans="1:32" x14ac:dyDescent="0.35">
      <c r="A44" s="165"/>
      <c r="B44" s="222"/>
      <c r="C44" s="535"/>
      <c r="D44" s="528"/>
      <c r="E44" s="535"/>
      <c r="F44" s="536"/>
      <c r="G44" s="169"/>
      <c r="H44" s="169"/>
      <c r="I44" s="169"/>
      <c r="J44" s="36"/>
      <c r="K44" s="198"/>
      <c r="L44" s="174"/>
      <c r="M44" s="175"/>
      <c r="N44" s="175"/>
      <c r="O44" s="175"/>
      <c r="P44" s="197"/>
      <c r="Q44" s="410"/>
      <c r="R44" s="736" t="str">
        <f>IF(U44="","",VLOOKUP(U44,Listes!$C$1:$D$19,2))</f>
        <v/>
      </c>
      <c r="S44" s="737"/>
      <c r="T44" s="737"/>
      <c r="U44" s="234"/>
      <c r="V44" s="174"/>
      <c r="W44" s="175"/>
      <c r="X44" s="175"/>
      <c r="Y44" s="175"/>
      <c r="Z44" s="179"/>
      <c r="AA44" s="591"/>
      <c r="AB44" s="592"/>
      <c r="AC44" s="592"/>
      <c r="AD44" s="592"/>
      <c r="AE44" s="592"/>
      <c r="AF44" s="593"/>
    </row>
    <row r="45" spans="1:32" ht="15" thickBot="1" x14ac:dyDescent="0.4">
      <c r="A45" s="200"/>
      <c r="B45" s="225"/>
      <c r="C45" s="728"/>
      <c r="D45" s="730"/>
      <c r="E45" s="728"/>
      <c r="F45" s="729"/>
      <c r="G45" s="205"/>
      <c r="H45" s="205"/>
      <c r="I45" s="205"/>
      <c r="J45" s="41"/>
      <c r="K45" s="198"/>
      <c r="L45" s="201"/>
      <c r="M45" s="202"/>
      <c r="N45" s="202"/>
      <c r="O45" s="202"/>
      <c r="P45" s="203"/>
      <c r="Q45" s="409"/>
      <c r="R45" s="736" t="str">
        <f>IF(U45="","",VLOOKUP(U45,Listes!$C$1:$D$19,2))</f>
        <v/>
      </c>
      <c r="S45" s="737"/>
      <c r="T45" s="737"/>
      <c r="U45" s="235"/>
      <c r="V45" s="201"/>
      <c r="W45" s="202"/>
      <c r="X45" s="202"/>
      <c r="Y45" s="202"/>
      <c r="Z45" s="204"/>
      <c r="AA45" s="591"/>
      <c r="AB45" s="592"/>
      <c r="AC45" s="592"/>
      <c r="AD45" s="592"/>
      <c r="AE45" s="592"/>
      <c r="AF45" s="593"/>
    </row>
    <row r="46" spans="1:32" x14ac:dyDescent="0.35">
      <c r="A46" s="716" t="s">
        <v>9</v>
      </c>
      <c r="B46" s="604">
        <f>SUM(B13:B45)</f>
        <v>0</v>
      </c>
      <c r="C46" s="719">
        <f>COUNTA(C13:D45)</f>
        <v>0</v>
      </c>
      <c r="D46" s="720"/>
      <c r="E46" s="46">
        <v>1</v>
      </c>
      <c r="F46" s="47">
        <f>COUNTIFS(E13:F45,1)</f>
        <v>0</v>
      </c>
      <c r="G46" s="604">
        <f>COUNTIF(G13:G45,"oui")</f>
        <v>0</v>
      </c>
      <c r="H46" s="604">
        <f>COUNTIF(H13:H45,"oui")</f>
        <v>0</v>
      </c>
      <c r="I46" s="604">
        <f>COUNTIF(I13:I45,"oui")</f>
        <v>0</v>
      </c>
      <c r="J46" s="612"/>
      <c r="K46" s="625">
        <f t="shared" ref="K46:P46" si="0">COUNTIF(K13:K45,"oui")</f>
        <v>0</v>
      </c>
      <c r="L46" s="628">
        <f t="shared" si="0"/>
        <v>0</v>
      </c>
      <c r="M46" s="631">
        <f t="shared" si="0"/>
        <v>0</v>
      </c>
      <c r="N46" s="631">
        <f t="shared" si="0"/>
        <v>0</v>
      </c>
      <c r="O46" s="631">
        <f t="shared" si="0"/>
        <v>0</v>
      </c>
      <c r="P46" s="634">
        <f t="shared" si="0"/>
        <v>0</v>
      </c>
      <c r="Q46" s="392"/>
      <c r="R46" s="689" t="s">
        <v>55</v>
      </c>
      <c r="S46" s="690"/>
      <c r="T46" s="725" t="str">
        <f>IF(P46=0,"",P46/C46)</f>
        <v/>
      </c>
      <c r="U46" s="695"/>
      <c r="V46" s="618">
        <f>COUNTIF(V13:V45,"Oui")</f>
        <v>0</v>
      </c>
      <c r="W46" s="618">
        <f>COUNTIF(W13:W45,"Oui")</f>
        <v>0</v>
      </c>
      <c r="X46" s="618">
        <f>COUNTIF(X13:X45,"Oui")</f>
        <v>0</v>
      </c>
      <c r="Y46" s="618">
        <f>COUNTIF(Y13:Y45,"Oui")</f>
        <v>0</v>
      </c>
      <c r="Z46" s="621">
        <f>COUNTIF(Z13:Z45,"Oui")</f>
        <v>0</v>
      </c>
      <c r="AA46" s="591"/>
      <c r="AB46" s="592"/>
      <c r="AC46" s="592"/>
      <c r="AD46" s="592"/>
      <c r="AE46" s="592"/>
      <c r="AF46" s="593"/>
    </row>
    <row r="47" spans="1:32" x14ac:dyDescent="0.35">
      <c r="A47" s="717"/>
      <c r="B47" s="604"/>
      <c r="C47" s="721"/>
      <c r="D47" s="722"/>
      <c r="E47" s="46">
        <v>2</v>
      </c>
      <c r="F47" s="47">
        <f>COUNTIFS(E13:F45,2)</f>
        <v>0</v>
      </c>
      <c r="G47" s="604"/>
      <c r="H47" s="604"/>
      <c r="I47" s="604"/>
      <c r="J47" s="613"/>
      <c r="K47" s="626"/>
      <c r="L47" s="629"/>
      <c r="M47" s="632"/>
      <c r="N47" s="632"/>
      <c r="O47" s="632"/>
      <c r="P47" s="635"/>
      <c r="Q47" s="393"/>
      <c r="R47" s="691"/>
      <c r="S47" s="692"/>
      <c r="T47" s="726"/>
      <c r="U47" s="696"/>
      <c r="V47" s="619"/>
      <c r="W47" s="619"/>
      <c r="X47" s="619"/>
      <c r="Y47" s="619"/>
      <c r="Z47" s="622"/>
      <c r="AA47" s="594"/>
      <c r="AB47" s="595"/>
      <c r="AC47" s="595"/>
      <c r="AD47" s="595"/>
      <c r="AE47" s="595"/>
      <c r="AF47" s="596"/>
    </row>
    <row r="48" spans="1:32" ht="15" thickBot="1" x14ac:dyDescent="0.4">
      <c r="A48" s="718"/>
      <c r="B48" s="605"/>
      <c r="C48" s="723"/>
      <c r="D48" s="724"/>
      <c r="E48" s="48">
        <v>3</v>
      </c>
      <c r="F48" s="49">
        <f>COUNTIFS(E13:F45,3)</f>
        <v>0</v>
      </c>
      <c r="G48" s="605"/>
      <c r="H48" s="605"/>
      <c r="I48" s="605"/>
      <c r="J48" s="614"/>
      <c r="K48" s="627"/>
      <c r="L48" s="630"/>
      <c r="M48" s="633"/>
      <c r="N48" s="633"/>
      <c r="O48" s="633"/>
      <c r="P48" s="636"/>
      <c r="Q48" s="394"/>
      <c r="R48" s="693"/>
      <c r="S48" s="694"/>
      <c r="T48" s="727"/>
      <c r="U48" s="697"/>
      <c r="V48" s="620"/>
      <c r="W48" s="620"/>
      <c r="X48" s="620"/>
      <c r="Y48" s="620"/>
      <c r="Z48" s="623"/>
      <c r="AA48" s="22"/>
      <c r="AB48" s="23"/>
      <c r="AC48" s="23"/>
      <c r="AD48" s="23"/>
      <c r="AE48" s="23"/>
      <c r="AF48" s="24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5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624" t="s">
        <v>14</v>
      </c>
      <c r="D51" s="624"/>
      <c r="E51" s="624"/>
      <c r="F51" s="624"/>
      <c r="G51" s="624"/>
      <c r="H51" s="624"/>
      <c r="I51" s="624"/>
      <c r="J51" s="624"/>
      <c r="K51" s="624"/>
      <c r="L51" s="624"/>
      <c r="M51" s="624"/>
      <c r="N51" s="624"/>
      <c r="O51" s="9"/>
      <c r="P51" s="600" t="s">
        <v>74</v>
      </c>
      <c r="Q51" s="601"/>
      <c r="R51" s="601"/>
      <c r="S51" s="601"/>
      <c r="T51" s="601"/>
      <c r="U51" s="601"/>
      <c r="V51" s="602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88"/>
      <c r="Q52" s="589"/>
      <c r="R52" s="589"/>
      <c r="S52" s="589"/>
      <c r="T52" s="589"/>
      <c r="U52" s="589"/>
      <c r="V52" s="590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637" t="s">
        <v>51</v>
      </c>
      <c r="D53" s="638"/>
      <c r="E53" s="638"/>
      <c r="F53" s="638"/>
      <c r="G53" s="28">
        <f>I46</f>
        <v>0</v>
      </c>
      <c r="H53" s="637" t="s">
        <v>53</v>
      </c>
      <c r="I53" s="638"/>
      <c r="J53" s="638"/>
      <c r="K53" s="639">
        <f>V46</f>
        <v>0</v>
      </c>
      <c r="L53" s="640"/>
      <c r="M53" s="7" t="s">
        <v>52</v>
      </c>
      <c r="N53" s="6" t="e">
        <f>K53/G53</f>
        <v>#DIV/0!</v>
      </c>
      <c r="O53" s="9"/>
      <c r="P53" s="591"/>
      <c r="Q53" s="592"/>
      <c r="R53" s="592"/>
      <c r="S53" s="592"/>
      <c r="T53" s="592"/>
      <c r="U53" s="592"/>
      <c r="V53" s="593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641" t="s">
        <v>15</v>
      </c>
      <c r="D54" s="642"/>
      <c r="E54" s="642"/>
      <c r="F54" s="642"/>
      <c r="G54" s="642"/>
      <c r="H54" s="642"/>
      <c r="I54" s="642"/>
      <c r="J54" s="642"/>
      <c r="K54" s="642"/>
      <c r="L54" s="642"/>
      <c r="M54" s="642"/>
      <c r="N54" s="643"/>
      <c r="O54" s="9"/>
      <c r="P54" s="591"/>
      <c r="Q54" s="592"/>
      <c r="R54" s="592"/>
      <c r="S54" s="592"/>
      <c r="T54" s="592"/>
      <c r="U54" s="592"/>
      <c r="V54" s="593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644" t="s">
        <v>16</v>
      </c>
      <c r="D55" s="645"/>
      <c r="E55" s="645"/>
      <c r="F55" s="646"/>
      <c r="G55" s="644" t="s">
        <v>17</v>
      </c>
      <c r="H55" s="646"/>
      <c r="I55" s="647" t="s">
        <v>54</v>
      </c>
      <c r="J55" s="648"/>
      <c r="K55" s="649"/>
      <c r="L55" s="647" t="s">
        <v>18</v>
      </c>
      <c r="M55" s="648"/>
      <c r="N55" s="649"/>
      <c r="O55" s="9"/>
      <c r="P55" s="591"/>
      <c r="Q55" s="592"/>
      <c r="R55" s="592"/>
      <c r="S55" s="592"/>
      <c r="T55" s="592"/>
      <c r="U55" s="592"/>
      <c r="V55" s="593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665">
        <f>W46</f>
        <v>0</v>
      </c>
      <c r="D56" s="666"/>
      <c r="E56" s="666"/>
      <c r="F56" s="667"/>
      <c r="G56" s="665">
        <f>X46</f>
        <v>0</v>
      </c>
      <c r="H56" s="667"/>
      <c r="I56" s="665">
        <f>Y46</f>
        <v>0</v>
      </c>
      <c r="J56" s="666"/>
      <c r="K56" s="667"/>
      <c r="L56" s="665">
        <f>Z46</f>
        <v>0</v>
      </c>
      <c r="M56" s="666"/>
      <c r="N56" s="667"/>
      <c r="O56" s="9"/>
      <c r="P56" s="591"/>
      <c r="Q56" s="592"/>
      <c r="R56" s="592"/>
      <c r="S56" s="592"/>
      <c r="T56" s="592"/>
      <c r="U56" s="592"/>
      <c r="V56" s="593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668" t="e">
        <f>C56/K53</f>
        <v>#DIV/0!</v>
      </c>
      <c r="D57" s="669"/>
      <c r="E57" s="669"/>
      <c r="F57" s="670"/>
      <c r="G57" s="668" t="e">
        <f>G56/K53</f>
        <v>#DIV/0!</v>
      </c>
      <c r="H57" s="669"/>
      <c r="I57" s="668" t="e">
        <f>I56/K53</f>
        <v>#DIV/0!</v>
      </c>
      <c r="J57" s="669"/>
      <c r="K57" s="670"/>
      <c r="L57" s="668" t="e">
        <f>L56/K53</f>
        <v>#DIV/0!</v>
      </c>
      <c r="M57" s="669"/>
      <c r="N57" s="670"/>
      <c r="O57" s="9"/>
      <c r="P57" s="591"/>
      <c r="Q57" s="592"/>
      <c r="R57" s="592"/>
      <c r="S57" s="592"/>
      <c r="T57" s="592"/>
      <c r="U57" s="592"/>
      <c r="V57" s="593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671" t="s">
        <v>97</v>
      </c>
      <c r="F58" s="671"/>
      <c r="G58" s="671"/>
      <c r="H58" s="671"/>
      <c r="I58" s="671"/>
      <c r="J58" s="671"/>
      <c r="K58" s="671"/>
      <c r="L58" s="671"/>
      <c r="M58" s="671"/>
      <c r="N58" s="672"/>
      <c r="O58" s="9"/>
      <c r="P58" s="591"/>
      <c r="Q58" s="592"/>
      <c r="R58" s="592"/>
      <c r="S58" s="592"/>
      <c r="T58" s="592"/>
      <c r="U58" s="592"/>
      <c r="V58" s="593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35"/>
      <c r="D59" s="536"/>
      <c r="E59" s="536"/>
      <c r="F59" s="536"/>
      <c r="G59" s="536"/>
      <c r="H59" s="536"/>
      <c r="I59" s="536"/>
      <c r="J59" s="536"/>
      <c r="K59" s="536"/>
      <c r="L59" s="536"/>
      <c r="M59" s="536"/>
      <c r="N59" s="528"/>
      <c r="P59" s="591"/>
      <c r="Q59" s="592"/>
      <c r="R59" s="592"/>
      <c r="S59" s="592"/>
      <c r="T59" s="592"/>
      <c r="U59" s="592"/>
      <c r="V59" s="593"/>
    </row>
    <row r="60" spans="1:32" x14ac:dyDescent="0.35">
      <c r="C60" s="535"/>
      <c r="D60" s="536"/>
      <c r="E60" s="536"/>
      <c r="F60" s="536"/>
      <c r="G60" s="536"/>
      <c r="H60" s="536"/>
      <c r="I60" s="536"/>
      <c r="J60" s="536"/>
      <c r="K60" s="536"/>
      <c r="L60" s="536"/>
      <c r="M60" s="536"/>
      <c r="N60" s="528"/>
      <c r="P60" s="594"/>
      <c r="Q60" s="595"/>
      <c r="R60" s="595"/>
      <c r="S60" s="595"/>
      <c r="T60" s="595"/>
      <c r="U60" s="595"/>
      <c r="V60" s="596"/>
    </row>
    <row r="61" spans="1:32" ht="15" thickBot="1" x14ac:dyDescent="0.4">
      <c r="C61" s="535"/>
      <c r="D61" s="536"/>
      <c r="E61" s="536"/>
      <c r="F61" s="536"/>
      <c r="G61" s="536"/>
      <c r="H61" s="536"/>
      <c r="I61" s="536"/>
      <c r="J61" s="536"/>
      <c r="K61" s="536"/>
      <c r="L61" s="536"/>
      <c r="M61" s="536"/>
      <c r="N61" s="528"/>
      <c r="P61" s="22"/>
      <c r="Q61" s="23"/>
      <c r="R61" s="23"/>
      <c r="S61" s="23"/>
      <c r="T61" s="23"/>
      <c r="U61" s="23"/>
      <c r="V61" s="24"/>
    </row>
    <row r="62" spans="1:32" x14ac:dyDescent="0.35">
      <c r="C62" s="535"/>
      <c r="D62" s="536"/>
      <c r="E62" s="536"/>
      <c r="F62" s="536"/>
      <c r="G62" s="536"/>
      <c r="H62" s="536"/>
      <c r="I62" s="536"/>
      <c r="J62" s="536"/>
      <c r="K62" s="536"/>
      <c r="L62" s="536"/>
      <c r="M62" s="536"/>
      <c r="N62" s="528"/>
    </row>
    <row r="63" spans="1:32" ht="15" thickBot="1" x14ac:dyDescent="0.4">
      <c r="C63" s="728"/>
      <c r="D63" s="729"/>
      <c r="E63" s="729"/>
      <c r="F63" s="729"/>
      <c r="G63" s="729"/>
      <c r="H63" s="729"/>
      <c r="I63" s="729"/>
      <c r="J63" s="729"/>
      <c r="K63" s="729"/>
      <c r="L63" s="729"/>
      <c r="M63" s="729"/>
      <c r="N63" s="730"/>
    </row>
    <row r="66" spans="3:14" ht="15" customHeight="1" x14ac:dyDescent="0.4">
      <c r="C66" s="656" t="s">
        <v>20</v>
      </c>
      <c r="D66" s="656"/>
      <c r="E66" s="656"/>
      <c r="F66" s="656"/>
      <c r="G66" s="656"/>
      <c r="H66" s="656"/>
      <c r="I66" s="656"/>
      <c r="J66" s="656"/>
      <c r="K66" s="656"/>
      <c r="L66" s="656"/>
      <c r="M66" s="656"/>
      <c r="N66" s="656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657" t="s">
        <v>56</v>
      </c>
      <c r="D68" s="658"/>
      <c r="E68" s="658"/>
      <c r="F68" s="658"/>
      <c r="G68" s="659">
        <f>AA13</f>
        <v>0</v>
      </c>
      <c r="H68" s="660"/>
      <c r="I68" s="661" t="s">
        <v>57</v>
      </c>
      <c r="J68" s="662"/>
      <c r="K68" s="662"/>
      <c r="L68" s="10">
        <f>AB13</f>
        <v>0</v>
      </c>
      <c r="M68" s="663"/>
      <c r="N68" s="664"/>
    </row>
    <row r="69" spans="3:14" ht="16" thickBot="1" x14ac:dyDescent="0.4">
      <c r="C69" s="657" t="s">
        <v>15</v>
      </c>
      <c r="D69" s="658"/>
      <c r="E69" s="658"/>
      <c r="F69" s="658"/>
      <c r="G69" s="658"/>
      <c r="H69" s="658"/>
      <c r="I69" s="658"/>
      <c r="J69" s="658"/>
      <c r="K69" s="658"/>
      <c r="L69" s="658"/>
      <c r="M69" s="658"/>
      <c r="N69" s="680"/>
    </row>
    <row r="70" spans="3:14" ht="30" customHeight="1" x14ac:dyDescent="0.35">
      <c r="C70" s="681" t="s">
        <v>58</v>
      </c>
      <c r="D70" s="682"/>
      <c r="E70" s="682"/>
      <c r="F70" s="683"/>
      <c r="G70" s="681" t="s">
        <v>26</v>
      </c>
      <c r="H70" s="682"/>
      <c r="I70" s="681" t="s">
        <v>27</v>
      </c>
      <c r="J70" s="682"/>
      <c r="K70" s="683"/>
      <c r="L70" s="681" t="s">
        <v>22</v>
      </c>
      <c r="M70" s="682"/>
      <c r="N70" s="683"/>
    </row>
    <row r="71" spans="3:14" ht="22" customHeight="1" thickBot="1" x14ac:dyDescent="0.4">
      <c r="C71" s="684">
        <f>AC13</f>
        <v>0</v>
      </c>
      <c r="D71" s="685"/>
      <c r="E71" s="685"/>
      <c r="F71" s="686"/>
      <c r="G71" s="687">
        <f>AD13</f>
        <v>0</v>
      </c>
      <c r="H71" s="688"/>
      <c r="I71" s="684">
        <f>AE13</f>
        <v>0</v>
      </c>
      <c r="J71" s="685"/>
      <c r="K71" s="686"/>
      <c r="L71" s="684">
        <f>AF13</f>
        <v>0</v>
      </c>
      <c r="M71" s="685"/>
      <c r="N71" s="686"/>
    </row>
    <row r="72" spans="3:14" ht="16" customHeight="1" thickBot="1" x14ac:dyDescent="0.4">
      <c r="C72" s="709" t="e">
        <f>C71/(G68+L68)</f>
        <v>#DIV/0!</v>
      </c>
      <c r="D72" s="710"/>
      <c r="E72" s="710"/>
      <c r="F72" s="711"/>
      <c r="G72" s="709" t="e">
        <f>G71/(G68+L68)</f>
        <v>#DIV/0!</v>
      </c>
      <c r="H72" s="710"/>
      <c r="I72" s="709" t="e">
        <f>I71/(G68+L68)</f>
        <v>#DIV/0!</v>
      </c>
      <c r="J72" s="710"/>
      <c r="K72" s="710"/>
      <c r="L72" s="709" t="e">
        <f>L71/(G68+L68)</f>
        <v>#DIV/0!</v>
      </c>
      <c r="M72" s="710" t="e">
        <f>L71/(G68+L68)</f>
        <v>#DIV/0!</v>
      </c>
      <c r="N72" s="711"/>
    </row>
    <row r="73" spans="3:14" x14ac:dyDescent="0.35">
      <c r="C73" s="25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673">
        <f>AA17</f>
        <v>0</v>
      </c>
      <c r="D74" s="674"/>
      <c r="E74" s="674"/>
      <c r="F74" s="674"/>
      <c r="G74" s="674"/>
      <c r="H74" s="674"/>
      <c r="I74" s="674"/>
      <c r="J74" s="674"/>
      <c r="K74" s="674"/>
      <c r="L74" s="674"/>
      <c r="M74" s="674"/>
      <c r="N74" s="675"/>
    </row>
    <row r="75" spans="3:14" x14ac:dyDescent="0.35">
      <c r="C75" s="673"/>
      <c r="D75" s="674"/>
      <c r="E75" s="674"/>
      <c r="F75" s="674"/>
      <c r="G75" s="674"/>
      <c r="H75" s="674"/>
      <c r="I75" s="674"/>
      <c r="J75" s="674"/>
      <c r="K75" s="674"/>
      <c r="L75" s="674"/>
      <c r="M75" s="674"/>
      <c r="N75" s="675"/>
    </row>
    <row r="76" spans="3:14" x14ac:dyDescent="0.35">
      <c r="C76" s="673"/>
      <c r="D76" s="674"/>
      <c r="E76" s="674"/>
      <c r="F76" s="674"/>
      <c r="G76" s="674"/>
      <c r="H76" s="674"/>
      <c r="I76" s="674"/>
      <c r="J76" s="674"/>
      <c r="K76" s="674"/>
      <c r="L76" s="674"/>
      <c r="M76" s="674"/>
      <c r="N76" s="675"/>
    </row>
    <row r="77" spans="3:14" x14ac:dyDescent="0.35">
      <c r="C77" s="673"/>
      <c r="D77" s="674"/>
      <c r="E77" s="674"/>
      <c r="F77" s="674"/>
      <c r="G77" s="674"/>
      <c r="H77" s="674"/>
      <c r="I77" s="674"/>
      <c r="J77" s="674"/>
      <c r="K77" s="674"/>
      <c r="L77" s="674"/>
      <c r="M77" s="674"/>
      <c r="N77" s="675"/>
    </row>
    <row r="78" spans="3:14" x14ac:dyDescent="0.35">
      <c r="C78" s="673"/>
      <c r="D78" s="674"/>
      <c r="E78" s="674"/>
      <c r="F78" s="674"/>
      <c r="G78" s="674"/>
      <c r="H78" s="674"/>
      <c r="I78" s="674"/>
      <c r="J78" s="674"/>
      <c r="K78" s="674"/>
      <c r="L78" s="674"/>
      <c r="M78" s="674"/>
      <c r="N78" s="675"/>
    </row>
    <row r="79" spans="3:14" ht="15" thickBot="1" x14ac:dyDescent="0.4">
      <c r="C79" s="676"/>
      <c r="D79" s="677"/>
      <c r="E79" s="677"/>
      <c r="F79" s="677"/>
      <c r="G79" s="677"/>
      <c r="H79" s="677"/>
      <c r="I79" s="677"/>
      <c r="J79" s="677"/>
      <c r="K79" s="677"/>
      <c r="L79" s="677"/>
      <c r="M79" s="677"/>
      <c r="N79" s="678"/>
    </row>
    <row r="82" spans="3:14" ht="15" customHeight="1" x14ac:dyDescent="0.4">
      <c r="C82" s="679" t="s">
        <v>23</v>
      </c>
      <c r="D82" s="679"/>
      <c r="E82" s="679"/>
      <c r="F82" s="679"/>
      <c r="G82" s="679"/>
      <c r="H82" s="679"/>
      <c r="I82" s="679"/>
      <c r="J82" s="679"/>
      <c r="K82" s="679"/>
      <c r="L82" s="679"/>
      <c r="M82" s="679"/>
      <c r="N82" s="679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701" t="s">
        <v>24</v>
      </c>
      <c r="D84" s="702"/>
      <c r="E84" s="703">
        <f>AA35</f>
        <v>0</v>
      </c>
      <c r="F84" s="703"/>
      <c r="G84" s="703"/>
      <c r="H84" s="704"/>
      <c r="I84" s="701" t="s">
        <v>25</v>
      </c>
      <c r="J84" s="702"/>
      <c r="K84" s="702"/>
      <c r="L84" s="703">
        <f>AB35</f>
        <v>0</v>
      </c>
      <c r="M84" s="703"/>
      <c r="N84" s="704"/>
    </row>
    <row r="85" spans="3:14" ht="16" thickBot="1" x14ac:dyDescent="0.4">
      <c r="C85" s="701" t="s">
        <v>15</v>
      </c>
      <c r="D85" s="702"/>
      <c r="E85" s="702"/>
      <c r="F85" s="702"/>
      <c r="G85" s="702"/>
      <c r="H85" s="702"/>
      <c r="I85" s="702"/>
      <c r="J85" s="702"/>
      <c r="K85" s="702"/>
      <c r="L85" s="702"/>
      <c r="M85" s="702"/>
      <c r="N85" s="705"/>
    </row>
    <row r="86" spans="3:14" ht="29.15" customHeight="1" x14ac:dyDescent="0.35">
      <c r="C86" s="706" t="s">
        <v>21</v>
      </c>
      <c r="D86" s="707"/>
      <c r="E86" s="707"/>
      <c r="F86" s="708"/>
      <c r="G86" s="706" t="s">
        <v>26</v>
      </c>
      <c r="H86" s="708"/>
      <c r="I86" s="706" t="s">
        <v>27</v>
      </c>
      <c r="J86" s="707"/>
      <c r="K86" s="708"/>
      <c r="L86" s="707" t="s">
        <v>22</v>
      </c>
      <c r="M86" s="707"/>
      <c r="N86" s="708"/>
    </row>
    <row r="87" spans="3:14" ht="15" thickBot="1" x14ac:dyDescent="0.4">
      <c r="C87" s="684">
        <f>AC35</f>
        <v>0</v>
      </c>
      <c r="D87" s="685"/>
      <c r="E87" s="685"/>
      <c r="F87" s="686"/>
      <c r="G87" s="687">
        <f>AD35</f>
        <v>0</v>
      </c>
      <c r="H87" s="688"/>
      <c r="I87" s="684">
        <f>AE35</f>
        <v>0</v>
      </c>
      <c r="J87" s="685"/>
      <c r="K87" s="686"/>
      <c r="L87" s="684">
        <f>AF35</f>
        <v>0</v>
      </c>
      <c r="M87" s="685"/>
      <c r="N87" s="686"/>
    </row>
    <row r="88" spans="3:14" ht="15" thickBot="1" x14ac:dyDescent="0.4">
      <c r="C88" s="731" t="e">
        <f>C87/L84</f>
        <v>#DIV/0!</v>
      </c>
      <c r="D88" s="732"/>
      <c r="E88" s="732"/>
      <c r="F88" s="733"/>
      <c r="G88" s="731" t="e">
        <f>G87/L84</f>
        <v>#DIV/0!</v>
      </c>
      <c r="H88" s="732"/>
      <c r="I88" s="731" t="e">
        <f>I87/L84</f>
        <v>#DIV/0!</v>
      </c>
      <c r="J88" s="732"/>
      <c r="K88" s="732"/>
      <c r="L88" s="731" t="e">
        <f>L87/L84</f>
        <v>#DIV/0!</v>
      </c>
      <c r="M88" s="732" t="e">
        <f>L87/(G84+L84)</f>
        <v>#DIV/0!</v>
      </c>
      <c r="N88" s="733"/>
    </row>
    <row r="89" spans="3:14" x14ac:dyDescent="0.35">
      <c r="C89" s="27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673">
        <f>AA39</f>
        <v>0</v>
      </c>
      <c r="D90" s="674"/>
      <c r="E90" s="674"/>
      <c r="F90" s="674"/>
      <c r="G90" s="674"/>
      <c r="H90" s="674"/>
      <c r="I90" s="674"/>
      <c r="J90" s="674"/>
      <c r="K90" s="674"/>
      <c r="L90" s="674"/>
      <c r="M90" s="674"/>
      <c r="N90" s="675"/>
    </row>
    <row r="91" spans="3:14" x14ac:dyDescent="0.35">
      <c r="C91" s="673"/>
      <c r="D91" s="674"/>
      <c r="E91" s="674"/>
      <c r="F91" s="674"/>
      <c r="G91" s="674"/>
      <c r="H91" s="674"/>
      <c r="I91" s="674"/>
      <c r="J91" s="674"/>
      <c r="K91" s="674"/>
      <c r="L91" s="674"/>
      <c r="M91" s="674"/>
      <c r="N91" s="675"/>
    </row>
    <row r="92" spans="3:14" x14ac:dyDescent="0.35">
      <c r="C92" s="673"/>
      <c r="D92" s="674"/>
      <c r="E92" s="674"/>
      <c r="F92" s="674"/>
      <c r="G92" s="674"/>
      <c r="H92" s="674"/>
      <c r="I92" s="674"/>
      <c r="J92" s="674"/>
      <c r="K92" s="674"/>
      <c r="L92" s="674"/>
      <c r="M92" s="674"/>
      <c r="N92" s="675"/>
    </row>
    <row r="93" spans="3:14" x14ac:dyDescent="0.35">
      <c r="C93" s="673"/>
      <c r="D93" s="674"/>
      <c r="E93" s="674"/>
      <c r="F93" s="674"/>
      <c r="G93" s="674"/>
      <c r="H93" s="674"/>
      <c r="I93" s="674"/>
      <c r="J93" s="674"/>
      <c r="K93" s="674"/>
      <c r="L93" s="674"/>
      <c r="M93" s="674"/>
      <c r="N93" s="675"/>
    </row>
    <row r="94" spans="3:14" x14ac:dyDescent="0.35">
      <c r="C94" s="673"/>
      <c r="D94" s="674"/>
      <c r="E94" s="674"/>
      <c r="F94" s="674"/>
      <c r="G94" s="674"/>
      <c r="H94" s="674"/>
      <c r="I94" s="674"/>
      <c r="J94" s="674"/>
      <c r="K94" s="674"/>
      <c r="L94" s="674"/>
      <c r="M94" s="674"/>
      <c r="N94" s="675"/>
    </row>
    <row r="95" spans="3:14" ht="15" thickBot="1" x14ac:dyDescent="0.4">
      <c r="C95" s="676"/>
      <c r="D95" s="677"/>
      <c r="E95" s="677"/>
      <c r="F95" s="677"/>
      <c r="G95" s="677"/>
      <c r="H95" s="677"/>
      <c r="I95" s="677"/>
      <c r="J95" s="677"/>
      <c r="K95" s="677"/>
      <c r="L95" s="677"/>
      <c r="M95" s="677"/>
      <c r="N95" s="678"/>
    </row>
  </sheetData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2:F2"/>
    <mergeCell ref="D4:I4"/>
    <mergeCell ref="D6:I6"/>
    <mergeCell ref="E8:I8"/>
    <mergeCell ref="B10:B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</mergeCells>
  <conditionalFormatting sqref="N53">
    <cfRule type="cellIs" dxfId="98" priority="45" operator="equal">
      <formula>0.5</formula>
    </cfRule>
    <cfRule type="cellIs" dxfId="97" priority="46" operator="lessThan">
      <formula>0.5</formula>
    </cfRule>
    <cfRule type="cellIs" dxfId="96" priority="47" operator="greaterThan">
      <formula>0.5</formula>
    </cfRule>
    <cfRule type="aboveAverage" priority="48"/>
  </conditionalFormatting>
  <conditionalFormatting sqref="C57:F57">
    <cfRule type="cellIs" dxfId="95" priority="42" operator="equal">
      <formula>0.5</formula>
    </cfRule>
    <cfRule type="cellIs" dxfId="94" priority="43" operator="lessThan">
      <formula>0.5</formula>
    </cfRule>
    <cfRule type="cellIs" dxfId="93" priority="44" operator="greaterThan">
      <formula>0.5</formula>
    </cfRule>
  </conditionalFormatting>
  <conditionalFormatting sqref="G57:H57">
    <cfRule type="cellIs" dxfId="92" priority="39" operator="equal">
      <formula>0.5</formula>
    </cfRule>
    <cfRule type="cellIs" dxfId="91" priority="40" operator="lessThan">
      <formula>0.5</formula>
    </cfRule>
    <cfRule type="cellIs" dxfId="90" priority="41" operator="greaterThan">
      <formula>0.5</formula>
    </cfRule>
  </conditionalFormatting>
  <conditionalFormatting sqref="I57">
    <cfRule type="cellIs" dxfId="89" priority="36" operator="equal">
      <formula>0.5</formula>
    </cfRule>
    <cfRule type="cellIs" dxfId="88" priority="37" operator="lessThan">
      <formula>0.5</formula>
    </cfRule>
    <cfRule type="cellIs" dxfId="87" priority="38" operator="greaterThan">
      <formula>0.5</formula>
    </cfRule>
  </conditionalFormatting>
  <conditionalFormatting sqref="L57">
    <cfRule type="cellIs" dxfId="86" priority="33" operator="equal">
      <formula>0.5</formula>
    </cfRule>
    <cfRule type="cellIs" dxfId="85" priority="34" operator="lessThan">
      <formula>0.5</formula>
    </cfRule>
    <cfRule type="cellIs" dxfId="84" priority="35" operator="greaterThan">
      <formula>0.5</formula>
    </cfRule>
  </conditionalFormatting>
  <conditionalFormatting sqref="C72:F72">
    <cfRule type="cellIs" dxfId="83" priority="29" operator="greaterThan">
      <formula>0.5</formula>
    </cfRule>
    <cfRule type="cellIs" dxfId="82" priority="30" operator="lessThan">
      <formula>0.5</formula>
    </cfRule>
    <cfRule type="cellIs" dxfId="81" priority="31" operator="equal">
      <formula>0.5</formula>
    </cfRule>
    <cfRule type="cellIs" dxfId="80" priority="32" operator="greaterThan">
      <formula>50</formula>
    </cfRule>
  </conditionalFormatting>
  <conditionalFormatting sqref="L72">
    <cfRule type="cellIs" dxfId="79" priority="17" operator="greaterThan">
      <formula>0.5</formula>
    </cfRule>
    <cfRule type="cellIs" dxfId="78" priority="18" operator="lessThan">
      <formula>0.5</formula>
    </cfRule>
    <cfRule type="cellIs" dxfId="77" priority="19" operator="equal">
      <formula>0.5</formula>
    </cfRule>
    <cfRule type="cellIs" dxfId="76" priority="20" operator="greaterThan">
      <formula>50</formula>
    </cfRule>
  </conditionalFormatting>
  <conditionalFormatting sqref="G72:H72">
    <cfRule type="cellIs" dxfId="75" priority="25" operator="greaterThan">
      <formula>0.5</formula>
    </cfRule>
    <cfRule type="cellIs" dxfId="74" priority="26" operator="lessThan">
      <formula>0.5</formula>
    </cfRule>
    <cfRule type="cellIs" dxfId="73" priority="27" operator="equal">
      <formula>0.5</formula>
    </cfRule>
    <cfRule type="cellIs" dxfId="72" priority="28" operator="greaterThan">
      <formula>50</formula>
    </cfRule>
  </conditionalFormatting>
  <conditionalFormatting sqref="I72">
    <cfRule type="cellIs" dxfId="71" priority="21" operator="greaterThan">
      <formula>0.5</formula>
    </cfRule>
    <cfRule type="cellIs" dxfId="70" priority="22" operator="lessThan">
      <formula>0.5</formula>
    </cfRule>
    <cfRule type="cellIs" dxfId="69" priority="23" operator="equal">
      <formula>0.5</formula>
    </cfRule>
    <cfRule type="cellIs" dxfId="68" priority="24" operator="greaterThan">
      <formula>50</formula>
    </cfRule>
  </conditionalFormatting>
  <conditionalFormatting sqref="C88:F88">
    <cfRule type="cellIs" dxfId="67" priority="13" operator="greaterThan">
      <formula>0.5</formula>
    </cfRule>
    <cfRule type="cellIs" dxfId="66" priority="14" operator="lessThan">
      <formula>0.5</formula>
    </cfRule>
    <cfRule type="cellIs" dxfId="65" priority="15" operator="equal">
      <formula>0.5</formula>
    </cfRule>
    <cfRule type="cellIs" dxfId="64" priority="16" operator="greaterThan">
      <formula>50</formula>
    </cfRule>
  </conditionalFormatting>
  <conditionalFormatting sqref="L88">
    <cfRule type="cellIs" dxfId="63" priority="5" operator="greaterThan">
      <formula>0.5</formula>
    </cfRule>
    <cfRule type="cellIs" dxfId="62" priority="6" operator="lessThan">
      <formula>0.5</formula>
    </cfRule>
    <cfRule type="cellIs" dxfId="61" priority="7" operator="equal">
      <formula>0.5</formula>
    </cfRule>
    <cfRule type="cellIs" dxfId="60" priority="8" operator="greaterThan">
      <formula>50</formula>
    </cfRule>
  </conditionalFormatting>
  <conditionalFormatting sqref="I88">
    <cfRule type="cellIs" dxfId="59" priority="9" operator="greaterThan">
      <formula>0.5</formula>
    </cfRule>
    <cfRule type="cellIs" dxfId="58" priority="10" operator="lessThan">
      <formula>0.5</formula>
    </cfRule>
    <cfRule type="cellIs" dxfId="57" priority="11" operator="equal">
      <formula>0.5</formula>
    </cfRule>
    <cfRule type="cellIs" dxfId="56" priority="12" operator="greaterThan">
      <formula>50</formula>
    </cfRule>
  </conditionalFormatting>
  <conditionalFormatting sqref="G88:H88">
    <cfRule type="cellIs" dxfId="55" priority="1" operator="greaterThan">
      <formula>0.5</formula>
    </cfRule>
    <cfRule type="cellIs" dxfId="54" priority="2" operator="lessThan">
      <formula>0.5</formula>
    </cfRule>
    <cfRule type="cellIs" dxfId="53" priority="3" operator="equal">
      <formula>0.5</formula>
    </cfRule>
    <cfRule type="cellIs" dxfId="52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15748031496062992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8"/>
  <sheetViews>
    <sheetView topLeftCell="A16" workbookViewId="0">
      <selection activeCell="H33" sqref="H33"/>
    </sheetView>
  </sheetViews>
  <sheetFormatPr baseColWidth="10" defaultRowHeight="14.5" x14ac:dyDescent="0.35"/>
  <cols>
    <col min="1" max="1" width="11.453125" customWidth="1"/>
    <col min="2" max="2" width="10.26953125" customWidth="1"/>
    <col min="3" max="3" width="8.26953125" customWidth="1"/>
    <col min="4" max="4" width="5.26953125" customWidth="1"/>
    <col min="5" max="5" width="7.1796875" bestFit="1" customWidth="1"/>
    <col min="6" max="7" width="4.26953125" customWidth="1"/>
    <col min="8" max="8" width="6" bestFit="1" customWidth="1"/>
    <col min="9" max="9" width="10.1796875" customWidth="1"/>
    <col min="10" max="10" width="10.81640625" customWidth="1"/>
    <col min="11" max="11" width="3.54296875" customWidth="1"/>
    <col min="12" max="12" width="8.453125" customWidth="1"/>
    <col min="13" max="13" width="8.54296875" customWidth="1"/>
    <col min="14" max="14" width="9.7265625" customWidth="1"/>
    <col min="15" max="15" width="12.26953125" bestFit="1" customWidth="1"/>
    <col min="18" max="18" width="9.1796875" customWidth="1"/>
    <col min="19" max="19" width="9.26953125" customWidth="1"/>
    <col min="20" max="20" width="9.54296875" customWidth="1"/>
    <col min="23" max="23" width="14.7265625" customWidth="1"/>
    <col min="24" max="24" width="12.54296875" customWidth="1"/>
    <col min="25" max="25" width="12.7265625" customWidth="1"/>
    <col min="28" max="28" width="12.453125" customWidth="1"/>
    <col min="34" max="34" width="13.453125" customWidth="1"/>
  </cols>
  <sheetData>
    <row r="1" spans="1:37" ht="23.15" x14ac:dyDescent="0.35">
      <c r="A1" s="457" t="s">
        <v>82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  <c r="O1" s="457"/>
      <c r="P1" s="457"/>
      <c r="Q1" s="457"/>
      <c r="R1" s="457"/>
      <c r="S1" s="457"/>
      <c r="T1" s="457"/>
    </row>
    <row r="3" spans="1:37" ht="15.5" x14ac:dyDescent="0.35">
      <c r="A3" s="86" t="s">
        <v>76</v>
      </c>
      <c r="B3" s="86"/>
      <c r="C3" s="86"/>
      <c r="D3" s="803">
        <f>IF('Jour 1'!D4="","",'Jour 1'!D4)</f>
        <v>0</v>
      </c>
      <c r="E3" s="803"/>
      <c r="F3" s="803"/>
      <c r="G3" s="803"/>
      <c r="H3" s="803"/>
      <c r="I3" s="803"/>
      <c r="J3" s="803"/>
      <c r="K3" s="803"/>
      <c r="L3" s="803"/>
      <c r="M3" s="803"/>
      <c r="N3" s="803"/>
      <c r="O3" s="187" t="s">
        <v>94</v>
      </c>
      <c r="P3" s="194">
        <f>IF('Jour 1'!O4="","",'Jour 1'!O4)</f>
        <v>0</v>
      </c>
    </row>
    <row r="4" spans="1:37" x14ac:dyDescent="0.35">
      <c r="A4" s="13"/>
      <c r="B4" s="13"/>
      <c r="C4" s="13"/>
      <c r="D4" s="13"/>
      <c r="E4" s="11"/>
      <c r="F4" s="11"/>
      <c r="G4" s="11"/>
      <c r="H4" s="11"/>
      <c r="I4" s="11"/>
      <c r="J4" s="11"/>
      <c r="K4" s="11"/>
      <c r="R4" s="466"/>
      <c r="S4" s="466"/>
    </row>
    <row r="5" spans="1:37" ht="15.5" x14ac:dyDescent="0.35">
      <c r="A5" s="86" t="s">
        <v>77</v>
      </c>
      <c r="B5" s="86"/>
      <c r="C5" s="86"/>
      <c r="D5" s="803">
        <f>IF('Jour 1'!D6="","",'Jour 1'!D6)</f>
        <v>0</v>
      </c>
      <c r="E5" s="803"/>
      <c r="F5" s="803"/>
      <c r="G5" s="803"/>
      <c r="H5" s="803"/>
      <c r="I5" s="803"/>
      <c r="J5" s="803"/>
      <c r="K5" s="803"/>
      <c r="L5" s="11"/>
      <c r="M5" s="758" t="s">
        <v>88</v>
      </c>
      <c r="N5" s="758"/>
      <c r="O5" s="758"/>
      <c r="P5" s="127">
        <f>Listes!E2</f>
        <v>0</v>
      </c>
      <c r="Q5" s="14" t="s">
        <v>65</v>
      </c>
      <c r="R5" s="466">
        <f>Listes!E11</f>
        <v>0</v>
      </c>
      <c r="S5" s="466"/>
    </row>
    <row r="6" spans="1:37" x14ac:dyDescent="0.35">
      <c r="D6" s="11"/>
      <c r="E6" s="11"/>
      <c r="F6" s="11"/>
      <c r="G6" s="11"/>
      <c r="H6" s="11"/>
      <c r="J6" s="11"/>
      <c r="K6" s="11"/>
      <c r="L6" s="11" t="s">
        <v>59</v>
      </c>
    </row>
    <row r="7" spans="1:37" ht="15.5" x14ac:dyDescent="0.35">
      <c r="A7" s="87" t="s">
        <v>63</v>
      </c>
      <c r="B7" s="87"/>
      <c r="C7" s="87"/>
      <c r="D7" s="87"/>
      <c r="E7" s="87"/>
      <c r="F7" s="803" t="str">
        <f>IF('Jour 1'!E8="","",'Jour 1'!E8)</f>
        <v>DESBONNE Stevie</v>
      </c>
      <c r="G7" s="803"/>
      <c r="H7" s="803"/>
      <c r="I7" s="803"/>
      <c r="J7" s="803"/>
      <c r="K7" s="803"/>
      <c r="L7" s="803"/>
      <c r="M7" s="803"/>
    </row>
    <row r="8" spans="1:37" ht="15" thickBot="1" x14ac:dyDescent="0.4"/>
    <row r="9" spans="1:37" ht="30.75" customHeight="1" thickBot="1" x14ac:dyDescent="0.4">
      <c r="A9" s="480" t="s">
        <v>80</v>
      </c>
      <c r="B9" s="503" t="s">
        <v>99</v>
      </c>
      <c r="C9" s="489" t="s">
        <v>81</v>
      </c>
      <c r="D9" s="490"/>
      <c r="E9" s="489" t="s">
        <v>10</v>
      </c>
      <c r="F9" s="779"/>
      <c r="G9" s="490"/>
      <c r="H9" s="781" t="s">
        <v>1</v>
      </c>
      <c r="I9" s="494" t="s">
        <v>50</v>
      </c>
      <c r="J9" s="484"/>
      <c r="K9" s="497"/>
      <c r="L9" s="500" t="s">
        <v>12</v>
      </c>
      <c r="M9" s="471" t="s">
        <v>2</v>
      </c>
      <c r="N9" s="472"/>
      <c r="O9" s="472"/>
      <c r="P9" s="472"/>
      <c r="Q9" s="472"/>
      <c r="R9" s="472"/>
      <c r="S9" s="472"/>
      <c r="T9" s="473"/>
      <c r="U9" s="511" t="s">
        <v>66</v>
      </c>
      <c r="V9" s="512"/>
      <c r="W9" s="512"/>
      <c r="X9" s="512"/>
      <c r="Y9" s="513"/>
      <c r="Z9" s="514" t="s">
        <v>72</v>
      </c>
      <c r="AA9" s="515"/>
      <c r="AB9" s="515"/>
      <c r="AC9" s="515"/>
      <c r="AD9" s="515"/>
      <c r="AE9" s="516"/>
      <c r="AF9" s="797" t="s">
        <v>75</v>
      </c>
      <c r="AG9" s="798"/>
      <c r="AH9" s="798"/>
      <c r="AI9" s="798"/>
      <c r="AJ9" s="798"/>
      <c r="AK9" s="799"/>
    </row>
    <row r="10" spans="1:37" ht="15.75" customHeight="1" thickBot="1" x14ac:dyDescent="0.4">
      <c r="A10" s="481"/>
      <c r="B10" s="504"/>
      <c r="C10" s="491"/>
      <c r="D10" s="492"/>
      <c r="E10" s="777"/>
      <c r="F10" s="778"/>
      <c r="G10" s="780"/>
      <c r="H10" s="782"/>
      <c r="I10" s="495"/>
      <c r="J10" s="496"/>
      <c r="K10" s="498"/>
      <c r="L10" s="501"/>
      <c r="M10" s="474"/>
      <c r="N10" s="475"/>
      <c r="O10" s="475"/>
      <c r="P10" s="475"/>
      <c r="Q10" s="475"/>
      <c r="R10" s="475"/>
      <c r="S10" s="475"/>
      <c r="T10" s="476"/>
      <c r="U10" s="517" t="s">
        <v>66</v>
      </c>
      <c r="V10" s="519" t="s">
        <v>15</v>
      </c>
      <c r="W10" s="519"/>
      <c r="X10" s="519"/>
      <c r="Y10" s="520"/>
      <c r="Z10" s="521" t="s">
        <v>71</v>
      </c>
      <c r="AA10" s="523" t="s">
        <v>69</v>
      </c>
      <c r="AB10" s="525" t="s">
        <v>73</v>
      </c>
      <c r="AC10" s="525"/>
      <c r="AD10" s="525"/>
      <c r="AE10" s="526"/>
      <c r="AF10" s="802" t="s">
        <v>84</v>
      </c>
      <c r="AG10" s="573" t="s">
        <v>70</v>
      </c>
      <c r="AH10" s="793" t="s">
        <v>73</v>
      </c>
      <c r="AI10" s="793"/>
      <c r="AJ10" s="793"/>
      <c r="AK10" s="794"/>
    </row>
    <row r="11" spans="1:37" ht="96.75" customHeight="1" thickBot="1" x14ac:dyDescent="0.4">
      <c r="A11" s="482"/>
      <c r="B11" s="505"/>
      <c r="C11" s="777"/>
      <c r="D11" s="778"/>
      <c r="E11" s="58">
        <v>1</v>
      </c>
      <c r="F11" s="57">
        <v>2</v>
      </c>
      <c r="G11" s="59">
        <v>3</v>
      </c>
      <c r="H11" s="783"/>
      <c r="I11" s="54" t="s">
        <v>68</v>
      </c>
      <c r="J11" s="55" t="s">
        <v>11</v>
      </c>
      <c r="K11" s="499"/>
      <c r="L11" s="502"/>
      <c r="M11" s="60" t="s">
        <v>4</v>
      </c>
      <c r="N11" s="61" t="s">
        <v>5</v>
      </c>
      <c r="O11" s="61" t="s">
        <v>6</v>
      </c>
      <c r="P11" s="62" t="s">
        <v>7</v>
      </c>
      <c r="Q11" s="131" t="s">
        <v>3</v>
      </c>
      <c r="R11" s="795" t="s">
        <v>83</v>
      </c>
      <c r="S11" s="795"/>
      <c r="T11" s="796"/>
      <c r="U11" s="518"/>
      <c r="V11" s="53" t="s">
        <v>16</v>
      </c>
      <c r="W11" s="51" t="s">
        <v>17</v>
      </c>
      <c r="X11" s="51" t="s">
        <v>54</v>
      </c>
      <c r="Y11" s="75" t="s">
        <v>67</v>
      </c>
      <c r="Z11" s="800"/>
      <c r="AA11" s="801"/>
      <c r="AB11" s="66" t="s">
        <v>21</v>
      </c>
      <c r="AC11" s="67" t="s">
        <v>26</v>
      </c>
      <c r="AD11" s="67" t="s">
        <v>27</v>
      </c>
      <c r="AE11" s="68" t="s">
        <v>22</v>
      </c>
      <c r="AF11" s="578"/>
      <c r="AG11" s="574"/>
      <c r="AH11" s="70" t="s">
        <v>21</v>
      </c>
      <c r="AI11" s="71" t="s">
        <v>26</v>
      </c>
      <c r="AJ11" s="70" t="s">
        <v>27</v>
      </c>
      <c r="AK11" s="69" t="s">
        <v>22</v>
      </c>
    </row>
    <row r="12" spans="1:37" ht="15" customHeight="1" x14ac:dyDescent="0.35">
      <c r="A12" s="76">
        <f>IF('Jour 1'!$S$6="","",'Jour 1'!$S$6)</f>
        <v>0</v>
      </c>
      <c r="B12" s="226">
        <f>IF('Jour 1'!$B$46=0,"",'Jour 1'!$B$46)</f>
        <v>31</v>
      </c>
      <c r="C12" s="784">
        <f>IF('Jour 1'!$C$46=0,"",'Jour 1'!$C$46)</f>
        <v>15</v>
      </c>
      <c r="D12" s="785"/>
      <c r="E12" s="99">
        <f>IF('Jour 1'!$F$46="","",'Jour 1'!$F$46)</f>
        <v>0</v>
      </c>
      <c r="F12" s="63">
        <f>IF('Jour 1'!$F$47="","",'Jour 1'!$F$47)</f>
        <v>0</v>
      </c>
      <c r="G12" s="64">
        <f>IF('Jour 1'!$F$48="","",'Jour 1'!$F$48)</f>
        <v>0</v>
      </c>
      <c r="H12" s="29">
        <v>0</v>
      </c>
      <c r="I12" s="29">
        <f>IF('Jour 1'!$H$46="","",'Jour 1'!$H$46)</f>
        <v>3</v>
      </c>
      <c r="J12" s="29">
        <f>IF('Jour 1'!$I$46="","",'Jour 1'!$I$46)</f>
        <v>2</v>
      </c>
      <c r="K12" s="786"/>
      <c r="L12" s="29">
        <f>IF('Jour 1'!$K$46="","",'Jour 1'!$K$46)</f>
        <v>9</v>
      </c>
      <c r="M12" s="81">
        <f>IF('Jour 1'!$L$46="","",'Jour 1'!$L$46)</f>
        <v>1</v>
      </c>
      <c r="N12" s="80">
        <f>IF('Jour 1'!$M$46="","",'Jour 1'!$M$46)</f>
        <v>2</v>
      </c>
      <c r="O12" s="80">
        <f>IF('Jour 1'!$N$46="","",'Jour 1'!$N$46)</f>
        <v>1</v>
      </c>
      <c r="P12" s="80">
        <f>IF('Jour 1'!$O$46="","",'Jour 1'!$O$46)</f>
        <v>0</v>
      </c>
      <c r="Q12" s="80">
        <f>IF('Jour 1'!$P$46="","",'Jour 1'!$P$46)</f>
        <v>1</v>
      </c>
      <c r="R12" s="804">
        <f>IF('Jour 1'!$T$46="","",'Jour 1'!$T$46)</f>
        <v>6.6666666666666666E-2</v>
      </c>
      <c r="S12" s="805"/>
      <c r="T12" s="806"/>
      <c r="U12" s="31">
        <f>IF('Jour 1'!$V$46="","",'Jour 1'!$V$46)</f>
        <v>0</v>
      </c>
      <c r="V12" s="32">
        <f>IF('Jour 1'!$W$46="","",'Jour 1'!$W$46)</f>
        <v>0</v>
      </c>
      <c r="W12" s="32">
        <f>IF('Jour 1'!$X$46="","",'Jour 1'!$X$46)</f>
        <v>0</v>
      </c>
      <c r="X12" s="32">
        <f>IF('Jour 1'!$Y$46="","",'Jour 1'!$Y$46)</f>
        <v>0</v>
      </c>
      <c r="Y12" s="82">
        <f>IF('Jour 1'!$Z$46="","",'Jour 1'!$Z$46)</f>
        <v>0</v>
      </c>
      <c r="Z12" s="132">
        <f>IF('Jour 1'!$AA$13="","",'Jour 1'!$AA$13)</f>
        <v>3</v>
      </c>
      <c r="AA12" s="26" t="str">
        <f>IF('Jour 1'!$AB$13="","",'Jour 1'!$AB$13)</f>
        <v/>
      </c>
      <c r="AB12" s="26" t="str">
        <f>IF('Jour 1'!$AC$13="","",'Jour 1'!$AC$13)</f>
        <v/>
      </c>
      <c r="AC12" s="26" t="str">
        <f>IF('Jour 1'!$AD$13="","",'Jour 1'!$AD$13)</f>
        <v/>
      </c>
      <c r="AD12" s="26" t="str">
        <f>IF('Jour 1'!$AE$13="","",'Jour 1'!$AE$13)</f>
        <v/>
      </c>
      <c r="AE12" s="83" t="str">
        <f>IF('Jour 1'!$AF$13="","",'Jour 1'!$AF$13)</f>
        <v/>
      </c>
      <c r="AF12" s="85" t="str">
        <f>IF('Jour 1'!$AA$35="","",'Jour 1'!$AA$35)</f>
        <v/>
      </c>
      <c r="AG12" s="129" t="str">
        <f>IF('Jour 1'!$AB$35="","",'Jour 1'!$AB$35)</f>
        <v/>
      </c>
      <c r="AH12" s="129" t="str">
        <f>IF('Jour 1'!$AC$35="","",'Jour 1'!$AC$35)</f>
        <v/>
      </c>
      <c r="AI12" s="129" t="str">
        <f>IF('Jour 1'!$AD$35="","",'Jour 1'!$AD$35)</f>
        <v/>
      </c>
      <c r="AJ12" s="129" t="str">
        <f>IF('Jour 1'!$AE$35="","",'Jour 1'!$AE$35)</f>
        <v/>
      </c>
      <c r="AK12" s="84" t="str">
        <f>IF('Jour 1'!$AF$35="","",'Jour 1'!$AF$35)</f>
        <v/>
      </c>
    </row>
    <row r="13" spans="1:37" x14ac:dyDescent="0.35">
      <c r="A13" s="76">
        <f>IF('Jour 2'!$S$6="","",'Jour 2'!$S$6)</f>
        <v>0</v>
      </c>
      <c r="B13" s="226">
        <f>IF('Jour 2'!$B$46=0,"",'Jour 2'!$B$46)</f>
        <v>41</v>
      </c>
      <c r="C13" s="789">
        <f>IF('Jour 2'!$C$46=0,"",'Jour 2'!$C$46)</f>
        <v>13</v>
      </c>
      <c r="D13" s="790"/>
      <c r="E13" s="37">
        <f>IF('Jour 2'!$F$46="","",'Jour 2'!$F$46)</f>
        <v>0</v>
      </c>
      <c r="F13" s="38">
        <f>IF('Jour 2'!$F$47="","",'Jour 2'!$F$47)</f>
        <v>0</v>
      </c>
      <c r="G13" s="130">
        <f>IF('Jour 2'!$F$48="","",'Jour 2'!$F$48)</f>
        <v>0</v>
      </c>
      <c r="H13" s="65">
        <v>0</v>
      </c>
      <c r="I13" s="65">
        <f>IF('Jour 2'!$H$46="","",'Jour 2'!$H$46)</f>
        <v>2</v>
      </c>
      <c r="J13" s="65">
        <f>IF('Jour 2'!$I$46="","",'Jour 2'!$I$46)</f>
        <v>2</v>
      </c>
      <c r="K13" s="787"/>
      <c r="L13" s="65">
        <f>IF('Jour 2'!$K$46="","",'Jour 2'!$K$46)</f>
        <v>13</v>
      </c>
      <c r="M13" s="37">
        <f>IF('Jour 2'!$L$46="","",'Jour 2'!$L$46)</f>
        <v>0</v>
      </c>
      <c r="N13" s="38">
        <f>IF('Jour 2'!$M$46="","",'Jour 2'!$M$46)</f>
        <v>2</v>
      </c>
      <c r="O13" s="38">
        <f>IF('Jour 2'!$N$46="","",'Jour 2'!$N$46)</f>
        <v>1</v>
      </c>
      <c r="P13" s="38">
        <f>IF('Jour 2'!$O$46="","",'Jour 2'!$O$46)</f>
        <v>0</v>
      </c>
      <c r="Q13" s="38">
        <f>IF('Jour 2'!$P$46="","",'Jour 2'!$P$46)</f>
        <v>2</v>
      </c>
      <c r="R13" s="807">
        <f>IF('Jour 2'!$T$46="","",'Jour 2'!$T$46)</f>
        <v>0.15384615384615385</v>
      </c>
      <c r="S13" s="808"/>
      <c r="T13" s="790"/>
      <c r="U13" s="33">
        <f>IF('Jour 2'!$V$46="","",'Jour 2'!$V$46)</f>
        <v>0</v>
      </c>
      <c r="V13" s="34">
        <f>IF('Jour 2'!$W$46="","",'Jour 2'!$W$46)</f>
        <v>0</v>
      </c>
      <c r="W13" s="34">
        <f>IF('Jour 2'!$X$46="","",'Jour 2'!$X$46)</f>
        <v>0</v>
      </c>
      <c r="X13" s="34">
        <f>IF('Jour 2'!$Y$46="","",'Jour 2'!$Y$46)</f>
        <v>0</v>
      </c>
      <c r="Y13" s="130">
        <f>IF('Jour 2'!$Z$46="","",'Jour 2'!$Z$46)</f>
        <v>0</v>
      </c>
      <c r="Z13" s="72">
        <f>IF('Jour 2'!$AA$13="","",'Jour 2'!$AA$13)</f>
        <v>2</v>
      </c>
      <c r="AA13" s="73" t="str">
        <f>IF('Jour 2'!$AB$13="","",'Jour 2'!$AB$13)</f>
        <v/>
      </c>
      <c r="AB13" s="73" t="str">
        <f>IF('Jour 2'!$AC$13="","",'Jour 2'!$AC$13)</f>
        <v/>
      </c>
      <c r="AC13" s="73" t="str">
        <f>IF('Jour 2'!$AD$13="","",'Jour 2'!$AD$13)</f>
        <v/>
      </c>
      <c r="AD13" s="73" t="str">
        <f>IF('Jour 2'!$AE$13="","",'Jour 2'!$AE$13)</f>
        <v/>
      </c>
      <c r="AE13" s="74" t="str">
        <f>IF('Jour 2'!$AF$13="","",'Jour 2'!$AF$13)</f>
        <v/>
      </c>
      <c r="AF13" s="85" t="str">
        <f>IF('Jour 2'!$AA$35="","",'Jour 2'!$AA$35)</f>
        <v/>
      </c>
      <c r="AG13" s="73" t="str">
        <f>IF('Jour 2'!$AB$35="","",'Jour 2'!$AB$35)</f>
        <v/>
      </c>
      <c r="AH13" s="73" t="str">
        <f>IF('Jour 2'!$AC$35="","",'Jour 2'!$AC$35)</f>
        <v/>
      </c>
      <c r="AI13" s="73" t="str">
        <f>IF('Jour 2'!$AD$35="","",'Jour 2'!$AD$35)</f>
        <v/>
      </c>
      <c r="AJ13" s="73" t="str">
        <f>IF('Jour 2'!$AE$35="","",'Jour 2'!$AE$35)</f>
        <v/>
      </c>
      <c r="AK13" s="74" t="str">
        <f>IF('Jour 2'!$AF$35="","",'Jour 2'!$AF$35)</f>
        <v/>
      </c>
    </row>
    <row r="14" spans="1:37" x14ac:dyDescent="0.35">
      <c r="A14" s="76">
        <f>IF('Jour 3'!$S$6="","",'Jour 3'!$S$6)</f>
        <v>0</v>
      </c>
      <c r="B14" s="226">
        <f>IF('Jour 3'!$B$46=0,"",'Jour 3'!$B$46)</f>
        <v>38</v>
      </c>
      <c r="C14" s="789">
        <f>IF('Jour 3'!$C$46=0,"",'Jour 3'!$C$46)</f>
        <v>12</v>
      </c>
      <c r="D14" s="790"/>
      <c r="E14" s="37">
        <f>IF('Jour 3'!$F$46="","",'Jour 3'!$F$46)</f>
        <v>0</v>
      </c>
      <c r="F14" s="38">
        <f>IF('Jour 3'!$F$47="","",'Jour 3'!$F$47)</f>
        <v>0</v>
      </c>
      <c r="G14" s="130">
        <f>IF('Jour 3'!$F$48="","",'Jour 3'!$F$48)</f>
        <v>0</v>
      </c>
      <c r="H14" s="65">
        <f>'Jour 3'!$G$46</f>
        <v>15</v>
      </c>
      <c r="I14" s="65">
        <f>IF('Jour 3'!$H$46="","",'Jour 3'!$H$46)</f>
        <v>3</v>
      </c>
      <c r="J14" s="65">
        <f>IF('Jour 3'!$I$46="","",'Jour 3'!$I$46)</f>
        <v>3</v>
      </c>
      <c r="K14" s="787"/>
      <c r="L14" s="65">
        <f>IF('Jour 3'!$K$46="","",'Jour 3'!$K$46)</f>
        <v>15</v>
      </c>
      <c r="M14" s="37">
        <f>IF('Jour 3'!$L$46="","",'Jour 3'!$L$46)</f>
        <v>1</v>
      </c>
      <c r="N14" s="38">
        <f>IF('Jour 3'!$M$46="","",'Jour 3'!$M$46)</f>
        <v>4</v>
      </c>
      <c r="O14" s="38">
        <f>IF('Jour 3'!$N$46="","",'Jour 3'!$N$46)</f>
        <v>0</v>
      </c>
      <c r="P14" s="38">
        <f>IF('Jour 3'!$O$46="","",'Jour 3'!$O$46)</f>
        <v>1</v>
      </c>
      <c r="Q14" s="38">
        <f>IF('Jour 3'!$P$46="","",'Jour 3'!$P$46)</f>
        <v>1</v>
      </c>
      <c r="R14" s="807">
        <f>IF('Jour 3'!$T$46="","",'Jour 3'!$T$46)</f>
        <v>8.3333333333333329E-2</v>
      </c>
      <c r="S14" s="808"/>
      <c r="T14" s="790"/>
      <c r="U14" s="33">
        <f>IF('Jour 3'!$V$46="","",'Jour 3'!$V$46)</f>
        <v>0</v>
      </c>
      <c r="V14" s="34">
        <f>IF('Jour 3'!$W$46="","",'Jour 3'!$W$46)</f>
        <v>0</v>
      </c>
      <c r="W14" s="34">
        <f>IF('Jour 3'!$X$46="","",'Jour 3'!$X$46)</f>
        <v>0</v>
      </c>
      <c r="X14" s="34">
        <f>IF('Jour 3'!$Y$46="","",'Jour 3'!$Y$46)</f>
        <v>0</v>
      </c>
      <c r="Y14" s="130">
        <f>IF('Jour 3'!$Z$46="","",'Jour 3'!$Z$46)</f>
        <v>0</v>
      </c>
      <c r="Z14" s="72">
        <f>IF('Jour 3'!$AA$13="","",'Jour 3'!$AA$13)</f>
        <v>3</v>
      </c>
      <c r="AA14" s="73" t="str">
        <f>IF('Jour 3'!$AB$13="","",'Jour 3'!$AB$13)</f>
        <v/>
      </c>
      <c r="AB14" s="73" t="str">
        <f>IF('Jour 3'!$AC$13="","",'Jour 3'!$AC$13)</f>
        <v/>
      </c>
      <c r="AC14" s="73" t="str">
        <f>IF('Jour 3'!$AD$13="","",'Jour 3'!$AD$13)</f>
        <v/>
      </c>
      <c r="AD14" s="73" t="str">
        <f>IF('Jour 3'!$AE$13="","",'Jour 3'!$AE$13)</f>
        <v/>
      </c>
      <c r="AE14" s="74" t="str">
        <f>IF('Jour 3'!$AF$13="","",'Jour 3'!$AF$13)</f>
        <v/>
      </c>
      <c r="AF14" s="85" t="str">
        <f>IF('Jour 3'!$AA$35="","",'Jour 3'!$AA$35)</f>
        <v/>
      </c>
      <c r="AG14" s="73" t="str">
        <f>IF('Jour 3'!$AB$35="","",'Jour 3'!$AB$35)</f>
        <v/>
      </c>
      <c r="AH14" s="73" t="str">
        <f>IF('Jour 3'!$AC$35="","",'Jour 3'!$AC$35)</f>
        <v/>
      </c>
      <c r="AI14" s="73" t="str">
        <f>IF('Jour 3'!$AD$35="","",'Jour 3'!$AD$35)</f>
        <v/>
      </c>
      <c r="AJ14" s="73" t="str">
        <f>IF('Jour 3'!$AE$35="","",'Jour 3'!$AE$35)</f>
        <v/>
      </c>
      <c r="AK14" s="74" t="str">
        <f>IF('Jour 3'!$AF$35="","",'Jour 3'!$AF$35)</f>
        <v/>
      </c>
    </row>
    <row r="15" spans="1:37" x14ac:dyDescent="0.35">
      <c r="A15" s="76">
        <f>IF('Jour 4'!$S$6="","",'Jour 4'!$S$6)</f>
        <v>0</v>
      </c>
      <c r="B15" s="226">
        <f>IF('Jour 4'!$B$46=0,"",'Jour 4'!$B$46)</f>
        <v>75</v>
      </c>
      <c r="C15" s="789">
        <f>IF('Jour 4'!$C$46=0,"",'Jour 4'!$C$46)</f>
        <v>9</v>
      </c>
      <c r="D15" s="790"/>
      <c r="E15" s="37">
        <f>IF('Jour 4'!$F$46="","",'Jour 4'!$F$46)</f>
        <v>0</v>
      </c>
      <c r="F15" s="38">
        <f>IF('Jour 4'!$F$47="","",'Jour 4'!$F$47)</f>
        <v>0</v>
      </c>
      <c r="G15" s="130">
        <f>IF('Jour 4'!$F$48="","",'Jour 4'!$F$48)</f>
        <v>0</v>
      </c>
      <c r="H15" s="65">
        <f>'Jour 4'!$G$46</f>
        <v>16</v>
      </c>
      <c r="I15" s="65">
        <f>IF('Jour 4'!$H$46="","",'Jour 4'!$H$46)</f>
        <v>3</v>
      </c>
      <c r="J15" s="65">
        <f>IF('Jour 4'!$I$46="","",'Jour 4'!$I$46)</f>
        <v>2</v>
      </c>
      <c r="K15" s="787"/>
      <c r="L15" s="65">
        <f>IF('Jour 4'!$K$46="","",'Jour 4'!$K$46)</f>
        <v>16</v>
      </c>
      <c r="M15" s="37">
        <f>IF('Jour 4'!$L$46="","",'Jour 4'!$L$46)</f>
        <v>0</v>
      </c>
      <c r="N15" s="38">
        <f>IF('Jour 4'!$M$46="","",'Jour 4'!$M$46)</f>
        <v>3</v>
      </c>
      <c r="O15" s="38">
        <f>IF('Jour 4'!$N$46="","",'Jour 4'!$N$46)</f>
        <v>1</v>
      </c>
      <c r="P15" s="38">
        <f>IF('Jour 4'!$O$46="","",'Jour 4'!$O$46)</f>
        <v>0</v>
      </c>
      <c r="Q15" s="38">
        <f>IF('Jour 4'!$P$46="","",'Jour 4'!$P$46)</f>
        <v>1</v>
      </c>
      <c r="R15" s="807">
        <f>IF('Jour 4'!$T$46="","",'Jour 4'!$T$46)</f>
        <v>0.1111111111111111</v>
      </c>
      <c r="S15" s="808"/>
      <c r="T15" s="790"/>
      <c r="U15" s="33">
        <f>IF('Jour 4'!$V$46="","",'Jour 4'!$V$46)</f>
        <v>0</v>
      </c>
      <c r="V15" s="34">
        <f>IF('Jour 4'!$W$46="","",'Jour 4'!$W$46)</f>
        <v>0</v>
      </c>
      <c r="W15" s="34">
        <f>IF('Jour 4'!$X$46="","",'Jour 4'!$X$46)</f>
        <v>0</v>
      </c>
      <c r="X15" s="34">
        <f>IF('Jour 4'!$Y$46="","",'Jour 4'!$Y$46)</f>
        <v>0</v>
      </c>
      <c r="Y15" s="130">
        <f>IF('Jour 4'!$Z$46="","",'Jour 4'!$Z$46)</f>
        <v>0</v>
      </c>
      <c r="Z15" s="72">
        <f>IF('Jour 4'!$AA$13="","",'Jour 4'!$AA$13)</f>
        <v>3</v>
      </c>
      <c r="AA15" s="73" t="str">
        <f>IF('Jour 4'!$AB$13="","",'Jour 4'!$AB$13)</f>
        <v/>
      </c>
      <c r="AB15" s="73" t="str">
        <f>IF('Jour 4'!$AC$13="","",'Jour 4'!$AC$13)</f>
        <v/>
      </c>
      <c r="AC15" s="73" t="str">
        <f>IF('Jour 4'!$AD$13="","",'Jour 4'!$AD$13)</f>
        <v/>
      </c>
      <c r="AD15" s="73" t="str">
        <f>IF('Jour 4'!$AE$13="","",'Jour 4'!$AE$13)</f>
        <v/>
      </c>
      <c r="AE15" s="74" t="str">
        <f>IF('Jour 4'!$AF$13="","",'Jour 4'!$AF$13)</f>
        <v/>
      </c>
      <c r="AF15" s="85" t="str">
        <f>IF('Jour 4'!$AA$35="","",'Jour 4'!$AA$35)</f>
        <v/>
      </c>
      <c r="AG15" s="73" t="str">
        <f>IF('Jour 4'!$AB$35="","",'Jour 4'!$AB$35)</f>
        <v/>
      </c>
      <c r="AH15" s="73" t="str">
        <f>IF('Jour 4'!$AC$35="","",'Jour 4'!$AC$35)</f>
        <v/>
      </c>
      <c r="AI15" s="73" t="str">
        <f>IF('Jour 4'!$AD$35="","",'Jour 4'!$AD$35)</f>
        <v/>
      </c>
      <c r="AJ15" s="73" t="str">
        <f>IF('Jour 4'!$AE$35="","",'Jour 4'!$AE$35)</f>
        <v/>
      </c>
      <c r="AK15" s="74" t="str">
        <f>IF('Jour 4'!$AF$35="","",'Jour 4'!$AF$35)</f>
        <v/>
      </c>
    </row>
    <row r="16" spans="1:37" x14ac:dyDescent="0.35">
      <c r="A16" s="76">
        <f>IF('Jour 5'!$S$6="","",'Jour 5'!$S$6)</f>
        <v>0</v>
      </c>
      <c r="B16" s="226">
        <f>IF('Jour 5'!$B$46=0,"",'Jour 5'!$B$46)</f>
        <v>63</v>
      </c>
      <c r="C16" s="789">
        <f>IF('Jour 5'!$C$46=0,"",'Jour 5'!$C$46)</f>
        <v>7</v>
      </c>
      <c r="D16" s="790"/>
      <c r="E16" s="37">
        <f>IF('Jour 5'!$F$46="","",'Jour 5'!$F$46)</f>
        <v>0</v>
      </c>
      <c r="F16" s="38">
        <f>IF('Jour 5'!$F$47="","",'Jour 5'!$F$47)</f>
        <v>0</v>
      </c>
      <c r="G16" s="130">
        <f>IF('Jour 5'!$F$48="","",'Jour 5'!$F$48)</f>
        <v>0</v>
      </c>
      <c r="H16" s="65">
        <f>'Jour 5'!$G$46</f>
        <v>0</v>
      </c>
      <c r="I16" s="65">
        <f>IF('Jour 5'!$H$46="","",'Jour 5'!$H$46)</f>
        <v>3</v>
      </c>
      <c r="J16" s="65">
        <f>IF('Jour 5'!$I$46="","",'Jour 5'!$I$46)</f>
        <v>2</v>
      </c>
      <c r="K16" s="787"/>
      <c r="L16" s="65">
        <f>IF('Jour 5'!$K$46="","",'Jour 5'!$K$46)</f>
        <v>12</v>
      </c>
      <c r="M16" s="37">
        <f>IF('Jour 5'!$L$46="","",'Jour 5'!$L$46)</f>
        <v>1</v>
      </c>
      <c r="N16" s="38">
        <f>IF('Jour 5'!$M$46="","",'Jour 5'!$M$46)</f>
        <v>2</v>
      </c>
      <c r="O16" s="38">
        <f>IF('Jour 5'!$N$46="","",'Jour 5'!$N$46)</f>
        <v>1</v>
      </c>
      <c r="P16" s="38">
        <f>IF('Jour 5'!$O$46="","",'Jour 5'!$O$46)</f>
        <v>0</v>
      </c>
      <c r="Q16" s="38">
        <f>IF('Jour 5'!$P$46="","",'Jour 5'!$P$46)</f>
        <v>0</v>
      </c>
      <c r="R16" s="807" t="str">
        <f>IF('Jour 5'!$T$46="","",'Jour 5'!$T$46)</f>
        <v/>
      </c>
      <c r="S16" s="808"/>
      <c r="T16" s="790"/>
      <c r="U16" s="33">
        <f>IF('Jour 5'!$V$46="","",'Jour 5'!$V$46)</f>
        <v>0</v>
      </c>
      <c r="V16" s="34">
        <f>IF('Jour 5'!$W$46="","",'Jour 5'!$W$46)</f>
        <v>0</v>
      </c>
      <c r="W16" s="34">
        <f>IF('Jour 5'!$X$46="","",'Jour 5'!$X$46)</f>
        <v>0</v>
      </c>
      <c r="X16" s="34">
        <f>IF('Jour 5'!$Y$46="","",'Jour 5'!$Y$46)</f>
        <v>0</v>
      </c>
      <c r="Y16" s="130">
        <f>IF('Jour 5'!$Z$46="","",'Jour 5'!$Z$46)</f>
        <v>0</v>
      </c>
      <c r="Z16" s="72">
        <f>IF('Jour 5'!$AA$13="","",'Jour 5'!$AA$13)</f>
        <v>3</v>
      </c>
      <c r="AA16" s="73" t="str">
        <f>IF('Jour 5'!$AB$13="","",'Jour 5'!$AB$13)</f>
        <v/>
      </c>
      <c r="AB16" s="73" t="str">
        <f>IF('Jour 5'!$AC$13="","",'Jour 5'!$AC$13)</f>
        <v/>
      </c>
      <c r="AC16" s="73" t="str">
        <f>IF('Jour 5'!$AD$13="","",'Jour 5'!$AD$13)</f>
        <v/>
      </c>
      <c r="AD16" s="73" t="str">
        <f>IF('Jour 5'!$AE$13="","",'Jour 5'!$AE$13)</f>
        <v/>
      </c>
      <c r="AE16" s="74" t="str">
        <f>IF('Jour 5'!$AF$13="","",'Jour 5'!$AF$13)</f>
        <v/>
      </c>
      <c r="AF16" s="85" t="str">
        <f>IF('Jour 5'!$AA$35="","",'Jour 5'!$AA$35)</f>
        <v/>
      </c>
      <c r="AG16" s="73" t="str">
        <f>IF('Jour 5'!$AB$35="","",'Jour 5'!$AB$35)</f>
        <v/>
      </c>
      <c r="AH16" s="73" t="str">
        <f>IF('Jour 5'!$AC$35="","",'Jour 5'!$AC$35)</f>
        <v/>
      </c>
      <c r="AI16" s="73" t="str">
        <f>IF('Jour 5'!$AD$35="","",'Jour 5'!$AD$35)</f>
        <v/>
      </c>
      <c r="AJ16" s="73" t="str">
        <f>IF('Jour 5'!$AE$35="","",'Jour 5'!$AE$35)</f>
        <v/>
      </c>
      <c r="AK16" s="74" t="str">
        <f>IF('Jour 5'!$AF$35="","",'Jour 5'!$AF$35)</f>
        <v/>
      </c>
    </row>
    <row r="17" spans="1:37" x14ac:dyDescent="0.35">
      <c r="A17" s="76">
        <f>IF('Jour 6'!$S$6="","",'Jour 6'!$S$6)</f>
        <v>0</v>
      </c>
      <c r="B17" s="226">
        <f>IF('Jour 6'!$B$46=0,"",'Jour 6'!$B$46)</f>
        <v>59</v>
      </c>
      <c r="C17" s="789">
        <f>IF('Jour 6'!$C$46=0,"",'Jour 6'!$C$46)</f>
        <v>5</v>
      </c>
      <c r="D17" s="790"/>
      <c r="E17" s="37">
        <f>IF('Jour 6'!$F$46="","",'Jour 6'!$F$46)</f>
        <v>0</v>
      </c>
      <c r="F17" s="38">
        <f>IF('Jour 6'!$F$47="","",'Jour 6'!$F$47)</f>
        <v>0</v>
      </c>
      <c r="G17" s="130">
        <f>IF('Jour 6'!$F$48="","",'Jour 6'!$F$48)</f>
        <v>0</v>
      </c>
      <c r="H17" s="65">
        <f>'Jour 6'!$G$46</f>
        <v>0</v>
      </c>
      <c r="I17" s="65">
        <f>IF('Jour 6'!$H$46="","",'Jour 6'!$H$46)</f>
        <v>2</v>
      </c>
      <c r="J17" s="65">
        <f>IF('Jour 6'!$I$46="","",'Jour 6'!$I$46)</f>
        <v>1</v>
      </c>
      <c r="K17" s="787"/>
      <c r="L17" s="65">
        <f>IF('Jour 6'!$K$46="","",'Jour 6'!$K$46)</f>
        <v>6</v>
      </c>
      <c r="M17" s="37">
        <f>IF('Jour 6'!$L$46="","",'Jour 6'!$L$46)</f>
        <v>0</v>
      </c>
      <c r="N17" s="38">
        <f>IF('Jour 6'!$M$46="","",'Jour 6'!$M$46)</f>
        <v>0</v>
      </c>
      <c r="O17" s="38">
        <f>IF('Jour 6'!$N$46="","",'Jour 6'!$N$46)</f>
        <v>0</v>
      </c>
      <c r="P17" s="38">
        <f>IF('Jour 6'!$O$46="","",'Jour 6'!$O$46)</f>
        <v>1</v>
      </c>
      <c r="Q17" s="38">
        <f>IF('Jour 6'!$P$46="","",'Jour 6'!$P$46)</f>
        <v>1</v>
      </c>
      <c r="R17" s="807">
        <f>IF('Jour 6'!$T$46="","",'Jour 6'!$T$46)</f>
        <v>0.2</v>
      </c>
      <c r="S17" s="808"/>
      <c r="T17" s="790"/>
      <c r="U17" s="33">
        <f>IF('Jour 6'!$V$46="","",'Jour 6'!$V$46)</f>
        <v>0</v>
      </c>
      <c r="V17" s="34">
        <f>IF('Jour 6'!$W$46="","",'Jour 6'!$W$46)</f>
        <v>0</v>
      </c>
      <c r="W17" s="34">
        <f>IF('Jour 6'!$X$46="","",'Jour 6'!$X$46)</f>
        <v>0</v>
      </c>
      <c r="X17" s="34">
        <f>IF('Jour 6'!$Y$46="","",'Jour 6'!$Y$46)</f>
        <v>0</v>
      </c>
      <c r="Y17" s="130">
        <f>IF('Jour 6'!$Z$46="","",'Jour 6'!$Z$46)</f>
        <v>0</v>
      </c>
      <c r="Z17" s="72">
        <f>IF('Jour 6'!$AA$13="","",'Jour 6'!$AA$13)</f>
        <v>2</v>
      </c>
      <c r="AA17" s="73" t="str">
        <f>IF('Jour 6'!$AB$13="","",'Jour 6'!$AB$13)</f>
        <v/>
      </c>
      <c r="AB17" s="73" t="str">
        <f>IF('Jour 6'!$AC$13="","",'Jour 6'!$AC$13)</f>
        <v/>
      </c>
      <c r="AC17" s="73" t="str">
        <f>IF('Jour 6'!$AD$13="","",'Jour 6'!$AD$13)</f>
        <v/>
      </c>
      <c r="AD17" s="73" t="str">
        <f>IF('Jour 6'!$AE$13="","",'Jour 6'!$AE$13)</f>
        <v/>
      </c>
      <c r="AE17" s="74" t="str">
        <f>IF('Jour 6'!$AF$13="","",'Jour 6'!$AF$13)</f>
        <v/>
      </c>
      <c r="AF17" s="85" t="str">
        <f>IF('Jour 6'!$AA$35="","",'Jour 6'!$AA$35)</f>
        <v/>
      </c>
      <c r="AG17" s="73" t="str">
        <f>IF('Jour 6'!$AB$35="","",'Jour 6'!$AB$35)</f>
        <v/>
      </c>
      <c r="AH17" s="73" t="str">
        <f>IF('Jour 6'!$AC$35="","",'Jour 6'!$AC$35)</f>
        <v/>
      </c>
      <c r="AI17" s="73" t="str">
        <f>IF('Jour 6'!$AD$35="","",'Jour 6'!$AD$35)</f>
        <v/>
      </c>
      <c r="AJ17" s="73" t="str">
        <f>IF('Jour 6'!$AE$35="","",'Jour 6'!$AE$35)</f>
        <v/>
      </c>
      <c r="AK17" s="74" t="str">
        <f>IF('Jour 6'!$AF$35="","",'Jour 6'!$AF$35)</f>
        <v/>
      </c>
    </row>
    <row r="18" spans="1:37" x14ac:dyDescent="0.35">
      <c r="A18" s="76">
        <f>IF('Jour 7'!$S$6="","",'Jour 7'!$S$6)</f>
        <v>0</v>
      </c>
      <c r="B18" s="226">
        <f>IF('Jour 7'!$B$46=0,"",'Jour 7'!$B$46)</f>
        <v>68</v>
      </c>
      <c r="C18" s="789">
        <f>IF('Jour 7'!$C$46=0,"",'Jour 7'!$C$46)</f>
        <v>5</v>
      </c>
      <c r="D18" s="790"/>
      <c r="E18" s="37">
        <f>IF('Jour 7'!$F$46="","",'Jour 7'!$F$46)</f>
        <v>0</v>
      </c>
      <c r="F18" s="38">
        <f>IF('Jour 7'!$F$47="","",'Jour 7'!$F$47)</f>
        <v>0</v>
      </c>
      <c r="G18" s="130">
        <f>IF('Jour 7'!$F$48="","",'Jour 7'!$F$48)</f>
        <v>0</v>
      </c>
      <c r="H18" s="65">
        <f>'Jour 7'!$G$46</f>
        <v>0</v>
      </c>
      <c r="I18" s="65">
        <f>IF('Jour 7'!$H$46="","",'Jour 7'!$H$46)</f>
        <v>0</v>
      </c>
      <c r="J18" s="65">
        <f>IF('Jour 7'!$I$46="","",'Jour 7'!$I$46)</f>
        <v>0</v>
      </c>
      <c r="K18" s="787"/>
      <c r="L18" s="65">
        <f>IF('Jour 7'!$K$46="","",'Jour 7'!$K$46)</f>
        <v>8</v>
      </c>
      <c r="M18" s="37">
        <f>IF('Jour 7'!$L$46="","",'Jour 7'!$L$46)</f>
        <v>0</v>
      </c>
      <c r="N18" s="38">
        <f>IF('Jour 7'!$M$46="","",'Jour 7'!$M$46)</f>
        <v>0</v>
      </c>
      <c r="O18" s="38">
        <f>IF('Jour 7'!$N$46="","",'Jour 7'!$N$46)</f>
        <v>1</v>
      </c>
      <c r="P18" s="38">
        <f>IF('Jour 7'!$O$46="","",'Jour 7'!$O$46)</f>
        <v>0</v>
      </c>
      <c r="Q18" s="38">
        <f>IF('Jour 7'!$P$46="","",'Jour 7'!$P$46)</f>
        <v>0</v>
      </c>
      <c r="R18" s="807" t="str">
        <f>IF('Jour 7'!$T$46="","",'Jour 7'!$T$46)</f>
        <v/>
      </c>
      <c r="S18" s="808"/>
      <c r="T18" s="790"/>
      <c r="U18" s="33">
        <f>IF('Jour 7'!$V$46="","",'Jour 7'!$V$46)</f>
        <v>0</v>
      </c>
      <c r="V18" s="34">
        <f>IF('Jour 7'!$W$46="","",'Jour 7'!$W$46)</f>
        <v>0</v>
      </c>
      <c r="W18" s="34">
        <f>IF('Jour 7'!$X$46="","",'Jour 7'!$X$46)</f>
        <v>0</v>
      </c>
      <c r="X18" s="34">
        <f>IF('Jour 7'!$Y$46="","",'Jour 7'!$Y$46)</f>
        <v>0</v>
      </c>
      <c r="Y18" s="130">
        <f>IF('Jour 7'!$Z$46="","",'Jour 7'!$Z$46)</f>
        <v>0</v>
      </c>
      <c r="Z18" s="72">
        <f>IF('Jour 7'!$AA$13="","",'Jour 7'!$AA$13)</f>
        <v>0</v>
      </c>
      <c r="AA18" s="73" t="str">
        <f>IF('Jour 7'!$AB$13="","",'Jour 7'!$AB$13)</f>
        <v/>
      </c>
      <c r="AB18" s="73" t="str">
        <f>IF('Jour 7'!$AC$13="","",'Jour 7'!$AC$13)</f>
        <v/>
      </c>
      <c r="AC18" s="73" t="str">
        <f>IF('Jour 7'!$AD$13="","",'Jour 7'!$AD$13)</f>
        <v/>
      </c>
      <c r="AD18" s="73" t="str">
        <f>IF('Jour 7'!$AE$13="","",'Jour 7'!$AE$13)</f>
        <v/>
      </c>
      <c r="AE18" s="74" t="str">
        <f>IF('Jour 7'!$AF$13="","",'Jour 7'!$AF$13)</f>
        <v/>
      </c>
      <c r="AF18" s="85" t="str">
        <f>IF('Jour 7'!$AA$35="","",'Jour 7'!$AA$35)</f>
        <v/>
      </c>
      <c r="AG18" s="73" t="str">
        <f>IF('Jour 7'!$AB$35="","",'Jour 7'!$AB$35)</f>
        <v/>
      </c>
      <c r="AH18" s="73" t="str">
        <f>IF('Jour 7'!$AC$35="","",'Jour 7'!$AC$35)</f>
        <v/>
      </c>
      <c r="AI18" s="73" t="str">
        <f>IF('Jour 7'!$AD$35="","",'Jour 7'!$AD$35)</f>
        <v/>
      </c>
      <c r="AJ18" s="73" t="str">
        <f>IF('Jour 7'!$AE$35="","",'Jour 7'!$AE$35)</f>
        <v/>
      </c>
      <c r="AK18" s="74" t="str">
        <f>IF('Jour 7'!$AF$35="","",'Jour 7'!$AF$35)</f>
        <v/>
      </c>
    </row>
    <row r="19" spans="1:37" x14ac:dyDescent="0.35">
      <c r="A19" s="76">
        <f>IF('Jour 8'!$S$6="","",'Jour 8'!$S$6)</f>
        <v>0</v>
      </c>
      <c r="B19" s="226">
        <f>IF('Jour 8'!$B$46=0,"",'Jour 8'!$B$46)</f>
        <v>80</v>
      </c>
      <c r="C19" s="789">
        <f>IF('Jour 8'!$C$46=0,"",'Jour 8'!$C$46)</f>
        <v>6</v>
      </c>
      <c r="D19" s="790"/>
      <c r="E19" s="37">
        <f>IF('Jour 8'!$F$46="","",'Jour 8'!$F$46)</f>
        <v>0</v>
      </c>
      <c r="F19" s="38">
        <f>IF('Jour 8'!$F$47="","",'Jour 8'!$F$47)</f>
        <v>0</v>
      </c>
      <c r="G19" s="130">
        <f>IF('Jour 8'!$F$48="","",'Jour 8'!$F$48)</f>
        <v>0</v>
      </c>
      <c r="H19" s="65">
        <f>'Jour 8'!$G$46</f>
        <v>0</v>
      </c>
      <c r="I19" s="65">
        <f>IF('Jour 8'!$H$46="","",'Jour 8'!$H$46)</f>
        <v>0</v>
      </c>
      <c r="J19" s="65">
        <f>IF('Jour 8'!$I$46="","",'Jour 8'!$I$46)</f>
        <v>0</v>
      </c>
      <c r="K19" s="787"/>
      <c r="L19" s="65">
        <f>IF('Jour 8'!$K$46="","",'Jour 8'!$K$46)</f>
        <v>12</v>
      </c>
      <c r="M19" s="37">
        <f>IF('Jour 8'!$L$46="","",'Jour 8'!$L$46)</f>
        <v>1</v>
      </c>
      <c r="N19" s="38">
        <f>IF('Jour 8'!$M$46="","",'Jour 8'!$M$46)</f>
        <v>1</v>
      </c>
      <c r="O19" s="38">
        <f>IF('Jour 8'!$N$46="","",'Jour 8'!$N$46)</f>
        <v>0</v>
      </c>
      <c r="P19" s="38">
        <f>IF('Jour 8'!$O$46="","",'Jour 8'!$O$46)</f>
        <v>0</v>
      </c>
      <c r="Q19" s="38">
        <f>IF('Jour 8'!$P$46="","",'Jour 8'!$P$46)</f>
        <v>0</v>
      </c>
      <c r="R19" s="807" t="str">
        <f>IF('Jour 8'!$T$46="","",'Jour 8'!$T$46)</f>
        <v/>
      </c>
      <c r="S19" s="808"/>
      <c r="T19" s="790"/>
      <c r="U19" s="33">
        <f>IF('Jour 8'!$V$46="","",'Jour 8'!$V$46)</f>
        <v>0</v>
      </c>
      <c r="V19" s="34">
        <f>IF('Jour 8'!$W$46="","",'Jour 8'!$W$46)</f>
        <v>0</v>
      </c>
      <c r="W19" s="34">
        <f>IF('Jour 8'!$X$46="","",'Jour 8'!$X$46)</f>
        <v>0</v>
      </c>
      <c r="X19" s="34">
        <f>IF('Jour 8'!$Y$46="","",'Jour 8'!$Y$46)</f>
        <v>0</v>
      </c>
      <c r="Y19" s="130">
        <f>IF('Jour 8'!$Z$46="","",'Jour 8'!$Z$46)</f>
        <v>0</v>
      </c>
      <c r="Z19" s="72">
        <f>IF('Jour 8'!$AA$13="","",'Jour 8'!$AA$13)</f>
        <v>0</v>
      </c>
      <c r="AA19" s="73" t="str">
        <f>IF('Jour 8'!$AB$13="","",'Jour 8'!$AB$13)</f>
        <v/>
      </c>
      <c r="AB19" s="73" t="str">
        <f>IF('Jour 8'!$AC$13="","",'Jour 8'!$AC$13)</f>
        <v/>
      </c>
      <c r="AC19" s="73" t="str">
        <f>IF('Jour 8'!$AD$13="","",'Jour 8'!$AD$13)</f>
        <v/>
      </c>
      <c r="AD19" s="73" t="str">
        <f>IF('Jour 8'!$AE$13="","",'Jour 8'!$AE$13)</f>
        <v/>
      </c>
      <c r="AE19" s="74" t="str">
        <f>IF('Jour 8'!$AF$13="","",'Jour 8'!$AF$13)</f>
        <v/>
      </c>
      <c r="AF19" s="85" t="str">
        <f>IF('Jour 8'!$AA$35="","",'Jour 8'!$AA$35)</f>
        <v/>
      </c>
      <c r="AG19" s="73" t="str">
        <f>IF('Jour 8'!$AB$35="","",'Jour 8'!$AB$35)</f>
        <v/>
      </c>
      <c r="AH19" s="73" t="str">
        <f>IF('Jour 8'!$AC$35="","",'Jour 8'!$AC$35)</f>
        <v/>
      </c>
      <c r="AI19" s="73" t="str">
        <f>IF('Jour 8'!$AD$35="","",'Jour 8'!$AD$35)</f>
        <v/>
      </c>
      <c r="AJ19" s="73" t="str">
        <f>IF('Jour 8'!$AE$35="","",'Jour 8'!$AE$35)</f>
        <v/>
      </c>
      <c r="AK19" s="74" t="str">
        <f>IF('Jour 8'!$AF$35="","",'Jour 8'!$AF$35)</f>
        <v/>
      </c>
    </row>
    <row r="20" spans="1:37" x14ac:dyDescent="0.35">
      <c r="A20" s="76">
        <f>IF('Jour 9'!$S$6="","",'Jour 9'!$S$6)</f>
        <v>0</v>
      </c>
      <c r="B20" s="226">
        <f>IF('Jour 9'!$B$46=0,"",'Jour 9'!$B$46)</f>
        <v>79</v>
      </c>
      <c r="C20" s="789">
        <f>IF('Jour 9'!$C$46=0,"",'Jour 9'!$C$46)</f>
        <v>6</v>
      </c>
      <c r="D20" s="790"/>
      <c r="E20" s="37">
        <f>IF('Jour 9'!$F$46="","",'Jour 9'!$F$46)</f>
        <v>0</v>
      </c>
      <c r="F20" s="38">
        <f>IF('Jour 9'!$F$47="","",'Jour 9'!$F$47)</f>
        <v>0</v>
      </c>
      <c r="G20" s="130">
        <f>IF('Jour 9'!$F$48="","",'Jour 9'!$F$48)</f>
        <v>0</v>
      </c>
      <c r="H20" s="65">
        <f>'Jour 9'!$G$46</f>
        <v>0</v>
      </c>
      <c r="I20" s="65">
        <f>IF('Jour 9'!$H$46="","",'Jour 9'!$H$46)</f>
        <v>2</v>
      </c>
      <c r="J20" s="65">
        <f>IF('Jour 9'!$I$46="","",'Jour 9'!$I$46)</f>
        <v>1</v>
      </c>
      <c r="K20" s="787"/>
      <c r="L20" s="65">
        <f>IF('Jour 9'!$K$46="","",'Jour 9'!$K$46)</f>
        <v>9</v>
      </c>
      <c r="M20" s="37">
        <f>IF('Jour 9'!$L$46="","",'Jour 9'!$L$46)</f>
        <v>1</v>
      </c>
      <c r="N20" s="38">
        <f>IF('Jour 9'!$M$46="","",'Jour 9'!$M$46)</f>
        <v>0</v>
      </c>
      <c r="O20" s="38">
        <f>IF('Jour 9'!$N$46="","",'Jour 9'!$N$46)</f>
        <v>0</v>
      </c>
      <c r="P20" s="38">
        <f>IF('Jour 9'!$O$46="","",'Jour 9'!$O$46)</f>
        <v>0</v>
      </c>
      <c r="Q20" s="38">
        <f>IF('Jour 9'!$P$46="","",'Jour 9'!$P$46)</f>
        <v>1</v>
      </c>
      <c r="R20" s="807">
        <f>IF('Jour 9'!$T$46="","",'Jour 9'!$T$46)</f>
        <v>0.16666666666666666</v>
      </c>
      <c r="S20" s="808"/>
      <c r="T20" s="790"/>
      <c r="U20" s="33">
        <f>IF('Jour 9'!$V$46="","",'Jour 9'!$V$46)</f>
        <v>0</v>
      </c>
      <c r="V20" s="34">
        <f>IF('Jour 9'!$W$46="","",'Jour 9'!$W$46)</f>
        <v>0</v>
      </c>
      <c r="W20" s="34">
        <f>IF('Jour 9'!$X$46="","",'Jour 9'!$X$46)</f>
        <v>0</v>
      </c>
      <c r="X20" s="34">
        <f>IF('Jour 9'!$Y$46="","",'Jour 9'!$Y$46)</f>
        <v>0</v>
      </c>
      <c r="Y20" s="130">
        <f>IF('Jour 9'!$Z$46="","",'Jour 9'!$Z$46)</f>
        <v>0</v>
      </c>
      <c r="Z20" s="72">
        <f>IF('Jour 9'!$AA$13="","",'Jour 9'!$AA$13)</f>
        <v>2</v>
      </c>
      <c r="AA20" s="73" t="str">
        <f>IF('Jour 9'!$AB$13="","",'Jour 9'!$AB$13)</f>
        <v/>
      </c>
      <c r="AB20" s="73" t="str">
        <f>IF('Jour 9'!$AC$13="","",'Jour 9'!$AC$13)</f>
        <v/>
      </c>
      <c r="AC20" s="73" t="str">
        <f>IF('Jour 9'!$AD$13="","",'Jour 9'!$AD$13)</f>
        <v/>
      </c>
      <c r="AD20" s="73" t="str">
        <f>IF('Jour 9'!$AE$13="","",'Jour 9'!$AE$13)</f>
        <v/>
      </c>
      <c r="AE20" s="74" t="str">
        <f>IF('Jour 9'!$AF$13="","",'Jour 9'!$AF$13)</f>
        <v/>
      </c>
      <c r="AF20" s="85" t="str">
        <f>IF('Jour 9'!$AA$35="","",'Jour 9'!$AA$35)</f>
        <v/>
      </c>
      <c r="AG20" s="73" t="str">
        <f>IF('Jour 9'!$AB$35="","",'Jour 9'!$AB$35)</f>
        <v/>
      </c>
      <c r="AH20" s="73" t="str">
        <f>IF('Jour 9'!$AC$35="","",'Jour 9'!$AC$35)</f>
        <v/>
      </c>
      <c r="AI20" s="73" t="str">
        <f>IF('Jour 9'!$AD$35="","",'Jour 9'!$AD$35)</f>
        <v/>
      </c>
      <c r="AJ20" s="73" t="str">
        <f>IF('Jour 9'!$AE$35="","",'Jour 9'!$AE$35)</f>
        <v/>
      </c>
      <c r="AK20" s="74" t="str">
        <f>IF('Jour 9'!$AF$35="","",'Jour 9'!$AF$35)</f>
        <v/>
      </c>
    </row>
    <row r="21" spans="1:37" x14ac:dyDescent="0.35">
      <c r="A21" s="76">
        <f>IF('Jour 10'!$S$6="","",'Jour 10'!$S$6)</f>
        <v>0</v>
      </c>
      <c r="B21" s="226">
        <f>IF('Jour 10'!$B$46=0,"",'Jour 10'!$B$46)</f>
        <v>100</v>
      </c>
      <c r="C21" s="789">
        <f>IF('Jour 10'!$C$46=0,"",'Jour 10'!$C$46)</f>
        <v>7</v>
      </c>
      <c r="D21" s="790"/>
      <c r="E21" s="37">
        <f>IF('Jour 10'!$F$46="","",'Jour 10'!$F$46)</f>
        <v>0</v>
      </c>
      <c r="F21" s="38">
        <f>IF('Jour 10'!$F$47="","",'Jour 10'!$F$47)</f>
        <v>0</v>
      </c>
      <c r="G21" s="130">
        <f>IF('Jour 10'!$F$48="","",'Jour 10'!$F$48)</f>
        <v>0</v>
      </c>
      <c r="H21" s="65">
        <f>'Jour 10'!$G$46</f>
        <v>0</v>
      </c>
      <c r="I21" s="65">
        <f>IF('Jour 10'!$H$46="","",'Jour 10'!$H$46)</f>
        <v>4</v>
      </c>
      <c r="J21" s="65">
        <f>IF('Jour 10'!$I$46="","",'Jour 10'!$I$46)</f>
        <v>3</v>
      </c>
      <c r="K21" s="787"/>
      <c r="L21" s="65">
        <f>IF('Jour 10'!$K$46="","",'Jour 10'!$K$46)</f>
        <v>17</v>
      </c>
      <c r="M21" s="37">
        <f>IF('Jour 10'!$L$46="","",'Jour 10'!$L$46)</f>
        <v>1</v>
      </c>
      <c r="N21" s="38">
        <f>IF('Jour 10'!$M$46="","",'Jour 10'!$M$46)</f>
        <v>2</v>
      </c>
      <c r="O21" s="38">
        <f>IF('Jour 10'!$N$46="","",'Jour 10'!$N$46)</f>
        <v>1</v>
      </c>
      <c r="P21" s="38">
        <f>IF('Jour 10'!$O$46="","",'Jour 10'!$O$46)</f>
        <v>0</v>
      </c>
      <c r="Q21" s="38">
        <f>IF('Jour 10'!$P$46="","",'Jour 10'!$P$46)</f>
        <v>0</v>
      </c>
      <c r="R21" s="807" t="str">
        <f>IF('Jour 10'!$T$46="","",'Jour 10'!$T$46)</f>
        <v/>
      </c>
      <c r="S21" s="808"/>
      <c r="T21" s="790"/>
      <c r="U21" s="33">
        <f>IF('Jour 10'!$V$46="","",'Jour 10'!$V$46)</f>
        <v>0</v>
      </c>
      <c r="V21" s="34">
        <f>IF('Jour 10'!$W$46="","",'Jour 10'!$W$46)</f>
        <v>0</v>
      </c>
      <c r="W21" s="34">
        <f>IF('Jour 10'!$X$46="","",'Jour 10'!$X$46)</f>
        <v>0</v>
      </c>
      <c r="X21" s="34">
        <f>IF('Jour 10'!$Y$46="","",'Jour 10'!$Y$46)</f>
        <v>0</v>
      </c>
      <c r="Y21" s="130">
        <f>IF('Jour 10'!$Z$46="","",'Jour 10'!$Z$46)</f>
        <v>0</v>
      </c>
      <c r="Z21" s="72">
        <f>IF('Jour 10'!$AA$13="","",'Jour 10'!$AA$13)</f>
        <v>4</v>
      </c>
      <c r="AA21" s="73" t="str">
        <f>IF('Jour 10'!$AB$13="","",'Jour 10'!$AB$13)</f>
        <v/>
      </c>
      <c r="AB21" s="73" t="str">
        <f>IF('Jour 10'!$AC$13="","",'Jour 10'!$AC$13)</f>
        <v/>
      </c>
      <c r="AC21" s="73" t="str">
        <f>IF('Jour 10'!$AD$13="","",'Jour 10'!$AD$13)</f>
        <v/>
      </c>
      <c r="AD21" s="73" t="str">
        <f>IF('Jour 10'!$AE$13="","",'Jour 10'!$AE$13)</f>
        <v/>
      </c>
      <c r="AE21" s="74" t="str">
        <f>IF('Jour 10'!$AF$13="","",'Jour 10'!$AF$13)</f>
        <v/>
      </c>
      <c r="AF21" s="85" t="str">
        <f>IF('Jour 10'!$AA$35="","",'Jour 10'!$AA$35)</f>
        <v/>
      </c>
      <c r="AG21" s="73" t="str">
        <f>IF('Jour 10'!$AB$35="","",'Jour 10'!$AB$35)</f>
        <v/>
      </c>
      <c r="AH21" s="73" t="str">
        <f>IF('Jour 10'!$AC$35="","",'Jour 10'!$AC$35)</f>
        <v/>
      </c>
      <c r="AI21" s="73" t="str">
        <f>IF('Jour 10'!$AD$35="","",'Jour 10'!$AD$35)</f>
        <v/>
      </c>
      <c r="AJ21" s="73" t="str">
        <f>IF('Jour 10'!$AE$35="","",'Jour 10'!$AE$35)</f>
        <v/>
      </c>
      <c r="AK21" s="74" t="str">
        <f>IF('Jour 10'!$AF$35="","",'Jour 10'!$AF$35)</f>
        <v/>
      </c>
    </row>
    <row r="22" spans="1:37" x14ac:dyDescent="0.35">
      <c r="A22" s="76" t="str">
        <f>IF('Jour 11'!$S$6="","",'Jour 11'!$S$6)</f>
        <v/>
      </c>
      <c r="B22" s="226" t="str">
        <f>IF('Jour 11'!$B$46=0,"",'Jour 11'!$B$46)</f>
        <v/>
      </c>
      <c r="C22" s="789" t="str">
        <f>IF('Jour 11'!$C$46=0,"",'Jour 11'!$C$46)</f>
        <v/>
      </c>
      <c r="D22" s="790"/>
      <c r="E22" s="37">
        <f>IF('Jour 11'!$F$46="","",'Jour 11'!$F$46)</f>
        <v>0</v>
      </c>
      <c r="F22" s="38">
        <f>IF('Jour 11'!$F$47="","",'Jour 11'!$F$47)</f>
        <v>0</v>
      </c>
      <c r="G22" s="130">
        <f>IF('Jour 11'!$F$48="","",'Jour 11'!$F$48)</f>
        <v>0</v>
      </c>
      <c r="H22" s="65">
        <f>'Jour 11'!$G$46</f>
        <v>0</v>
      </c>
      <c r="I22" s="65">
        <f>IF('Jour 11'!$H$46="","",'Jour 11'!$H$46)</f>
        <v>0</v>
      </c>
      <c r="J22" s="65">
        <f>IF('Jour 11'!$I$46="","",'Jour 11'!$I$46)</f>
        <v>0</v>
      </c>
      <c r="K22" s="787"/>
      <c r="L22" s="65">
        <f>IF('Jour 11'!$K$46="","",'Jour 11'!$K$46)</f>
        <v>0</v>
      </c>
      <c r="M22" s="37">
        <f>IF('Jour 11'!$L$46="","",'Jour 11'!$L$46)</f>
        <v>0</v>
      </c>
      <c r="N22" s="38">
        <f>IF('Jour 11'!$M$46="","",'Jour 11'!$M$46)</f>
        <v>0</v>
      </c>
      <c r="O22" s="38">
        <f>IF('Jour 11'!$N$46="","",'Jour 11'!$N$46)</f>
        <v>0</v>
      </c>
      <c r="P22" s="38">
        <f>IF('Jour 11'!$O$46="","",'Jour 11'!$O$46)</f>
        <v>0</v>
      </c>
      <c r="Q22" s="38">
        <f>IF('Jour 11'!$P$46="","",'Jour 11'!$P$46)</f>
        <v>0</v>
      </c>
      <c r="R22" s="807" t="str">
        <f>IF('Jour 11'!$T$46="","",'Jour 11'!$T$46)</f>
        <v/>
      </c>
      <c r="S22" s="808"/>
      <c r="T22" s="790"/>
      <c r="U22" s="33">
        <f>IF('Jour 11'!$V$46="","",'Jour 11'!$V$46)</f>
        <v>0</v>
      </c>
      <c r="V22" s="34">
        <f>IF('Jour 11'!$W$46="","",'Jour 11'!$W$46)</f>
        <v>0</v>
      </c>
      <c r="W22" s="34">
        <f>IF('Jour 11'!$X$46="","",'Jour 11'!$X$46)</f>
        <v>0</v>
      </c>
      <c r="X22" s="34">
        <f>IF('Jour 11'!$Y$46="","",'Jour 11'!$Y$46)</f>
        <v>0</v>
      </c>
      <c r="Y22" s="130">
        <f>IF('Jour 11'!$Z$46="","",'Jour 11'!$Z$46)</f>
        <v>0</v>
      </c>
      <c r="Z22" s="72">
        <f>IF('Jour 11'!$AA$13="","",'Jour 11'!$AA$13)</f>
        <v>0</v>
      </c>
      <c r="AA22" s="73" t="str">
        <f>IF('Jour 11'!$AB$13="","",'Jour 11'!$AB$13)</f>
        <v/>
      </c>
      <c r="AB22" s="73" t="str">
        <f>IF('Jour 11'!$AC$13="","",'Jour 11'!$AC$13)</f>
        <v/>
      </c>
      <c r="AC22" s="73" t="str">
        <f>IF('Jour 11'!$AD$13="","",'Jour 11'!$AD$13)</f>
        <v/>
      </c>
      <c r="AD22" s="73" t="str">
        <f>IF('Jour 11'!$AE$13="","",'Jour 11'!$AE$13)</f>
        <v/>
      </c>
      <c r="AE22" s="74" t="str">
        <f>IF('Jour 11'!$AF$13="","",'Jour 11'!$AF$13)</f>
        <v/>
      </c>
      <c r="AF22" s="85" t="str">
        <f>IF('Jour 11'!$AA$35="","",'Jour 11'!$AA$35)</f>
        <v/>
      </c>
      <c r="AG22" s="73" t="str">
        <f>IF('Jour 11'!$AB$35="","",'Jour 11'!$AB$35)</f>
        <v/>
      </c>
      <c r="AH22" s="73" t="str">
        <f>IF('Jour 11'!$AC$35="","",'Jour 11'!$AC$35)</f>
        <v/>
      </c>
      <c r="AI22" s="73" t="str">
        <f>IF('Jour 11'!$AD$35="","",'Jour 11'!$AD$35)</f>
        <v/>
      </c>
      <c r="AJ22" s="73" t="str">
        <f>IF('Jour 11'!$AE$35="","",'Jour 11'!$AE$35)</f>
        <v/>
      </c>
      <c r="AK22" s="74" t="str">
        <f>IF('Jour 11'!$AF$35="","",'Jour 11'!$AF$35)</f>
        <v/>
      </c>
    </row>
    <row r="23" spans="1:37" x14ac:dyDescent="0.35">
      <c r="A23" s="76" t="str">
        <f>IF('Jour 12'!$S$6="","",'Jour 12'!$S$6)</f>
        <v/>
      </c>
      <c r="B23" s="226" t="str">
        <f>IF('Jour 12'!$B$46=0,"",'Jour 12'!$B$46)</f>
        <v/>
      </c>
      <c r="C23" s="789" t="str">
        <f>IF('Jour 12'!$C$46=0,"",'Jour 12'!$C$46)</f>
        <v/>
      </c>
      <c r="D23" s="790"/>
      <c r="E23" s="37">
        <f>IF('Jour 12'!$F$46="","",'Jour 12'!$F$46)</f>
        <v>0</v>
      </c>
      <c r="F23" s="38">
        <f>IF('Jour 12'!$F$47="","",'Jour 12'!$F$47)</f>
        <v>0</v>
      </c>
      <c r="G23" s="130">
        <f>IF('Jour 12'!$F$48="","",'Jour 12'!$F$48)</f>
        <v>0</v>
      </c>
      <c r="H23" s="65">
        <f>'Jour 12'!$G$46</f>
        <v>0</v>
      </c>
      <c r="I23" s="65">
        <f>IF('Jour 12'!$H$46="","",'Jour 12'!$H$46)</f>
        <v>0</v>
      </c>
      <c r="J23" s="65">
        <f>IF('Jour 12'!$I$46="","",'Jour 12'!$I$46)</f>
        <v>0</v>
      </c>
      <c r="K23" s="787"/>
      <c r="L23" s="65">
        <f>IF('Jour 12'!$K$46="","",'Jour 12'!$K$46)</f>
        <v>0</v>
      </c>
      <c r="M23" s="37">
        <f>IF('Jour 12'!$L$46="","",'Jour 12'!$L$46)</f>
        <v>0</v>
      </c>
      <c r="N23" s="38">
        <f>IF('Jour 12'!$M$46="","",'Jour 12'!$M$46)</f>
        <v>0</v>
      </c>
      <c r="O23" s="38">
        <f>IF('Jour 12'!$N$46="","",'Jour 12'!$N$46)</f>
        <v>0</v>
      </c>
      <c r="P23" s="38">
        <f>IF('Jour 12'!$O$46="","",'Jour 12'!$O$46)</f>
        <v>0</v>
      </c>
      <c r="Q23" s="38">
        <f>IF('Jour 12'!$P$46="","",'Jour 12'!$P$46)</f>
        <v>0</v>
      </c>
      <c r="R23" s="807" t="str">
        <f>IF('Jour 12'!$T$46="","",'Jour 12'!$T$46)</f>
        <v/>
      </c>
      <c r="S23" s="808"/>
      <c r="T23" s="790"/>
      <c r="U23" s="33">
        <f>IF('Jour 12'!$V$46="","",'Jour 12'!$V$46)</f>
        <v>0</v>
      </c>
      <c r="V23" s="34">
        <f>IF('Jour 12'!$W$46="","",'Jour 12'!$W$46)</f>
        <v>0</v>
      </c>
      <c r="W23" s="34">
        <f>IF('Jour 12'!$X$46="","",'Jour 12'!$X$46)</f>
        <v>0</v>
      </c>
      <c r="X23" s="34">
        <f>IF('Jour 12'!$Y$46="","",'Jour 12'!$Y$46)</f>
        <v>0</v>
      </c>
      <c r="Y23" s="130">
        <f>IF('Jour 12'!$Z$46="","",'Jour 12'!$Z$46)</f>
        <v>0</v>
      </c>
      <c r="Z23" s="72">
        <f>IF('Jour 12'!$AA$13="","",'Jour 12'!$AA$13)</f>
        <v>0</v>
      </c>
      <c r="AA23" s="73" t="str">
        <f>IF('Jour 12'!$AB$13="","",'Jour 12'!$AB$13)</f>
        <v/>
      </c>
      <c r="AB23" s="73" t="str">
        <f>IF('Jour 12'!$AC$13="","",'Jour 12'!$AC$13)</f>
        <v/>
      </c>
      <c r="AC23" s="73" t="str">
        <f>IF('Jour 12'!$AD$13="","",'Jour 12'!$AD$13)</f>
        <v/>
      </c>
      <c r="AD23" s="73" t="str">
        <f>IF('Jour 12'!$AE$13="","",'Jour 12'!$AE$13)</f>
        <v/>
      </c>
      <c r="AE23" s="74" t="str">
        <f>IF('Jour 12'!$AF$13="","",'Jour 12'!$AF$13)</f>
        <v/>
      </c>
      <c r="AF23" s="85" t="str">
        <f>IF('Jour 12'!$AA$35="","",'Jour 12'!$AA$35)</f>
        <v/>
      </c>
      <c r="AG23" s="73" t="str">
        <f>IF('Jour 12'!$AB$35="","",'Jour 12'!$AB$35)</f>
        <v/>
      </c>
      <c r="AH23" s="73" t="str">
        <f>IF('Jour 12'!$AC$35="","",'Jour 12'!$AC$35)</f>
        <v/>
      </c>
      <c r="AI23" s="73" t="str">
        <f>IF('Jour 12'!$AD$35="","",'Jour 12'!$AD$35)</f>
        <v/>
      </c>
      <c r="AJ23" s="73" t="str">
        <f>IF('Jour 12'!$AE$35="","",'Jour 12'!$AE$35)</f>
        <v/>
      </c>
      <c r="AK23" s="74" t="str">
        <f>IF('Jour 12'!$AF$35="","",'Jour 12'!$AF$35)</f>
        <v/>
      </c>
    </row>
    <row r="24" spans="1:37" x14ac:dyDescent="0.35">
      <c r="A24" s="76" t="str">
        <f>IF('Jour 13'!$S$6="","",'Jour 13'!$S$6)</f>
        <v/>
      </c>
      <c r="B24" s="226" t="str">
        <f>IF('Jour 13'!$B$46=0,"",'Jour 13'!$B$46)</f>
        <v/>
      </c>
      <c r="C24" s="789" t="str">
        <f>IF('Jour 13'!$C$46=0,"",'Jour 13'!$C$46)</f>
        <v/>
      </c>
      <c r="D24" s="790"/>
      <c r="E24" s="37">
        <f>IF('Jour 13'!$F$46="","",'Jour 13'!$F$46)</f>
        <v>0</v>
      </c>
      <c r="F24" s="38">
        <f>IF('Jour 13'!$F$47="","",'Jour 13'!$F$47)</f>
        <v>0</v>
      </c>
      <c r="G24" s="130">
        <f>IF('Jour 13'!$F$48="","",'Jour 13'!$F$48)</f>
        <v>0</v>
      </c>
      <c r="H24" s="65">
        <f>'Jour 13'!$G$46</f>
        <v>0</v>
      </c>
      <c r="I24" s="65">
        <f>IF('Jour 13'!$H$46="","",'Jour 13'!$H$46)</f>
        <v>0</v>
      </c>
      <c r="J24" s="65">
        <f>IF('Jour 13'!$I$46="","",'Jour 13'!$I$46)</f>
        <v>0</v>
      </c>
      <c r="K24" s="787"/>
      <c r="L24" s="65">
        <f>IF('Jour 13'!$K$46="","",'Jour 13'!$K$46)</f>
        <v>0</v>
      </c>
      <c r="M24" s="37">
        <f>IF('Jour 13'!$L$46="","",'Jour 13'!$L$46)</f>
        <v>0</v>
      </c>
      <c r="N24" s="38">
        <f>IF('Jour 13'!$M$46="","",'Jour 13'!$M$46)</f>
        <v>0</v>
      </c>
      <c r="O24" s="38">
        <f>IF('Jour 13'!$N$46="","",'Jour 13'!$N$46)</f>
        <v>0</v>
      </c>
      <c r="P24" s="38">
        <f>IF('Jour 13'!$O$46="","",'Jour 13'!$O$46)</f>
        <v>0</v>
      </c>
      <c r="Q24" s="38">
        <f>IF('Jour 13'!$P$46="","",'Jour 13'!$P$46)</f>
        <v>0</v>
      </c>
      <c r="R24" s="807" t="str">
        <f>IF('Jour 13'!$T$46="","",'Jour 13'!$T$46)</f>
        <v/>
      </c>
      <c r="S24" s="808"/>
      <c r="T24" s="790"/>
      <c r="U24" s="33">
        <f>IF('Jour 13'!$V$46="","",'Jour 13'!$V$46)</f>
        <v>0</v>
      </c>
      <c r="V24" s="34">
        <f>IF('Jour 13'!$W$46="","",'Jour 13'!$W$46)</f>
        <v>0</v>
      </c>
      <c r="W24" s="34">
        <f>IF('Jour 13'!$X$46="","",'Jour 13'!$X$46)</f>
        <v>0</v>
      </c>
      <c r="X24" s="34">
        <f>IF('Jour 13'!$Y$46="","",'Jour 13'!$Y$46)</f>
        <v>0</v>
      </c>
      <c r="Y24" s="130">
        <f>IF('Jour 13'!$Z$46="","",'Jour 13'!$Z$46)</f>
        <v>0</v>
      </c>
      <c r="Z24" s="72">
        <f>IF('Jour 13'!$AA$13="","",'Jour 13'!$AA$13)</f>
        <v>0</v>
      </c>
      <c r="AA24" s="73" t="str">
        <f>IF('Jour 13'!$AB$13="","",'Jour 13'!$AB$13)</f>
        <v/>
      </c>
      <c r="AB24" s="73" t="str">
        <f>IF('Jour 13'!$AC$13="","",'Jour 13'!$AC$13)</f>
        <v/>
      </c>
      <c r="AC24" s="73" t="str">
        <f>IF('Jour 13'!$AD$13="","",'Jour 13'!$AD$13)</f>
        <v/>
      </c>
      <c r="AD24" s="73" t="str">
        <f>IF('Jour 13'!$AE$13="","",'Jour 13'!$AE$13)</f>
        <v/>
      </c>
      <c r="AE24" s="74" t="str">
        <f>IF('Jour 13'!$AF$13="","",'Jour 13'!$AF$13)</f>
        <v/>
      </c>
      <c r="AF24" s="85" t="str">
        <f>IF('Jour 13'!$AA$35="","",'Jour 13'!$AA$35)</f>
        <v/>
      </c>
      <c r="AG24" s="73" t="str">
        <f>IF('Jour 13'!$AB$35="","",'Jour 13'!$AB$35)</f>
        <v/>
      </c>
      <c r="AH24" s="73" t="str">
        <f>IF('Jour 13'!$AC$35="","",'Jour 13'!$AC$35)</f>
        <v/>
      </c>
      <c r="AI24" s="73" t="str">
        <f>IF('Jour 13'!$AD$35="","",'Jour 13'!$AD$35)</f>
        <v/>
      </c>
      <c r="AJ24" s="73" t="str">
        <f>IF('Jour 13'!$AE$35="","",'Jour 13'!$AE$35)</f>
        <v/>
      </c>
      <c r="AK24" s="74" t="str">
        <f>IF('Jour 13'!$AF$35="","",'Jour 13'!$AF$35)</f>
        <v/>
      </c>
    </row>
    <row r="25" spans="1:37" x14ac:dyDescent="0.35">
      <c r="A25" s="76" t="str">
        <f>IF('Jour 14'!$S$6="","",'Jour 14'!$S$6)</f>
        <v/>
      </c>
      <c r="B25" s="226" t="str">
        <f>IF('Jour 14'!$B$46=0,"",'Jour 14'!$B$46)</f>
        <v/>
      </c>
      <c r="C25" s="789" t="str">
        <f>IF('Jour 14'!$C$46=0,"",'Jour 14'!$C$46)</f>
        <v/>
      </c>
      <c r="D25" s="790"/>
      <c r="E25" s="37">
        <f>IF('Jour 14'!$F$46="","",'Jour 14'!$F$46)</f>
        <v>0</v>
      </c>
      <c r="F25" s="38">
        <f>IF('Jour 14'!$F$47="","",'Jour 14'!$F$47)</f>
        <v>0</v>
      </c>
      <c r="G25" s="130">
        <f>IF('Jour 14'!$F$48="","",'Jour 14'!$F$48)</f>
        <v>0</v>
      </c>
      <c r="H25" s="65">
        <f>'Jour 14'!$G$46</f>
        <v>0</v>
      </c>
      <c r="I25" s="65">
        <f>IF('Jour 14'!$H$46="","",'Jour 14'!$H$46)</f>
        <v>0</v>
      </c>
      <c r="J25" s="65">
        <f>IF('Jour 14'!$I$46="","",'Jour 14'!$I$46)</f>
        <v>0</v>
      </c>
      <c r="K25" s="787"/>
      <c r="L25" s="65">
        <f>IF('Jour 14'!$K$46="","",'Jour 14'!$K$46)</f>
        <v>0</v>
      </c>
      <c r="M25" s="37">
        <f>IF('Jour 14'!$L$46="","",'Jour 14'!$L$46)</f>
        <v>0</v>
      </c>
      <c r="N25" s="38">
        <f>IF('Jour 14'!$M$46="","",'Jour 14'!$M$46)</f>
        <v>0</v>
      </c>
      <c r="O25" s="38">
        <f>IF('Jour 14'!$N$46="","",'Jour 14'!$N$46)</f>
        <v>0</v>
      </c>
      <c r="P25" s="38">
        <f>IF('Jour 14'!$O$46="","",'Jour 14'!$O$46)</f>
        <v>0</v>
      </c>
      <c r="Q25" s="38">
        <f>IF('Jour 14'!$P$46="","",'Jour 14'!$P$46)</f>
        <v>0</v>
      </c>
      <c r="R25" s="807" t="str">
        <f>IF('Jour 14'!$T$46="","",'Jour 14'!$T$46)</f>
        <v/>
      </c>
      <c r="S25" s="808"/>
      <c r="T25" s="790"/>
      <c r="U25" s="33">
        <f>IF('Jour 14'!$V$46="","",'Jour 14'!$V$46)</f>
        <v>0</v>
      </c>
      <c r="V25" s="34">
        <f>IF('Jour 14'!$W$46="","",'Jour 14'!$W$46)</f>
        <v>0</v>
      </c>
      <c r="W25" s="34">
        <f>IF('Jour 14'!$X$46="","",'Jour 14'!$X$46)</f>
        <v>0</v>
      </c>
      <c r="X25" s="34">
        <f>IF('Jour 14'!$Y$46="","",'Jour 14'!$Y$46)</f>
        <v>0</v>
      </c>
      <c r="Y25" s="130">
        <f>IF('Jour 14'!$Z$46="","",'Jour 14'!$Z$46)</f>
        <v>0</v>
      </c>
      <c r="Z25" s="72">
        <f>IF('Jour 14'!$AA$13="","",'Jour 14'!$AA$13)</f>
        <v>0</v>
      </c>
      <c r="AA25" s="73" t="str">
        <f>IF('Jour 14'!$AB$13="","",'Jour 14'!$AB$13)</f>
        <v/>
      </c>
      <c r="AB25" s="73" t="str">
        <f>IF('Jour 14'!$AC$13="","",'Jour 14'!$AC$13)</f>
        <v/>
      </c>
      <c r="AC25" s="73" t="str">
        <f>IF('Jour 14'!$AD$13="","",'Jour 14'!$AD$13)</f>
        <v/>
      </c>
      <c r="AD25" s="73" t="str">
        <f>IF('Jour 14'!$AE$13="","",'Jour 14'!$AE$13)</f>
        <v/>
      </c>
      <c r="AE25" s="74" t="str">
        <f>IF('Jour 14'!$AF$13="","",'Jour 14'!$AF$13)</f>
        <v/>
      </c>
      <c r="AF25" s="85" t="str">
        <f>IF('Jour 14'!$AA$35="","",'Jour 14'!$AA$35)</f>
        <v/>
      </c>
      <c r="AG25" s="73" t="str">
        <f>IF('Jour 14'!$AB$35="","",'Jour 14'!$AB$35)</f>
        <v/>
      </c>
      <c r="AH25" s="73" t="str">
        <f>IF('Jour 14'!$AC$35="","",'Jour 14'!$AC$35)</f>
        <v/>
      </c>
      <c r="AI25" s="73" t="str">
        <f>IF('Jour 14'!$AD$35="","",'Jour 14'!$AD$35)</f>
        <v/>
      </c>
      <c r="AJ25" s="73" t="str">
        <f>IF('Jour 14'!$AE$35="","",'Jour 14'!$AE$35)</f>
        <v/>
      </c>
      <c r="AK25" s="74" t="str">
        <f>IF('Jour 14'!$AF$35="","",'Jour 14'!$AF$35)</f>
        <v/>
      </c>
    </row>
    <row r="26" spans="1:37" x14ac:dyDescent="0.35">
      <c r="A26" s="76" t="str">
        <f>IF('Jour 15'!$S$6="","",'Jour 15'!$S$6)</f>
        <v/>
      </c>
      <c r="B26" s="226" t="str">
        <f>IF('Jour 15'!$B$46=0,"",'Jour 15'!$B$46)</f>
        <v/>
      </c>
      <c r="C26" s="789" t="str">
        <f>IF('Jour 15'!$C$46=0,"",'Jour 15'!$C$46)</f>
        <v/>
      </c>
      <c r="D26" s="790"/>
      <c r="E26" s="37">
        <f>IF('Jour 15'!$F$46="","",'Jour 15'!$F$46)</f>
        <v>0</v>
      </c>
      <c r="F26" s="38">
        <f>IF('Jour 15'!$F$47="","",'Jour 15'!$F$47)</f>
        <v>0</v>
      </c>
      <c r="G26" s="130">
        <f>IF('Jour 15'!$F$48="","",'Jour 15'!$F$48)</f>
        <v>0</v>
      </c>
      <c r="H26" s="65">
        <f>'Jour 15'!$G$46</f>
        <v>0</v>
      </c>
      <c r="I26" s="65">
        <f>IF('Jour 15'!$H$46="","",'Jour 15'!$H$46)</f>
        <v>0</v>
      </c>
      <c r="J26" s="65">
        <f>IF('Jour 15'!$I$46="","",'Jour 15'!$I$46)</f>
        <v>0</v>
      </c>
      <c r="K26" s="787"/>
      <c r="L26" s="65">
        <f>IF('Jour 15'!$K$46="","",'Jour 15'!$K$46)</f>
        <v>0</v>
      </c>
      <c r="M26" s="37">
        <f>IF('Jour 15'!$L$46="","",'Jour 15'!$L$46)</f>
        <v>0</v>
      </c>
      <c r="N26" s="38">
        <f>IF('Jour 15'!$M$46="","",'Jour 15'!$M$46)</f>
        <v>0</v>
      </c>
      <c r="O26" s="38">
        <f>IF('Jour 15'!$N$46="","",'Jour 15'!$N$46)</f>
        <v>0</v>
      </c>
      <c r="P26" s="38">
        <f>IF('Jour 15'!$O$46="","",'Jour 15'!$O$46)</f>
        <v>0</v>
      </c>
      <c r="Q26" s="38">
        <f>IF('Jour 15'!$P$46="","",'Jour 15'!$P$46)</f>
        <v>0</v>
      </c>
      <c r="R26" s="807" t="str">
        <f>IF('Jour 15'!$T$46="","",'Jour 15'!$T$46)</f>
        <v/>
      </c>
      <c r="S26" s="808"/>
      <c r="T26" s="790"/>
      <c r="U26" s="33">
        <f>IF('Jour 15'!$V$46="","",'Jour 15'!$V$46)</f>
        <v>0</v>
      </c>
      <c r="V26" s="34">
        <f>IF('Jour 15'!$W$46="","",'Jour 15'!$W$46)</f>
        <v>0</v>
      </c>
      <c r="W26" s="34">
        <f>IF('Jour 15'!$X$46="","",'Jour 15'!$X$46)</f>
        <v>0</v>
      </c>
      <c r="X26" s="34">
        <f>IF('Jour 15'!$Y$46="","",'Jour 15'!$Y$46)</f>
        <v>0</v>
      </c>
      <c r="Y26" s="130">
        <f>IF('Jour 15'!$Z$46="","",'Jour 15'!$Z$46)</f>
        <v>0</v>
      </c>
      <c r="Z26" s="72">
        <f>IF('Jour 15'!$AA$13="","",'Jour 15'!$AA$13)</f>
        <v>0</v>
      </c>
      <c r="AA26" s="73" t="str">
        <f>IF('Jour 15'!$AB$13="","",'Jour 15'!$AB$13)</f>
        <v/>
      </c>
      <c r="AB26" s="73" t="str">
        <f>IF('Jour 15'!$AC$13="","",'Jour 15'!$AC$13)</f>
        <v/>
      </c>
      <c r="AC26" s="73" t="str">
        <f>IF('Jour 15'!$AD$13="","",'Jour 15'!$AD$13)</f>
        <v/>
      </c>
      <c r="AD26" s="73" t="str">
        <f>IF('Jour 15'!$AE$13="","",'Jour 15'!$AE$13)</f>
        <v/>
      </c>
      <c r="AE26" s="74" t="str">
        <f>IF('Jour 15'!$AF$13="","",'Jour 15'!$AF$13)</f>
        <v/>
      </c>
      <c r="AF26" s="85" t="str">
        <f>IF('Jour 15'!$AA$35="","",'Jour 15'!$AA$35)</f>
        <v/>
      </c>
      <c r="AG26" s="73" t="str">
        <f>IF('Jour 15'!$AB$35="","",'Jour 15'!$AB$35)</f>
        <v/>
      </c>
      <c r="AH26" s="73" t="str">
        <f>IF('Jour 15'!$AC$35="","",'Jour 15'!$AC$35)</f>
        <v/>
      </c>
      <c r="AI26" s="73" t="str">
        <f>IF('Jour 15'!$AD$35="","",'Jour 15'!$AD$35)</f>
        <v/>
      </c>
      <c r="AJ26" s="73" t="str">
        <f>IF('Jour 15'!$AE$35="","",'Jour 15'!$AE$35)</f>
        <v/>
      </c>
      <c r="AK26" s="74" t="str">
        <f>IF('Jour 15'!$AF$35="","",'Jour 15'!$AF$35)</f>
        <v/>
      </c>
    </row>
    <row r="27" spans="1:37" ht="12.75" customHeight="1" thickBot="1" x14ac:dyDescent="0.4">
      <c r="A27" s="77"/>
      <c r="B27" s="226"/>
      <c r="C27" s="809"/>
      <c r="D27" s="810"/>
      <c r="E27" s="42"/>
      <c r="F27" s="43"/>
      <c r="G27" s="44"/>
      <c r="H27" s="79"/>
      <c r="I27" s="78"/>
      <c r="J27" s="79"/>
      <c r="K27" s="787"/>
      <c r="L27" s="79"/>
      <c r="M27" s="45"/>
      <c r="N27" s="43"/>
      <c r="O27" s="43"/>
      <c r="P27" s="43"/>
      <c r="Q27" s="45"/>
      <c r="R27" s="811"/>
      <c r="S27" s="812"/>
      <c r="T27" s="813"/>
      <c r="U27" s="133"/>
      <c r="V27" s="134"/>
      <c r="W27" s="134"/>
      <c r="X27" s="134"/>
      <c r="Y27" s="135"/>
      <c r="Z27" s="136"/>
      <c r="AA27" s="97"/>
      <c r="AB27" s="97"/>
      <c r="AC27" s="97"/>
      <c r="AD27" s="97"/>
      <c r="AE27" s="98"/>
      <c r="AF27" s="137"/>
      <c r="AG27" s="138"/>
      <c r="AH27" s="138"/>
      <c r="AI27" s="138"/>
      <c r="AJ27" s="138"/>
      <c r="AK27" s="139"/>
    </row>
    <row r="28" spans="1:37" ht="18.5" thickBot="1" x14ac:dyDescent="0.45">
      <c r="A28" s="140" t="s">
        <v>9</v>
      </c>
      <c r="B28" s="227">
        <f>SUM(B12:B26)</f>
        <v>634</v>
      </c>
      <c r="C28" s="791">
        <f>SUM($C$12:$D$27)</f>
        <v>85</v>
      </c>
      <c r="D28" s="792"/>
      <c r="E28" s="153">
        <f>SUM(E12:E27)</f>
        <v>0</v>
      </c>
      <c r="F28" s="154">
        <f t="shared" ref="F28:J28" si="0">SUM(F12:F27)</f>
        <v>0</v>
      </c>
      <c r="G28" s="155">
        <f t="shared" si="0"/>
        <v>0</v>
      </c>
      <c r="H28" s="156">
        <f t="shared" si="0"/>
        <v>31</v>
      </c>
      <c r="I28" s="157">
        <f t="shared" si="0"/>
        <v>22</v>
      </c>
      <c r="J28" s="155">
        <f t="shared" si="0"/>
        <v>16</v>
      </c>
      <c r="K28" s="788"/>
      <c r="L28" s="150">
        <f>SUM(L12:L26)</f>
        <v>117</v>
      </c>
      <c r="M28" s="151">
        <f t="shared" ref="M28:Q28" si="1">SUM(M12:M26)</f>
        <v>6</v>
      </c>
      <c r="N28" s="152">
        <f t="shared" si="1"/>
        <v>16</v>
      </c>
      <c r="O28" s="152">
        <f t="shared" si="1"/>
        <v>6</v>
      </c>
      <c r="P28" s="152">
        <f t="shared" si="1"/>
        <v>2</v>
      </c>
      <c r="Q28" s="152">
        <f t="shared" si="1"/>
        <v>7</v>
      </c>
      <c r="R28" s="814">
        <f>Q28/C28</f>
        <v>8.2352941176470587E-2</v>
      </c>
      <c r="S28" s="815"/>
      <c r="T28" s="816"/>
      <c r="U28" s="141">
        <f>SUM(U12:U26)</f>
        <v>0</v>
      </c>
      <c r="V28" s="142">
        <f>SUM(V12:V26)</f>
        <v>0</v>
      </c>
      <c r="W28" s="142">
        <f t="shared" ref="W28:X28" si="2">SUM(W12:W26)</f>
        <v>0</v>
      </c>
      <c r="X28" s="142">
        <f t="shared" si="2"/>
        <v>0</v>
      </c>
      <c r="Y28" s="143">
        <f>SUM(Y12:Y26)</f>
        <v>0</v>
      </c>
      <c r="Z28" s="144">
        <f>SUM(Z12:Z26)</f>
        <v>22</v>
      </c>
      <c r="AA28" s="145">
        <f>SUM(AA12:AA26)</f>
        <v>0</v>
      </c>
      <c r="AB28" s="145">
        <f t="shared" ref="AB28:AD28" si="3">SUM(AB12:AB26)</f>
        <v>0</v>
      </c>
      <c r="AC28" s="145">
        <f t="shared" si="3"/>
        <v>0</v>
      </c>
      <c r="AD28" s="145">
        <f t="shared" si="3"/>
        <v>0</v>
      </c>
      <c r="AE28" s="146">
        <f>SUM(AE12:AE26)</f>
        <v>0</v>
      </c>
      <c r="AF28" s="147">
        <f>SUM(AF12:AF26)</f>
        <v>0</v>
      </c>
      <c r="AG28" s="148">
        <f>SUM(AG12:AG26)</f>
        <v>0</v>
      </c>
      <c r="AH28" s="148">
        <f t="shared" ref="AH28:AJ28" si="4">SUM(AH12:AH26)</f>
        <v>0</v>
      </c>
      <c r="AI28" s="148">
        <f t="shared" si="4"/>
        <v>0</v>
      </c>
      <c r="AJ28" s="148">
        <f t="shared" si="4"/>
        <v>0</v>
      </c>
      <c r="AK28" s="149">
        <f>SUM(AK12:AK26)</f>
        <v>0</v>
      </c>
    </row>
    <row r="29" spans="1:37" ht="23.25" customHeight="1" thickBot="1" x14ac:dyDescent="0.4">
      <c r="A29" s="819" t="s">
        <v>89</v>
      </c>
      <c r="B29" s="820"/>
      <c r="C29" s="820"/>
      <c r="D29" s="820"/>
      <c r="E29" s="820"/>
      <c r="F29" s="820"/>
      <c r="G29" s="821">
        <f>AVERAGE(C12:D26)</f>
        <v>8.5</v>
      </c>
      <c r="H29" s="822"/>
      <c r="I29" s="162"/>
      <c r="J29" s="158"/>
      <c r="K29" s="159"/>
      <c r="L29" s="848" t="s">
        <v>90</v>
      </c>
      <c r="M29" s="849"/>
      <c r="N29" s="849"/>
      <c r="O29" s="849"/>
      <c r="P29" s="849"/>
      <c r="Q29" s="160">
        <f>R28</f>
        <v>8.2352941176470587E-2</v>
      </c>
      <c r="R29" s="850"/>
      <c r="S29" s="850"/>
      <c r="T29" s="851"/>
      <c r="U29" s="852" t="s">
        <v>91</v>
      </c>
      <c r="V29" s="853"/>
      <c r="W29" s="853"/>
      <c r="X29" s="853"/>
      <c r="Y29" s="161">
        <f>U28/J28</f>
        <v>0</v>
      </c>
    </row>
    <row r="30" spans="1:37" ht="23.25" customHeight="1" thickBot="1" x14ac:dyDescent="0.4">
      <c r="A30" s="819" t="s">
        <v>254</v>
      </c>
      <c r="B30" s="820"/>
      <c r="C30" s="820"/>
      <c r="D30" s="820"/>
      <c r="E30" s="820"/>
      <c r="F30" s="820"/>
      <c r="G30" s="821">
        <f>AVERAGE(B12:B27)</f>
        <v>63.4</v>
      </c>
      <c r="H30" s="822"/>
    </row>
    <row r="31" spans="1:37" ht="17" thickBot="1" x14ac:dyDescent="0.4">
      <c r="C31" s="260">
        <f>H28/C28</f>
        <v>0.36470588235294116</v>
      </c>
      <c r="D31" s="260"/>
      <c r="E31" s="260">
        <f>E28/C28</f>
        <v>0</v>
      </c>
      <c r="L31" s="846" t="s">
        <v>101</v>
      </c>
      <c r="M31" s="847"/>
      <c r="N31" s="847"/>
      <c r="O31" s="847"/>
      <c r="P31" s="847"/>
      <c r="Q31" s="236">
        <f>IF(Q28=0,0,Q28/'Recap Analyse'!C21)</f>
        <v>0.13207547169811321</v>
      </c>
    </row>
    <row r="32" spans="1:37" ht="12.75" customHeight="1" thickBot="1" x14ac:dyDescent="0.4"/>
    <row r="33" spans="1:22" ht="17" thickBot="1" x14ac:dyDescent="0.4">
      <c r="H33" s="430">
        <f>SUM(G29)</f>
        <v>8.5</v>
      </c>
      <c r="L33" s="844" t="s">
        <v>104</v>
      </c>
      <c r="M33" s="845"/>
      <c r="N33" s="845"/>
      <c r="O33" s="845"/>
      <c r="P33" s="845"/>
      <c r="Q33" s="252">
        <f>Q28/L28</f>
        <v>5.9829059829059832E-2</v>
      </c>
    </row>
    <row r="35" spans="1:22" ht="18" x14ac:dyDescent="0.4">
      <c r="A35" s="624" t="s">
        <v>14</v>
      </c>
      <c r="B35" s="624"/>
      <c r="C35" s="624"/>
      <c r="D35" s="624"/>
      <c r="E35" s="624"/>
      <c r="F35" s="624"/>
      <c r="G35" s="624"/>
      <c r="H35" s="624"/>
      <c r="I35" s="624"/>
      <c r="J35" s="624"/>
      <c r="K35" s="624"/>
      <c r="L35" s="624"/>
      <c r="M35" s="624"/>
      <c r="N35" s="624"/>
      <c r="O35" s="624"/>
      <c r="P35" s="624"/>
      <c r="Q35" s="624"/>
    </row>
    <row r="36" spans="1:22" ht="15" thickBot="1" x14ac:dyDescent="0.4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</row>
    <row r="37" spans="1:22" ht="16" thickBot="1" x14ac:dyDescent="0.4">
      <c r="A37" s="641" t="s">
        <v>51</v>
      </c>
      <c r="B37" s="642"/>
      <c r="C37" s="642"/>
      <c r="D37" s="642"/>
      <c r="E37" s="642"/>
      <c r="F37" s="642"/>
      <c r="G37" s="858">
        <f>IF(J28="","",J28)</f>
        <v>16</v>
      </c>
      <c r="H37" s="858"/>
      <c r="I37" s="88"/>
      <c r="J37" s="641" t="s">
        <v>53</v>
      </c>
      <c r="K37" s="642"/>
      <c r="L37" s="642"/>
      <c r="M37" s="642"/>
      <c r="N37" s="92">
        <f>IF(U28="","",U28)</f>
        <v>0</v>
      </c>
      <c r="O37" s="89"/>
      <c r="P37" s="90" t="s">
        <v>52</v>
      </c>
      <c r="Q37" s="91">
        <f>N37/G37</f>
        <v>0</v>
      </c>
      <c r="R37" s="817" t="s">
        <v>107</v>
      </c>
      <c r="S37" s="818"/>
      <c r="T37" s="818"/>
      <c r="U37" s="253">
        <f>$G$37/$C$28</f>
        <v>0.18823529411764706</v>
      </c>
    </row>
    <row r="38" spans="1:22" ht="16" thickBot="1" x14ac:dyDescent="0.4">
      <c r="A38" s="641" t="s">
        <v>15</v>
      </c>
      <c r="B38" s="642"/>
      <c r="C38" s="642"/>
      <c r="D38" s="642"/>
      <c r="E38" s="642"/>
      <c r="F38" s="642"/>
      <c r="G38" s="642"/>
      <c r="H38" s="642"/>
      <c r="I38" s="642"/>
      <c r="J38" s="642"/>
      <c r="K38" s="642"/>
      <c r="L38" s="642"/>
      <c r="M38" s="642"/>
      <c r="N38" s="642"/>
      <c r="O38" s="642"/>
      <c r="P38" s="642"/>
      <c r="Q38" s="643"/>
    </row>
    <row r="39" spans="1:22" ht="15" customHeight="1" x14ac:dyDescent="0.35">
      <c r="A39" s="772" t="s">
        <v>16</v>
      </c>
      <c r="B39" s="773"/>
      <c r="C39" s="774"/>
      <c r="D39" s="774"/>
      <c r="E39" s="774"/>
      <c r="F39" s="775"/>
      <c r="G39" s="772" t="s">
        <v>17</v>
      </c>
      <c r="H39" s="774"/>
      <c r="I39" s="774"/>
      <c r="J39" s="774"/>
      <c r="K39" s="775"/>
      <c r="L39" s="860" t="s">
        <v>54</v>
      </c>
      <c r="M39" s="860"/>
      <c r="N39" s="860"/>
      <c r="O39" s="763" t="s">
        <v>18</v>
      </c>
      <c r="P39" s="764"/>
      <c r="Q39" s="765"/>
    </row>
    <row r="40" spans="1:22" ht="16" thickBot="1" x14ac:dyDescent="0.4">
      <c r="A40" s="854">
        <f>IF(V28="","",V28)</f>
        <v>0</v>
      </c>
      <c r="B40" s="855"/>
      <c r="C40" s="856"/>
      <c r="D40" s="856"/>
      <c r="E40" s="856"/>
      <c r="F40" s="857"/>
      <c r="G40" s="854">
        <f>IF(W28="","",W28)</f>
        <v>0</v>
      </c>
      <c r="H40" s="856"/>
      <c r="I40" s="856"/>
      <c r="J40" s="856"/>
      <c r="K40" s="857"/>
      <c r="L40" s="861">
        <f>IF(X28="","",X28)</f>
        <v>0</v>
      </c>
      <c r="M40" s="861"/>
      <c r="N40" s="861"/>
      <c r="O40" s="769">
        <f>IF(Y28="","",Y28)</f>
        <v>0</v>
      </c>
      <c r="P40" s="770"/>
      <c r="Q40" s="771"/>
    </row>
    <row r="41" spans="1:22" ht="16" thickBot="1" x14ac:dyDescent="0.4">
      <c r="A41" s="766" t="e">
        <f>A40/N37</f>
        <v>#DIV/0!</v>
      </c>
      <c r="B41" s="776"/>
      <c r="C41" s="767"/>
      <c r="D41" s="767"/>
      <c r="E41" s="767"/>
      <c r="F41" s="768"/>
      <c r="G41" s="766" t="e">
        <f>G40/N37</f>
        <v>#DIV/0!</v>
      </c>
      <c r="H41" s="767"/>
      <c r="I41" s="767"/>
      <c r="J41" s="767"/>
      <c r="K41" s="768"/>
      <c r="L41" s="762" t="e">
        <f>L40/N37</f>
        <v>#DIV/0!</v>
      </c>
      <c r="M41" s="762"/>
      <c r="N41" s="762"/>
      <c r="O41" s="766" t="e">
        <f>O40/N37</f>
        <v>#DIV/0!</v>
      </c>
      <c r="P41" s="767"/>
      <c r="Q41" s="768"/>
    </row>
    <row r="43" spans="1:22" x14ac:dyDescent="0.35">
      <c r="R43" s="818" t="s">
        <v>105</v>
      </c>
      <c r="S43" s="818"/>
      <c r="T43" s="818"/>
      <c r="U43" s="818"/>
      <c r="V43" s="253">
        <f>$G$37/($G$37+$H$48+$O$59)</f>
        <v>0.42105263157894735</v>
      </c>
    </row>
    <row r="44" spans="1:22" x14ac:dyDescent="0.35">
      <c r="R44" s="818" t="s">
        <v>106</v>
      </c>
      <c r="S44" s="818"/>
      <c r="T44" s="818"/>
      <c r="U44" s="818"/>
      <c r="V44" s="253">
        <f>H48/($G$37+$H$48+$O$59)</f>
        <v>0.57894736842105265</v>
      </c>
    </row>
    <row r="45" spans="1:22" x14ac:dyDescent="0.35">
      <c r="R45" s="818" t="s">
        <v>152</v>
      </c>
      <c r="S45" s="818"/>
      <c r="T45" s="818"/>
      <c r="U45" s="818"/>
      <c r="V45" s="253">
        <f>O59/($G$37+$H$48+$O$59)</f>
        <v>0</v>
      </c>
    </row>
    <row r="46" spans="1:22" ht="18" x14ac:dyDescent="0.4">
      <c r="A46" s="656" t="s">
        <v>20</v>
      </c>
      <c r="B46" s="656"/>
      <c r="C46" s="656"/>
      <c r="D46" s="656"/>
      <c r="E46" s="656"/>
      <c r="F46" s="656"/>
      <c r="G46" s="656"/>
      <c r="H46" s="656"/>
      <c r="I46" s="656"/>
      <c r="J46" s="656"/>
      <c r="K46" s="656"/>
      <c r="L46" s="656"/>
      <c r="M46" s="656"/>
      <c r="N46" s="656"/>
      <c r="O46" s="656"/>
      <c r="P46" s="656"/>
      <c r="Q46" s="656"/>
    </row>
    <row r="47" spans="1:22" ht="15" thickBot="1" x14ac:dyDescent="0.4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</row>
    <row r="48" spans="1:22" ht="16" thickBot="1" x14ac:dyDescent="0.4">
      <c r="A48" s="657" t="s">
        <v>56</v>
      </c>
      <c r="B48" s="658"/>
      <c r="C48" s="658"/>
      <c r="D48" s="658"/>
      <c r="E48" s="658"/>
      <c r="F48" s="658"/>
      <c r="G48" s="658"/>
      <c r="H48" s="839">
        <f>IF(I28="","",I28)</f>
        <v>22</v>
      </c>
      <c r="I48" s="839"/>
      <c r="J48" s="839"/>
      <c r="K48" s="840"/>
      <c r="L48" s="93" t="s">
        <v>57</v>
      </c>
      <c r="M48" s="94"/>
      <c r="N48" s="94"/>
      <c r="O48" s="839">
        <f>IF(AA28="","",AA28)</f>
        <v>0</v>
      </c>
      <c r="P48" s="839"/>
      <c r="Q48" s="840"/>
      <c r="S48" s="859" t="s">
        <v>108</v>
      </c>
      <c r="T48" s="859"/>
      <c r="U48" s="253">
        <f>$H$48/$C$28</f>
        <v>0.25882352941176473</v>
      </c>
    </row>
    <row r="49" spans="1:21" ht="16" thickBot="1" x14ac:dyDescent="0.4">
      <c r="A49" s="841" t="s">
        <v>15</v>
      </c>
      <c r="B49" s="842"/>
      <c r="C49" s="842"/>
      <c r="D49" s="842"/>
      <c r="E49" s="842"/>
      <c r="F49" s="842"/>
      <c r="G49" s="842"/>
      <c r="H49" s="842"/>
      <c r="I49" s="842"/>
      <c r="J49" s="842"/>
      <c r="K49" s="842"/>
      <c r="L49" s="842"/>
      <c r="M49" s="842"/>
      <c r="N49" s="842"/>
      <c r="O49" s="842"/>
      <c r="P49" s="842"/>
      <c r="Q49" s="843"/>
    </row>
    <row r="50" spans="1:21" ht="15.5" x14ac:dyDescent="0.35">
      <c r="A50" s="866" t="s">
        <v>58</v>
      </c>
      <c r="B50" s="867"/>
      <c r="C50" s="868"/>
      <c r="D50" s="868"/>
      <c r="E50" s="868"/>
      <c r="F50" s="869"/>
      <c r="G50" s="866" t="s">
        <v>26</v>
      </c>
      <c r="H50" s="868"/>
      <c r="I50" s="868"/>
      <c r="J50" s="868"/>
      <c r="K50" s="869"/>
      <c r="L50" s="866" t="s">
        <v>27</v>
      </c>
      <c r="M50" s="868"/>
      <c r="N50" s="869"/>
      <c r="O50" s="866" t="s">
        <v>22</v>
      </c>
      <c r="P50" s="868"/>
      <c r="Q50" s="869"/>
    </row>
    <row r="51" spans="1:21" ht="16" thickBot="1" x14ac:dyDescent="0.4">
      <c r="A51" s="870">
        <f>IF(AB28="","",AB28)</f>
        <v>0</v>
      </c>
      <c r="B51" s="871"/>
      <c r="C51" s="872"/>
      <c r="D51" s="872"/>
      <c r="E51" s="872"/>
      <c r="F51" s="873"/>
      <c r="G51" s="877">
        <f>IF(AC28="","",AC28)</f>
        <v>0</v>
      </c>
      <c r="H51" s="878"/>
      <c r="I51" s="878"/>
      <c r="J51" s="878"/>
      <c r="K51" s="879"/>
      <c r="L51" s="870">
        <f>IF(AD28="","",AD28)</f>
        <v>0</v>
      </c>
      <c r="M51" s="872"/>
      <c r="N51" s="873"/>
      <c r="O51" s="870">
        <f>IF(AE28="","",AE28)</f>
        <v>0</v>
      </c>
      <c r="P51" s="872"/>
      <c r="Q51" s="873"/>
    </row>
    <row r="52" spans="1:21" ht="16" thickBot="1" x14ac:dyDescent="0.4">
      <c r="A52" s="874">
        <f>A51/(H48+O48)</f>
        <v>0</v>
      </c>
      <c r="B52" s="875"/>
      <c r="C52" s="875"/>
      <c r="D52" s="875"/>
      <c r="E52" s="875"/>
      <c r="F52" s="876"/>
      <c r="G52" s="874" t="e">
        <f>G51/(I48+O48)</f>
        <v>#DIV/0!</v>
      </c>
      <c r="H52" s="875"/>
      <c r="I52" s="875"/>
      <c r="J52" s="875"/>
      <c r="K52" s="876"/>
      <c r="L52" s="874">
        <f>L51/(H48+O48)</f>
        <v>0</v>
      </c>
      <c r="M52" s="875"/>
      <c r="N52" s="876"/>
      <c r="O52" s="874">
        <f>O51/(H48+O48)</f>
        <v>0</v>
      </c>
      <c r="P52" s="875">
        <f>O51/(H48+O48)</f>
        <v>0</v>
      </c>
      <c r="Q52" s="876"/>
    </row>
    <row r="57" spans="1:21" ht="18" x14ac:dyDescent="0.4">
      <c r="A57" s="679" t="s">
        <v>23</v>
      </c>
      <c r="B57" s="679"/>
      <c r="C57" s="679"/>
      <c r="D57" s="679"/>
      <c r="E57" s="679"/>
      <c r="F57" s="679"/>
      <c r="G57" s="679"/>
      <c r="H57" s="679"/>
      <c r="I57" s="679"/>
      <c r="J57" s="679"/>
      <c r="K57" s="679"/>
      <c r="L57" s="679"/>
      <c r="M57" s="679"/>
      <c r="N57" s="679"/>
      <c r="O57" s="679"/>
      <c r="P57" s="679"/>
      <c r="Q57" s="679"/>
    </row>
    <row r="58" spans="1:21" ht="15" thickBot="1" x14ac:dyDescent="0.4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</row>
    <row r="59" spans="1:21" ht="16" thickBot="1" x14ac:dyDescent="0.4">
      <c r="A59" s="701" t="s">
        <v>24</v>
      </c>
      <c r="B59" s="702"/>
      <c r="C59" s="702"/>
      <c r="D59" s="702"/>
      <c r="E59" s="864">
        <f>IF(AF28="","",AF28)</f>
        <v>0</v>
      </c>
      <c r="F59" s="864"/>
      <c r="G59" s="864"/>
      <c r="H59" s="864"/>
      <c r="I59" s="864"/>
      <c r="J59" s="864"/>
      <c r="K59" s="865"/>
      <c r="L59" s="95" t="s">
        <v>25</v>
      </c>
      <c r="M59" s="96"/>
      <c r="N59" s="96"/>
      <c r="O59" s="862">
        <f>IF(AG28="","",AG28)</f>
        <v>0</v>
      </c>
      <c r="P59" s="862"/>
      <c r="Q59" s="863"/>
      <c r="S59" s="859" t="s">
        <v>153</v>
      </c>
      <c r="T59" s="859"/>
      <c r="U59" s="253">
        <f>O59/$C$28</f>
        <v>0</v>
      </c>
    </row>
    <row r="60" spans="1:21" ht="16" thickBot="1" x14ac:dyDescent="0.4">
      <c r="A60" s="830" t="s">
        <v>15</v>
      </c>
      <c r="B60" s="831"/>
      <c r="C60" s="831"/>
      <c r="D60" s="831"/>
      <c r="E60" s="831"/>
      <c r="F60" s="831"/>
      <c r="G60" s="831"/>
      <c r="H60" s="831"/>
      <c r="I60" s="831"/>
      <c r="J60" s="831"/>
      <c r="K60" s="831"/>
      <c r="L60" s="831"/>
      <c r="M60" s="831"/>
      <c r="N60" s="831"/>
      <c r="O60" s="831"/>
      <c r="P60" s="831"/>
      <c r="Q60" s="832"/>
    </row>
    <row r="61" spans="1:21" ht="15.5" x14ac:dyDescent="0.35">
      <c r="A61" s="833" t="s">
        <v>21</v>
      </c>
      <c r="B61" s="834"/>
      <c r="C61" s="823"/>
      <c r="D61" s="823"/>
      <c r="E61" s="823"/>
      <c r="F61" s="823"/>
      <c r="G61" s="823" t="s">
        <v>26</v>
      </c>
      <c r="H61" s="823"/>
      <c r="I61" s="823"/>
      <c r="J61" s="823"/>
      <c r="K61" s="823"/>
      <c r="L61" s="823" t="s">
        <v>27</v>
      </c>
      <c r="M61" s="823"/>
      <c r="N61" s="823"/>
      <c r="O61" s="823" t="s">
        <v>22</v>
      </c>
      <c r="P61" s="823"/>
      <c r="Q61" s="824"/>
    </row>
    <row r="62" spans="1:21" ht="16" thickBot="1" x14ac:dyDescent="0.4">
      <c r="A62" s="835">
        <f>IF(AH28="","",AH28)</f>
        <v>0</v>
      </c>
      <c r="B62" s="836"/>
      <c r="C62" s="837"/>
      <c r="D62" s="837"/>
      <c r="E62" s="837"/>
      <c r="F62" s="837"/>
      <c r="G62" s="838">
        <f>IF(AI28="","",AI28)</f>
        <v>0</v>
      </c>
      <c r="H62" s="838"/>
      <c r="I62" s="838"/>
      <c r="J62" s="838"/>
      <c r="K62" s="838"/>
      <c r="L62" s="825">
        <f>IF(AJ28="","",AJ28)</f>
        <v>0</v>
      </c>
      <c r="M62" s="825"/>
      <c r="N62" s="825"/>
      <c r="O62" s="825">
        <f>IF(AK28="","",AK28)</f>
        <v>0</v>
      </c>
      <c r="P62" s="825"/>
      <c r="Q62" s="826"/>
    </row>
    <row r="63" spans="1:21" ht="16" thickBot="1" x14ac:dyDescent="0.4">
      <c r="A63" s="827" t="e">
        <f>A62/O59</f>
        <v>#DIV/0!</v>
      </c>
      <c r="B63" s="828"/>
      <c r="C63" s="828"/>
      <c r="D63" s="828"/>
      <c r="E63" s="828"/>
      <c r="F63" s="829"/>
      <c r="G63" s="827" t="e">
        <f>G62/O59</f>
        <v>#DIV/0!</v>
      </c>
      <c r="H63" s="828"/>
      <c r="I63" s="828"/>
      <c r="J63" s="828"/>
      <c r="K63" s="829"/>
      <c r="L63" s="827" t="e">
        <f>L62/O59</f>
        <v>#DIV/0!</v>
      </c>
      <c r="M63" s="828"/>
      <c r="N63" s="829"/>
      <c r="O63" s="827" t="e">
        <f>O62/O59</f>
        <v>#DIV/0!</v>
      </c>
      <c r="P63" s="828"/>
      <c r="Q63" s="829"/>
    </row>
    <row r="75" spans="1:17" ht="18" x14ac:dyDescent="0.4">
      <c r="A75" s="759" t="s">
        <v>86</v>
      </c>
      <c r="B75" s="759"/>
      <c r="C75" s="759"/>
      <c r="D75" s="759"/>
      <c r="E75" s="759"/>
      <c r="F75" s="759"/>
      <c r="G75" s="759"/>
      <c r="H75" s="759"/>
      <c r="I75" s="759"/>
      <c r="J75" s="759"/>
      <c r="K75" s="759"/>
      <c r="L75" s="759"/>
      <c r="M75" s="759"/>
      <c r="N75" s="759"/>
      <c r="O75" s="759"/>
      <c r="P75" s="759"/>
      <c r="Q75" s="759"/>
    </row>
    <row r="76" spans="1:17" ht="18" x14ac:dyDescent="0.4">
      <c r="A76" s="128"/>
      <c r="B76" s="128"/>
      <c r="C76" s="128"/>
      <c r="D76" s="128"/>
      <c r="E76" s="128"/>
      <c r="F76" s="128"/>
      <c r="G76" s="128"/>
      <c r="H76" s="128"/>
      <c r="I76" s="128"/>
      <c r="J76" s="128"/>
      <c r="K76" s="128"/>
      <c r="L76" s="128"/>
      <c r="M76" s="128"/>
      <c r="N76" s="128"/>
      <c r="O76" s="128"/>
      <c r="P76" s="128"/>
      <c r="Q76" s="128"/>
    </row>
    <row r="78" spans="1:17" x14ac:dyDescent="0.35">
      <c r="C78" s="101" t="s">
        <v>31</v>
      </c>
      <c r="D78" s="760" t="s">
        <v>30</v>
      </c>
      <c r="E78" s="761"/>
      <c r="F78" s="761"/>
      <c r="G78" s="761"/>
      <c r="H78" s="761"/>
      <c r="I78" s="761"/>
      <c r="J78" s="761"/>
      <c r="K78" s="761"/>
      <c r="L78" s="761"/>
      <c r="M78" s="761"/>
      <c r="N78" s="101" t="s">
        <v>9</v>
      </c>
      <c r="O78" s="101" t="s">
        <v>87</v>
      </c>
      <c r="P78" s="120"/>
    </row>
    <row r="79" spans="1:17" x14ac:dyDescent="0.35">
      <c r="C79" s="114">
        <v>101</v>
      </c>
      <c r="D79" s="753" t="s">
        <v>39</v>
      </c>
      <c r="E79" s="754"/>
      <c r="F79" s="754"/>
      <c r="G79" s="754"/>
      <c r="H79" s="754"/>
      <c r="I79" s="754"/>
      <c r="J79" s="754"/>
      <c r="K79" s="754"/>
      <c r="L79" s="754"/>
      <c r="M79" s="755"/>
      <c r="N79" s="125">
        <f>'Recap Analyse'!C2</f>
        <v>13</v>
      </c>
      <c r="O79" s="126">
        <f>'Recap Analyse'!D2</f>
        <v>0.1111111111111111</v>
      </c>
      <c r="P79" s="120"/>
    </row>
    <row r="80" spans="1:17" x14ac:dyDescent="0.35">
      <c r="C80" s="108">
        <v>102</v>
      </c>
      <c r="D80" s="750" t="s">
        <v>33</v>
      </c>
      <c r="E80" s="751"/>
      <c r="F80" s="751"/>
      <c r="G80" s="751"/>
      <c r="H80" s="751"/>
      <c r="I80" s="751"/>
      <c r="J80" s="751"/>
      <c r="K80" s="751"/>
      <c r="L80" s="751"/>
      <c r="M80" s="752"/>
      <c r="N80" s="123">
        <f>'Recap Analyse'!C3</f>
        <v>4</v>
      </c>
      <c r="O80" s="124">
        <f>'Recap Analyse'!D3</f>
        <v>3.4188034188034191E-2</v>
      </c>
      <c r="P80" s="120"/>
    </row>
    <row r="81" spans="3:16" x14ac:dyDescent="0.35">
      <c r="C81" s="114">
        <v>103</v>
      </c>
      <c r="D81" s="753" t="s">
        <v>49</v>
      </c>
      <c r="E81" s="754"/>
      <c r="F81" s="754"/>
      <c r="G81" s="754"/>
      <c r="H81" s="754"/>
      <c r="I81" s="754"/>
      <c r="J81" s="754"/>
      <c r="K81" s="754"/>
      <c r="L81" s="754"/>
      <c r="M81" s="755"/>
      <c r="N81" s="125">
        <f>'Recap Analyse'!C4</f>
        <v>6</v>
      </c>
      <c r="O81" s="126">
        <f>'Recap Analyse'!D4</f>
        <v>5.128205128205128E-2</v>
      </c>
      <c r="P81" s="120"/>
    </row>
    <row r="82" spans="3:16" x14ac:dyDescent="0.35">
      <c r="C82" s="108">
        <v>110</v>
      </c>
      <c r="D82" s="750" t="s">
        <v>37</v>
      </c>
      <c r="E82" s="751"/>
      <c r="F82" s="751"/>
      <c r="G82" s="751"/>
      <c r="H82" s="751"/>
      <c r="I82" s="751"/>
      <c r="J82" s="751"/>
      <c r="K82" s="751"/>
      <c r="L82" s="751"/>
      <c r="M82" s="752"/>
      <c r="N82" s="123">
        <f>'Recap Analyse'!C5</f>
        <v>2</v>
      </c>
      <c r="O82" s="124">
        <f>'Recap Analyse'!D5</f>
        <v>1.7094017094017096E-2</v>
      </c>
      <c r="P82" s="120"/>
    </row>
    <row r="83" spans="3:16" x14ac:dyDescent="0.35">
      <c r="C83" s="114">
        <v>111</v>
      </c>
      <c r="D83" s="753" t="s">
        <v>36</v>
      </c>
      <c r="E83" s="754"/>
      <c r="F83" s="754"/>
      <c r="G83" s="754"/>
      <c r="H83" s="754"/>
      <c r="I83" s="754"/>
      <c r="J83" s="754"/>
      <c r="K83" s="754"/>
      <c r="L83" s="754"/>
      <c r="M83" s="755"/>
      <c r="N83" s="125">
        <f>'Recap Analyse'!C6</f>
        <v>2</v>
      </c>
      <c r="O83" s="126">
        <f>'Recap Analyse'!D6</f>
        <v>1.7094017094017096E-2</v>
      </c>
      <c r="P83" s="120"/>
    </row>
    <row r="84" spans="3:16" x14ac:dyDescent="0.35">
      <c r="C84" s="108">
        <v>112</v>
      </c>
      <c r="D84" s="750" t="s">
        <v>48</v>
      </c>
      <c r="E84" s="751"/>
      <c r="F84" s="751"/>
      <c r="G84" s="751"/>
      <c r="H84" s="751"/>
      <c r="I84" s="751"/>
      <c r="J84" s="751"/>
      <c r="K84" s="751"/>
      <c r="L84" s="751"/>
      <c r="M84" s="752"/>
      <c r="N84" s="123">
        <f>'Recap Analyse'!C7</f>
        <v>10</v>
      </c>
      <c r="O84" s="124">
        <f>'Recap Analyse'!D7</f>
        <v>8.5470085470085472E-2</v>
      </c>
      <c r="P84" s="120"/>
    </row>
    <row r="85" spans="3:16" x14ac:dyDescent="0.35">
      <c r="C85" s="114">
        <v>120</v>
      </c>
      <c r="D85" s="753" t="s">
        <v>35</v>
      </c>
      <c r="E85" s="754"/>
      <c r="F85" s="754"/>
      <c r="G85" s="754"/>
      <c r="H85" s="754"/>
      <c r="I85" s="754"/>
      <c r="J85" s="754"/>
      <c r="K85" s="754"/>
      <c r="L85" s="754"/>
      <c r="M85" s="755"/>
      <c r="N85" s="125">
        <f>'Recap Analyse'!C8</f>
        <v>5</v>
      </c>
      <c r="O85" s="126">
        <f>'Recap Analyse'!D8</f>
        <v>4.2735042735042736E-2</v>
      </c>
      <c r="P85" s="120"/>
    </row>
    <row r="86" spans="3:16" x14ac:dyDescent="0.35">
      <c r="C86" s="108">
        <v>121</v>
      </c>
      <c r="D86" s="750" t="s">
        <v>45</v>
      </c>
      <c r="E86" s="751"/>
      <c r="F86" s="751"/>
      <c r="G86" s="751"/>
      <c r="H86" s="751"/>
      <c r="I86" s="751"/>
      <c r="J86" s="751"/>
      <c r="K86" s="751"/>
      <c r="L86" s="751"/>
      <c r="M86" s="752"/>
      <c r="N86" s="123">
        <f>'Recap Analyse'!C9</f>
        <v>2</v>
      </c>
      <c r="O86" s="124">
        <f>'Recap Analyse'!D9</f>
        <v>1.7094017094017096E-2</v>
      </c>
      <c r="P86" s="120"/>
    </row>
    <row r="87" spans="3:16" x14ac:dyDescent="0.35">
      <c r="C87" s="114">
        <v>122</v>
      </c>
      <c r="D87" s="753" t="s">
        <v>41</v>
      </c>
      <c r="E87" s="754"/>
      <c r="F87" s="754"/>
      <c r="G87" s="754"/>
      <c r="H87" s="754"/>
      <c r="I87" s="754"/>
      <c r="J87" s="754"/>
      <c r="K87" s="754"/>
      <c r="L87" s="754"/>
      <c r="M87" s="755"/>
      <c r="N87" s="125">
        <f>'Recap Analyse'!C10</f>
        <v>2</v>
      </c>
      <c r="O87" s="126">
        <f>'Recap Analyse'!D10</f>
        <v>1.7094017094017096E-2</v>
      </c>
      <c r="P87" s="120"/>
    </row>
    <row r="88" spans="3:16" x14ac:dyDescent="0.35">
      <c r="C88" s="108">
        <v>123</v>
      </c>
      <c r="D88" s="750" t="s">
        <v>40</v>
      </c>
      <c r="E88" s="751"/>
      <c r="F88" s="751"/>
      <c r="G88" s="751"/>
      <c r="H88" s="751"/>
      <c r="I88" s="751"/>
      <c r="J88" s="751"/>
      <c r="K88" s="751"/>
      <c r="L88" s="751"/>
      <c r="M88" s="752"/>
      <c r="N88" s="123">
        <f>'Recap Analyse'!C11</f>
        <v>1</v>
      </c>
      <c r="O88" s="124">
        <f>'Recap Analyse'!D11</f>
        <v>8.5470085470085479E-3</v>
      </c>
      <c r="P88" s="120"/>
    </row>
    <row r="89" spans="3:16" x14ac:dyDescent="0.35">
      <c r="C89" s="114">
        <v>124</v>
      </c>
      <c r="D89" s="753" t="s">
        <v>34</v>
      </c>
      <c r="E89" s="754"/>
      <c r="F89" s="754"/>
      <c r="G89" s="754"/>
      <c r="H89" s="754"/>
      <c r="I89" s="754"/>
      <c r="J89" s="754"/>
      <c r="K89" s="754"/>
      <c r="L89" s="754"/>
      <c r="M89" s="755"/>
      <c r="N89" s="125">
        <f>'Recap Analyse'!C12</f>
        <v>1</v>
      </c>
      <c r="O89" s="126">
        <f>'Recap Analyse'!D12</f>
        <v>8.5470085470085479E-3</v>
      </c>
      <c r="P89" s="120"/>
    </row>
    <row r="90" spans="3:16" x14ac:dyDescent="0.35">
      <c r="C90" s="108">
        <v>201</v>
      </c>
      <c r="D90" s="750" t="s">
        <v>44</v>
      </c>
      <c r="E90" s="751"/>
      <c r="F90" s="751"/>
      <c r="G90" s="751"/>
      <c r="H90" s="751"/>
      <c r="I90" s="751"/>
      <c r="J90" s="751"/>
      <c r="K90" s="751"/>
      <c r="L90" s="751"/>
      <c r="M90" s="752"/>
      <c r="N90" s="123">
        <f>'Recap Analyse'!C13</f>
        <v>1</v>
      </c>
      <c r="O90" s="124">
        <f>'Recap Analyse'!D13</f>
        <v>8.5470085470085479E-3</v>
      </c>
      <c r="P90" s="120"/>
    </row>
    <row r="91" spans="3:16" x14ac:dyDescent="0.35">
      <c r="C91" s="114">
        <v>202</v>
      </c>
      <c r="D91" s="753" t="s">
        <v>32</v>
      </c>
      <c r="E91" s="754"/>
      <c r="F91" s="754"/>
      <c r="G91" s="754"/>
      <c r="H91" s="754"/>
      <c r="I91" s="754"/>
      <c r="J91" s="754"/>
      <c r="K91" s="754"/>
      <c r="L91" s="754"/>
      <c r="M91" s="755"/>
      <c r="N91" s="125">
        <f>'Recap Analyse'!C14</f>
        <v>1</v>
      </c>
      <c r="O91" s="126">
        <f>'Recap Analyse'!D14</f>
        <v>8.5470085470085479E-3</v>
      </c>
      <c r="P91" s="120"/>
    </row>
    <row r="92" spans="3:16" x14ac:dyDescent="0.35">
      <c r="C92" s="108">
        <v>203</v>
      </c>
      <c r="D92" s="750" t="s">
        <v>46</v>
      </c>
      <c r="E92" s="751"/>
      <c r="F92" s="751"/>
      <c r="G92" s="751"/>
      <c r="H92" s="751"/>
      <c r="I92" s="751"/>
      <c r="J92" s="751"/>
      <c r="K92" s="751"/>
      <c r="L92" s="751"/>
      <c r="M92" s="752"/>
      <c r="N92" s="123">
        <f>'Recap Analyse'!C15</f>
        <v>1</v>
      </c>
      <c r="O92" s="124">
        <f>'Recap Analyse'!D15</f>
        <v>8.5470085470085479E-3</v>
      </c>
      <c r="P92" s="120"/>
    </row>
    <row r="93" spans="3:16" x14ac:dyDescent="0.35">
      <c r="C93" s="114">
        <v>204</v>
      </c>
      <c r="D93" s="753" t="s">
        <v>47</v>
      </c>
      <c r="E93" s="754"/>
      <c r="F93" s="754"/>
      <c r="G93" s="754"/>
      <c r="H93" s="754"/>
      <c r="I93" s="754"/>
      <c r="J93" s="754"/>
      <c r="K93" s="754"/>
      <c r="L93" s="754"/>
      <c r="M93" s="755"/>
      <c r="N93" s="125">
        <f>'Recap Analyse'!C16</f>
        <v>0</v>
      </c>
      <c r="O93" s="126" t="str">
        <f>'Recap Analyse'!D16</f>
        <v/>
      </c>
      <c r="P93" s="120"/>
    </row>
    <row r="94" spans="3:16" x14ac:dyDescent="0.35">
      <c r="C94" s="108">
        <v>210</v>
      </c>
      <c r="D94" s="750" t="s">
        <v>42</v>
      </c>
      <c r="E94" s="751"/>
      <c r="F94" s="751"/>
      <c r="G94" s="751"/>
      <c r="H94" s="751"/>
      <c r="I94" s="751"/>
      <c r="J94" s="751"/>
      <c r="K94" s="751"/>
      <c r="L94" s="751"/>
      <c r="M94" s="752"/>
      <c r="N94" s="123">
        <f>'Recap Analyse'!C17</f>
        <v>1</v>
      </c>
      <c r="O94" s="124">
        <f>'Recap Analyse'!D17</f>
        <v>8.5470085470085479E-3</v>
      </c>
      <c r="P94" s="120"/>
    </row>
    <row r="95" spans="3:16" x14ac:dyDescent="0.35">
      <c r="C95" s="114">
        <v>211</v>
      </c>
      <c r="D95" s="753" t="s">
        <v>43</v>
      </c>
      <c r="E95" s="754"/>
      <c r="F95" s="754"/>
      <c r="G95" s="754"/>
      <c r="H95" s="754"/>
      <c r="I95" s="754"/>
      <c r="J95" s="754"/>
      <c r="K95" s="754"/>
      <c r="L95" s="754"/>
      <c r="M95" s="755"/>
      <c r="N95" s="125">
        <f>'Recap Analyse'!C18</f>
        <v>0</v>
      </c>
      <c r="O95" s="126" t="str">
        <f>'Recap Analyse'!D18</f>
        <v/>
      </c>
      <c r="P95" s="120"/>
    </row>
    <row r="96" spans="3:16" x14ac:dyDescent="0.35">
      <c r="C96" s="108">
        <v>212</v>
      </c>
      <c r="D96" s="750" t="s">
        <v>38</v>
      </c>
      <c r="E96" s="751"/>
      <c r="F96" s="751"/>
      <c r="G96" s="751"/>
      <c r="H96" s="751"/>
      <c r="I96" s="751"/>
      <c r="J96" s="751"/>
      <c r="K96" s="751"/>
      <c r="L96" s="751"/>
      <c r="M96" s="752"/>
      <c r="N96" s="123">
        <f>'Recap Analyse'!C19</f>
        <v>1</v>
      </c>
      <c r="O96" s="124">
        <f>'Recap Analyse'!D19</f>
        <v>8.5470085470085479E-3</v>
      </c>
      <c r="P96" s="120"/>
    </row>
    <row r="97" spans="4:15" ht="15" thickBot="1" x14ac:dyDescent="0.4"/>
    <row r="98" spans="4:15" ht="18.5" thickBot="1" x14ac:dyDescent="0.45">
      <c r="D98" s="756" t="s">
        <v>85</v>
      </c>
      <c r="E98" s="756"/>
      <c r="F98" s="756"/>
      <c r="G98" s="756"/>
      <c r="H98" s="756"/>
      <c r="I98" s="756"/>
      <c r="J98" s="756"/>
      <c r="K98" s="756"/>
      <c r="L98" s="756"/>
      <c r="M98" s="757"/>
      <c r="N98" s="121">
        <f>SUM(N79:N96)</f>
        <v>53</v>
      </c>
      <c r="O98" s="122">
        <f>SUM(O79:O96)</f>
        <v>0.45299145299145316</v>
      </c>
    </row>
  </sheetData>
  <mergeCells count="150">
    <mergeCell ref="S59:T59"/>
    <mergeCell ref="O59:Q59"/>
    <mergeCell ref="E59:K59"/>
    <mergeCell ref="A57:Q57"/>
    <mergeCell ref="A50:F50"/>
    <mergeCell ref="A51:F51"/>
    <mergeCell ref="A52:F52"/>
    <mergeCell ref="G50:K50"/>
    <mergeCell ref="G51:K51"/>
    <mergeCell ref="G52:K52"/>
    <mergeCell ref="O50:Q50"/>
    <mergeCell ref="L51:N51"/>
    <mergeCell ref="O51:Q51"/>
    <mergeCell ref="L52:N52"/>
    <mergeCell ref="O52:Q52"/>
    <mergeCell ref="L50:N50"/>
    <mergeCell ref="A59:D59"/>
    <mergeCell ref="O48:Q48"/>
    <mergeCell ref="A49:Q49"/>
    <mergeCell ref="L33:P33"/>
    <mergeCell ref="L31:P31"/>
    <mergeCell ref="L29:P29"/>
    <mergeCell ref="R29:T29"/>
    <mergeCell ref="U29:X29"/>
    <mergeCell ref="G29:H29"/>
    <mergeCell ref="A29:F29"/>
    <mergeCell ref="A46:Q46"/>
    <mergeCell ref="A40:F40"/>
    <mergeCell ref="G39:K39"/>
    <mergeCell ref="G41:K41"/>
    <mergeCell ref="G40:K40"/>
    <mergeCell ref="G37:H37"/>
    <mergeCell ref="A48:G48"/>
    <mergeCell ref="H48:K48"/>
    <mergeCell ref="S48:T48"/>
    <mergeCell ref="R43:U43"/>
    <mergeCell ref="R44:U44"/>
    <mergeCell ref="R45:U45"/>
    <mergeCell ref="A38:Q38"/>
    <mergeCell ref="L39:N39"/>
    <mergeCell ref="L40:N40"/>
    <mergeCell ref="O61:Q61"/>
    <mergeCell ref="O62:Q62"/>
    <mergeCell ref="O63:Q63"/>
    <mergeCell ref="A60:Q60"/>
    <mergeCell ref="A61:F61"/>
    <mergeCell ref="A62:F62"/>
    <mergeCell ref="A63:F63"/>
    <mergeCell ref="G61:K61"/>
    <mergeCell ref="G62:K62"/>
    <mergeCell ref="G63:K63"/>
    <mergeCell ref="L61:N61"/>
    <mergeCell ref="L62:N62"/>
    <mergeCell ref="L63:N63"/>
    <mergeCell ref="R28:T28"/>
    <mergeCell ref="C24:D24"/>
    <mergeCell ref="R24:T24"/>
    <mergeCell ref="C25:D25"/>
    <mergeCell ref="R25:T25"/>
    <mergeCell ref="C26:D26"/>
    <mergeCell ref="R26:T26"/>
    <mergeCell ref="J37:M37"/>
    <mergeCell ref="A37:F37"/>
    <mergeCell ref="A35:Q35"/>
    <mergeCell ref="R37:T37"/>
    <mergeCell ref="A30:F30"/>
    <mergeCell ref="G30:H30"/>
    <mergeCell ref="R23:T23"/>
    <mergeCell ref="C18:D18"/>
    <mergeCell ref="R18:T18"/>
    <mergeCell ref="C19:D19"/>
    <mergeCell ref="R19:T19"/>
    <mergeCell ref="C20:D20"/>
    <mergeCell ref="R20:T20"/>
    <mergeCell ref="C27:D27"/>
    <mergeCell ref="R27:T27"/>
    <mergeCell ref="R15:T15"/>
    <mergeCell ref="C16:D16"/>
    <mergeCell ref="R16:T16"/>
    <mergeCell ref="C17:D17"/>
    <mergeCell ref="R17:T17"/>
    <mergeCell ref="C21:D21"/>
    <mergeCell ref="R21:T21"/>
    <mergeCell ref="C22:D22"/>
    <mergeCell ref="R22:T22"/>
    <mergeCell ref="R12:T12"/>
    <mergeCell ref="C13:D13"/>
    <mergeCell ref="R13:T13"/>
    <mergeCell ref="C14:D14"/>
    <mergeCell ref="L9:L11"/>
    <mergeCell ref="M9:T10"/>
    <mergeCell ref="U9:Y9"/>
    <mergeCell ref="U10:U11"/>
    <mergeCell ref="V10:Y10"/>
    <mergeCell ref="R14:T14"/>
    <mergeCell ref="A1:T1"/>
    <mergeCell ref="AH10:AK10"/>
    <mergeCell ref="R11:T11"/>
    <mergeCell ref="Z9:AE9"/>
    <mergeCell ref="AF9:AK9"/>
    <mergeCell ref="Z10:Z11"/>
    <mergeCell ref="AA10:AA11"/>
    <mergeCell ref="AB10:AE10"/>
    <mergeCell ref="AF10:AF11"/>
    <mergeCell ref="AG10:AG11"/>
    <mergeCell ref="D3:N3"/>
    <mergeCell ref="D5:K5"/>
    <mergeCell ref="F7:M7"/>
    <mergeCell ref="B9:B11"/>
    <mergeCell ref="L41:N41"/>
    <mergeCell ref="O39:Q39"/>
    <mergeCell ref="O41:Q41"/>
    <mergeCell ref="O40:Q40"/>
    <mergeCell ref="A39:F39"/>
    <mergeCell ref="A41:F41"/>
    <mergeCell ref="A9:A11"/>
    <mergeCell ref="C9:D11"/>
    <mergeCell ref="E9:G10"/>
    <mergeCell ref="H9:H11"/>
    <mergeCell ref="I9:J10"/>
    <mergeCell ref="K9:K11"/>
    <mergeCell ref="C12:D12"/>
    <mergeCell ref="K12:K28"/>
    <mergeCell ref="C15:D15"/>
    <mergeCell ref="C23:D23"/>
    <mergeCell ref="C28:D28"/>
    <mergeCell ref="D94:M94"/>
    <mergeCell ref="D95:M95"/>
    <mergeCell ref="D96:M96"/>
    <mergeCell ref="D98:M98"/>
    <mergeCell ref="R4:S4"/>
    <mergeCell ref="M5:O5"/>
    <mergeCell ref="R5:S5"/>
    <mergeCell ref="D85:M85"/>
    <mergeCell ref="D86:M86"/>
    <mergeCell ref="D87:M87"/>
    <mergeCell ref="D88:M88"/>
    <mergeCell ref="D89:M89"/>
    <mergeCell ref="D90:M90"/>
    <mergeCell ref="D91:M91"/>
    <mergeCell ref="D92:M92"/>
    <mergeCell ref="D93:M93"/>
    <mergeCell ref="A75:Q75"/>
    <mergeCell ref="D78:M78"/>
    <mergeCell ref="D79:M79"/>
    <mergeCell ref="D80:M80"/>
    <mergeCell ref="D81:M81"/>
    <mergeCell ref="D83:M83"/>
    <mergeCell ref="D84:M84"/>
    <mergeCell ref="D82:M82"/>
  </mergeCells>
  <conditionalFormatting sqref="R12:T26">
    <cfRule type="cellIs" dxfId="51" priority="68" operator="lessThan">
      <formula>0.5</formula>
    </cfRule>
    <cfRule type="cellIs" dxfId="50" priority="69" operator="equal">
      <formula>0.5</formula>
    </cfRule>
    <cfRule type="cellIs" dxfId="49" priority="70" operator="greaterThan">
      <formula>0.5</formula>
    </cfRule>
  </conditionalFormatting>
  <conditionalFormatting sqref="R28:T28">
    <cfRule type="cellIs" dxfId="48" priority="65" operator="lessThan">
      <formula>0.5</formula>
    </cfRule>
    <cfRule type="cellIs" dxfId="47" priority="66" operator="equal">
      <formula>0.5</formula>
    </cfRule>
    <cfRule type="cellIs" dxfId="46" priority="67" operator="greaterThan">
      <formula>0.5</formula>
    </cfRule>
  </conditionalFormatting>
  <conditionalFormatting sqref="Q37">
    <cfRule type="cellIs" dxfId="45" priority="45" operator="equal">
      <formula>0.5</formula>
    </cfRule>
    <cfRule type="cellIs" dxfId="44" priority="46" operator="lessThan">
      <formula>0.5</formula>
    </cfRule>
    <cfRule type="cellIs" dxfId="43" priority="47" operator="greaterThan">
      <formula>0.5</formula>
    </cfRule>
    <cfRule type="aboveAverage" priority="48"/>
  </conditionalFormatting>
  <conditionalFormatting sqref="A41:B41 G41">
    <cfRule type="cellIs" dxfId="42" priority="42" operator="equal">
      <formula>0.5</formula>
    </cfRule>
    <cfRule type="cellIs" dxfId="41" priority="43" operator="lessThan">
      <formula>0.5</formula>
    </cfRule>
    <cfRule type="cellIs" dxfId="40" priority="44" operator="greaterThan">
      <formula>0.5</formula>
    </cfRule>
  </conditionalFormatting>
  <conditionalFormatting sqref="L41">
    <cfRule type="cellIs" dxfId="39" priority="36" operator="equal">
      <formula>0.5</formula>
    </cfRule>
    <cfRule type="cellIs" dxfId="38" priority="37" operator="lessThan">
      <formula>0.5</formula>
    </cfRule>
    <cfRule type="cellIs" dxfId="37" priority="38" operator="greaterThan">
      <formula>0.5</formula>
    </cfRule>
  </conditionalFormatting>
  <conditionalFormatting sqref="O41">
    <cfRule type="cellIs" dxfId="36" priority="33" operator="equal">
      <formula>0.5</formula>
    </cfRule>
    <cfRule type="cellIs" dxfId="35" priority="34" operator="lessThan">
      <formula>0.5</formula>
    </cfRule>
    <cfRule type="cellIs" dxfId="34" priority="35" operator="greaterThan">
      <formula>0.5</formula>
    </cfRule>
  </conditionalFormatting>
  <conditionalFormatting sqref="A52:B52">
    <cfRule type="cellIs" dxfId="33" priority="29" operator="greaterThan">
      <formula>0.5</formula>
    </cfRule>
    <cfRule type="cellIs" dxfId="32" priority="30" operator="lessThan">
      <formula>0.5</formula>
    </cfRule>
    <cfRule type="cellIs" dxfId="31" priority="31" operator="equal">
      <formula>0.5</formula>
    </cfRule>
    <cfRule type="cellIs" dxfId="30" priority="32" operator="greaterThan">
      <formula>50</formula>
    </cfRule>
  </conditionalFormatting>
  <conditionalFormatting sqref="O52">
    <cfRule type="cellIs" dxfId="29" priority="17" operator="greaterThan">
      <formula>0.5</formula>
    </cfRule>
    <cfRule type="cellIs" dxfId="28" priority="18" operator="lessThan">
      <formula>0.5</formula>
    </cfRule>
    <cfRule type="cellIs" dxfId="27" priority="19" operator="equal">
      <formula>0.5</formula>
    </cfRule>
    <cfRule type="cellIs" dxfId="26" priority="20" operator="greaterThan">
      <formula>50</formula>
    </cfRule>
  </conditionalFormatting>
  <conditionalFormatting sqref="G52">
    <cfRule type="cellIs" dxfId="25" priority="25" operator="greaterThan">
      <formula>0.5</formula>
    </cfRule>
    <cfRule type="cellIs" dxfId="24" priority="26" operator="lessThan">
      <formula>0.5</formula>
    </cfRule>
    <cfRule type="cellIs" dxfId="23" priority="27" operator="equal">
      <formula>0.5</formula>
    </cfRule>
    <cfRule type="cellIs" dxfId="22" priority="28" operator="greaterThan">
      <formula>50</formula>
    </cfRule>
  </conditionalFormatting>
  <conditionalFormatting sqref="L52">
    <cfRule type="cellIs" dxfId="21" priority="21" operator="greaterThan">
      <formula>0.5</formula>
    </cfRule>
    <cfRule type="cellIs" dxfId="20" priority="22" operator="lessThan">
      <formula>0.5</formula>
    </cfRule>
    <cfRule type="cellIs" dxfId="19" priority="23" operator="equal">
      <formula>0.5</formula>
    </cfRule>
    <cfRule type="cellIs" dxfId="18" priority="24" operator="greaterThan">
      <formula>50</formula>
    </cfRule>
  </conditionalFormatting>
  <conditionalFormatting sqref="A63:B63">
    <cfRule type="cellIs" dxfId="17" priority="13" operator="greaterThan">
      <formula>0.5</formula>
    </cfRule>
    <cfRule type="cellIs" dxfId="16" priority="14" operator="lessThan">
      <formula>0.5</formula>
    </cfRule>
    <cfRule type="cellIs" dxfId="15" priority="15" operator="equal">
      <formula>0.5</formula>
    </cfRule>
    <cfRule type="cellIs" dxfId="14" priority="16" operator="greaterThan">
      <formula>50</formula>
    </cfRule>
  </conditionalFormatting>
  <conditionalFormatting sqref="L63 O63">
    <cfRule type="cellIs" dxfId="13" priority="9" operator="greaterThan">
      <formula>0.5</formula>
    </cfRule>
    <cfRule type="cellIs" dxfId="12" priority="10" operator="lessThan">
      <formula>0.5</formula>
    </cfRule>
    <cfRule type="cellIs" dxfId="11" priority="11" operator="equal">
      <formula>0.5</formula>
    </cfRule>
    <cfRule type="cellIs" dxfId="10" priority="12" operator="greaterThan">
      <formula>50</formula>
    </cfRule>
  </conditionalFormatting>
  <conditionalFormatting sqref="G63">
    <cfRule type="cellIs" dxfId="9" priority="1" operator="greaterThan">
      <formula>0.5</formula>
    </cfRule>
    <cfRule type="cellIs" dxfId="8" priority="2" operator="lessThan">
      <formula>0.5</formula>
    </cfRule>
    <cfRule type="cellIs" dxfId="7" priority="3" operator="equal">
      <formula>0.5</formula>
    </cfRule>
    <cfRule type="cellIs" dxfId="6" priority="4" operator="greaterThan">
      <formula>50</formula>
    </cfRule>
  </conditionalFormatting>
  <pageMargins left="0.25" right="0.25" top="0.75" bottom="0.75" header="0.3" footer="0.3"/>
  <pageSetup paperSize="8" scale="8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Listes!$E$2:$E$9</xm:f>
          </x14:formula1>
          <xm:sqref>R4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workbookViewId="0">
      <selection activeCell="D8" sqref="D8"/>
    </sheetView>
  </sheetViews>
  <sheetFormatPr baseColWidth="10" defaultRowHeight="14.5" x14ac:dyDescent="0.35"/>
  <cols>
    <col min="1" max="1" width="13.453125" customWidth="1"/>
    <col min="2" max="2" width="61.26953125" bestFit="1" customWidth="1"/>
    <col min="3" max="3" width="13.1796875" customWidth="1"/>
    <col min="4" max="4" width="12.1796875" customWidth="1"/>
  </cols>
  <sheetData>
    <row r="1" spans="1:19" x14ac:dyDescent="0.35">
      <c r="A1" s="101" t="s">
        <v>31</v>
      </c>
      <c r="B1" s="100" t="s">
        <v>30</v>
      </c>
      <c r="C1" s="102" t="s">
        <v>85</v>
      </c>
      <c r="D1" s="102" t="s">
        <v>87</v>
      </c>
      <c r="E1" s="103" t="str">
        <f>IF(Listes!E2="","",Listes!E2)</f>
        <v/>
      </c>
      <c r="F1" s="103" t="str">
        <f>IF(Listes!E3="","",Listes!E3)</f>
        <v/>
      </c>
      <c r="G1" s="103" t="str">
        <f>IF(Listes!E4="","",Listes!E4)</f>
        <v/>
      </c>
      <c r="H1" s="103" t="str">
        <f>IF(Listes!E5="","",Listes!E5)</f>
        <v/>
      </c>
      <c r="I1" s="103" t="str">
        <f>IF(Listes!E6="","",Listes!E6)</f>
        <v/>
      </c>
      <c r="J1" s="103" t="str">
        <f>IF(Listes!E7="","",Listes!E7)</f>
        <v/>
      </c>
      <c r="K1" s="103" t="str">
        <f>IF(Listes!E8="","",Listes!E8)</f>
        <v/>
      </c>
      <c r="L1" s="103" t="str">
        <f>IF(Listes!$E9="","",Listes!$E9)</f>
        <v/>
      </c>
      <c r="M1" s="103" t="str">
        <f>IF(Listes!$E10="","",Listes!$E10)</f>
        <v/>
      </c>
      <c r="N1" s="103" t="str">
        <f>IF(Listes!$E11="","",Listes!$E11)</f>
        <v/>
      </c>
      <c r="O1" s="103" t="str">
        <f>IF(Listes!$E12="","",Listes!$E12)</f>
        <v/>
      </c>
      <c r="P1" s="103" t="str">
        <f>IF(Listes!$E13="","",Listes!$E13)</f>
        <v/>
      </c>
      <c r="Q1" s="103" t="str">
        <f>IF(Listes!$E14="","",Listes!$E14)</f>
        <v/>
      </c>
      <c r="R1" s="103" t="str">
        <f>IF(Listes!$E15="","",Listes!$E15)</f>
        <v/>
      </c>
      <c r="S1" s="103" t="str">
        <f>IF(Listes!$E16="","",Listes!$E16)</f>
        <v/>
      </c>
    </row>
    <row r="2" spans="1:19" x14ac:dyDescent="0.35">
      <c r="A2" s="104">
        <v>101</v>
      </c>
      <c r="B2" s="105" t="s">
        <v>39</v>
      </c>
      <c r="C2" s="117">
        <f t="shared" ref="C2:C19" si="0">SUM(E2:S2)</f>
        <v>13</v>
      </c>
      <c r="D2" s="116">
        <f>IF(Tableau16[[#This Row],[TOTAL]]=0,"",Tableau16[[#This Row],[TOTAL]]/'Recap Edition'!$L$28)</f>
        <v>0.1111111111111111</v>
      </c>
      <c r="E2" s="9">
        <f>COUNTIF('Jour 1'!$U$13:$U$45,A2)</f>
        <v>1</v>
      </c>
      <c r="F2" s="9">
        <f>COUNTIF('Jour 2'!$U$13:$U$45,A2)</f>
        <v>0</v>
      </c>
      <c r="G2" s="9">
        <f>COUNTIF('Jour 3'!$U$13:$U$45,A2)</f>
        <v>2</v>
      </c>
      <c r="H2" s="9">
        <f>COUNTIF('Jour 4'!$U$13:$U$45,A2)</f>
        <v>1</v>
      </c>
      <c r="I2" s="9">
        <f>COUNTIF('Jour 5'!$U$13:$U$45,A2)</f>
        <v>2</v>
      </c>
      <c r="J2" s="9">
        <f>COUNTIF('Jour 6'!$U$13:$U$45,A2)</f>
        <v>0</v>
      </c>
      <c r="K2" s="9">
        <f>COUNTIF('Jour 7'!$U$13:$U$45,A2)</f>
        <v>1</v>
      </c>
      <c r="L2" s="9">
        <f>COUNTIF('Jour 8'!$U$13:$U$45,A2)</f>
        <v>3</v>
      </c>
      <c r="M2" s="9">
        <f>COUNTIF('Jour 9'!$U$13:$U$45,A2)</f>
        <v>1</v>
      </c>
      <c r="N2" s="9">
        <f>COUNTIF('Jour 10'!$U$13:$U$45,A2)</f>
        <v>2</v>
      </c>
      <c r="O2" s="9">
        <f>COUNTIF('Jour 11'!$U$13:$U$45,A2)</f>
        <v>0</v>
      </c>
      <c r="P2" s="9">
        <f>COUNTIF('Jour 12'!$U$13:$U$45,A2)</f>
        <v>0</v>
      </c>
      <c r="Q2" s="9">
        <f>COUNTIF('Jour 13'!$U$13:$U$45,A2)</f>
        <v>0</v>
      </c>
      <c r="R2" s="9">
        <f>COUNTIF('Jour 14'!$U$13:$U$45,A2)</f>
        <v>0</v>
      </c>
      <c r="S2" s="9">
        <f>COUNTIF('Jour 15'!$U$13:$U$45,A2)</f>
        <v>0</v>
      </c>
    </row>
    <row r="3" spans="1:19" x14ac:dyDescent="0.35">
      <c r="A3" s="106">
        <v>102</v>
      </c>
      <c r="B3" s="107" t="s">
        <v>33</v>
      </c>
      <c r="C3" s="118">
        <f t="shared" si="0"/>
        <v>4</v>
      </c>
      <c r="D3" s="116">
        <f>IF(Tableau16[[#This Row],[TOTAL]]=0,"",Tableau16[[#This Row],[TOTAL]]/'Recap Edition'!$L$28)</f>
        <v>3.4188034188034191E-2</v>
      </c>
      <c r="E3" s="9">
        <f>COUNTIF('Jour 1'!$U$13:$U$45,A3)</f>
        <v>1</v>
      </c>
      <c r="F3" s="9">
        <f>COUNTIF('Jour 2'!$U$13:$U$45,A3)</f>
        <v>0</v>
      </c>
      <c r="G3" s="9">
        <f>COUNTIF('Jour 3'!$U$13:$U$45,A3)</f>
        <v>1</v>
      </c>
      <c r="H3" s="9">
        <f>COUNTIF('Jour 4'!$U$13:$U$45,A3)</f>
        <v>1</v>
      </c>
      <c r="I3" s="9">
        <f>COUNTIF('Jour 5'!$U$13:$U$45,A3)</f>
        <v>0</v>
      </c>
      <c r="J3" s="9">
        <f>COUNTIF('Jour 6'!$U$13:$U$45,A3)</f>
        <v>0</v>
      </c>
      <c r="K3" s="9">
        <f>COUNTIF('Jour 7'!$U$13:$U$45,A3)</f>
        <v>0</v>
      </c>
      <c r="L3" s="9">
        <f>COUNTIF('Jour 8'!$U$13:$U$45,A3)</f>
        <v>0</v>
      </c>
      <c r="M3" s="9">
        <f>COUNTIF('Jour 9'!$U$13:$U$45,A3)</f>
        <v>1</v>
      </c>
      <c r="N3" s="9">
        <f>COUNTIF('Jour 10'!$U$13:$U$45,A3)</f>
        <v>0</v>
      </c>
      <c r="O3" s="9">
        <f>COUNTIF('Jour 11'!$U$13:$U$45,A3)</f>
        <v>0</v>
      </c>
      <c r="P3" s="9">
        <f>COUNTIF('Jour 12'!$U$13:$U$45,A3)</f>
        <v>0</v>
      </c>
      <c r="Q3" s="9">
        <f>COUNTIF('Jour 13'!$U$13:$U$45,A3)</f>
        <v>0</v>
      </c>
      <c r="R3" s="9">
        <f>COUNTIF('Jour 14'!$U$13:$U$45,A3)</f>
        <v>0</v>
      </c>
      <c r="S3" s="9">
        <f>COUNTIF('Jour 15'!$U$13:$U$45,A3)</f>
        <v>0</v>
      </c>
    </row>
    <row r="4" spans="1:19" x14ac:dyDescent="0.35">
      <c r="A4" s="104">
        <v>103</v>
      </c>
      <c r="B4" s="105" t="s">
        <v>49</v>
      </c>
      <c r="C4" s="118">
        <f t="shared" si="0"/>
        <v>6</v>
      </c>
      <c r="D4" s="116">
        <f>IF(Tableau16[[#This Row],[TOTAL]]=0,"",Tableau16[[#This Row],[TOTAL]]/'Recap Edition'!$L$28)</f>
        <v>5.128205128205128E-2</v>
      </c>
      <c r="E4" s="9">
        <f>COUNTIF('Jour 1'!$U$13:$U$45,A4)</f>
        <v>1</v>
      </c>
      <c r="F4" s="9">
        <f>COUNTIF('Jour 2'!$U$13:$U$45,A4)</f>
        <v>2</v>
      </c>
      <c r="G4" s="9">
        <f>COUNTIF('Jour 3'!$U$13:$U$45,A4)</f>
        <v>0</v>
      </c>
      <c r="H4" s="9">
        <f>COUNTIF('Jour 4'!$U$13:$U$45,A4)</f>
        <v>0</v>
      </c>
      <c r="I4" s="9">
        <f>COUNTIF('Jour 5'!$U$13:$U$45,A4)</f>
        <v>0</v>
      </c>
      <c r="J4" s="9">
        <f>COUNTIF('Jour 6'!$U$13:$U$45,A4)</f>
        <v>0</v>
      </c>
      <c r="K4" s="9">
        <f>COUNTIF('Jour 7'!$U$13:$U$45,A4)</f>
        <v>0</v>
      </c>
      <c r="L4" s="9">
        <f>COUNTIF('Jour 8'!$U$13:$U$45,A4)</f>
        <v>1</v>
      </c>
      <c r="M4" s="9">
        <f>COUNTIF('Jour 9'!$U$13:$U$45,A4)</f>
        <v>0</v>
      </c>
      <c r="N4" s="9">
        <f>COUNTIF('Jour 10'!$U$13:$U$45,A4)</f>
        <v>2</v>
      </c>
      <c r="O4" s="9">
        <f>COUNTIF('Jour 11'!$U$13:$U$45,A4)</f>
        <v>0</v>
      </c>
      <c r="P4" s="9">
        <f>COUNTIF('Jour 12'!$U$13:$U$45,A4)</f>
        <v>0</v>
      </c>
      <c r="Q4" s="9">
        <f>COUNTIF('Jour 13'!$U$13:$U$45,A4)</f>
        <v>0</v>
      </c>
      <c r="R4" s="9">
        <f>COUNTIF('Jour 14'!$U$13:$U$45,A4)</f>
        <v>0</v>
      </c>
      <c r="S4" s="9">
        <f>COUNTIF('Jour 15'!$U$13:$U$45,A4)</f>
        <v>0</v>
      </c>
    </row>
    <row r="5" spans="1:19" x14ac:dyDescent="0.35">
      <c r="A5" s="106">
        <v>110</v>
      </c>
      <c r="B5" s="109" t="s">
        <v>37</v>
      </c>
      <c r="C5" s="118">
        <f t="shared" si="0"/>
        <v>2</v>
      </c>
      <c r="D5" s="116">
        <f>IF(Tableau16[[#This Row],[TOTAL]]=0,"",Tableau16[[#This Row],[TOTAL]]/'Recap Edition'!$L$28)</f>
        <v>1.7094017094017096E-2</v>
      </c>
      <c r="E5" s="9">
        <f>COUNTIF('Jour 1'!$U$13:$U$45,A5)</f>
        <v>0</v>
      </c>
      <c r="F5" s="9">
        <f>COUNTIF('Jour 2'!$U$13:$U$45,A5)</f>
        <v>0</v>
      </c>
      <c r="G5" s="9">
        <f>COUNTIF('Jour 3'!$U$13:$U$45,A5)</f>
        <v>1</v>
      </c>
      <c r="H5" s="9">
        <f>COUNTIF('Jour 4'!$U$13:$U$45,A5)</f>
        <v>0</v>
      </c>
      <c r="I5" s="9">
        <f>COUNTIF('Jour 5'!$U$13:$U$45,A5)</f>
        <v>0</v>
      </c>
      <c r="J5" s="9">
        <f>COUNTIF('Jour 6'!$U$13:$U$45,A5)</f>
        <v>0</v>
      </c>
      <c r="K5" s="9">
        <f>COUNTIF('Jour 7'!$U$13:$U$45,A5)</f>
        <v>1</v>
      </c>
      <c r="L5" s="9">
        <f>COUNTIF('Jour 8'!$U$13:$U$45,A5)</f>
        <v>0</v>
      </c>
      <c r="M5" s="9">
        <f>COUNTIF('Jour 9'!$U$13:$U$45,A5)</f>
        <v>0</v>
      </c>
      <c r="N5" s="9">
        <f>COUNTIF('Jour 10'!$U$13:$U$45,A5)</f>
        <v>0</v>
      </c>
      <c r="O5" s="9">
        <f>COUNTIF('Jour 11'!$U$13:$U$45,A5)</f>
        <v>0</v>
      </c>
      <c r="P5" s="9">
        <f>COUNTIF('Jour 12'!$U$13:$U$45,A5)</f>
        <v>0</v>
      </c>
      <c r="Q5" s="9">
        <f>COUNTIF('Jour 13'!$U$13:$U$45,A5)</f>
        <v>0</v>
      </c>
      <c r="R5" s="9">
        <f>COUNTIF('Jour 14'!$U$13:$U$45,A5)</f>
        <v>0</v>
      </c>
      <c r="S5" s="9">
        <f>COUNTIF('Jour 15'!$U$13:$U$45,A5)</f>
        <v>0</v>
      </c>
    </row>
    <row r="6" spans="1:19" x14ac:dyDescent="0.35">
      <c r="A6" s="104">
        <v>111</v>
      </c>
      <c r="B6" s="105" t="s">
        <v>36</v>
      </c>
      <c r="C6" s="118">
        <f t="shared" si="0"/>
        <v>2</v>
      </c>
      <c r="D6" s="116">
        <f>IF(Tableau16[[#This Row],[TOTAL]]=0,"",Tableau16[[#This Row],[TOTAL]]/'Recap Edition'!$L$28)</f>
        <v>1.7094017094017096E-2</v>
      </c>
      <c r="E6" s="9">
        <f>COUNTIF('Jour 1'!$U$13:$U$45,A6)</f>
        <v>0</v>
      </c>
      <c r="F6" s="9">
        <f>COUNTIF('Jour 2'!$U$13:$U$45,A6)</f>
        <v>0</v>
      </c>
      <c r="G6" s="9">
        <f>COUNTIF('Jour 3'!$U$13:$U$45,A6)</f>
        <v>1</v>
      </c>
      <c r="H6" s="9">
        <f>COUNTIF('Jour 4'!$U$13:$U$45,A6)</f>
        <v>0</v>
      </c>
      <c r="I6" s="9">
        <f>COUNTIF('Jour 5'!$U$13:$U$45,A6)</f>
        <v>0</v>
      </c>
      <c r="J6" s="9">
        <f>COUNTIF('Jour 6'!$U$13:$U$45,A6)</f>
        <v>0</v>
      </c>
      <c r="K6" s="9">
        <f>COUNTIF('Jour 7'!$U$13:$U$45,A6)</f>
        <v>0</v>
      </c>
      <c r="L6" s="9">
        <f>COUNTIF('Jour 8'!$U$13:$U$45,A6)</f>
        <v>0</v>
      </c>
      <c r="M6" s="9">
        <f>COUNTIF('Jour 9'!$U$13:$U$45,A6)</f>
        <v>0</v>
      </c>
      <c r="N6" s="9">
        <f>COUNTIF('Jour 10'!$U$13:$U$45,A6)</f>
        <v>1</v>
      </c>
      <c r="O6" s="9">
        <f>COUNTIF('Jour 11'!$U$13:$U$45,A6)</f>
        <v>0</v>
      </c>
      <c r="P6" s="9">
        <f>COUNTIF('Jour 12'!$U$13:$U$45,A6)</f>
        <v>0</v>
      </c>
      <c r="Q6" s="9">
        <f>COUNTIF('Jour 13'!$U$13:$U$45,A6)</f>
        <v>0</v>
      </c>
      <c r="R6" s="9">
        <f>COUNTIF('Jour 14'!$U$13:$U$45,A6)</f>
        <v>0</v>
      </c>
      <c r="S6" s="9">
        <f>COUNTIF('Jour 15'!$U$13:$U$45,A6)</f>
        <v>0</v>
      </c>
    </row>
    <row r="7" spans="1:19" x14ac:dyDescent="0.35">
      <c r="A7" s="106">
        <v>112</v>
      </c>
      <c r="B7" s="107" t="s">
        <v>48</v>
      </c>
      <c r="C7" s="118">
        <f t="shared" si="0"/>
        <v>10</v>
      </c>
      <c r="D7" s="116">
        <f>IF(Tableau16[[#This Row],[TOTAL]]=0,"",Tableau16[[#This Row],[TOTAL]]/'Recap Edition'!$L$28)</f>
        <v>8.5470085470085472E-2</v>
      </c>
      <c r="E7" s="9">
        <f>COUNTIF('Jour 1'!$U$13:$U$45,A7)</f>
        <v>1</v>
      </c>
      <c r="F7" s="9">
        <f>COUNTIF('Jour 2'!$U$13:$U$45,A7)</f>
        <v>1</v>
      </c>
      <c r="G7" s="9">
        <f>COUNTIF('Jour 3'!$U$13:$U$45,A7)</f>
        <v>0</v>
      </c>
      <c r="H7" s="9">
        <f>COUNTIF('Jour 4'!$U$13:$U$45,A7)</f>
        <v>2</v>
      </c>
      <c r="I7" s="9">
        <f>COUNTIF('Jour 5'!$U$13:$U$45,A7)</f>
        <v>2</v>
      </c>
      <c r="J7" s="9">
        <f>COUNTIF('Jour 6'!$U$13:$U$45,A7)</f>
        <v>0</v>
      </c>
      <c r="K7" s="9">
        <f>COUNTIF('Jour 7'!$U$13:$U$45,A7)</f>
        <v>1</v>
      </c>
      <c r="L7" s="9">
        <f>COUNTIF('Jour 8'!$U$13:$U$45,A7)</f>
        <v>0</v>
      </c>
      <c r="M7" s="9">
        <f>COUNTIF('Jour 9'!$U$13:$U$45,A7)</f>
        <v>1</v>
      </c>
      <c r="N7" s="9">
        <f>COUNTIF('Jour 10'!$U$13:$U$45,A7)</f>
        <v>2</v>
      </c>
      <c r="O7" s="9">
        <f>COUNTIF('Jour 11'!$U$13:$U$45,A7)</f>
        <v>0</v>
      </c>
      <c r="P7" s="9">
        <f>COUNTIF('Jour 12'!$U$13:$U$45,A7)</f>
        <v>0</v>
      </c>
      <c r="Q7" s="9">
        <f>COUNTIF('Jour 13'!$U$13:$U$45,A7)</f>
        <v>0</v>
      </c>
      <c r="R7" s="9">
        <f>COUNTIF('Jour 14'!$U$13:$U$45,A7)</f>
        <v>0</v>
      </c>
      <c r="S7" s="9">
        <f>COUNTIF('Jour 15'!$U$13:$U$45,A7)</f>
        <v>0</v>
      </c>
    </row>
    <row r="8" spans="1:19" x14ac:dyDescent="0.35">
      <c r="A8" s="104">
        <v>120</v>
      </c>
      <c r="B8" s="107" t="s">
        <v>35</v>
      </c>
      <c r="C8" s="118">
        <f t="shared" si="0"/>
        <v>5</v>
      </c>
      <c r="D8" s="116">
        <f>IF(Tableau16[[#This Row],[TOTAL]]=0,"",Tableau16[[#This Row],[TOTAL]]/'Recap Edition'!$L$28)</f>
        <v>4.2735042735042736E-2</v>
      </c>
      <c r="E8" s="9">
        <f>COUNTIF('Jour 1'!$U$13:$U$45,A8)</f>
        <v>0</v>
      </c>
      <c r="F8" s="9">
        <f>COUNTIF('Jour 2'!$U$13:$U$45,A8)</f>
        <v>1</v>
      </c>
      <c r="G8" s="9">
        <f>COUNTIF('Jour 3'!$U$13:$U$45,A8)</f>
        <v>2</v>
      </c>
      <c r="H8" s="9">
        <f>COUNTIF('Jour 4'!$U$13:$U$45,A8)</f>
        <v>0</v>
      </c>
      <c r="I8" s="9">
        <f>COUNTIF('Jour 5'!$U$13:$U$45,A8)</f>
        <v>0</v>
      </c>
      <c r="J8" s="9">
        <f>COUNTIF('Jour 6'!$U$13:$U$45,A8)</f>
        <v>0</v>
      </c>
      <c r="K8" s="9">
        <f>COUNTIF('Jour 7'!$U$13:$U$45,A8)</f>
        <v>0</v>
      </c>
      <c r="L8" s="9">
        <f>COUNTIF('Jour 8'!$U$13:$U$45,A8)</f>
        <v>2</v>
      </c>
      <c r="M8" s="9">
        <f>COUNTIF('Jour 9'!$U$13:$U$45,A8)</f>
        <v>0</v>
      </c>
      <c r="N8" s="9">
        <f>COUNTIF('Jour 10'!$U$13:$U$45,A8)</f>
        <v>0</v>
      </c>
      <c r="O8" s="9">
        <f>COUNTIF('Jour 11'!$U$13:$U$45,A8)</f>
        <v>0</v>
      </c>
      <c r="P8" s="9">
        <f>COUNTIF('Jour 12'!$U$13:$U$45,A8)</f>
        <v>0</v>
      </c>
      <c r="Q8" s="9">
        <f>COUNTIF('Jour 13'!$U$13:$U$45,A8)</f>
        <v>0</v>
      </c>
      <c r="R8" s="9">
        <f>COUNTIF('Jour 14'!$U$13:$U$45,A8)</f>
        <v>0</v>
      </c>
      <c r="S8" s="9">
        <f>COUNTIF('Jour 15'!$U$13:$U$45,A8)</f>
        <v>0</v>
      </c>
    </row>
    <row r="9" spans="1:19" x14ac:dyDescent="0.35">
      <c r="A9" s="106">
        <v>121</v>
      </c>
      <c r="B9" s="109" t="s">
        <v>45</v>
      </c>
      <c r="C9" s="118">
        <f t="shared" si="0"/>
        <v>2</v>
      </c>
      <c r="D9" s="116">
        <f>IF(Tableau16[[#This Row],[TOTAL]]=0,"",Tableau16[[#This Row],[TOTAL]]/'Recap Edition'!$L$28)</f>
        <v>1.7094017094017096E-2</v>
      </c>
      <c r="E9" s="9">
        <f>COUNTIF('Jour 1'!$U$13:$U$45,A9)</f>
        <v>0</v>
      </c>
      <c r="F9" s="9">
        <f>COUNTIF('Jour 2'!$U$13:$U$45,A9)</f>
        <v>0</v>
      </c>
      <c r="G9" s="9">
        <f>COUNTIF('Jour 3'!$U$13:$U$45,A9)</f>
        <v>0</v>
      </c>
      <c r="H9" s="9">
        <f>COUNTIF('Jour 4'!$U$13:$U$45,A9)</f>
        <v>1</v>
      </c>
      <c r="I9" s="9">
        <f>COUNTIF('Jour 5'!$U$13:$U$45,A9)</f>
        <v>0</v>
      </c>
      <c r="J9" s="9">
        <f>COUNTIF('Jour 6'!$U$13:$U$45,A9)</f>
        <v>0</v>
      </c>
      <c r="K9" s="9">
        <f>COUNTIF('Jour 7'!$U$13:$U$45,A9)</f>
        <v>0</v>
      </c>
      <c r="L9" s="9">
        <f>COUNTIF('Jour 8'!$U$13:$U$45,A9)</f>
        <v>0</v>
      </c>
      <c r="M9" s="9">
        <f>COUNTIF('Jour 9'!$U$13:$U$45,A9)</f>
        <v>0</v>
      </c>
      <c r="N9" s="9">
        <f>COUNTIF('Jour 10'!$U$13:$U$45,A9)</f>
        <v>1</v>
      </c>
      <c r="O9" s="9">
        <f>COUNTIF('Jour 11'!$U$13:$U$45,A9)</f>
        <v>0</v>
      </c>
      <c r="P9" s="9">
        <f>COUNTIF('Jour 12'!$U$13:$U$45,A9)</f>
        <v>0</v>
      </c>
      <c r="Q9" s="9">
        <f>COUNTIF('Jour 13'!$U$13:$U$45,A9)</f>
        <v>0</v>
      </c>
      <c r="R9" s="9">
        <f>COUNTIF('Jour 14'!$U$13:$U$45,A9)</f>
        <v>0</v>
      </c>
      <c r="S9" s="9">
        <f>COUNTIF('Jour 15'!$U$13:$U$45,A9)</f>
        <v>0</v>
      </c>
    </row>
    <row r="10" spans="1:19" x14ac:dyDescent="0.35">
      <c r="A10" s="104">
        <v>122</v>
      </c>
      <c r="B10" s="107" t="s">
        <v>41</v>
      </c>
      <c r="C10" s="118">
        <f t="shared" si="0"/>
        <v>2</v>
      </c>
      <c r="D10" s="116">
        <f>IF(Tableau16[[#This Row],[TOTAL]]=0,"",Tableau16[[#This Row],[TOTAL]]/'Recap Edition'!$L$28)</f>
        <v>1.7094017094017096E-2</v>
      </c>
      <c r="E10" s="9">
        <f>COUNTIF('Jour 1'!$U$13:$U$45,A10)</f>
        <v>0</v>
      </c>
      <c r="F10" s="9">
        <f>COUNTIF('Jour 2'!$U$13:$U$45,A10)</f>
        <v>0</v>
      </c>
      <c r="G10" s="9">
        <f>COUNTIF('Jour 3'!$U$13:$U$45,A10)</f>
        <v>0</v>
      </c>
      <c r="H10" s="9">
        <f>COUNTIF('Jour 4'!$U$13:$U$45,A10)</f>
        <v>1</v>
      </c>
      <c r="I10" s="9">
        <f>COUNTIF('Jour 5'!$U$13:$U$45,A10)</f>
        <v>0</v>
      </c>
      <c r="J10" s="9">
        <f>COUNTIF('Jour 6'!$U$13:$U$45,A10)</f>
        <v>1</v>
      </c>
      <c r="K10" s="9">
        <f>COUNTIF('Jour 7'!$U$13:$U$45,A10)</f>
        <v>0</v>
      </c>
      <c r="L10" s="9">
        <f>COUNTIF('Jour 8'!$U$13:$U$45,A10)</f>
        <v>0</v>
      </c>
      <c r="M10" s="9">
        <f>COUNTIF('Jour 9'!$U$13:$U$45,A10)</f>
        <v>0</v>
      </c>
      <c r="N10" s="9">
        <f>COUNTIF('Jour 10'!$U$13:$U$45,A10)</f>
        <v>0</v>
      </c>
      <c r="O10" s="9">
        <f>COUNTIF('Jour 11'!$U$13:$U$45,A10)</f>
        <v>0</v>
      </c>
      <c r="P10" s="9">
        <f>COUNTIF('Jour 12'!$U$13:$U$45,A10)</f>
        <v>0</v>
      </c>
      <c r="Q10" s="9">
        <f>COUNTIF('Jour 13'!$U$13:$U$45,A10)</f>
        <v>0</v>
      </c>
      <c r="R10" s="9">
        <f>COUNTIF('Jour 14'!$U$13:$U$45,A10)</f>
        <v>0</v>
      </c>
      <c r="S10" s="9">
        <f>COUNTIF('Jour 15'!$U$13:$U$45,A10)</f>
        <v>0</v>
      </c>
    </row>
    <row r="11" spans="1:19" x14ac:dyDescent="0.35">
      <c r="A11" s="106">
        <v>123</v>
      </c>
      <c r="B11" s="109" t="s">
        <v>40</v>
      </c>
      <c r="C11" s="118">
        <f t="shared" si="0"/>
        <v>1</v>
      </c>
      <c r="D11" s="116">
        <f>IF(Tableau16[[#This Row],[TOTAL]]=0,"",Tableau16[[#This Row],[TOTAL]]/'Recap Edition'!$L$28)</f>
        <v>8.5470085470085479E-3</v>
      </c>
      <c r="E11" s="9">
        <f>COUNTIF('Jour 1'!$U$13:$U$45,A11)</f>
        <v>0</v>
      </c>
      <c r="F11" s="9">
        <f>COUNTIF('Jour 2'!$U$13:$U$45,A11)</f>
        <v>0</v>
      </c>
      <c r="G11" s="9">
        <f>COUNTIF('Jour 3'!$U$13:$U$45,A11)</f>
        <v>0</v>
      </c>
      <c r="H11" s="9">
        <f>COUNTIF('Jour 4'!$U$13:$U$45,A11)</f>
        <v>0</v>
      </c>
      <c r="I11" s="9">
        <f>COUNTIF('Jour 5'!$U$13:$U$45,A11)</f>
        <v>1</v>
      </c>
      <c r="J11" s="9">
        <f>COUNTIF('Jour 6'!$U$13:$U$45,A11)</f>
        <v>0</v>
      </c>
      <c r="K11" s="9">
        <f>COUNTIF('Jour 7'!$U$13:$U$45,A11)</f>
        <v>0</v>
      </c>
      <c r="L11" s="9">
        <f>COUNTIF('Jour 8'!$U$13:$U$45,A11)</f>
        <v>0</v>
      </c>
      <c r="M11" s="9">
        <f>COUNTIF('Jour 9'!$U$13:$U$45,A11)</f>
        <v>0</v>
      </c>
      <c r="N11" s="9">
        <f>COUNTIF('Jour 10'!$U$13:$U$45,A11)</f>
        <v>0</v>
      </c>
      <c r="O11" s="9">
        <f>COUNTIF('Jour 11'!$U$13:$U$45,A11)</f>
        <v>0</v>
      </c>
      <c r="P11" s="9">
        <f>COUNTIF('Jour 12'!$U$13:$U$45,A11)</f>
        <v>0</v>
      </c>
      <c r="Q11" s="9">
        <f>COUNTIF('Jour 13'!$U$13:$U$45,A11)</f>
        <v>0</v>
      </c>
      <c r="R11" s="9">
        <f>COUNTIF('Jour 14'!$U$13:$U$45,A11)</f>
        <v>0</v>
      </c>
      <c r="S11" s="9">
        <f>COUNTIF('Jour 15'!$U$13:$U$45,A11)</f>
        <v>0</v>
      </c>
    </row>
    <row r="12" spans="1:19" x14ac:dyDescent="0.35">
      <c r="A12" s="104">
        <v>124</v>
      </c>
      <c r="B12" s="107" t="s">
        <v>34</v>
      </c>
      <c r="C12" s="118">
        <f t="shared" si="0"/>
        <v>1</v>
      </c>
      <c r="D12" s="116">
        <f>IF(Tableau16[[#This Row],[TOTAL]]=0,"",Tableau16[[#This Row],[TOTAL]]/'Recap Edition'!$L$28)</f>
        <v>8.5470085470085479E-3</v>
      </c>
      <c r="E12" s="9">
        <f>COUNTIF('Jour 1'!$U$13:$U$45,A12)</f>
        <v>0</v>
      </c>
      <c r="F12" s="9">
        <f>COUNTIF('Jour 2'!$U$13:$U$45,A12)</f>
        <v>0</v>
      </c>
      <c r="G12" s="9">
        <f>COUNTIF('Jour 3'!$U$13:$U$45,A12)</f>
        <v>0</v>
      </c>
      <c r="H12" s="9">
        <f>COUNTIF('Jour 4'!$U$13:$U$45,A12)</f>
        <v>0</v>
      </c>
      <c r="I12" s="9">
        <f>COUNTIF('Jour 5'!$U$13:$U$45,A12)</f>
        <v>0</v>
      </c>
      <c r="J12" s="9">
        <f>COUNTIF('Jour 6'!$U$13:$U$45,A12)</f>
        <v>0</v>
      </c>
      <c r="K12" s="9">
        <f>COUNTIF('Jour 7'!$U$13:$U$45,A12)</f>
        <v>1</v>
      </c>
      <c r="L12" s="9">
        <f>COUNTIF('Jour 8'!$U$13:$U$45,A12)</f>
        <v>0</v>
      </c>
      <c r="M12" s="9">
        <f>COUNTIF('Jour 9'!$U$13:$U$45,A12)</f>
        <v>0</v>
      </c>
      <c r="N12" s="9">
        <f>COUNTIF('Jour 10'!$U$13:$U$45,A12)</f>
        <v>0</v>
      </c>
      <c r="O12" s="9">
        <f>COUNTIF('Jour 11'!$U$13:$U$45,A12)</f>
        <v>0</v>
      </c>
      <c r="P12" s="9">
        <f>COUNTIF('Jour 12'!$U$13:$U$45,A12)</f>
        <v>0</v>
      </c>
      <c r="Q12" s="9">
        <f>COUNTIF('Jour 13'!$U$13:$U$45,A12)</f>
        <v>0</v>
      </c>
      <c r="R12" s="9">
        <f>COUNTIF('Jour 14'!$U$13:$U$45,A12)</f>
        <v>0</v>
      </c>
      <c r="S12" s="9">
        <f>COUNTIF('Jour 15'!$U$13:$U$45,A12)</f>
        <v>0</v>
      </c>
    </row>
    <row r="13" spans="1:19" x14ac:dyDescent="0.35">
      <c r="A13" s="106">
        <v>201</v>
      </c>
      <c r="B13" s="109" t="s">
        <v>44</v>
      </c>
      <c r="C13" s="118">
        <f t="shared" si="0"/>
        <v>1</v>
      </c>
      <c r="D13" s="116">
        <f>IF(Tableau16[[#This Row],[TOTAL]]=0,"",Tableau16[[#This Row],[TOTAL]]/'Recap Edition'!$L$28)</f>
        <v>8.5470085470085479E-3</v>
      </c>
      <c r="E13" s="9">
        <f>COUNTIF('Jour 1'!$U$13:$U$45,A13)</f>
        <v>0</v>
      </c>
      <c r="F13" s="9">
        <f>COUNTIF('Jour 2'!$U$13:$U$45,A13)</f>
        <v>0</v>
      </c>
      <c r="G13" s="9">
        <f>COUNTIF('Jour 3'!$U$13:$U$45,A13)</f>
        <v>0</v>
      </c>
      <c r="H13" s="9">
        <f>COUNTIF('Jour 4'!$U$13:$U$45,A13)</f>
        <v>0</v>
      </c>
      <c r="I13" s="9">
        <f>COUNTIF('Jour 5'!$U$13:$U$45,A13)</f>
        <v>0</v>
      </c>
      <c r="J13" s="9">
        <f>COUNTIF('Jour 6'!$U$13:$U$45,A13)</f>
        <v>0</v>
      </c>
      <c r="K13" s="9">
        <f>COUNTIF('Jour 7'!$U$13:$U$45,A13)</f>
        <v>0</v>
      </c>
      <c r="L13" s="9">
        <f>COUNTIF('Jour 8'!$U$13:$U$45,A13)</f>
        <v>0</v>
      </c>
      <c r="M13" s="9">
        <f>COUNTIF('Jour 9'!$U$13:$U$45,A13)</f>
        <v>0</v>
      </c>
      <c r="N13" s="9">
        <f>COUNTIF('Jour 10'!$U$13:$U$45,A13)</f>
        <v>1</v>
      </c>
      <c r="O13" s="9">
        <f>COUNTIF('Jour 11'!$U$13:$U$45,A13)</f>
        <v>0</v>
      </c>
      <c r="P13" s="9">
        <f>COUNTIF('Jour 12'!$U$13:$U$45,A13)</f>
        <v>0</v>
      </c>
      <c r="Q13" s="9">
        <f>COUNTIF('Jour 13'!$U$13:$U$45,A13)</f>
        <v>0</v>
      </c>
      <c r="R13" s="9">
        <f>COUNTIF('Jour 14'!$U$13:$U$45,A13)</f>
        <v>0</v>
      </c>
      <c r="S13" s="9">
        <f>COUNTIF('Jour 15'!$U$13:$U$45,A13)</f>
        <v>0</v>
      </c>
    </row>
    <row r="14" spans="1:19" x14ac:dyDescent="0.35">
      <c r="A14" s="104">
        <v>202</v>
      </c>
      <c r="B14" s="107" t="s">
        <v>32</v>
      </c>
      <c r="C14" s="118">
        <f t="shared" si="0"/>
        <v>1</v>
      </c>
      <c r="D14" s="116">
        <f>IF(Tableau16[[#This Row],[TOTAL]]=0,"",Tableau16[[#This Row],[TOTAL]]/'Recap Edition'!$L$28)</f>
        <v>8.5470085470085479E-3</v>
      </c>
      <c r="E14" s="9">
        <f>COUNTIF('Jour 1'!$U$13:$U$45,A14)</f>
        <v>0</v>
      </c>
      <c r="F14" s="9">
        <f>COUNTIF('Jour 2'!$U$13:$U$45,A14)</f>
        <v>0</v>
      </c>
      <c r="G14" s="9">
        <f>COUNTIF('Jour 3'!$U$13:$U$45,A14)</f>
        <v>0</v>
      </c>
      <c r="H14" s="9">
        <f>COUNTIF('Jour 4'!$U$13:$U$45,A14)</f>
        <v>0</v>
      </c>
      <c r="I14" s="9">
        <f>COUNTIF('Jour 5'!$U$13:$U$45,A14)</f>
        <v>1</v>
      </c>
      <c r="J14" s="9">
        <f>COUNTIF('Jour 6'!$U$13:$U$45,A14)</f>
        <v>0</v>
      </c>
      <c r="K14" s="9">
        <f>COUNTIF('Jour 7'!$U$13:$U$45,A14)</f>
        <v>0</v>
      </c>
      <c r="L14" s="9">
        <f>COUNTIF('Jour 8'!$U$13:$U$45,A14)</f>
        <v>0</v>
      </c>
      <c r="M14" s="9">
        <f>COUNTIF('Jour 9'!$U$13:$U$45,A14)</f>
        <v>0</v>
      </c>
      <c r="N14" s="9">
        <f>COUNTIF('Jour 10'!$U$13:$U$45,A14)</f>
        <v>0</v>
      </c>
      <c r="O14" s="9">
        <f>COUNTIF('Jour 11'!$U$13:$U$45,A14)</f>
        <v>0</v>
      </c>
      <c r="P14" s="9">
        <f>COUNTIF('Jour 12'!$U$13:$U$45,A14)</f>
        <v>0</v>
      </c>
      <c r="Q14" s="9">
        <f>COUNTIF('Jour 13'!$U$13:$U$45,A14)</f>
        <v>0</v>
      </c>
      <c r="R14" s="9">
        <f>COUNTIF('Jour 14'!$U$13:$U$45,A14)</f>
        <v>0</v>
      </c>
      <c r="S14" s="9">
        <f>COUNTIF('Jour 15'!$U$13:$U$45,A14)</f>
        <v>0</v>
      </c>
    </row>
    <row r="15" spans="1:19" x14ac:dyDescent="0.35">
      <c r="A15" s="106">
        <v>203</v>
      </c>
      <c r="B15" s="107" t="s">
        <v>46</v>
      </c>
      <c r="C15" s="118">
        <f t="shared" si="0"/>
        <v>1</v>
      </c>
      <c r="D15" s="116">
        <f>IF(Tableau16[[#This Row],[TOTAL]]=0,"",Tableau16[[#This Row],[TOTAL]]/'Recap Edition'!$L$28)</f>
        <v>8.5470085470085479E-3</v>
      </c>
      <c r="E15" s="9">
        <f>COUNTIF('Jour 1'!$U$13:$U$45,A15)</f>
        <v>0</v>
      </c>
      <c r="F15" s="9">
        <f>COUNTIF('Jour 2'!$U$13:$U$45,A15)</f>
        <v>0</v>
      </c>
      <c r="G15" s="9">
        <f>COUNTIF('Jour 3'!$U$13:$U$45,A15)</f>
        <v>1</v>
      </c>
      <c r="H15" s="9">
        <f>COUNTIF('Jour 4'!$U$13:$U$45,A15)</f>
        <v>0</v>
      </c>
      <c r="I15" s="9">
        <f>COUNTIF('Jour 5'!$U$13:$U$45,A15)</f>
        <v>0</v>
      </c>
      <c r="J15" s="9">
        <f>COUNTIF('Jour 6'!$U$13:$U$45,A15)</f>
        <v>0</v>
      </c>
      <c r="K15" s="9">
        <f>COUNTIF('Jour 7'!$U$13:$U$45,A15)</f>
        <v>0</v>
      </c>
      <c r="L15" s="9">
        <f>COUNTIF('Jour 8'!$U$13:$U$45,A15)</f>
        <v>0</v>
      </c>
      <c r="M15" s="9">
        <f>COUNTIF('Jour 9'!$U$13:$U$45,A15)</f>
        <v>0</v>
      </c>
      <c r="N15" s="9">
        <f>COUNTIF('Jour 10'!$U$13:$U$45,A15)</f>
        <v>0</v>
      </c>
      <c r="O15" s="9">
        <f>COUNTIF('Jour 11'!$U$13:$U$45,A15)</f>
        <v>0</v>
      </c>
      <c r="P15" s="9">
        <f>COUNTIF('Jour 12'!$U$13:$U$45,A15)</f>
        <v>0</v>
      </c>
      <c r="Q15" s="9">
        <f>COUNTIF('Jour 13'!$U$13:$U$45,A15)</f>
        <v>0</v>
      </c>
      <c r="R15" s="9">
        <f>COUNTIF('Jour 14'!$U$13:$U$45,A15)</f>
        <v>0</v>
      </c>
      <c r="S15" s="9">
        <f>COUNTIF('Jour 15'!$U$13:$U$45,A15)</f>
        <v>0</v>
      </c>
    </row>
    <row r="16" spans="1:19" x14ac:dyDescent="0.35">
      <c r="A16" s="104">
        <v>204</v>
      </c>
      <c r="B16" s="107" t="s">
        <v>47</v>
      </c>
      <c r="C16" s="118">
        <f t="shared" si="0"/>
        <v>0</v>
      </c>
      <c r="D16" s="116" t="str">
        <f>IF(Tableau16[[#This Row],[TOTAL]]=0,"",Tableau16[[#This Row],[TOTAL]]/'Recap Edition'!$L$28)</f>
        <v/>
      </c>
      <c r="E16" s="9">
        <f>COUNTIF('Jour 1'!$U$13:$U$45,A16)</f>
        <v>0</v>
      </c>
      <c r="F16" s="9">
        <f>COUNTIF('Jour 2'!$U$13:$U$45,A16)</f>
        <v>0</v>
      </c>
      <c r="G16" s="9">
        <f>COUNTIF('Jour 3'!$U$13:$U$45,A16)</f>
        <v>0</v>
      </c>
      <c r="H16" s="9">
        <f>COUNTIF('Jour 4'!$U$13:$U$45,A16)</f>
        <v>0</v>
      </c>
      <c r="I16" s="9">
        <f>COUNTIF('Jour 5'!$U$13:$U$45,A16)</f>
        <v>0</v>
      </c>
      <c r="J16" s="9">
        <f>COUNTIF('Jour 6'!$U$13:$U$45,A16)</f>
        <v>0</v>
      </c>
      <c r="K16" s="9">
        <f>COUNTIF('Jour 7'!$U$13:$U$45,A16)</f>
        <v>0</v>
      </c>
      <c r="L16" s="9">
        <f>COUNTIF('Jour 8'!$U$13:$U$45,A16)</f>
        <v>0</v>
      </c>
      <c r="M16" s="9">
        <f>COUNTIF('Jour 9'!$U$13:$U$45,A16)</f>
        <v>0</v>
      </c>
      <c r="N16" s="9">
        <f>COUNTIF('Jour 10'!$U$13:$U$45,A16)</f>
        <v>0</v>
      </c>
      <c r="O16" s="9">
        <f>COUNTIF('Jour 11'!$U$13:$U$45,A16)</f>
        <v>0</v>
      </c>
      <c r="P16" s="9">
        <f>COUNTIF('Jour 12'!$U$13:$U$45,A16)</f>
        <v>0</v>
      </c>
      <c r="Q16" s="9">
        <f>COUNTIF('Jour 13'!$U$13:$U$45,A16)</f>
        <v>0</v>
      </c>
      <c r="R16" s="9">
        <f>COUNTIF('Jour 14'!$U$13:$U$45,A16)</f>
        <v>0</v>
      </c>
      <c r="S16" s="9">
        <f>COUNTIF('Jour 15'!$U$13:$U$45,A16)</f>
        <v>0</v>
      </c>
    </row>
    <row r="17" spans="1:20" x14ac:dyDescent="0.35">
      <c r="A17" s="106">
        <v>210</v>
      </c>
      <c r="B17" s="109" t="s">
        <v>42</v>
      </c>
      <c r="C17" s="118">
        <f t="shared" si="0"/>
        <v>1</v>
      </c>
      <c r="D17" s="116">
        <f>IF(Tableau16[[#This Row],[TOTAL]]=0,"",Tableau16[[#This Row],[TOTAL]]/'Recap Edition'!$L$28)</f>
        <v>8.5470085470085479E-3</v>
      </c>
      <c r="E17" s="9">
        <f>COUNTIF('Jour 1'!$U$13:$U$45,A17)</f>
        <v>1</v>
      </c>
      <c r="F17" s="9">
        <f>COUNTIF('Jour 2'!$U$13:$U$45,A17)</f>
        <v>0</v>
      </c>
      <c r="G17" s="9">
        <f>COUNTIF('Jour 3'!$U$13:$U$45,A17)</f>
        <v>0</v>
      </c>
      <c r="H17" s="9">
        <f>COUNTIF('Jour 4'!$U$13:$U$45,A17)</f>
        <v>0</v>
      </c>
      <c r="I17" s="9">
        <f>COUNTIF('Jour 5'!$U$13:$U$45,A17)</f>
        <v>0</v>
      </c>
      <c r="J17" s="9">
        <f>COUNTIF('Jour 6'!$U$13:$U$45,A17)</f>
        <v>0</v>
      </c>
      <c r="K17" s="9">
        <f>COUNTIF('Jour 7'!$U$13:$U$45,A17)</f>
        <v>0</v>
      </c>
      <c r="L17" s="9">
        <f>COUNTIF('Jour 8'!$U$13:$U$45,A17)</f>
        <v>0</v>
      </c>
      <c r="M17" s="9">
        <f>COUNTIF('Jour 9'!$U$13:$U$45,A17)</f>
        <v>0</v>
      </c>
      <c r="N17" s="9">
        <f>COUNTIF('Jour 10'!$U$13:$U$45,A17)</f>
        <v>0</v>
      </c>
      <c r="O17" s="9">
        <f>COUNTIF('Jour 11'!$U$13:$U$45,A17)</f>
        <v>0</v>
      </c>
      <c r="P17" s="9">
        <f>COUNTIF('Jour 12'!$U$13:$U$45,A17)</f>
        <v>0</v>
      </c>
      <c r="Q17" s="9">
        <f>COUNTIF('Jour 13'!$U$13:$U$45,A17)</f>
        <v>0</v>
      </c>
      <c r="R17" s="9">
        <f>COUNTIF('Jour 14'!$U$13:$U$45,A17)</f>
        <v>0</v>
      </c>
      <c r="S17" s="9">
        <f>COUNTIF('Jour 15'!$U$13:$U$45,A17)</f>
        <v>0</v>
      </c>
    </row>
    <row r="18" spans="1:20" x14ac:dyDescent="0.35">
      <c r="A18" s="104">
        <v>211</v>
      </c>
      <c r="B18" s="107" t="s">
        <v>43</v>
      </c>
      <c r="C18" s="118">
        <f t="shared" si="0"/>
        <v>0</v>
      </c>
      <c r="D18" s="116" t="str">
        <f>IF(Tableau16[[#This Row],[TOTAL]]=0,"",Tableau16[[#This Row],[TOTAL]]/'Recap Edition'!$L$28)</f>
        <v/>
      </c>
      <c r="E18" s="9">
        <f>COUNTIF('Jour 1'!$U$13:$U$45,A18)</f>
        <v>0</v>
      </c>
      <c r="F18" s="9">
        <f>COUNTIF('Jour 2'!$U$13:$U$45,A18)</f>
        <v>0</v>
      </c>
      <c r="G18" s="9">
        <f>COUNTIF('Jour 3'!$U$13:$U$45,A18)</f>
        <v>0</v>
      </c>
      <c r="H18" s="9">
        <f>COUNTIF('Jour 4'!$U$13:$U$45,A18)</f>
        <v>0</v>
      </c>
      <c r="I18" s="9">
        <f>COUNTIF('Jour 5'!$U$13:$U$45,A18)</f>
        <v>0</v>
      </c>
      <c r="J18" s="9">
        <f>COUNTIF('Jour 6'!$U$13:$U$45,A18)</f>
        <v>0</v>
      </c>
      <c r="K18" s="9">
        <f>COUNTIF('Jour 7'!$U$13:$U$45,A18)</f>
        <v>0</v>
      </c>
      <c r="L18" s="9">
        <f>COUNTIF('Jour 8'!$U$13:$U$45,A18)</f>
        <v>0</v>
      </c>
      <c r="M18" s="9">
        <f>COUNTIF('Jour 9'!$U$13:$U$45,A18)</f>
        <v>0</v>
      </c>
      <c r="N18" s="9">
        <f>COUNTIF('Jour 10'!$U$13:$U$45,A18)</f>
        <v>0</v>
      </c>
      <c r="O18" s="9">
        <f>COUNTIF('Jour 11'!$U$13:$U$45,A18)</f>
        <v>0</v>
      </c>
      <c r="P18" s="9">
        <f>COUNTIF('Jour 12'!$U$13:$U$45,A18)</f>
        <v>0</v>
      </c>
      <c r="Q18" s="9">
        <f>COUNTIF('Jour 13'!$U$13:$U$45,A18)</f>
        <v>0</v>
      </c>
      <c r="R18" s="9">
        <f>COUNTIF('Jour 14'!$U$13:$U$45,A18)</f>
        <v>0</v>
      </c>
      <c r="S18" s="9">
        <f>COUNTIF('Jour 15'!$U$13:$U$45,A18)</f>
        <v>0</v>
      </c>
    </row>
    <row r="19" spans="1:20" x14ac:dyDescent="0.35">
      <c r="A19" s="106">
        <v>212</v>
      </c>
      <c r="B19" s="110" t="s">
        <v>38</v>
      </c>
      <c r="C19" s="119">
        <f t="shared" si="0"/>
        <v>1</v>
      </c>
      <c r="D19" s="116">
        <f>IF(Tableau16[[#This Row],[TOTAL]]=0,"",Tableau16[[#This Row],[TOTAL]]/'Recap Edition'!$L$28)</f>
        <v>8.5470085470085479E-3</v>
      </c>
      <c r="E19" s="9">
        <f>COUNTIF('Jour 1'!$U$13:$U$45,A19)</f>
        <v>0</v>
      </c>
      <c r="F19" s="9">
        <f>COUNTIF('Jour 2'!$U$13:$U$45,A19)</f>
        <v>0</v>
      </c>
      <c r="G19" s="9">
        <f>COUNTIF('Jour 3'!$U$13:$U$45,A19)</f>
        <v>1</v>
      </c>
      <c r="H19" s="9">
        <f>COUNTIF('Jour 4'!$U$13:$U$45,A19)</f>
        <v>0</v>
      </c>
      <c r="I19" s="9">
        <f>COUNTIF('Jour 5'!$U$13:$U$45,A19)</f>
        <v>0</v>
      </c>
      <c r="J19" s="9">
        <f>COUNTIF('Jour 6'!$U$13:$U$45,A19)</f>
        <v>0</v>
      </c>
      <c r="K19" s="9">
        <f>COUNTIF('Jour 7'!$U$13:$U$45,A19)</f>
        <v>0</v>
      </c>
      <c r="L19" s="9">
        <f>COUNTIF('Jour 8'!$U$13:$U$45,A19)</f>
        <v>0</v>
      </c>
      <c r="M19" s="9">
        <f>COUNTIF('Jour 9'!$U$13:$U$45,A19)</f>
        <v>0</v>
      </c>
      <c r="N19" s="9">
        <f>COUNTIF('Jour 10'!$U$13:$U$45,A19)</f>
        <v>0</v>
      </c>
      <c r="O19" s="9">
        <f>COUNTIF('Jour 11'!$U$13:$U$45,A19)</f>
        <v>0</v>
      </c>
      <c r="P19" s="9">
        <f>COUNTIF('Jour 12'!$U$13:$U$45,A19)</f>
        <v>0</v>
      </c>
      <c r="Q19" s="9">
        <f>COUNTIF('Jour 13'!$U$13:$U$45,A19)</f>
        <v>0</v>
      </c>
      <c r="R19" s="9">
        <f>COUNTIF('Jour 14'!$U$13:$U$45,A19)</f>
        <v>0</v>
      </c>
      <c r="S19" s="9">
        <f>COUNTIF('Jour 15'!$U$13:$U$45,A19)</f>
        <v>0</v>
      </c>
    </row>
    <row r="20" spans="1:20" ht="15" thickBot="1" x14ac:dyDescent="0.4"/>
    <row r="21" spans="1:20" ht="18.649999999999999" thickBot="1" x14ac:dyDescent="0.45">
      <c r="A21" s="1"/>
      <c r="B21" s="112" t="s">
        <v>85</v>
      </c>
      <c r="C21" s="113">
        <f>IF(SUM(Tableau16[TOTAL])=T21,T21,"FAUX")</f>
        <v>53</v>
      </c>
      <c r="D21" s="115">
        <f>(SUM(Tableau16[Taux]))</f>
        <v>0.45299145299145316</v>
      </c>
      <c r="E21" s="111">
        <f>SUM(E2:E20)</f>
        <v>5</v>
      </c>
      <c r="F21" s="111">
        <f t="shared" ref="F21:S21" si="1">SUM(F2:F20)</f>
        <v>4</v>
      </c>
      <c r="G21" s="111">
        <f t="shared" si="1"/>
        <v>9</v>
      </c>
      <c r="H21" s="111">
        <f t="shared" si="1"/>
        <v>6</v>
      </c>
      <c r="I21" s="111">
        <f t="shared" si="1"/>
        <v>6</v>
      </c>
      <c r="J21" s="111">
        <f t="shared" si="1"/>
        <v>1</v>
      </c>
      <c r="K21" s="111">
        <f t="shared" si="1"/>
        <v>4</v>
      </c>
      <c r="L21" s="111">
        <f t="shared" si="1"/>
        <v>6</v>
      </c>
      <c r="M21" s="111">
        <f t="shared" si="1"/>
        <v>3</v>
      </c>
      <c r="N21" s="111">
        <f t="shared" si="1"/>
        <v>9</v>
      </c>
      <c r="O21" s="111">
        <f t="shared" si="1"/>
        <v>0</v>
      </c>
      <c r="P21" s="111">
        <f t="shared" si="1"/>
        <v>0</v>
      </c>
      <c r="Q21" s="111">
        <f t="shared" si="1"/>
        <v>0</v>
      </c>
      <c r="R21" s="111">
        <f t="shared" si="1"/>
        <v>0</v>
      </c>
      <c r="S21" s="111">
        <f t="shared" si="1"/>
        <v>0</v>
      </c>
      <c r="T21" s="111">
        <f>SUM(E21:S21)</f>
        <v>53</v>
      </c>
    </row>
    <row r="24" spans="1:20" x14ac:dyDescent="0.35">
      <c r="B24" s="237" t="s">
        <v>103</v>
      </c>
      <c r="C24" s="238">
        <f>C21/'Recap Edition'!L28</f>
        <v>0.45299145299145299</v>
      </c>
      <c r="D24" s="240"/>
    </row>
    <row r="25" spans="1:20" x14ac:dyDescent="0.35">
      <c r="B25" s="237" t="s">
        <v>102</v>
      </c>
      <c r="C25" s="238">
        <f>C21/'Recap Edition'!C28:D28</f>
        <v>0.62352941176470589</v>
      </c>
    </row>
  </sheetData>
  <pageMargins left="0.25" right="0.25" top="0.75" bottom="0.75" header="0.3" footer="0.3"/>
  <pageSetup paperSize="8" orientation="landscape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E23" sqref="E23"/>
    </sheetView>
  </sheetViews>
  <sheetFormatPr baseColWidth="10" defaultRowHeight="14.5" x14ac:dyDescent="0.35"/>
  <cols>
    <col min="3" max="3" width="12.81640625" customWidth="1"/>
    <col min="4" max="4" width="59" bestFit="1" customWidth="1"/>
    <col min="5" max="5" width="12.81640625" customWidth="1"/>
    <col min="6" max="6" width="5" customWidth="1"/>
    <col min="7" max="7" width="25.26953125" customWidth="1"/>
    <col min="8" max="8" width="26.81640625" customWidth="1"/>
    <col min="9" max="9" width="20.26953125" bestFit="1" customWidth="1"/>
    <col min="10" max="10" width="16.54296875" customWidth="1"/>
    <col min="11" max="11" width="14.7265625" customWidth="1"/>
  </cols>
  <sheetData>
    <row r="1" spans="1:11" x14ac:dyDescent="0.35">
      <c r="A1">
        <v>1</v>
      </c>
      <c r="B1" t="s">
        <v>28</v>
      </c>
      <c r="C1" s="215" t="s">
        <v>31</v>
      </c>
      <c r="D1" s="216" t="s">
        <v>30</v>
      </c>
      <c r="E1" s="14" t="s">
        <v>92</v>
      </c>
      <c r="F1" s="257" t="s">
        <v>109</v>
      </c>
      <c r="G1" s="14" t="s">
        <v>166</v>
      </c>
      <c r="H1" t="s">
        <v>167</v>
      </c>
      <c r="I1" t="s">
        <v>78</v>
      </c>
      <c r="J1" s="14" t="s">
        <v>93</v>
      </c>
      <c r="K1" s="14" t="s">
        <v>95</v>
      </c>
    </row>
    <row r="2" spans="1:11" x14ac:dyDescent="0.35">
      <c r="A2">
        <v>2</v>
      </c>
      <c r="B2" t="s">
        <v>29</v>
      </c>
      <c r="C2" s="212">
        <v>101</v>
      </c>
      <c r="D2" s="217" t="s">
        <v>39</v>
      </c>
      <c r="E2" s="316"/>
      <c r="F2" s="262">
        <v>1</v>
      </c>
      <c r="G2" s="315" t="s">
        <v>154</v>
      </c>
      <c r="H2" s="317" t="s">
        <v>163</v>
      </c>
      <c r="I2" s="315" t="s">
        <v>169</v>
      </c>
      <c r="J2">
        <v>1</v>
      </c>
      <c r="K2">
        <v>1</v>
      </c>
    </row>
    <row r="3" spans="1:11" x14ac:dyDescent="0.35">
      <c r="A3">
        <v>3</v>
      </c>
      <c r="C3" s="213">
        <v>102</v>
      </c>
      <c r="D3" s="218" t="s">
        <v>33</v>
      </c>
      <c r="E3" s="316"/>
      <c r="F3" s="262">
        <v>2</v>
      </c>
      <c r="G3" s="315" t="s">
        <v>155</v>
      </c>
      <c r="H3" s="317" t="s">
        <v>164</v>
      </c>
      <c r="I3" s="315" t="s">
        <v>169</v>
      </c>
      <c r="J3">
        <v>2</v>
      </c>
      <c r="K3">
        <v>2</v>
      </c>
    </row>
    <row r="4" spans="1:11" x14ac:dyDescent="0.35">
      <c r="C4" s="212">
        <v>103</v>
      </c>
      <c r="D4" s="217" t="s">
        <v>49</v>
      </c>
      <c r="E4" s="316"/>
      <c r="F4" s="262">
        <v>3</v>
      </c>
      <c r="G4" s="315" t="s">
        <v>156</v>
      </c>
      <c r="H4" s="317" t="s">
        <v>165</v>
      </c>
      <c r="I4" s="315" t="s">
        <v>169</v>
      </c>
      <c r="K4">
        <v>3</v>
      </c>
    </row>
    <row r="5" spans="1:11" x14ac:dyDescent="0.35">
      <c r="C5" s="213">
        <v>110</v>
      </c>
      <c r="D5" s="218" t="s">
        <v>37</v>
      </c>
      <c r="E5" s="316"/>
      <c r="F5" s="262">
        <v>4</v>
      </c>
      <c r="G5" s="315" t="s">
        <v>157</v>
      </c>
      <c r="H5" s="317" t="s">
        <v>163</v>
      </c>
      <c r="I5" s="315" t="s">
        <v>169</v>
      </c>
      <c r="K5">
        <v>4</v>
      </c>
    </row>
    <row r="6" spans="1:11" x14ac:dyDescent="0.35">
      <c r="C6" s="212">
        <v>111</v>
      </c>
      <c r="D6" s="217" t="s">
        <v>36</v>
      </c>
      <c r="E6" s="316"/>
      <c r="F6" s="262">
        <v>5</v>
      </c>
      <c r="G6" s="315" t="s">
        <v>158</v>
      </c>
      <c r="H6" s="317" t="s">
        <v>164</v>
      </c>
      <c r="I6" s="315" t="s">
        <v>169</v>
      </c>
    </row>
    <row r="7" spans="1:11" x14ac:dyDescent="0.35">
      <c r="C7" s="214">
        <v>112</v>
      </c>
      <c r="D7" s="219" t="s">
        <v>48</v>
      </c>
      <c r="E7" s="316"/>
      <c r="F7" s="262">
        <v>6</v>
      </c>
      <c r="G7" s="315" t="s">
        <v>159</v>
      </c>
      <c r="H7" s="317" t="s">
        <v>165</v>
      </c>
      <c r="I7" s="315" t="s">
        <v>169</v>
      </c>
    </row>
    <row r="8" spans="1:11" x14ac:dyDescent="0.35">
      <c r="C8" s="212">
        <v>120</v>
      </c>
      <c r="D8" s="217" t="s">
        <v>35</v>
      </c>
      <c r="E8" s="316"/>
      <c r="F8" s="262">
        <v>7</v>
      </c>
      <c r="G8" s="315" t="s">
        <v>160</v>
      </c>
      <c r="H8" s="317" t="s">
        <v>163</v>
      </c>
      <c r="I8" s="315" t="s">
        <v>169</v>
      </c>
    </row>
    <row r="9" spans="1:11" x14ac:dyDescent="0.35">
      <c r="C9" s="213">
        <v>121</v>
      </c>
      <c r="D9" s="218" t="s">
        <v>45</v>
      </c>
      <c r="E9" s="316"/>
      <c r="F9" s="262">
        <v>8</v>
      </c>
      <c r="G9" s="315" t="s">
        <v>161</v>
      </c>
      <c r="H9" s="317" t="s">
        <v>164</v>
      </c>
      <c r="I9" s="315" t="s">
        <v>169</v>
      </c>
    </row>
    <row r="10" spans="1:11" x14ac:dyDescent="0.35">
      <c r="C10" s="212">
        <v>122</v>
      </c>
      <c r="D10" s="217" t="s">
        <v>41</v>
      </c>
      <c r="E10" s="316"/>
      <c r="F10" s="262">
        <v>9</v>
      </c>
      <c r="G10" s="315" t="s">
        <v>162</v>
      </c>
      <c r="H10" s="317" t="s">
        <v>165</v>
      </c>
      <c r="I10" s="315" t="s">
        <v>169</v>
      </c>
    </row>
    <row r="11" spans="1:11" x14ac:dyDescent="0.35">
      <c r="C11" s="214">
        <v>123</v>
      </c>
      <c r="D11" s="219" t="s">
        <v>40</v>
      </c>
      <c r="E11" s="316"/>
      <c r="F11" s="262">
        <v>10</v>
      </c>
      <c r="G11" s="315"/>
      <c r="H11" s="317"/>
    </row>
    <row r="12" spans="1:11" x14ac:dyDescent="0.35">
      <c r="C12" s="212">
        <v>124</v>
      </c>
      <c r="D12" s="217" t="s">
        <v>34</v>
      </c>
      <c r="E12" s="221"/>
      <c r="F12" s="262">
        <v>11</v>
      </c>
      <c r="H12" s="13"/>
    </row>
    <row r="13" spans="1:11" x14ac:dyDescent="0.35">
      <c r="C13" s="214">
        <v>201</v>
      </c>
      <c r="D13" s="219" t="s">
        <v>44</v>
      </c>
      <c r="E13" s="221"/>
      <c r="F13" s="262">
        <v>12</v>
      </c>
      <c r="H13" s="13"/>
    </row>
    <row r="14" spans="1:11" x14ac:dyDescent="0.35">
      <c r="C14" s="212">
        <v>202</v>
      </c>
      <c r="D14" s="217" t="s">
        <v>32</v>
      </c>
      <c r="E14" s="221"/>
      <c r="F14" s="262">
        <v>13</v>
      </c>
      <c r="H14" s="13"/>
    </row>
    <row r="15" spans="1:11" x14ac:dyDescent="0.35">
      <c r="C15" s="214">
        <v>203</v>
      </c>
      <c r="D15" s="219" t="s">
        <v>46</v>
      </c>
      <c r="E15" s="221"/>
      <c r="F15" s="262">
        <v>14</v>
      </c>
      <c r="H15" s="13"/>
    </row>
    <row r="16" spans="1:11" x14ac:dyDescent="0.35">
      <c r="C16" s="212">
        <v>204</v>
      </c>
      <c r="D16" s="217" t="s">
        <v>47</v>
      </c>
      <c r="E16" s="221"/>
      <c r="F16" s="262">
        <v>15</v>
      </c>
      <c r="H16" s="13"/>
    </row>
    <row r="17" spans="3:6" x14ac:dyDescent="0.35">
      <c r="C17" s="214">
        <v>210</v>
      </c>
      <c r="D17" s="219" t="s">
        <v>42</v>
      </c>
      <c r="E17" s="221"/>
      <c r="F17" s="221"/>
    </row>
    <row r="18" spans="3:6" x14ac:dyDescent="0.35">
      <c r="C18" s="212">
        <v>211</v>
      </c>
      <c r="D18" s="217" t="s">
        <v>43</v>
      </c>
    </row>
    <row r="19" spans="3:6" x14ac:dyDescent="0.35">
      <c r="C19" s="214">
        <v>212</v>
      </c>
      <c r="D19" s="219" t="s">
        <v>38</v>
      </c>
      <c r="E19" s="221"/>
      <c r="F19" s="221"/>
    </row>
    <row r="21" spans="3:6" x14ac:dyDescent="0.35">
      <c r="E21" s="257">
        <v>10</v>
      </c>
    </row>
  </sheetData>
  <sortState ref="G2:G11">
    <sortCondition ref="G2"/>
  </sortState>
  <pageMargins left="0.23622047244094491" right="0.23622047244094491" top="0.74803149606299213" bottom="0.74803149606299213" header="0.31496062992125984" footer="0.31496062992125984"/>
  <pageSetup paperSize="8" scale="95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>
      <selection activeCell="F5" sqref="F5"/>
    </sheetView>
  </sheetViews>
  <sheetFormatPr baseColWidth="10" defaultRowHeight="14.5" x14ac:dyDescent="0.35"/>
  <sheetData>
    <row r="1" spans="1:14" ht="23.15" x14ac:dyDescent="0.35">
      <c r="A1" s="457" t="s">
        <v>168</v>
      </c>
      <c r="B1" s="457"/>
      <c r="C1" s="457"/>
      <c r="D1" s="457"/>
      <c r="E1" s="457"/>
      <c r="F1" s="457"/>
      <c r="G1" s="457"/>
      <c r="H1" s="457"/>
      <c r="I1" s="457"/>
      <c r="J1" s="457"/>
      <c r="K1" s="457"/>
      <c r="L1" s="457"/>
      <c r="M1" s="457"/>
      <c r="N1" s="457"/>
    </row>
  </sheetData>
  <mergeCells count="1">
    <mergeCell ref="A1:N1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7"/>
  <sheetViews>
    <sheetView tabSelected="1" topLeftCell="A19" workbookViewId="0">
      <selection activeCell="F44" sqref="F44"/>
    </sheetView>
  </sheetViews>
  <sheetFormatPr baseColWidth="10" defaultRowHeight="14.5" x14ac:dyDescent="0.35"/>
  <cols>
    <col min="1" max="1" width="30.7265625" customWidth="1"/>
    <col min="2" max="6" width="15.7265625" customWidth="1"/>
    <col min="7" max="7" width="40.7265625" customWidth="1"/>
  </cols>
  <sheetData>
    <row r="1" spans="1:7" ht="18.649999999999999" thickBot="1" x14ac:dyDescent="0.4">
      <c r="A1" s="906" t="s">
        <v>256</v>
      </c>
      <c r="B1" s="906"/>
      <c r="C1" s="906"/>
      <c r="D1" s="906"/>
      <c r="E1" s="906"/>
      <c r="F1" s="906"/>
      <c r="G1" s="906"/>
    </row>
    <row r="2" spans="1:7" x14ac:dyDescent="0.35">
      <c r="A2" s="321" t="s">
        <v>174</v>
      </c>
      <c r="B2" s="907">
        <f>SUM(Synthèse!I5)</f>
        <v>0</v>
      </c>
      <c r="C2" s="908"/>
      <c r="D2" s="908"/>
      <c r="E2" s="322" t="s">
        <v>175</v>
      </c>
      <c r="F2" s="907">
        <f>SUM(Synthèse!K5)</f>
        <v>0</v>
      </c>
      <c r="G2" s="908"/>
    </row>
    <row r="3" spans="1:7" x14ac:dyDescent="0.35">
      <c r="A3" s="323" t="s">
        <v>176</v>
      </c>
      <c r="B3" s="909">
        <f>Synthèse!D3</f>
        <v>0</v>
      </c>
      <c r="C3" s="909"/>
      <c r="D3" s="909"/>
      <c r="E3" s="909"/>
      <c r="F3" s="909"/>
      <c r="G3" s="909"/>
    </row>
    <row r="4" spans="1:7" x14ac:dyDescent="0.35">
      <c r="A4" s="324" t="s">
        <v>177</v>
      </c>
      <c r="B4" s="910" t="str">
        <f>Synthèse!E7</f>
        <v>DESBONNE Stevie</v>
      </c>
      <c r="C4" s="910"/>
      <c r="D4" s="910"/>
      <c r="E4" s="910"/>
      <c r="F4" s="910"/>
      <c r="G4" s="910"/>
    </row>
    <row r="5" spans="1:7" x14ac:dyDescent="0.35">
      <c r="A5" s="323" t="s">
        <v>178</v>
      </c>
      <c r="B5" s="911">
        <f>Synthèse!D5</f>
        <v>0</v>
      </c>
      <c r="C5" s="911"/>
      <c r="D5" s="911"/>
      <c r="E5" s="911"/>
      <c r="F5" s="911"/>
      <c r="G5" s="911"/>
    </row>
    <row r="6" spans="1:7" x14ac:dyDescent="0.35">
      <c r="A6" s="325"/>
      <c r="B6" s="909"/>
      <c r="C6" s="909"/>
      <c r="D6" s="909"/>
      <c r="E6" s="909"/>
      <c r="F6" s="909"/>
      <c r="G6" s="909"/>
    </row>
    <row r="7" spans="1:7" x14ac:dyDescent="0.35">
      <c r="A7" s="912" t="s">
        <v>179</v>
      </c>
      <c r="B7" s="912"/>
      <c r="C7" s="912"/>
      <c r="D7" s="903" t="s">
        <v>180</v>
      </c>
      <c r="E7" s="903"/>
      <c r="F7" s="903"/>
      <c r="G7" s="326"/>
    </row>
    <row r="8" spans="1:7" x14ac:dyDescent="0.35">
      <c r="A8" s="327" t="s">
        <v>181</v>
      </c>
      <c r="B8" s="328" t="s">
        <v>182</v>
      </c>
      <c r="C8" s="329" t="e">
        <f>G36</f>
        <v>#N/A</v>
      </c>
      <c r="D8" s="903" t="s">
        <v>183</v>
      </c>
      <c r="E8" s="903"/>
      <c r="F8" s="903"/>
      <c r="G8" s="330"/>
    </row>
    <row r="9" spans="1:7" ht="25" customHeight="1" x14ac:dyDescent="0.35">
      <c r="A9" s="327" t="s">
        <v>184</v>
      </c>
      <c r="B9" s="328" t="s">
        <v>185</v>
      </c>
      <c r="C9" s="329">
        <f>G50</f>
        <v>2.6916666666666664</v>
      </c>
      <c r="D9" s="903" t="s">
        <v>186</v>
      </c>
      <c r="E9" s="903"/>
      <c r="F9" s="903"/>
      <c r="G9" s="383">
        <f>SUM('Recap Edition'!C28:D28)</f>
        <v>85</v>
      </c>
    </row>
    <row r="10" spans="1:7" x14ac:dyDescent="0.35">
      <c r="A10" s="327" t="s">
        <v>187</v>
      </c>
      <c r="B10" s="328" t="s">
        <v>188</v>
      </c>
      <c r="C10" s="329">
        <f>G59</f>
        <v>0</v>
      </c>
      <c r="D10" s="902" t="s">
        <v>189</v>
      </c>
      <c r="E10" s="902"/>
      <c r="F10" s="902"/>
      <c r="G10" s="385">
        <f>'Recap Edition'!C31</f>
        <v>0.36470588235294116</v>
      </c>
    </row>
    <row r="11" spans="1:7" x14ac:dyDescent="0.35">
      <c r="A11" s="327" t="s">
        <v>190</v>
      </c>
      <c r="B11" s="328" t="s">
        <v>191</v>
      </c>
      <c r="C11" s="329">
        <f>G64</f>
        <v>0</v>
      </c>
      <c r="D11" s="902" t="s">
        <v>192</v>
      </c>
      <c r="E11" s="902"/>
      <c r="F11" s="902"/>
      <c r="G11" s="384">
        <f>'Recap Edition'!L28</f>
        <v>117</v>
      </c>
    </row>
    <row r="12" spans="1:7" ht="18" x14ac:dyDescent="0.35">
      <c r="A12" s="331" t="s">
        <v>193</v>
      </c>
      <c r="B12" s="332" t="s">
        <v>194</v>
      </c>
      <c r="C12" s="333" t="e">
        <f>SUM(C8:C11)</f>
        <v>#N/A</v>
      </c>
      <c r="D12" s="903" t="s">
        <v>195</v>
      </c>
      <c r="E12" s="903"/>
      <c r="F12" s="903"/>
      <c r="G12" s="384">
        <f>SUM('Jour 1'!W3+'Jour 2'!W3+'Jour 3'!W3+'Jour 4'!W3+'Jour 5'!W3+'Jour 6'!W3+'Jour 7'!W3+'Jour 8'!W3+'Jour 9'!W3+'Jour 10'!W3+'Jour 11'!W3+'Jour 12'!W3+'Jour 13'!W3+'Jour 14'!W3+'Jour 15'!W3)</f>
        <v>0</v>
      </c>
    </row>
    <row r="13" spans="1:7" ht="15" thickBot="1" x14ac:dyDescent="0.4">
      <c r="A13" s="334"/>
      <c r="B13" s="325"/>
      <c r="C13" s="325"/>
      <c r="D13" s="904"/>
      <c r="E13" s="904"/>
      <c r="F13" s="904"/>
      <c r="G13" s="904"/>
    </row>
    <row r="14" spans="1:7" ht="15" thickBot="1" x14ac:dyDescent="0.4">
      <c r="A14" s="895" t="s">
        <v>196</v>
      </c>
      <c r="B14" s="896" t="s">
        <v>197</v>
      </c>
      <c r="C14" s="897" t="s">
        <v>198</v>
      </c>
      <c r="D14" s="897"/>
      <c r="E14" s="901" t="s">
        <v>199</v>
      </c>
      <c r="F14" s="896" t="s">
        <v>200</v>
      </c>
      <c r="G14" s="905" t="s">
        <v>201</v>
      </c>
    </row>
    <row r="15" spans="1:7" ht="26.5" thickBot="1" x14ac:dyDescent="0.4">
      <c r="A15" s="895"/>
      <c r="B15" s="896"/>
      <c r="C15" s="335" t="s">
        <v>202</v>
      </c>
      <c r="D15" s="335" t="s">
        <v>203</v>
      </c>
      <c r="E15" s="901"/>
      <c r="F15" s="896"/>
      <c r="G15" s="905"/>
    </row>
    <row r="16" spans="1:7" x14ac:dyDescent="0.35">
      <c r="A16" s="887" t="s">
        <v>204</v>
      </c>
      <c r="B16" s="887"/>
      <c r="C16" s="887"/>
      <c r="D16" s="887"/>
      <c r="E16" s="887"/>
      <c r="F16" s="887"/>
      <c r="G16" s="336">
        <f>SUM(F17:F19)/3</f>
        <v>16.333333333333332</v>
      </c>
    </row>
    <row r="17" spans="1:7" x14ac:dyDescent="0.35">
      <c r="A17" s="337" t="s">
        <v>39</v>
      </c>
      <c r="B17" s="338" t="str">
        <f>IF('Recap Analyse'!D2&lt;0.271,"",IF('Recap Analyse'!D2&lt;=0.39,VLOOKUP('Recap Analyse'!D2,Feuil2!C5:D25,2,TRUE),""))</f>
        <v/>
      </c>
      <c r="C17" s="338" t="str">
        <f>IF('Recap Analyse'!D2&lt;0.191,"",IF('Recap Analyse'!D2&lt;=0.251,VLOOKUP('Recap Analyse'!D2,Feuil2!C5:D25,2,TRUE),""))</f>
        <v/>
      </c>
      <c r="D17" s="338">
        <f>IF('Recap Analyse'!D2&lt;0.091,"",IF('Recap Analyse'!D2&lt;=0.1921,VLOOKUP('Recap Analyse'!D2,Feuil2!C5:D25,2,TRUE),""))</f>
        <v>14</v>
      </c>
      <c r="E17" s="338" t="str">
        <f>IF('Recap Analyse'!D2="","20",IF('Recap Analyse'!D2&lt;=0.1,VLOOKUP('Recap Analyse'!D2,Feuil2!C5:D25,2,TRUE),""))</f>
        <v/>
      </c>
      <c r="F17" s="339">
        <f>SUM(B17:E17)</f>
        <v>14</v>
      </c>
      <c r="G17" s="340"/>
    </row>
    <row r="18" spans="1:7" x14ac:dyDescent="0.35">
      <c r="A18" s="337" t="s">
        <v>33</v>
      </c>
      <c r="B18" s="338" t="str">
        <f>IF('Recap Analyse'!D3&lt;0.271,"",IF('Recap Analyse'!D3&lt;=0.39,VLOOKUP('Recap Analyse'!D3,Feuil2!C5:D25,2,TRUE),""))</f>
        <v/>
      </c>
      <c r="C18" s="338" t="str">
        <f>IF('Recap Analyse'!D3&lt;0.191,"",IF('Recap Analyse'!D3&lt;=0.251,VLOOKUP('Recap Analyse'!D3,Feuil2!C5:D25,2,TRUE),""))</f>
        <v/>
      </c>
      <c r="D18" s="338" t="str">
        <f>IF('Recap Analyse'!D3&lt;0.091,"",IF('Recap Analyse'!D3&lt;=0.1921,VLOOKUP('Recap Analyse'!D3,Feuil2!C5:D25,2,TRUE),""))</f>
        <v/>
      </c>
      <c r="E18" s="338">
        <f>IF('Recap Analyse'!D3="","20",IF('Recap Analyse'!D3&lt;=0.1,VLOOKUP('Recap Analyse'!D3,Feuil2!C5:D25,2,TRUE),""))</f>
        <v>18</v>
      </c>
      <c r="F18" s="339">
        <f t="shared" ref="F18:F19" si="0">SUM(B18:E18)</f>
        <v>18</v>
      </c>
      <c r="G18" s="341"/>
    </row>
    <row r="19" spans="1:7" ht="23.5" thickBot="1" x14ac:dyDescent="0.4">
      <c r="A19" s="342" t="s">
        <v>205</v>
      </c>
      <c r="B19" s="338" t="str">
        <f>IF('Recap Analyse'!D4&lt;0.271,"",IF('Recap Analyse'!D4&lt;=0.39,VLOOKUP('Recap Analyse'!D4,Feuil2!C6:D26,2,TRUE),""))</f>
        <v/>
      </c>
      <c r="C19" s="338" t="str">
        <f>IF('Recap Analyse'!D4&lt;0.191,"",IF('Recap Analyse'!D4&lt;=0.269,VLOOKUP('Recap Analyse'!D4,Feuil2!C7:D27,2,TRUE),""))</f>
        <v/>
      </c>
      <c r="D19" s="338" t="str">
        <f>IF('Recap Analyse'!D4&lt;0.091,"",IF('Recap Analyse'!D4&lt;=0.1921,VLOOKUP('Recap Analyse'!D4,Feuil2!C5:D25,2,TRUE),""))</f>
        <v/>
      </c>
      <c r="E19" s="338">
        <f>IF('Recap Analyse'!D4="","20",IF('Recap Analyse'!D4&lt;=0.1,VLOOKUP('Recap Analyse'!D4,Feuil2!C5:D25,2,TRUE),""))</f>
        <v>17</v>
      </c>
      <c r="F19" s="339">
        <f t="shared" si="0"/>
        <v>17</v>
      </c>
      <c r="G19" s="345"/>
    </row>
    <row r="20" spans="1:7" x14ac:dyDescent="0.35">
      <c r="A20" s="887" t="s">
        <v>206</v>
      </c>
      <c r="B20" s="887"/>
      <c r="C20" s="887"/>
      <c r="D20" s="887"/>
      <c r="E20" s="887"/>
      <c r="F20" s="887"/>
      <c r="G20" s="336">
        <f>SUM(F21:F23)/3</f>
        <v>18</v>
      </c>
    </row>
    <row r="21" spans="1:7" x14ac:dyDescent="0.35">
      <c r="A21" s="337" t="s">
        <v>37</v>
      </c>
      <c r="B21" s="338" t="str">
        <f>IF('Recap Analyse'!D5&lt;0.271,"",IF('Recap Analyse'!D5&lt;=0.39,VLOOKUP('Recap Analyse'!D5,Feuil2!C5:D25,2,TRUE),""))</f>
        <v/>
      </c>
      <c r="C21" s="338" t="str">
        <f>IF('Recap Analyse'!D5&lt;0.191,"",IF('Recap Analyse'!D5&lt;=0.251,VLOOKUP('Recap Analyse'!D5,Feuil2!C8:D28,2,TRUE),""))</f>
        <v/>
      </c>
      <c r="D21" s="338" t="str">
        <f>IF('Recap Analyse'!D5&lt;0.091,"",IF('Recap Analyse'!D5&lt;=0.1921,VLOOKUP('Recap Analyse'!D5,Feuil2!C5:D25,2,TRUE),""))</f>
        <v/>
      </c>
      <c r="E21" s="338">
        <f>IF('Recap Analyse'!D5="","20",IF('Recap Analyse'!D5&lt;=0.1,VLOOKUP('Recap Analyse'!D5,Feuil2!C5:D25,2,TRUE),""))</f>
        <v>19</v>
      </c>
      <c r="F21" s="339">
        <f>SUM(B21:E21)</f>
        <v>19</v>
      </c>
      <c r="G21" s="346"/>
    </row>
    <row r="22" spans="1:7" x14ac:dyDescent="0.35">
      <c r="A22" s="337" t="s">
        <v>36</v>
      </c>
      <c r="B22" s="338" t="str">
        <f>IF('Recap Analyse'!D6&lt;0.271,"",IF('Recap Analyse'!D6&lt;=0.39,VLOOKUP('Recap Analyse'!D6,Feuil2!C5:D25,2,TRUE),""))</f>
        <v/>
      </c>
      <c r="C22" s="338" t="str">
        <f>IF('Recap Analyse'!D6&lt;0.191,"",IF('Recap Analyse'!D6&lt;=0.251,VLOOKUP('Recap Analyse'!D6,Feuil2!C9:D29,2,TRUE),""))</f>
        <v/>
      </c>
      <c r="D22" s="338" t="str">
        <f>IF('Recap Analyse'!D6&lt;0.091,"",IF('Recap Analyse'!D6&lt;=0.1921,VLOOKUP('Recap Analyse'!D6,Feuil2!C5:D25,2,TRUE),""))</f>
        <v/>
      </c>
      <c r="E22" s="338">
        <f>IF('Recap Analyse'!D6="","20",IF('Recap Analyse'!D6&lt;=0.1,VLOOKUP('Recap Analyse'!D6,Feuil2!C5:D25,2,TRUE),""))</f>
        <v>19</v>
      </c>
      <c r="F22" s="339">
        <f>SUM(B22:E22)</f>
        <v>19</v>
      </c>
      <c r="G22" s="346"/>
    </row>
    <row r="23" spans="1:7" ht="23.5" thickBot="1" x14ac:dyDescent="0.4">
      <c r="A23" s="342" t="s">
        <v>48</v>
      </c>
      <c r="B23" s="338" t="str">
        <f>IF('Recap Analyse'!D7&lt;0.271,"",IF('Recap Analyse'!D7&lt;=0.39,VLOOKUP('Recap Analyse'!D7,Feuil2!C5:D25,2,TRUE),""))</f>
        <v/>
      </c>
      <c r="C23" s="338" t="str">
        <f>IF('Recap Analyse'!D7&lt;0.191,"",IF('Recap Analyse'!D7&lt;=0.251,VLOOKUP('Recap Analyse'!D7,Feuil2!C10:D30,2,TRUE),""))</f>
        <v/>
      </c>
      <c r="D23" s="338" t="str">
        <f>IF('Recap Analyse'!D7&lt;0.091,"",IF('Recap Analyse'!D7&lt;=0.1921,VLOOKUP('Recap Analyse'!D7,Feuil2!C7:D27,2,TRUE),""))</f>
        <v/>
      </c>
      <c r="E23" s="338">
        <f>IF('Recap Analyse'!D7="","20",IF('Recap Analyse'!D7&lt;=0.1,VLOOKUP('Recap Analyse'!D7,Feuil2!C5:D25,2,TRUE),""))</f>
        <v>16</v>
      </c>
      <c r="F23" s="344">
        <f>SUM(B23:E23)</f>
        <v>16</v>
      </c>
      <c r="G23" s="347"/>
    </row>
    <row r="24" spans="1:7" ht="15" x14ac:dyDescent="0.25">
      <c r="A24" s="887" t="s">
        <v>207</v>
      </c>
      <c r="B24" s="887"/>
      <c r="C24" s="887"/>
      <c r="D24" s="887"/>
      <c r="E24" s="887"/>
      <c r="F24" s="887"/>
      <c r="G24" s="336">
        <f>SUM(F25:F30)/6</f>
        <v>18.833333333333332</v>
      </c>
    </row>
    <row r="25" spans="1:7" ht="14.5" customHeight="1" x14ac:dyDescent="0.25">
      <c r="A25" s="337" t="s">
        <v>208</v>
      </c>
      <c r="B25" s="338" t="str">
        <f>IF('Recap Analyse'!D8&lt;0.271,"",IF('Recap Analyse'!D8&lt;=0.39,VLOOKUP('Recap Analyse'!D8,Feuil2!C5:D25,2,TRUE),""))</f>
        <v/>
      </c>
      <c r="C25" s="338" t="str">
        <f>IF('Recap Analyse'!D8&lt;0.191,"",IF('Recap Analyse'!D8&lt;=0.251,VLOOKUP('Recap Analyse'!D8,Feuil2!C5:D25,2,TRUE),""))</f>
        <v/>
      </c>
      <c r="D25" s="338" t="str">
        <f>IF('Recap Analyse'!D8&lt;0.091,"",IF('Recap Analyse'!D8&lt;=0.1921,VLOOKUP('Recap Analyse'!D8,Feuil2!C5:D25,2,TRUE),""))</f>
        <v/>
      </c>
      <c r="E25" s="338">
        <f>IF('Recap Analyse'!D8="","20",IF('Recap Analyse'!D8&lt;=0.1,VLOOKUP('Recap Analyse'!D8,Feuil2!C5:D25,2,TRUE),""))</f>
        <v>18</v>
      </c>
      <c r="F25" s="339">
        <f>SUM(B25:E25)</f>
        <v>18</v>
      </c>
      <c r="G25" s="346"/>
    </row>
    <row r="26" spans="1:7" ht="14.5" customHeight="1" x14ac:dyDescent="0.35">
      <c r="A26" s="337" t="s">
        <v>45</v>
      </c>
      <c r="B26" s="338" t="str">
        <f>IF('Recap Analyse'!D9&lt;0.271,"",IF('Recap Analyse'!D9&lt;=0.39,VLOOKUP('Recap Analyse'!D9,Feuil2!C5:D25,2,TRUE),""))</f>
        <v/>
      </c>
      <c r="C26" s="338" t="str">
        <f>IF('Recap Analyse'!D9&lt;0.191,"",IF('Recap Analyse'!D9&lt;=0.251,VLOOKUP('Recap Analyse'!D9,Feuil2!C5:D25,2,TRUE),""))</f>
        <v/>
      </c>
      <c r="D26" s="338" t="str">
        <f>IF('Recap Analyse'!D9&lt;0.091,"",IF('Recap Analyse'!D9&lt;=0.1921,VLOOKUP('Recap Analyse'!D9,Feuil2!C5:D25,2,TRUE),""))</f>
        <v/>
      </c>
      <c r="E26" s="338">
        <f>IF('Recap Analyse'!D9="","20",IF('Recap Analyse'!D9&lt;=0.102,VLOOKUP('Recap Analyse'!D9,Feuil2!C5:D25,2,TRUE),""))</f>
        <v>19</v>
      </c>
      <c r="F26" s="339">
        <f t="shared" ref="F26:F30" si="1">SUM(B26:E26)</f>
        <v>19</v>
      </c>
      <c r="G26" s="346"/>
    </row>
    <row r="27" spans="1:7" x14ac:dyDescent="0.35">
      <c r="A27" s="337" t="s">
        <v>41</v>
      </c>
      <c r="B27" s="338" t="str">
        <f>IF('Recap Analyse'!D10&lt;0.271,"",IF('Recap Analyse'!D10&lt;=0.39,VLOOKUP('Recap Analyse'!D10,Feuil2!C5:D25,2,TRUE),""))</f>
        <v/>
      </c>
      <c r="C27" s="338" t="str">
        <f>IF('Recap Analyse'!D10&lt;0.191,"",IF('Recap Analyse'!D10&lt;=0,VLOOKUP('Recap Analyse'!D10,Feuil2!C5:D25,2,TRUE),""))</f>
        <v/>
      </c>
      <c r="D27" s="338" t="str">
        <f>IF('Recap Analyse'!D10&lt;0.091,"",IF('Recap Analyse'!D10&lt;=0.1921,VLOOKUP('Recap Analyse'!D10,Feuil2!C5:D25,2,TRUE),""))</f>
        <v/>
      </c>
      <c r="E27" s="338">
        <f>IF('Recap Analyse'!D10="","20",IF('Recap Analyse'!D10&lt;=0.1,VLOOKUP('Recap Analyse'!D10,Feuil2!C6:D26,2,TRUE),""))</f>
        <v>19</v>
      </c>
      <c r="F27" s="339">
        <f t="shared" si="1"/>
        <v>19</v>
      </c>
      <c r="G27" s="346"/>
    </row>
    <row r="28" spans="1:7" x14ac:dyDescent="0.35">
      <c r="A28" s="337" t="s">
        <v>209</v>
      </c>
      <c r="B28" s="338" t="str">
        <f>IF('Recap Analyse'!D11&lt;0.271,"",IF('Recap Analyse'!D11&lt;=0.39,VLOOKUP('Recap Analyse'!D11,Feuil2!C5:D25,2,TRUE),""))</f>
        <v/>
      </c>
      <c r="C28" s="338" t="str">
        <f>IF('Recap Analyse'!D11&lt;0.191,"",IF('Recap Analyse'!D11&lt;=0.251,VLOOKUP('Recap Analyse'!D11,Feuil2!C5:D25,2,TRUE),""))</f>
        <v/>
      </c>
      <c r="D28" s="338" t="str">
        <f>IF('Recap Analyse'!D11&lt;0.091,"",IF('Recap Analyse'!D11&lt;=0.1921,VLOOKUP('Recap Analyse'!D11,Feuil2!C5:D25,2,TRUE),""))</f>
        <v/>
      </c>
      <c r="E28" s="338">
        <f>IF('Recap Analyse'!D11="","20",IF('Recap Analyse'!D11&lt;=1,VLOOKUP('Recap Analyse'!D11,Feuil2!C5:D25,2,TRUE),""))</f>
        <v>19</v>
      </c>
      <c r="F28" s="339">
        <f t="shared" si="1"/>
        <v>19</v>
      </c>
      <c r="G28" s="346"/>
    </row>
    <row r="29" spans="1:7" ht="23" x14ac:dyDescent="0.35">
      <c r="A29" s="337" t="s">
        <v>34</v>
      </c>
      <c r="B29" s="338" t="str">
        <f>IF('Recap Analyse'!D12&lt;0.271,"",IF('Recap Analyse'!D12&lt;=0.39,VLOOKUP('Recap Analyse'!D12,Feuil2!C5:D25,2,TRUE),""))</f>
        <v/>
      </c>
      <c r="C29" s="338" t="str">
        <f>IF('Recap Analyse'!D12&lt;0.191,"",IF('Recap Analyse'!D12&lt;=0.251,VLOOKUP('Recap Analyse'!D12,Feuil2!C5:D25,2,TRUE),""))</f>
        <v/>
      </c>
      <c r="D29" s="338" t="str">
        <f>IF('Recap Analyse'!D12&lt;0.091,"",IF('Recap Analyse'!D12&lt;=0.1921,VLOOKUP('Recap Analyse'!D12,Feuil2!C5:D25,2,TRUE),""))</f>
        <v/>
      </c>
      <c r="E29" s="338">
        <f>IF('Recap Analyse'!D12="","20",IF('Recap Analyse'!D12&lt;=0.1,VLOOKUP('Recap Analyse'!D12,Feuil2!C5:D25,2,TRUE),""))</f>
        <v>19</v>
      </c>
      <c r="F29" s="339">
        <f t="shared" si="1"/>
        <v>19</v>
      </c>
      <c r="G29" s="348"/>
    </row>
    <row r="30" spans="1:7" ht="23.5" thickBot="1" x14ac:dyDescent="0.4">
      <c r="A30" s="342" t="s">
        <v>210</v>
      </c>
      <c r="B30" s="338" t="str">
        <f>IF('Recap Analyse'!D14&lt;0.271,"",IF('Recap Analyse'!D14&lt;=0.39,VLOOKUP('Recap Analyse'!D14,Feuil2!C5:D25,2,TRUE),""))</f>
        <v/>
      </c>
      <c r="C30" s="338" t="str">
        <f>IF('Recap Analyse'!D14&lt;0.191,"",IF('Recap Analyse'!D14&lt;=0.251,VLOOKUP('Recap Analyse'!D14,Feuil2!C5:D25,2,TRUE),""))</f>
        <v/>
      </c>
      <c r="D30" s="338" t="str">
        <f>IF('Recap Analyse'!D14&lt;0.091,"",IF('Recap Analyse'!D14&lt;=0.1921,VLOOKUP('Recap Analyse'!D14,Feuil2!C5:D25,2,"vrai"),""))</f>
        <v/>
      </c>
      <c r="E30" s="338">
        <f>IF('Recap Analyse'!D14="","20",IF('Recap Analyse'!D14&lt;=0.1,VLOOKUP('Recap Analyse'!D14,Feuil2!C5:D25,2,TRUE),""))</f>
        <v>19</v>
      </c>
      <c r="F30" s="339">
        <f t="shared" si="1"/>
        <v>19</v>
      </c>
      <c r="G30" s="349"/>
    </row>
    <row r="31" spans="1:7" ht="26" x14ac:dyDescent="0.35">
      <c r="A31" s="350" t="s">
        <v>211</v>
      </c>
      <c r="B31" s="351" t="s">
        <v>212</v>
      </c>
      <c r="C31" s="351" t="s">
        <v>213</v>
      </c>
      <c r="D31" s="351" t="s">
        <v>214</v>
      </c>
      <c r="E31" s="351" t="s">
        <v>215</v>
      </c>
      <c r="F31" s="352"/>
      <c r="G31" s="353" t="e">
        <f>F32</f>
        <v>#N/A</v>
      </c>
    </row>
    <row r="32" spans="1:7" ht="23.5" thickBot="1" x14ac:dyDescent="0.4">
      <c r="A32" s="342" t="s">
        <v>216</v>
      </c>
      <c r="B32" s="431" t="e">
        <f>VLOOKUP('Recap Edition'!H33,Feuil3!B6:C25,2,FALSE)</f>
        <v>#N/A</v>
      </c>
      <c r="C32" s="354" t="str">
        <f>IF(AND('Recap Edition'!H33&gt;=10,'Recap Edition'!H33&lt;=16),VLOOKUP('Recap Edition'!H33,Feuil3!B6:C25,2,FALSE),"")</f>
        <v/>
      </c>
      <c r="D32" s="354"/>
      <c r="E32" s="354"/>
      <c r="F32" s="355" t="e">
        <f>SUM(B32:E32)</f>
        <v>#N/A</v>
      </c>
      <c r="G32" s="356"/>
    </row>
    <row r="33" spans="1:7" ht="26" x14ac:dyDescent="0.35">
      <c r="A33" s="350" t="s">
        <v>217</v>
      </c>
      <c r="B33" s="357" t="s">
        <v>218</v>
      </c>
      <c r="C33" s="357" t="s">
        <v>219</v>
      </c>
      <c r="D33" s="357" t="s">
        <v>220</v>
      </c>
      <c r="E33" s="357" t="s">
        <v>221</v>
      </c>
      <c r="F33" s="358"/>
      <c r="G33" s="336">
        <f>F34*2</f>
        <v>0</v>
      </c>
    </row>
    <row r="34" spans="1:7" ht="23.5" thickBot="1" x14ac:dyDescent="0.4">
      <c r="A34" s="359" t="s">
        <v>222</v>
      </c>
      <c r="B34" s="360"/>
      <c r="C34" s="360"/>
      <c r="D34" s="360"/>
      <c r="E34" s="360"/>
      <c r="F34" s="361">
        <f>SUM(B34:E34)</f>
        <v>0</v>
      </c>
      <c r="G34" s="362"/>
    </row>
    <row r="35" spans="1:7" x14ac:dyDescent="0.35">
      <c r="A35" s="893" t="s">
        <v>223</v>
      </c>
      <c r="B35" s="893"/>
      <c r="C35" s="899" t="s">
        <v>224</v>
      </c>
      <c r="D35" s="899"/>
      <c r="E35" s="899"/>
      <c r="F35" s="899"/>
      <c r="G35" s="363" t="s">
        <v>225</v>
      </c>
    </row>
    <row r="36" spans="1:7" ht="15" thickBot="1" x14ac:dyDescent="0.4">
      <c r="A36" s="890" t="e">
        <f>G16+G20+G24+G33+G31</f>
        <v>#N/A</v>
      </c>
      <c r="B36" s="890"/>
      <c r="C36" s="891" t="e">
        <f>A36/6</f>
        <v>#N/A</v>
      </c>
      <c r="D36" s="891"/>
      <c r="E36" s="891"/>
      <c r="F36" s="891"/>
      <c r="G36" s="364" t="e">
        <f>C36/1.82</f>
        <v>#N/A</v>
      </c>
    </row>
    <row r="37" spans="1:7" ht="15" thickBot="1" x14ac:dyDescent="0.4">
      <c r="A37" s="365"/>
      <c r="B37" s="366"/>
      <c r="C37" s="367"/>
      <c r="D37" s="366"/>
      <c r="E37" s="366"/>
      <c r="F37" s="366"/>
      <c r="G37" s="367"/>
    </row>
    <row r="38" spans="1:7" ht="15" thickBot="1" x14ac:dyDescent="0.4">
      <c r="A38" s="900" t="s">
        <v>226</v>
      </c>
      <c r="B38" s="901" t="s">
        <v>197</v>
      </c>
      <c r="C38" s="897" t="s">
        <v>198</v>
      </c>
      <c r="D38" s="897"/>
      <c r="E38" s="901" t="s">
        <v>227</v>
      </c>
      <c r="F38" s="901" t="s">
        <v>200</v>
      </c>
      <c r="G38" s="898" t="s">
        <v>201</v>
      </c>
    </row>
    <row r="39" spans="1:7" ht="26.5" thickBot="1" x14ac:dyDescent="0.4">
      <c r="A39" s="900"/>
      <c r="B39" s="901"/>
      <c r="C39" s="368" t="s">
        <v>228</v>
      </c>
      <c r="D39" s="368" t="s">
        <v>229</v>
      </c>
      <c r="E39" s="901"/>
      <c r="F39" s="901"/>
      <c r="G39" s="898"/>
    </row>
    <row r="40" spans="1:7" x14ac:dyDescent="0.35">
      <c r="A40" s="887" t="s">
        <v>230</v>
      </c>
      <c r="B40" s="887"/>
      <c r="C40" s="887"/>
      <c r="D40" s="887"/>
      <c r="E40" s="887"/>
      <c r="F40" s="887"/>
      <c r="G40" s="336">
        <f>SUM(F41:F44)/4</f>
        <v>14.25</v>
      </c>
    </row>
    <row r="41" spans="1:7" ht="20.149999999999999" customHeight="1" x14ac:dyDescent="0.35">
      <c r="A41" s="337" t="s">
        <v>231</v>
      </c>
      <c r="B41" s="338" t="str">
        <f>IF('Recap Analyse'!D13&lt;0.271,"",IF('Recap Analyse'!D13&lt;=0.39,VLOOKUP('Recap Analyse'!D13,Feuil2!C5:D25,2,TRUE),""))</f>
        <v/>
      </c>
      <c r="C41" s="338" t="str">
        <f>IF('Recap Analyse'!D13&lt;0.191,"",IF('Recap Analyse'!D13&lt;=0.251,VLOOKUP('Recap Analyse'!D13,Feuil2!C5:D25,2,TRUE),""))</f>
        <v/>
      </c>
      <c r="D41" s="338" t="str">
        <f>IF('Recap Analyse'!D13&lt;0.091,"",IF('Recap Analyse'!D13&lt;=0.171,VLOOKUP('Recap Analyse'!D13,Feuil2!C5:D25,2,TRUE),""))</f>
        <v/>
      </c>
      <c r="E41" s="338">
        <f>IF('Recap Analyse'!D13="","20",IF('Recap Analyse'!D13&lt;=0.1,VLOOKUP('Recap Analyse'!D13,Feuil2!C5:D25,2,TRUE),""))</f>
        <v>19</v>
      </c>
      <c r="F41" s="339">
        <f>SUM(B41:E41)</f>
        <v>19</v>
      </c>
      <c r="G41" s="340"/>
    </row>
    <row r="42" spans="1:7" ht="23" x14ac:dyDescent="0.35">
      <c r="A42" s="337" t="s">
        <v>32</v>
      </c>
      <c r="B42" s="338" t="str">
        <f>IF('Recap Analyse'!D14&lt;0.271,"",IF('Recap Analyse'!D14&lt;=0.39,VLOOKUP('Recap Analyse'!D14,Feuil2!C5:D25,2,TRUE),""))</f>
        <v/>
      </c>
      <c r="C42" s="338" t="str">
        <f>IF('Recap Analyse'!D14&lt;0.191,"",IF('Recap Analyse'!D14&lt;=0.251,VLOOKUP('Recap Analyse'!D14,Feuil2!C6:D26,2,TRUE),""))</f>
        <v/>
      </c>
      <c r="D42" s="338" t="str">
        <f>IF('Recap Analyse'!D14&lt;0.091,"",IF('Recap Analyse'!D14&lt;=0.171,VLOOKUP('Recap Analyse'!D14,Feuil2!C5:D25,2,TRUE),""))</f>
        <v/>
      </c>
      <c r="E42" s="338">
        <f>IF('Recap Analyse'!D14="","20",IF('Recap Analyse'!D14&lt;=0.1,VLOOKUP('Recap Analyse'!D14,Feuil2!C5:D25,2,TRUE),""))</f>
        <v>19</v>
      </c>
      <c r="F42" s="339">
        <f>SUM(B42:E42)</f>
        <v>19</v>
      </c>
      <c r="G42" s="340"/>
    </row>
    <row r="43" spans="1:7" ht="23" x14ac:dyDescent="0.35">
      <c r="A43" s="337" t="s">
        <v>46</v>
      </c>
      <c r="B43" s="338" t="str">
        <f>IF('Recap Analyse'!D15&lt;0.271,"",IF('Recap Analyse'!D15&lt;=0.39,VLOOKUP('Recap Analyse'!D15,Feuil2!C5:D25,2,TRUE),""))</f>
        <v/>
      </c>
      <c r="C43" s="338" t="str">
        <f>IF('Recap Analyse'!D15&lt;0.191,"",IF('Recap Analyse'!D15&lt;=0.251,VLOOKUP('Recap Analyse'!D15,Feuil2!C5:D25,2,TRUE),""))</f>
        <v/>
      </c>
      <c r="D43" s="338" t="str">
        <f>IF('Recap Analyse'!D15&lt;0.091,"",IF('Recap Analyse'!D15&lt;=0.171,VLOOKUP('Recap Analyse'!D15,Feuil2!C5:D25,2,TRUE),""))</f>
        <v/>
      </c>
      <c r="E43" s="338">
        <f>IF('Recap Analyse'!D15="","20",IF('Recap Analyse'!D15&lt;=0.1,VLOOKUP('Recap Analyse'!D15,Feuil2!C5:D25,2,TRUE),""))</f>
        <v>19</v>
      </c>
      <c r="F43" s="339">
        <f>SUM(B43:E43)</f>
        <v>19</v>
      </c>
      <c r="G43" s="340"/>
    </row>
    <row r="44" spans="1:7" ht="15" thickBot="1" x14ac:dyDescent="0.4">
      <c r="A44" s="342" t="s">
        <v>47</v>
      </c>
      <c r="B44" s="338" t="str">
        <f>IF('Recap Analyse'!D16&lt;0.271,"",IF('Recap Analyse'!D16&lt;=0.39,VLOOKUP('Recap Analyse'!D16,Feuil2!C5:D25,2,TRUE),""))</f>
        <v/>
      </c>
      <c r="C44" s="338" t="str">
        <f>IF('Recap Analyse'!D16&lt;0.191,"",IF('Recap Analyse'!D16&lt;=0.251,VLOOKUP('Recap Analyse'!D16,Feuil2!C8:D28,2,TRUE),""))</f>
        <v/>
      </c>
      <c r="D44" s="338" t="str">
        <f>IF('Recap Analyse'!D16&lt;0.091,"",IF('Recap Analyse'!D16&lt;=0.171,VLOOKUP('Recap Analyse'!D16,Feuil2!C5:D25,2,TRUE),""))</f>
        <v/>
      </c>
      <c r="E44" s="338" t="str">
        <f>IF('Recap Analyse'!D16="","20",IF('Recap Analyse'!D16&lt;=0.1,VLOOKUP('Recap Analyse'!D16,Feuil2!C5:D25,2,TRUE),""))</f>
        <v>20</v>
      </c>
      <c r="F44" s="344">
        <f>SUM(B44:E44)</f>
        <v>0</v>
      </c>
      <c r="G44" s="345"/>
    </row>
    <row r="45" spans="1:7" x14ac:dyDescent="0.35">
      <c r="A45" s="887" t="s">
        <v>232</v>
      </c>
      <c r="B45" s="887"/>
      <c r="C45" s="887"/>
      <c r="D45" s="887"/>
      <c r="E45" s="887"/>
      <c r="F45" s="887"/>
      <c r="G45" s="336">
        <f>SUM(F46:F48)/3</f>
        <v>12.666666666666666</v>
      </c>
    </row>
    <row r="46" spans="1:7" ht="25" x14ac:dyDescent="0.35">
      <c r="A46" s="369" t="s">
        <v>233</v>
      </c>
      <c r="B46" s="338" t="str">
        <f>IF('Recap Analyse'!D16&lt;0.271,"",IF('Recap Analyse'!D16&lt;=0.39,VLOOKUP('Recap Analyse'!D16,Feuil2!C5:D25,2,TRUE),""))</f>
        <v/>
      </c>
      <c r="C46" s="338" t="str">
        <f>IF('Recap Analyse'!D17&lt;0.191,"",IF('Recap Analyse'!D17&lt;=0.251,VLOOKUP('Recap Analyse'!D17,Feuil2!C5:D25,2,TRUE),""))</f>
        <v/>
      </c>
      <c r="D46" s="338" t="str">
        <f>IF('Recap Analyse'!D17&lt;0.091,"",IF('Recap Analyse'!D17&lt;=0.171,VLOOKUP('Recap Analyse'!D17,Feuil2!C5:D25,2,TRUE),""))</f>
        <v/>
      </c>
      <c r="E46" s="338">
        <f>IF('Recap Analyse'!D17="","20",IF('Recap Analyse'!D17&lt;=0.1,VLOOKUP('Recap Analyse'!D17,Feuil2!C5:D25,2,TRUE),""))</f>
        <v>19</v>
      </c>
      <c r="F46" s="339">
        <f>SUM(B46:E46)</f>
        <v>19</v>
      </c>
      <c r="G46" s="340"/>
    </row>
    <row r="47" spans="1:7" ht="25" x14ac:dyDescent="0.35">
      <c r="A47" s="369" t="s">
        <v>234</v>
      </c>
      <c r="B47" s="338" t="str">
        <f>IF('Recap Analyse'!D17&lt;0.271,"",IF('Recap Analyse'!D17&lt;=0.39,VLOOKUP('Recap Analyse'!D17,Feuil2!C5:D25,2,TRUE),""))</f>
        <v/>
      </c>
      <c r="C47" s="338" t="str">
        <f>IF('Recap Analyse'!D18&lt;0.191,"",IF('Recap Analyse'!D18&lt;=0.251,VLOOKUP('Recap Analyse'!D18,Feuil2!C5:D25,2,TRUE),""))</f>
        <v/>
      </c>
      <c r="D47" s="338" t="str">
        <f>IF('Recap Analyse'!D18&lt;0.091,"",IF('Recap Analyse'!D18&lt;=0.171,VLOOKUP('Recap Analyse'!D18,Feuil2!C5:D25,2,TRUE),""))</f>
        <v/>
      </c>
      <c r="E47" s="338" t="str">
        <f>IF('Recap Analyse'!D18="","20",IF('Recap Analyse'!D18&lt;=0.1,VLOOKUP('Recap Analyse'!D18,Feuil2!C5:D25,2,TRUE),""))</f>
        <v>20</v>
      </c>
      <c r="F47" s="339">
        <f>SUM(B47:E47)</f>
        <v>0</v>
      </c>
      <c r="G47" s="340"/>
    </row>
    <row r="48" spans="1:7" ht="25.5" thickBot="1" x14ac:dyDescent="0.4">
      <c r="A48" s="370" t="s">
        <v>235</v>
      </c>
      <c r="B48" s="338" t="str">
        <f>IF('Recap Analyse'!D18&lt;0.271,"",IF('Recap Analyse'!D18&lt;=0.39,VLOOKUP('Recap Analyse'!D18,Feuil2!C5:D25,2,TRUE),""))</f>
        <v/>
      </c>
      <c r="C48" s="338" t="str">
        <f>IF('Recap Analyse'!D19&lt;0.191,"",IF('Recap Analyse'!D19&lt;=0.251,VLOOKUP('Recap Analyse'!D19,Feuil2!C5:D25,2,TRUE),""))</f>
        <v/>
      </c>
      <c r="D48" s="338" t="str">
        <f>IF('Recap Analyse'!D19&lt;0.091,"",IF('Recap Analyse'!D19&lt;=0.171,VLOOKUP('Recap Analyse'!D19,Feuil2!C5:D25,2,TRUE),""))</f>
        <v/>
      </c>
      <c r="E48" s="338">
        <f>IF('Recap Analyse'!D19="","20",IF('Recap Analyse'!D19&lt;=0.1,VLOOKUP('Recap Analyse'!D19,Feuil2!C5:D25,2,TRUE),""))</f>
        <v>19</v>
      </c>
      <c r="F48" s="344">
        <f>SUM(B48:E48)</f>
        <v>19</v>
      </c>
      <c r="G48" s="345"/>
    </row>
    <row r="49" spans="1:7" x14ac:dyDescent="0.35">
      <c r="A49" s="893" t="s">
        <v>236</v>
      </c>
      <c r="B49" s="893"/>
      <c r="C49" s="893"/>
      <c r="D49" s="894" t="s">
        <v>224</v>
      </c>
      <c r="E49" s="894"/>
      <c r="F49" s="894"/>
      <c r="G49" s="371" t="s">
        <v>237</v>
      </c>
    </row>
    <row r="50" spans="1:7" ht="15" thickBot="1" x14ac:dyDescent="0.4">
      <c r="A50" s="890">
        <f>G40+G45</f>
        <v>26.916666666666664</v>
      </c>
      <c r="B50" s="890"/>
      <c r="C50" s="890"/>
      <c r="D50" s="891">
        <f>A50/2</f>
        <v>13.458333333333332</v>
      </c>
      <c r="E50" s="891"/>
      <c r="F50" s="891"/>
      <c r="G50" s="372">
        <f>D50/(20/4)</f>
        <v>2.6916666666666664</v>
      </c>
    </row>
    <row r="51" spans="1:7" ht="15" thickBot="1" x14ac:dyDescent="0.4">
      <c r="A51" s="373"/>
      <c r="B51" s="374"/>
      <c r="C51" s="374"/>
      <c r="D51" s="374"/>
      <c r="E51" s="374"/>
      <c r="F51" s="375"/>
      <c r="G51" s="374"/>
    </row>
    <row r="52" spans="1:7" ht="15" thickBot="1" x14ac:dyDescent="0.4">
      <c r="A52" s="895" t="s">
        <v>238</v>
      </c>
      <c r="B52" s="896" t="s">
        <v>239</v>
      </c>
      <c r="C52" s="897" t="s">
        <v>198</v>
      </c>
      <c r="D52" s="897"/>
      <c r="E52" s="896" t="s">
        <v>199</v>
      </c>
      <c r="F52" s="896" t="s">
        <v>200</v>
      </c>
      <c r="G52" s="892" t="s">
        <v>201</v>
      </c>
    </row>
    <row r="53" spans="1:7" ht="26.5" thickBot="1" x14ac:dyDescent="0.4">
      <c r="A53" s="895"/>
      <c r="B53" s="896"/>
      <c r="C53" s="335" t="s">
        <v>240</v>
      </c>
      <c r="D53" s="335" t="s">
        <v>241</v>
      </c>
      <c r="E53" s="896"/>
      <c r="F53" s="896"/>
      <c r="G53" s="892"/>
    </row>
    <row r="54" spans="1:7" x14ac:dyDescent="0.35">
      <c r="A54" s="887" t="s">
        <v>242</v>
      </c>
      <c r="B54" s="887"/>
      <c r="C54" s="887"/>
      <c r="D54" s="887"/>
      <c r="E54" s="887"/>
      <c r="F54" s="887"/>
      <c r="G54" s="376">
        <f>F55</f>
        <v>0</v>
      </c>
    </row>
    <row r="55" spans="1:7" ht="15" thickBot="1" x14ac:dyDescent="0.4">
      <c r="A55" s="342" t="s">
        <v>243</v>
      </c>
      <c r="B55" s="343"/>
      <c r="C55" s="343"/>
      <c r="D55" s="343"/>
      <c r="E55" s="343"/>
      <c r="F55" s="344">
        <f>SUM(B55:E55)</f>
        <v>0</v>
      </c>
      <c r="G55" s="347" t="s">
        <v>244</v>
      </c>
    </row>
    <row r="56" spans="1:7" x14ac:dyDescent="0.35">
      <c r="A56" s="887" t="s">
        <v>245</v>
      </c>
      <c r="B56" s="887"/>
      <c r="C56" s="887"/>
      <c r="D56" s="887"/>
      <c r="E56" s="887"/>
      <c r="F56" s="887"/>
      <c r="G56" s="376">
        <f>F57</f>
        <v>0</v>
      </c>
    </row>
    <row r="57" spans="1:7" ht="15" thickBot="1" x14ac:dyDescent="0.4">
      <c r="A57" s="359" t="s">
        <v>246</v>
      </c>
      <c r="B57" s="377"/>
      <c r="C57" s="377"/>
      <c r="D57" s="377"/>
      <c r="E57" s="377"/>
      <c r="F57" s="378">
        <f>SUM(B57:E57)</f>
        <v>0</v>
      </c>
      <c r="G57" s="379"/>
    </row>
    <row r="58" spans="1:7" x14ac:dyDescent="0.35">
      <c r="A58" s="888"/>
      <c r="B58" s="888"/>
      <c r="C58" s="888"/>
      <c r="D58" s="889" t="s">
        <v>224</v>
      </c>
      <c r="E58" s="889"/>
      <c r="F58" s="889"/>
      <c r="G58" s="380" t="s">
        <v>247</v>
      </c>
    </row>
    <row r="59" spans="1:7" ht="15" thickBot="1" x14ac:dyDescent="0.4">
      <c r="A59" s="890"/>
      <c r="B59" s="890"/>
      <c r="C59" s="890"/>
      <c r="D59" s="891">
        <f>SUM(F55+F57)/2</f>
        <v>0</v>
      </c>
      <c r="E59" s="891"/>
      <c r="F59" s="891"/>
      <c r="G59" s="372">
        <f>D59/(20/3)</f>
        <v>0</v>
      </c>
    </row>
    <row r="60" spans="1:7" ht="15" thickBot="1" x14ac:dyDescent="0.4">
      <c r="A60" s="881"/>
      <c r="B60" s="881"/>
      <c r="C60" s="881"/>
      <c r="D60" s="881"/>
      <c r="E60" s="881"/>
      <c r="F60" s="881"/>
      <c r="G60" s="881"/>
    </row>
    <row r="61" spans="1:7" ht="15" thickBot="1" x14ac:dyDescent="0.4">
      <c r="A61" s="882" t="s">
        <v>251</v>
      </c>
      <c r="B61" s="882"/>
      <c r="C61" s="882"/>
      <c r="D61" s="882"/>
      <c r="E61" s="882"/>
      <c r="F61" s="882"/>
      <c r="G61" s="381" t="s">
        <v>201</v>
      </c>
    </row>
    <row r="62" spans="1:7" ht="35.15" customHeight="1" thickBot="1" x14ac:dyDescent="0.4">
      <c r="A62" s="883" t="s">
        <v>252</v>
      </c>
      <c r="B62" s="883"/>
      <c r="C62" s="883"/>
      <c r="D62" s="883"/>
      <c r="E62" s="884"/>
      <c r="F62" s="884"/>
      <c r="G62" s="884"/>
    </row>
    <row r="63" spans="1:7" x14ac:dyDescent="0.35">
      <c r="A63" s="885" t="s">
        <v>224</v>
      </c>
      <c r="B63" s="885"/>
      <c r="C63" s="885"/>
      <c r="D63" s="885"/>
      <c r="E63" s="885"/>
      <c r="F63" s="885"/>
      <c r="G63" s="382" t="s">
        <v>248</v>
      </c>
    </row>
    <row r="64" spans="1:7" ht="15" thickBot="1" x14ac:dyDescent="0.4">
      <c r="A64" s="886"/>
      <c r="B64" s="886"/>
      <c r="C64" s="886"/>
      <c r="D64" s="886"/>
      <c r="E64" s="886"/>
      <c r="F64" s="886"/>
      <c r="G64" s="364">
        <f>A64/10</f>
        <v>0</v>
      </c>
    </row>
    <row r="65" spans="1:7" ht="50.15" customHeight="1" thickBot="1" x14ac:dyDescent="0.4">
      <c r="A65" s="880" t="s">
        <v>249</v>
      </c>
      <c r="B65" s="880"/>
      <c r="C65" s="880"/>
      <c r="D65" s="880"/>
      <c r="E65" s="880"/>
      <c r="F65" s="880"/>
      <c r="G65" s="880"/>
    </row>
    <row r="66" spans="1:7" ht="50.15" customHeight="1" thickBot="1" x14ac:dyDescent="0.4">
      <c r="A66" s="880" t="s">
        <v>250</v>
      </c>
      <c r="B66" s="880"/>
      <c r="C66" s="880"/>
      <c r="D66" s="880"/>
      <c r="E66" s="880"/>
      <c r="F66" s="880"/>
      <c r="G66" s="880"/>
    </row>
    <row r="67" spans="1:7" ht="50.15" customHeight="1" thickBot="1" x14ac:dyDescent="0.4">
      <c r="A67" s="880" t="s">
        <v>253</v>
      </c>
      <c r="B67" s="880"/>
      <c r="C67" s="880"/>
      <c r="D67" s="880"/>
      <c r="E67" s="880"/>
      <c r="F67" s="880"/>
      <c r="G67" s="880"/>
    </row>
  </sheetData>
  <mergeCells count="61">
    <mergeCell ref="D10:F10"/>
    <mergeCell ref="A1:G1"/>
    <mergeCell ref="B2:D2"/>
    <mergeCell ref="F2:G2"/>
    <mergeCell ref="B3:G3"/>
    <mergeCell ref="B4:G4"/>
    <mergeCell ref="B5:G5"/>
    <mergeCell ref="B6:G6"/>
    <mergeCell ref="A7:C7"/>
    <mergeCell ref="D7:F7"/>
    <mergeCell ref="D8:F8"/>
    <mergeCell ref="D9:F9"/>
    <mergeCell ref="D11:F11"/>
    <mergeCell ref="D12:F12"/>
    <mergeCell ref="D13:G13"/>
    <mergeCell ref="A14:A15"/>
    <mergeCell ref="B14:B15"/>
    <mergeCell ref="C14:D14"/>
    <mergeCell ref="E14:E15"/>
    <mergeCell ref="F14:F15"/>
    <mergeCell ref="G14:G15"/>
    <mergeCell ref="G38:G39"/>
    <mergeCell ref="A16:F16"/>
    <mergeCell ref="A20:F20"/>
    <mergeCell ref="A24:F24"/>
    <mergeCell ref="A35:B35"/>
    <mergeCell ref="C35:F35"/>
    <mergeCell ref="A36:B36"/>
    <mergeCell ref="C36:F36"/>
    <mergeCell ref="A38:A39"/>
    <mergeCell ref="B38:B39"/>
    <mergeCell ref="C38:D38"/>
    <mergeCell ref="E38:E39"/>
    <mergeCell ref="F38:F39"/>
    <mergeCell ref="G52:G53"/>
    <mergeCell ref="A40:F40"/>
    <mergeCell ref="A45:F45"/>
    <mergeCell ref="A49:C49"/>
    <mergeCell ref="D49:F49"/>
    <mergeCell ref="A50:C50"/>
    <mergeCell ref="D50:F50"/>
    <mergeCell ref="A52:A53"/>
    <mergeCell ref="B52:B53"/>
    <mergeCell ref="C52:D52"/>
    <mergeCell ref="E52:E53"/>
    <mergeCell ref="F52:F53"/>
    <mergeCell ref="A54:F54"/>
    <mergeCell ref="A56:F56"/>
    <mergeCell ref="A58:C58"/>
    <mergeCell ref="D58:F58"/>
    <mergeCell ref="A59:C59"/>
    <mergeCell ref="D59:F59"/>
    <mergeCell ref="A65:G65"/>
    <mergeCell ref="A66:G66"/>
    <mergeCell ref="A67:G67"/>
    <mergeCell ref="A60:G60"/>
    <mergeCell ref="A61:F61"/>
    <mergeCell ref="A62:D62"/>
    <mergeCell ref="E62:G62"/>
    <mergeCell ref="A63:F63"/>
    <mergeCell ref="A64:F64"/>
  </mergeCells>
  <pageMargins left="0.7" right="0.7" top="0.75" bottom="0.75" header="0.3" footer="0.3"/>
  <ignoredErrors>
    <ignoredError sqref="F26" formula="1"/>
  </ignoredError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29"/>
  <sheetViews>
    <sheetView workbookViewId="0">
      <selection activeCell="C9" sqref="C9"/>
    </sheetView>
  </sheetViews>
  <sheetFormatPr baseColWidth="10" defaultRowHeight="14.5" x14ac:dyDescent="0.35"/>
  <cols>
    <col min="2" max="16" width="7.54296875" customWidth="1"/>
  </cols>
  <sheetData>
    <row r="4" spans="1:18" ht="15" x14ac:dyDescent="0.35">
      <c r="A4" s="398"/>
      <c r="B4" s="399" t="s">
        <v>266</v>
      </c>
      <c r="C4" s="399" t="s">
        <v>267</v>
      </c>
      <c r="D4" s="399" t="s">
        <v>268</v>
      </c>
      <c r="E4" s="399" t="s">
        <v>269</v>
      </c>
      <c r="F4" s="399" t="s">
        <v>270</v>
      </c>
      <c r="G4" s="399" t="s">
        <v>271</v>
      </c>
      <c r="H4" s="399" t="s">
        <v>272</v>
      </c>
      <c r="I4" s="399" t="s">
        <v>273</v>
      </c>
      <c r="J4" s="399" t="s">
        <v>274</v>
      </c>
      <c r="K4" s="399" t="s">
        <v>275</v>
      </c>
      <c r="L4" s="399" t="s">
        <v>276</v>
      </c>
      <c r="M4" s="399" t="s">
        <v>277</v>
      </c>
      <c r="N4" s="399" t="s">
        <v>278</v>
      </c>
      <c r="O4" s="399" t="s">
        <v>279</v>
      </c>
      <c r="P4" s="399" t="s">
        <v>280</v>
      </c>
      <c r="Q4" s="319"/>
      <c r="R4" s="319"/>
    </row>
    <row r="5" spans="1:18" ht="15" x14ac:dyDescent="0.35">
      <c r="A5" s="398" t="s">
        <v>262</v>
      </c>
      <c r="B5" s="400">
        <f>COUNTIF('Jour 1'!$Q$13:$Q$45,A5)</f>
        <v>0</v>
      </c>
      <c r="C5" s="400">
        <f>COUNTIF('Jour 2'!$Q$13:$Q$45,A5)</f>
        <v>0</v>
      </c>
      <c r="D5" s="400">
        <f>COUNTIF('Jour 3'!$Q$13:$Q$45,A5)</f>
        <v>1</v>
      </c>
      <c r="E5" s="400">
        <f>COUNTIF('Jour 4'!$Q$13:$Q$45,A5)</f>
        <v>0</v>
      </c>
      <c r="F5" s="400">
        <f>COUNTIF('Jour 5'!$Q$13:$Q$45,A5)</f>
        <v>1</v>
      </c>
      <c r="G5" s="400">
        <f>COUNTIF('Jour 6'!$Q$13:$Q$45,A5)</f>
        <v>0</v>
      </c>
      <c r="H5" s="400">
        <f>COUNTIF('Jour 7'!$Q$13:$Q$45,A5)</f>
        <v>0</v>
      </c>
      <c r="I5" s="400">
        <f>COUNTIF('Jour 8'!$Q$13:$Q$45,A5)</f>
        <v>0</v>
      </c>
      <c r="J5" s="400">
        <f>COUNTIF('Jour 9'!$Q$13:$Q$45,A5)</f>
        <v>0</v>
      </c>
      <c r="K5" s="400">
        <f>COUNTIF('Jour 10'!$Q$13:$Q$45,A5)</f>
        <v>0</v>
      </c>
      <c r="L5" s="400">
        <f>COUNTIF('Jour 11'!$Q$13:$Q$45,A5)</f>
        <v>0</v>
      </c>
      <c r="M5" s="400">
        <f>COUNTIF('Jour 12'!$Q$13:$Q$45,A5)</f>
        <v>0</v>
      </c>
      <c r="N5" s="400">
        <f>COUNTIF('Jour 13'!$Q$13:$Q$45,A5)</f>
        <v>0</v>
      </c>
      <c r="O5" s="400">
        <f>COUNTIF('Jour 14'!$Q$13:$Q$45,A5)</f>
        <v>0</v>
      </c>
      <c r="P5" s="400">
        <f>COUNTIF('Jour 15'!$Q$13:$Q$45,A5)</f>
        <v>0</v>
      </c>
      <c r="Q5" s="319"/>
      <c r="R5" s="319">
        <f>SUM(B5:P5)</f>
        <v>2</v>
      </c>
    </row>
    <row r="6" spans="1:18" ht="15" x14ac:dyDescent="0.35">
      <c r="A6" s="398" t="s">
        <v>261</v>
      </c>
      <c r="B6" s="400">
        <f>COUNTIF('Jour 1'!$Q$13:$Q$45,A6)</f>
        <v>0</v>
      </c>
      <c r="C6" s="400">
        <f>COUNTIF('Jour 2'!$Q$13:$Q$45,A6)</f>
        <v>0</v>
      </c>
      <c r="D6" s="400">
        <f>COUNTIF('Jour 3'!$Q$13:$Q$45,A6)</f>
        <v>0</v>
      </c>
      <c r="E6" s="400">
        <f>COUNTIF('Jour 4'!$Q$13:$Q$45,A6)</f>
        <v>0</v>
      </c>
      <c r="F6" s="400">
        <f>COUNTIF('Jour 5'!$Q$13:$Q$45,A6)</f>
        <v>0</v>
      </c>
      <c r="G6" s="400">
        <f>COUNTIF('Jour 6'!$Q$13:$Q$45,A6)</f>
        <v>0</v>
      </c>
      <c r="H6" s="400">
        <f>COUNTIF('Jour 7'!$Q$13:$Q$45,A6)</f>
        <v>0</v>
      </c>
      <c r="I6" s="400">
        <f>COUNTIF('Jour 8'!$Q$13:$Q$45,A6)</f>
        <v>0</v>
      </c>
      <c r="J6" s="400">
        <f>COUNTIF('Jour 9'!$Q$13:$Q$45,A6)</f>
        <v>0</v>
      </c>
      <c r="K6" s="400">
        <f>COUNTIF('Jour 10'!$Q$13:$Q$45,A6)</f>
        <v>0</v>
      </c>
      <c r="L6" s="400">
        <f>COUNTIF('Jour 11'!$Q$13:$Q$45,A6)</f>
        <v>0</v>
      </c>
      <c r="M6" s="400">
        <f>COUNTIF('Jour 12'!$Q$13:$Q$45,A6)</f>
        <v>0</v>
      </c>
      <c r="N6" s="400">
        <f>COUNTIF('Jour 13'!$Q$13:$Q$45,A6)</f>
        <v>0</v>
      </c>
      <c r="O6" s="400">
        <f>COUNTIF('Jour 14'!$Q$13:$Q$45,A6)</f>
        <v>0</v>
      </c>
      <c r="P6" s="400">
        <f>COUNTIF('Jour 15'!$Q$13:$Q$45,A6)</f>
        <v>0</v>
      </c>
      <c r="Q6" s="319"/>
      <c r="R6" s="319">
        <f t="shared" ref="R6:R19" si="0">SUM(B6:P6)</f>
        <v>0</v>
      </c>
    </row>
    <row r="7" spans="1:18" ht="15" x14ac:dyDescent="0.35">
      <c r="A7" s="398" t="s">
        <v>265</v>
      </c>
      <c r="B7" s="400">
        <f>COUNTIF('Jour 1'!$Q$13:$Q$45,A7)</f>
        <v>0</v>
      </c>
      <c r="C7" s="400">
        <f>COUNTIF('Jour 2'!$Q$13:$Q$45,A7)</f>
        <v>0</v>
      </c>
      <c r="D7" s="400">
        <f>COUNTIF('Jour 3'!$Q$13:$Q$45,A7)</f>
        <v>1</v>
      </c>
      <c r="E7" s="400">
        <f>COUNTIF('Jour 4'!$Q$13:$Q$45,A7)</f>
        <v>0</v>
      </c>
      <c r="F7" s="400">
        <f>COUNTIF('Jour 5'!$Q$13:$Q$45,A7)</f>
        <v>0</v>
      </c>
      <c r="G7" s="400">
        <f>COUNTIF('Jour 6'!$Q$13:$Q$45,A7)</f>
        <v>0</v>
      </c>
      <c r="H7" s="400">
        <f>COUNTIF('Jour 7'!$Q$13:$Q$45,A7)</f>
        <v>0</v>
      </c>
      <c r="I7" s="400">
        <f>COUNTIF('Jour 8'!$Q$13:$Q$45,A7)</f>
        <v>0</v>
      </c>
      <c r="J7" s="400">
        <f>COUNTIF('Jour 9'!$Q$13:$Q$45,A7)</f>
        <v>0</v>
      </c>
      <c r="K7" s="400">
        <f>COUNTIF('Jour 10'!$Q$13:$Q$45,A7)</f>
        <v>0</v>
      </c>
      <c r="L7" s="400">
        <f>COUNTIF('Jour 11'!$Q$13:$Q$45,A7)</f>
        <v>0</v>
      </c>
      <c r="M7" s="400">
        <f>COUNTIF('Jour 12'!$Q$13:$Q$45,A7)</f>
        <v>0</v>
      </c>
      <c r="N7" s="400">
        <f>COUNTIF('Jour 13'!$Q$13:$Q$45,A7)</f>
        <v>0</v>
      </c>
      <c r="O7" s="400">
        <f>COUNTIF('Jour 14'!$Q$13:$Q$45,A7)</f>
        <v>0</v>
      </c>
      <c r="P7" s="400">
        <f>COUNTIF('Jour 15'!$Q$13:$Q$45,A7)</f>
        <v>0</v>
      </c>
      <c r="Q7" s="319"/>
      <c r="R7" s="319">
        <f t="shared" si="0"/>
        <v>1</v>
      </c>
    </row>
    <row r="8" spans="1:18" ht="15" x14ac:dyDescent="0.35">
      <c r="A8" s="398" t="s">
        <v>263</v>
      </c>
      <c r="B8" s="400">
        <f>COUNTIF('Jour 1'!$Q$13:$Q$45,A8)</f>
        <v>0</v>
      </c>
      <c r="C8" s="400">
        <f>COUNTIF('Jour 2'!$Q$13:$Q$45,A8)</f>
        <v>0</v>
      </c>
      <c r="D8" s="400">
        <f>COUNTIF('Jour 3'!$Q$13:$Q$45,A8)</f>
        <v>0</v>
      </c>
      <c r="E8" s="400">
        <f>COUNTIF('Jour 4'!$Q$13:$Q$45,A8)</f>
        <v>0</v>
      </c>
      <c r="F8" s="400">
        <f>COUNTIF('Jour 5'!$Q$13:$Q$45,A8)</f>
        <v>1</v>
      </c>
      <c r="G8" s="400">
        <f>COUNTIF('Jour 6'!$Q$13:$Q$45,A8)</f>
        <v>0</v>
      </c>
      <c r="H8" s="400">
        <f>COUNTIF('Jour 7'!$Q$13:$Q$45,A8)</f>
        <v>0</v>
      </c>
      <c r="I8" s="400">
        <f>COUNTIF('Jour 8'!$Q$13:$Q$45,A8)</f>
        <v>0</v>
      </c>
      <c r="J8" s="400">
        <f>COUNTIF('Jour 9'!$Q$13:$Q$45,A8)</f>
        <v>0</v>
      </c>
      <c r="K8" s="400">
        <f>COUNTIF('Jour 10'!$Q$13:$Q$45,A8)</f>
        <v>0</v>
      </c>
      <c r="L8" s="400">
        <f>COUNTIF('Jour 11'!$Q$13:$Q$45,A8)</f>
        <v>0</v>
      </c>
      <c r="M8" s="400">
        <f>COUNTIF('Jour 12'!$Q$13:$Q$45,A8)</f>
        <v>0</v>
      </c>
      <c r="N8" s="400">
        <f>COUNTIF('Jour 13'!$Q$13:$Q$45,A8)</f>
        <v>0</v>
      </c>
      <c r="O8" s="400">
        <f>COUNTIF('Jour 14'!$Q$13:$Q$45,A8)</f>
        <v>0</v>
      </c>
      <c r="P8" s="400">
        <f>COUNTIF('Jour 15'!$Q$13:$Q$45,A8)</f>
        <v>0</v>
      </c>
      <c r="Q8" s="319"/>
      <c r="R8" s="319">
        <f t="shared" si="0"/>
        <v>1</v>
      </c>
    </row>
    <row r="9" spans="1:18" ht="15" x14ac:dyDescent="0.35">
      <c r="A9" s="398" t="s">
        <v>264</v>
      </c>
      <c r="B9" s="400">
        <f>COUNTIF('Jour 1'!$Q$13:$Q$45,A9)</f>
        <v>1</v>
      </c>
      <c r="C9" s="400">
        <f>COUNTIF('Jour 2'!$Q$13:$Q$45,A9)</f>
        <v>0</v>
      </c>
      <c r="D9" s="400">
        <f>COUNTIF('Jour 3'!$Q$13:$Q$45,A9)</f>
        <v>0</v>
      </c>
      <c r="E9" s="400">
        <f>COUNTIF('Jour 4'!$Q$13:$Q$45,A9)</f>
        <v>0</v>
      </c>
      <c r="F9" s="400">
        <f>COUNTIF('Jour 5'!$Q$13:$Q$45,A9)</f>
        <v>0</v>
      </c>
      <c r="G9" s="400">
        <f>COUNTIF('Jour 6'!$Q$13:$Q$45,A9)</f>
        <v>0</v>
      </c>
      <c r="H9" s="400">
        <f>COUNTIF('Jour 7'!$Q$13:$Q$45,A9)</f>
        <v>0</v>
      </c>
      <c r="I9" s="400">
        <f>COUNTIF('Jour 8'!$Q$13:$Q$45,A9)</f>
        <v>1</v>
      </c>
      <c r="J9" s="400">
        <f>COUNTIF('Jour 9'!$Q$13:$Q$45,A9)</f>
        <v>0</v>
      </c>
      <c r="K9" s="400">
        <f>COUNTIF('Jour 10'!$Q$13:$Q$45,A9)</f>
        <v>0</v>
      </c>
      <c r="L9" s="400">
        <f>COUNTIF('Jour 11'!$Q$13:$Q$45,A9)</f>
        <v>0</v>
      </c>
      <c r="M9" s="400">
        <f>COUNTIF('Jour 12'!$Q$13:$Q$45,A9)</f>
        <v>0</v>
      </c>
      <c r="N9" s="400">
        <f>COUNTIF('Jour 13'!$Q$13:$Q$45,A9)</f>
        <v>0</v>
      </c>
      <c r="O9" s="400">
        <f>COUNTIF('Jour 14'!$Q$13:$Q$45,A9)</f>
        <v>0</v>
      </c>
      <c r="P9" s="400">
        <f>COUNTIF('Jour 15'!$Q$13:$Q$45,A9)</f>
        <v>0</v>
      </c>
      <c r="Q9" s="319"/>
      <c r="R9" s="319">
        <f t="shared" si="0"/>
        <v>2</v>
      </c>
    </row>
    <row r="10" spans="1:18" ht="15" x14ac:dyDescent="0.35">
      <c r="A10" s="398" t="s">
        <v>257</v>
      </c>
      <c r="B10" s="400">
        <f>COUNTIF('Jour 1'!$Q$13:$Q$45,A10)</f>
        <v>0</v>
      </c>
      <c r="C10" s="400">
        <f>COUNTIF('Jour 2'!$Q$13:$Q$45,A10)</f>
        <v>1</v>
      </c>
      <c r="D10" s="400">
        <f>COUNTIF('Jour 3'!$Q$13:$Q$45,A10)</f>
        <v>0</v>
      </c>
      <c r="E10" s="400">
        <f>COUNTIF('Jour 4'!$Q$13:$Q$45,A10)</f>
        <v>0</v>
      </c>
      <c r="F10" s="400">
        <f>COUNTIF('Jour 5'!$Q$13:$Q$45,A10)</f>
        <v>0</v>
      </c>
      <c r="G10" s="400">
        <f>COUNTIF('Jour 6'!$Q$13:$Q$45,A10)</f>
        <v>0</v>
      </c>
      <c r="H10" s="400">
        <f>COUNTIF('Jour 7'!$Q$13:$Q$45,A10)</f>
        <v>1</v>
      </c>
      <c r="I10" s="400">
        <f>COUNTIF('Jour 8'!$Q$13:$Q$45,A10)</f>
        <v>0</v>
      </c>
      <c r="J10" s="400">
        <f>COUNTIF('Jour 9'!$Q$13:$Q$45,A10)</f>
        <v>0</v>
      </c>
      <c r="K10" s="400">
        <f>COUNTIF('Jour 10'!$Q$13:$Q$45,A10)</f>
        <v>0</v>
      </c>
      <c r="L10" s="400">
        <f>COUNTIF('Jour 11'!$Q$13:$Q$45,A10)</f>
        <v>0</v>
      </c>
      <c r="M10" s="400">
        <f>COUNTIF('Jour 12'!$Q$13:$Q$45,A10)</f>
        <v>0</v>
      </c>
      <c r="N10" s="400">
        <f>COUNTIF('Jour 13'!$Q$13:$Q$45,A10)</f>
        <v>0</v>
      </c>
      <c r="O10" s="400">
        <f>COUNTIF('Jour 14'!$Q$13:$Q$45,A10)</f>
        <v>0</v>
      </c>
      <c r="P10" s="400">
        <f>COUNTIF('Jour 15'!$Q$13:$Q$45,A10)</f>
        <v>0</v>
      </c>
      <c r="Q10" s="319"/>
      <c r="R10" s="319">
        <f t="shared" si="0"/>
        <v>2</v>
      </c>
    </row>
    <row r="11" spans="1:18" ht="15" x14ac:dyDescent="0.35">
      <c r="A11" s="398" t="s">
        <v>258</v>
      </c>
      <c r="B11" s="400">
        <f>COUNTIF('Jour 1'!$Q$13:$Q$45,A11)</f>
        <v>0</v>
      </c>
      <c r="C11" s="400">
        <f>COUNTIF('Jour 2'!$Q$13:$Q$45,A11)</f>
        <v>1</v>
      </c>
      <c r="D11" s="400">
        <f>COUNTIF('Jour 3'!$Q$13:$Q$45,A11)</f>
        <v>1</v>
      </c>
      <c r="E11" s="400">
        <f>COUNTIF('Jour 4'!$Q$13:$Q$45,A11)</f>
        <v>0</v>
      </c>
      <c r="F11" s="400">
        <f>COUNTIF('Jour 5'!$Q$13:$Q$45,A11)</f>
        <v>0</v>
      </c>
      <c r="G11" s="400">
        <f>COUNTIF('Jour 6'!$Q$13:$Q$45,A11)</f>
        <v>0</v>
      </c>
      <c r="H11" s="400">
        <f>COUNTIF('Jour 7'!$Q$13:$Q$45,A11)</f>
        <v>0</v>
      </c>
      <c r="I11" s="400">
        <f>COUNTIF('Jour 8'!$Q$13:$Q$45,A11)</f>
        <v>0</v>
      </c>
      <c r="J11" s="400">
        <f>COUNTIF('Jour 9'!$Q$13:$Q$45,A11)</f>
        <v>0</v>
      </c>
      <c r="K11" s="400">
        <f>COUNTIF('Jour 10'!$Q$13:$Q$45,A11)</f>
        <v>0</v>
      </c>
      <c r="L11" s="400">
        <f>COUNTIF('Jour 11'!$Q$13:$Q$45,A11)</f>
        <v>0</v>
      </c>
      <c r="M11" s="400">
        <f>COUNTIF('Jour 12'!$Q$13:$Q$45,A11)</f>
        <v>0</v>
      </c>
      <c r="N11" s="400">
        <f>COUNTIF('Jour 13'!$Q$13:$Q$45,A11)</f>
        <v>0</v>
      </c>
      <c r="O11" s="400">
        <f>COUNTIF('Jour 14'!$Q$13:$Q$45,A11)</f>
        <v>0</v>
      </c>
      <c r="P11" s="400">
        <f>COUNTIF('Jour 15'!$Q$13:$Q$45,A11)</f>
        <v>0</v>
      </c>
      <c r="Q11" s="319"/>
      <c r="R11" s="319">
        <f t="shared" si="0"/>
        <v>2</v>
      </c>
    </row>
    <row r="12" spans="1:18" ht="15" x14ac:dyDescent="0.35">
      <c r="A12" s="398" t="s">
        <v>259</v>
      </c>
      <c r="B12" s="400">
        <f>COUNTIF('Jour 1'!$Q$13:$Q$45,A12)</f>
        <v>0</v>
      </c>
      <c r="C12" s="400">
        <f>COUNTIF('Jour 2'!$Q$13:$Q$45,A12)</f>
        <v>0</v>
      </c>
      <c r="D12" s="400">
        <f>COUNTIF('Jour 3'!$Q$13:$Q$45,A12)</f>
        <v>0</v>
      </c>
      <c r="E12" s="400">
        <f>COUNTIF('Jour 4'!$Q$13:$Q$45,A12)</f>
        <v>0</v>
      </c>
      <c r="F12" s="400">
        <f>COUNTIF('Jour 5'!$Q$13:$Q$45,A12)</f>
        <v>0</v>
      </c>
      <c r="G12" s="400">
        <f>COUNTIF('Jour 6'!$Q$13:$Q$45,A12)</f>
        <v>0</v>
      </c>
      <c r="H12" s="400">
        <f>COUNTIF('Jour 7'!$Q$13:$Q$45,A12)</f>
        <v>0</v>
      </c>
      <c r="I12" s="400">
        <f>COUNTIF('Jour 8'!$Q$13:$Q$45,A12)</f>
        <v>1</v>
      </c>
      <c r="J12" s="400">
        <f>COUNTIF('Jour 9'!$Q$13:$Q$45,A12)</f>
        <v>0</v>
      </c>
      <c r="K12" s="400">
        <f>COUNTIF('Jour 10'!$Q$13:$Q$45,A12)</f>
        <v>0</v>
      </c>
      <c r="L12" s="400">
        <f>COUNTIF('Jour 11'!$Q$13:$Q$45,A12)</f>
        <v>0</v>
      </c>
      <c r="M12" s="400">
        <f>COUNTIF('Jour 12'!$Q$13:$Q$45,A12)</f>
        <v>0</v>
      </c>
      <c r="N12" s="400">
        <f>COUNTIF('Jour 13'!$Q$13:$Q$45,A12)</f>
        <v>0</v>
      </c>
      <c r="O12" s="400">
        <f>COUNTIF('Jour 14'!$Q$13:$Q$45,A12)</f>
        <v>0</v>
      </c>
      <c r="P12" s="400">
        <f>COUNTIF('Jour 15'!$Q$13:$Q$45,A12)</f>
        <v>0</v>
      </c>
      <c r="Q12" s="319"/>
      <c r="R12" s="319">
        <f t="shared" si="0"/>
        <v>1</v>
      </c>
    </row>
    <row r="13" spans="1:18" ht="15" x14ac:dyDescent="0.35">
      <c r="A13" s="398" t="s">
        <v>282</v>
      </c>
      <c r="B13" s="400">
        <f>COUNTIF('Jour 1'!$Q$13:$Q$45,A13)</f>
        <v>2</v>
      </c>
      <c r="C13" s="400">
        <f>COUNTIF('Jour 2'!$Q$13:$Q$45,A13)</f>
        <v>1</v>
      </c>
      <c r="D13" s="400">
        <f>COUNTIF('Jour 3'!$Q$13:$Q$45,A13)</f>
        <v>0</v>
      </c>
      <c r="E13" s="400">
        <f>COUNTIF('Jour 4'!$Q$13:$Q$45,A13)</f>
        <v>2</v>
      </c>
      <c r="F13" s="400">
        <f>COUNTIF('Jour 5'!$Q$13:$Q$45,A13)</f>
        <v>0</v>
      </c>
      <c r="G13" s="400">
        <f>COUNTIF('Jour 6'!$Q$13:$Q$45,A13)</f>
        <v>0</v>
      </c>
      <c r="H13" s="400">
        <f>COUNTIF('Jour 7'!$Q$13:$Q$45,A13)</f>
        <v>0</v>
      </c>
      <c r="I13" s="400">
        <f>COUNTIF('Jour 8'!$Q$13:$Q$45,A13)</f>
        <v>1</v>
      </c>
      <c r="J13" s="400">
        <f>COUNTIF('Jour 9'!$Q$13:$Q$45,A13)</f>
        <v>0</v>
      </c>
      <c r="K13" s="400">
        <f>COUNTIF('Jour 10'!$Q$13:$Q$45,A13)</f>
        <v>2</v>
      </c>
      <c r="L13" s="400">
        <f>COUNTIF('Jour 11'!$Q$13:$Q$45,A13)</f>
        <v>0</v>
      </c>
      <c r="M13" s="400">
        <f>COUNTIF('Jour 12'!$Q$13:$Q$45,A13)</f>
        <v>0</v>
      </c>
      <c r="N13" s="400">
        <f>COUNTIF('Jour 13'!$Q$13:$Q$45,A13)</f>
        <v>0</v>
      </c>
      <c r="O13" s="400">
        <f>COUNTIF('Jour 14'!$Q$13:$Q$45,A13)</f>
        <v>0</v>
      </c>
      <c r="P13" s="400">
        <f>COUNTIF('Jour 15'!$Q$13:$Q$45,A13)</f>
        <v>0</v>
      </c>
      <c r="Q13" s="319"/>
      <c r="R13" s="319">
        <f t="shared" si="0"/>
        <v>8</v>
      </c>
    </row>
    <row r="14" spans="1:18" ht="15" x14ac:dyDescent="0.35">
      <c r="A14" s="398" t="s">
        <v>281</v>
      </c>
      <c r="B14" s="400">
        <f>COUNTIF('Jour 1'!$Q$13:$Q$45,A14)</f>
        <v>0</v>
      </c>
      <c r="C14" s="400">
        <f>COUNTIF('Jour 2'!$Q$13:$Q$45,A14)</f>
        <v>0</v>
      </c>
      <c r="D14" s="400">
        <f>COUNTIF('Jour 3'!$Q$13:$Q$45,A14)</f>
        <v>1</v>
      </c>
      <c r="E14" s="400">
        <f>COUNTIF('Jour 4'!$Q$13:$Q$45,A14)</f>
        <v>0</v>
      </c>
      <c r="F14" s="400">
        <f>COUNTIF('Jour 5'!$Q$13:$Q$45,A14)</f>
        <v>0</v>
      </c>
      <c r="G14" s="400">
        <f>COUNTIF('Jour 6'!$Q$13:$Q$45,A14)</f>
        <v>0</v>
      </c>
      <c r="H14" s="400">
        <f>COUNTIF('Jour 7'!$Q$13:$Q$45,A14)</f>
        <v>0</v>
      </c>
      <c r="I14" s="400">
        <f>COUNTIF('Jour 8'!$Q$13:$Q$45,A14)</f>
        <v>0</v>
      </c>
      <c r="J14" s="400">
        <f>COUNTIF('Jour 9'!$Q$13:$Q$45,A14)</f>
        <v>0</v>
      </c>
      <c r="K14" s="400">
        <f>COUNTIF('Jour 10'!$Q$13:$Q$45,A14)</f>
        <v>1</v>
      </c>
      <c r="L14" s="400">
        <f>COUNTIF('Jour 11'!$Q$13:$Q$45,A14)</f>
        <v>0</v>
      </c>
      <c r="M14" s="400">
        <f>COUNTIF('Jour 12'!$Q$13:$Q$45,A14)</f>
        <v>0</v>
      </c>
      <c r="N14" s="400">
        <f>COUNTIF('Jour 13'!$Q$13:$Q$45,A14)</f>
        <v>0</v>
      </c>
      <c r="O14" s="400">
        <f>COUNTIF('Jour 14'!$Q$13:$Q$45,A14)</f>
        <v>0</v>
      </c>
      <c r="P14" s="400">
        <f>COUNTIF('Jour 15'!$Q$13:$Q$45,A14)</f>
        <v>0</v>
      </c>
      <c r="Q14" s="319"/>
      <c r="R14" s="319">
        <f t="shared" si="0"/>
        <v>2</v>
      </c>
    </row>
    <row r="15" spans="1:18" ht="15" x14ac:dyDescent="0.35">
      <c r="A15" s="398" t="s">
        <v>285</v>
      </c>
      <c r="B15" s="400">
        <f>COUNTIF('Jour 1'!$Q$13:$Q$45,A15)</f>
        <v>0</v>
      </c>
      <c r="C15" s="400">
        <f>COUNTIF('Jour 2'!$Q$13:$Q$45,A15)</f>
        <v>0</v>
      </c>
      <c r="D15" s="400">
        <f>COUNTIF('Jour 3'!$Q$13:$Q$45,A15)</f>
        <v>0</v>
      </c>
      <c r="E15" s="400">
        <f>COUNTIF('Jour 4'!$Q$13:$Q$45,A15)</f>
        <v>0</v>
      </c>
      <c r="F15" s="400">
        <f>COUNTIF('Jour 5'!$Q$13:$Q$45,A15)</f>
        <v>0</v>
      </c>
      <c r="G15" s="400">
        <f>COUNTIF('Jour 6'!$Q$13:$Q$45,A15)</f>
        <v>1</v>
      </c>
      <c r="H15" s="400">
        <f>COUNTIF('Jour 7'!$Q$13:$Q$45,A15)</f>
        <v>0</v>
      </c>
      <c r="I15" s="400">
        <f>COUNTIF('Jour 8'!$Q$13:$Q$45,A15)</f>
        <v>1</v>
      </c>
      <c r="J15" s="400">
        <f>COUNTIF('Jour 9'!$Q$13:$Q$45,A15)</f>
        <v>0</v>
      </c>
      <c r="K15" s="400">
        <f>COUNTIF('Jour 10'!$Q$13:$Q$45,A15)</f>
        <v>0</v>
      </c>
      <c r="L15" s="400">
        <f>COUNTIF('Jour 11'!$Q$13:$Q$45,A15)</f>
        <v>0</v>
      </c>
      <c r="M15" s="400">
        <f>COUNTIF('Jour 12'!$Q$13:$Q$45,A15)</f>
        <v>0</v>
      </c>
      <c r="N15" s="400">
        <f>COUNTIF('Jour 13'!$Q$13:$Q$45,A15)</f>
        <v>0</v>
      </c>
      <c r="O15" s="400">
        <f>COUNTIF('Jour 14'!$Q$13:$Q$45,A15)</f>
        <v>0</v>
      </c>
      <c r="P15" s="400">
        <f>COUNTIF('Jour 15'!$Q$13:$Q$45,A15)</f>
        <v>0</v>
      </c>
      <c r="Q15" s="319"/>
      <c r="R15" s="319">
        <f t="shared" si="0"/>
        <v>2</v>
      </c>
    </row>
    <row r="16" spans="1:18" ht="15" x14ac:dyDescent="0.35">
      <c r="A16" s="398" t="s">
        <v>283</v>
      </c>
      <c r="B16" s="400">
        <f>COUNTIF('Jour 1'!$Q$13:$Q$45,A16)</f>
        <v>1</v>
      </c>
      <c r="C16" s="400">
        <f>COUNTIF('Jour 2'!$Q$13:$Q$45,A16)</f>
        <v>0</v>
      </c>
      <c r="D16" s="400">
        <f>COUNTIF('Jour 3'!$Q$13:$Q$45,A16)</f>
        <v>0</v>
      </c>
      <c r="E16" s="400">
        <f>COUNTIF('Jour 4'!$Q$13:$Q$45,A16)</f>
        <v>0</v>
      </c>
      <c r="F16" s="400">
        <f>COUNTIF('Jour 5'!$Q$13:$Q$45,A16)</f>
        <v>0</v>
      </c>
      <c r="G16" s="400">
        <f>COUNTIF('Jour 6'!$Q$13:$Q$45,A16)</f>
        <v>0</v>
      </c>
      <c r="H16" s="400">
        <f>COUNTIF('Jour 7'!$Q$13:$Q$45,A16)</f>
        <v>0</v>
      </c>
      <c r="I16" s="400">
        <f>COUNTIF('Jour 8'!$Q$13:$Q$45,A16)</f>
        <v>0</v>
      </c>
      <c r="J16" s="400">
        <f>COUNTIF('Jour 9'!$Q$13:$Q$45,A16)</f>
        <v>0</v>
      </c>
      <c r="K16" s="400">
        <f>COUNTIF('Jour 10'!$Q$13:$Q$45,A16)</f>
        <v>0</v>
      </c>
      <c r="L16" s="400">
        <f>COUNTIF('Jour 11'!$Q$13:$Q$45,A16)</f>
        <v>0</v>
      </c>
      <c r="M16" s="400">
        <f>COUNTIF('Jour 12'!$Q$13:$Q$45,A16)</f>
        <v>0</v>
      </c>
      <c r="N16" s="400">
        <f>COUNTIF('Jour 13'!$Q$13:$Q$45,A16)</f>
        <v>0</v>
      </c>
      <c r="O16" s="400">
        <f>COUNTIF('Jour 14'!$Q$13:$Q$45,A16)</f>
        <v>0</v>
      </c>
      <c r="P16" s="400">
        <f>COUNTIF('Jour 15'!$Q$13:$Q$45,A16)</f>
        <v>0</v>
      </c>
      <c r="Q16" s="319"/>
      <c r="R16" s="319">
        <f t="shared" si="0"/>
        <v>1</v>
      </c>
    </row>
    <row r="17" spans="1:18" ht="15" x14ac:dyDescent="0.35">
      <c r="A17" s="398" t="s">
        <v>284</v>
      </c>
      <c r="B17" s="400">
        <f>COUNTIF('Jour 1'!$Q$13:$Q$45,A17)</f>
        <v>0</v>
      </c>
      <c r="C17" s="400">
        <f>COUNTIF('Jour 2'!$Q$13:$Q$45,A17)</f>
        <v>1</v>
      </c>
      <c r="D17" s="400">
        <f>COUNTIF('Jour 3'!$Q$13:$Q$45,A17)</f>
        <v>0</v>
      </c>
      <c r="E17" s="400">
        <f>COUNTIF('Jour 4'!$Q$13:$Q$45,A17)</f>
        <v>1</v>
      </c>
      <c r="F17" s="400">
        <f>COUNTIF('Jour 5'!$Q$13:$Q$45,A17)</f>
        <v>1</v>
      </c>
      <c r="G17" s="400">
        <f>COUNTIF('Jour 6'!$Q$13:$Q$45,A17)</f>
        <v>0</v>
      </c>
      <c r="H17" s="400">
        <f>COUNTIF('Jour 7'!$Q$13:$Q$45,A17)</f>
        <v>0</v>
      </c>
      <c r="I17" s="400">
        <f>COUNTIF('Jour 8'!$Q$13:$Q$45,A17)</f>
        <v>0</v>
      </c>
      <c r="J17" s="400">
        <f>COUNTIF('Jour 9'!$Q$13:$Q$45,A17)</f>
        <v>0</v>
      </c>
      <c r="K17" s="400">
        <f>COUNTIF('Jour 10'!$Q$13:$Q$45,A17)</f>
        <v>0</v>
      </c>
      <c r="L17" s="400">
        <f>COUNTIF('Jour 11'!$Q$13:$Q$45,A17)</f>
        <v>0</v>
      </c>
      <c r="M17" s="400">
        <f>COUNTIF('Jour 12'!$Q$13:$Q$45,A17)</f>
        <v>0</v>
      </c>
      <c r="N17" s="400">
        <f>COUNTIF('Jour 13'!$Q$13:$Q$45,A17)</f>
        <v>0</v>
      </c>
      <c r="O17" s="400">
        <f>COUNTIF('Jour 14'!$Q$13:$Q$45,A17)</f>
        <v>0</v>
      </c>
      <c r="P17" s="400">
        <f>COUNTIF('Jour 15'!$Q$13:$Q$45,A17)</f>
        <v>0</v>
      </c>
      <c r="Q17" s="319"/>
      <c r="R17" s="319">
        <f t="shared" si="0"/>
        <v>3</v>
      </c>
    </row>
    <row r="18" spans="1:18" ht="15" x14ac:dyDescent="0.35">
      <c r="A18" s="398" t="s">
        <v>286</v>
      </c>
      <c r="B18" s="400">
        <f>COUNTIF('Jour 1'!$Q$13:$Q$45,A18)</f>
        <v>0</v>
      </c>
      <c r="C18" s="400">
        <f>COUNTIF('Jour 2'!$Q$13:$Q$45,A18)</f>
        <v>0</v>
      </c>
      <c r="D18" s="400">
        <f>COUNTIF('Jour 3'!$Q$13:$Q$45,A18)</f>
        <v>1</v>
      </c>
      <c r="E18" s="400">
        <f>COUNTIF('Jour 4'!$Q$13:$Q$45,A18)</f>
        <v>0</v>
      </c>
      <c r="F18" s="400">
        <f>COUNTIF('Jour 5'!$Q$13:$Q$45,A18)</f>
        <v>1</v>
      </c>
      <c r="G18" s="400">
        <f>COUNTIF('Jour 6'!$Q$13:$Q$45,A18)</f>
        <v>0</v>
      </c>
      <c r="H18" s="400">
        <f>COUNTIF('Jour 7'!$Q$13:$Q$45,A18)</f>
        <v>0</v>
      </c>
      <c r="I18" s="400">
        <f>COUNTIF('Jour 8'!$Q$13:$Q$45,A18)</f>
        <v>0</v>
      </c>
      <c r="J18" s="400">
        <f>COUNTIF('Jour 9'!$Q$13:$Q$45,A18)</f>
        <v>1</v>
      </c>
      <c r="K18" s="400">
        <f>COUNTIF('Jour 10'!$Q$13:$Q$45,A18)</f>
        <v>0</v>
      </c>
      <c r="L18" s="400">
        <f>COUNTIF('Jour 11'!$Q$13:$Q$45,A18)</f>
        <v>0</v>
      </c>
      <c r="M18" s="400">
        <f>COUNTIF('Jour 12'!$Q$13:$Q$45,A18)</f>
        <v>0</v>
      </c>
      <c r="N18" s="400">
        <f>COUNTIF('Jour 13'!$Q$13:$Q$45,A18)</f>
        <v>0</v>
      </c>
      <c r="O18" s="400">
        <f>COUNTIF('Jour 14'!$Q$13:$Q$45,A18)</f>
        <v>0</v>
      </c>
      <c r="P18" s="400">
        <f>COUNTIF('Jour 15'!$Q$13:$Q$45,A18)</f>
        <v>0</v>
      </c>
      <c r="Q18" s="319"/>
      <c r="R18" s="319">
        <f t="shared" si="0"/>
        <v>3</v>
      </c>
    </row>
    <row r="19" spans="1:18" ht="15" x14ac:dyDescent="0.35">
      <c r="A19" s="398" t="s">
        <v>287</v>
      </c>
      <c r="B19" s="400">
        <f>COUNTIF('Jour 1'!$Q$13:$Q$45,A19)</f>
        <v>0</v>
      </c>
      <c r="C19" s="400">
        <f>COUNTIF('Jour 2'!$Q$13:$Q$45,A19)</f>
        <v>0</v>
      </c>
      <c r="D19" s="400">
        <f>COUNTIF('Jour 3'!$Q$13:$Q$45,A19)</f>
        <v>1</v>
      </c>
      <c r="E19" s="400">
        <f>COUNTIF('Jour 4'!$Q$13:$Q$45,A19)</f>
        <v>1</v>
      </c>
      <c r="F19" s="400">
        <f>COUNTIF('Jour 5'!$Q$13:$Q$45,A19)</f>
        <v>0</v>
      </c>
      <c r="G19" s="400">
        <f>COUNTIF('Jour 6'!$Q$13:$Q$45,A19)</f>
        <v>0</v>
      </c>
      <c r="H19" s="400">
        <f>COUNTIF('Jour 7'!$Q$13:$Q$45,A19)</f>
        <v>0</v>
      </c>
      <c r="I19" s="400">
        <f>COUNTIF('Jour 8'!$Q$13:$Q$45,A19)</f>
        <v>0</v>
      </c>
      <c r="J19" s="400">
        <f>COUNTIF('Jour 9'!$Q$13:$Q$45,A19)</f>
        <v>0</v>
      </c>
      <c r="K19" s="400">
        <f>COUNTIF('Jour 10'!$Q$13:$Q$45,A19)</f>
        <v>1</v>
      </c>
      <c r="L19" s="400">
        <f>COUNTIF('Jour 11'!$Q$13:$Q$45,A19)</f>
        <v>0</v>
      </c>
      <c r="M19" s="400">
        <f>COUNTIF('Jour 12'!$Q$13:$Q$45,A19)</f>
        <v>0</v>
      </c>
      <c r="N19" s="400">
        <f>COUNTIF('Jour 13'!$Q$13:$Q$45,A19)</f>
        <v>0</v>
      </c>
      <c r="O19" s="400">
        <f>COUNTIF('Jour 14'!$Q$13:$Q$45,A19)</f>
        <v>0</v>
      </c>
      <c r="P19" s="400">
        <f>COUNTIF('Jour 15'!$Q$13:$Q$45,A19)</f>
        <v>0</v>
      </c>
      <c r="Q19" s="319"/>
      <c r="R19" s="319">
        <f t="shared" si="0"/>
        <v>3</v>
      </c>
    </row>
    <row r="20" spans="1:18" ht="15" x14ac:dyDescent="0.35">
      <c r="A20" s="319"/>
      <c r="B20" s="401"/>
      <c r="C20" s="401"/>
      <c r="D20" s="401"/>
      <c r="E20" s="401"/>
      <c r="F20" s="401"/>
      <c r="G20" s="401"/>
      <c r="H20" s="401"/>
      <c r="I20" s="401"/>
      <c r="J20" s="401"/>
      <c r="K20" s="401"/>
      <c r="L20" s="401"/>
      <c r="M20" s="401"/>
      <c r="N20" s="401"/>
      <c r="O20" s="401"/>
      <c r="P20" s="401"/>
      <c r="Q20" s="319"/>
      <c r="R20" s="319"/>
    </row>
    <row r="21" spans="1:18" ht="15" x14ac:dyDescent="0.35">
      <c r="A21" s="319"/>
      <c r="B21" s="401">
        <f>SUM(B5:B12)</f>
        <v>1</v>
      </c>
      <c r="C21" s="401">
        <f t="shared" ref="C21:P21" si="1">SUM(C5:C12)</f>
        <v>2</v>
      </c>
      <c r="D21" s="401">
        <f t="shared" si="1"/>
        <v>3</v>
      </c>
      <c r="E21" s="401">
        <f t="shared" si="1"/>
        <v>0</v>
      </c>
      <c r="F21" s="401">
        <f t="shared" si="1"/>
        <v>2</v>
      </c>
      <c r="G21" s="401">
        <f t="shared" si="1"/>
        <v>0</v>
      </c>
      <c r="H21" s="401">
        <f t="shared" si="1"/>
        <v>1</v>
      </c>
      <c r="I21" s="401">
        <f t="shared" si="1"/>
        <v>2</v>
      </c>
      <c r="J21" s="401">
        <f t="shared" si="1"/>
        <v>0</v>
      </c>
      <c r="K21" s="401">
        <f t="shared" si="1"/>
        <v>0</v>
      </c>
      <c r="L21" s="401">
        <f t="shared" si="1"/>
        <v>0</v>
      </c>
      <c r="M21" s="401">
        <f t="shared" si="1"/>
        <v>0</v>
      </c>
      <c r="N21" s="401">
        <f t="shared" si="1"/>
        <v>0</v>
      </c>
      <c r="O21" s="401">
        <f t="shared" si="1"/>
        <v>0</v>
      </c>
      <c r="P21" s="401">
        <f t="shared" si="1"/>
        <v>0</v>
      </c>
      <c r="Q21" s="319"/>
      <c r="R21" s="319"/>
    </row>
    <row r="22" spans="1:18" ht="15" x14ac:dyDescent="0.35"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8" x14ac:dyDescent="0.35"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8" x14ac:dyDescent="0.35"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8" x14ac:dyDescent="0.35"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8" x14ac:dyDescent="0.35"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</row>
    <row r="27" spans="1:18" x14ac:dyDescent="0.35"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8" x14ac:dyDescent="0.35"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8" x14ac:dyDescent="0.35"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5"/>
  <sheetViews>
    <sheetView workbookViewId="0">
      <selection activeCell="F5" sqref="F5"/>
    </sheetView>
  </sheetViews>
  <sheetFormatPr baseColWidth="10" defaultRowHeight="14.5" x14ac:dyDescent="0.35"/>
  <cols>
    <col min="3" max="3" width="13.7265625" customWidth="1"/>
    <col min="4" max="4" width="15.7265625" customWidth="1"/>
  </cols>
  <sheetData>
    <row r="2" spans="2:10" ht="15.75" thickBot="1" x14ac:dyDescent="0.3"/>
    <row r="3" spans="2:10" ht="15.75" thickBot="1" x14ac:dyDescent="0.3">
      <c r="F3" s="913" t="s">
        <v>294</v>
      </c>
      <c r="G3" s="914"/>
      <c r="I3" s="913" t="s">
        <v>296</v>
      </c>
      <c r="J3" s="914"/>
    </row>
    <row r="4" spans="2:10" ht="45.75" thickBot="1" x14ac:dyDescent="0.3">
      <c r="B4" s="402"/>
      <c r="C4" s="403" t="s">
        <v>289</v>
      </c>
      <c r="D4" s="402" t="s">
        <v>288</v>
      </c>
      <c r="F4" s="420" t="s">
        <v>292</v>
      </c>
      <c r="G4" s="421" t="s">
        <v>293</v>
      </c>
      <c r="I4" s="428" t="s">
        <v>295</v>
      </c>
      <c r="J4" s="429" t="s">
        <v>293</v>
      </c>
    </row>
    <row r="5" spans="2:10" ht="15.75" thickTop="1" x14ac:dyDescent="0.25">
      <c r="B5" s="404"/>
      <c r="C5" s="405">
        <v>0</v>
      </c>
      <c r="D5" s="404">
        <v>20</v>
      </c>
      <c r="F5" s="414">
        <v>24</v>
      </c>
      <c r="G5" s="415">
        <v>20</v>
      </c>
      <c r="I5" s="422">
        <v>1</v>
      </c>
      <c r="J5" s="423">
        <v>20</v>
      </c>
    </row>
    <row r="6" spans="2:10" ht="15" x14ac:dyDescent="0.25">
      <c r="B6" s="404"/>
      <c r="C6" s="406">
        <v>1E-3</v>
      </c>
      <c r="D6" s="404">
        <v>19</v>
      </c>
      <c r="F6" s="416">
        <v>23</v>
      </c>
      <c r="G6" s="417">
        <v>19</v>
      </c>
      <c r="I6" s="424">
        <v>2</v>
      </c>
      <c r="J6" s="425">
        <v>19</v>
      </c>
    </row>
    <row r="7" spans="2:10" ht="15" x14ac:dyDescent="0.25">
      <c r="B7" s="404"/>
      <c r="C7" s="406">
        <v>3.1E-2</v>
      </c>
      <c r="D7" s="404">
        <v>18</v>
      </c>
      <c r="F7" s="416">
        <v>22</v>
      </c>
      <c r="G7" s="417">
        <v>18</v>
      </c>
      <c r="I7" s="424">
        <v>3</v>
      </c>
      <c r="J7" s="425">
        <v>18</v>
      </c>
    </row>
    <row r="8" spans="2:10" ht="15" x14ac:dyDescent="0.25">
      <c r="B8" s="404"/>
      <c r="C8" s="406">
        <v>5.0999999999999997E-2</v>
      </c>
      <c r="D8" s="404">
        <v>17</v>
      </c>
      <c r="F8" s="416">
        <v>21</v>
      </c>
      <c r="G8" s="417">
        <v>17</v>
      </c>
      <c r="I8" s="424">
        <v>4</v>
      </c>
      <c r="J8" s="425">
        <v>17</v>
      </c>
    </row>
    <row r="9" spans="2:10" ht="15" x14ac:dyDescent="0.25">
      <c r="B9" s="404"/>
      <c r="C9" s="406">
        <v>7.0999999999999994E-2</v>
      </c>
      <c r="D9" s="404">
        <v>16</v>
      </c>
      <c r="F9" s="416">
        <v>20</v>
      </c>
      <c r="G9" s="417">
        <v>16</v>
      </c>
      <c r="I9" s="424">
        <v>5</v>
      </c>
      <c r="J9" s="425">
        <v>16</v>
      </c>
    </row>
    <row r="10" spans="2:10" ht="15" x14ac:dyDescent="0.25">
      <c r="B10" s="404"/>
      <c r="C10" s="406">
        <v>9.0999999999999998E-2</v>
      </c>
      <c r="D10" s="404">
        <v>15</v>
      </c>
      <c r="F10" s="416">
        <v>19</v>
      </c>
      <c r="G10" s="417">
        <v>15</v>
      </c>
      <c r="I10" s="424">
        <v>6</v>
      </c>
      <c r="J10" s="425">
        <v>15</v>
      </c>
    </row>
    <row r="11" spans="2:10" ht="15" x14ac:dyDescent="0.25">
      <c r="B11" s="404"/>
      <c r="C11" s="406">
        <v>0.111</v>
      </c>
      <c r="D11" s="404">
        <v>14</v>
      </c>
      <c r="F11" s="416">
        <v>18</v>
      </c>
      <c r="G11" s="417">
        <v>14</v>
      </c>
      <c r="I11" s="424">
        <v>7</v>
      </c>
      <c r="J11" s="425">
        <v>14</v>
      </c>
    </row>
    <row r="12" spans="2:10" ht="15" x14ac:dyDescent="0.25">
      <c r="B12" s="404"/>
      <c r="C12" s="406">
        <v>0.13100000000000001</v>
      </c>
      <c r="D12" s="404">
        <v>13</v>
      </c>
      <c r="F12" s="416">
        <v>17</v>
      </c>
      <c r="G12" s="417">
        <v>13</v>
      </c>
      <c r="I12" s="424">
        <v>8</v>
      </c>
      <c r="J12" s="425">
        <v>13</v>
      </c>
    </row>
    <row r="13" spans="2:10" ht="15" x14ac:dyDescent="0.25">
      <c r="B13" s="404"/>
      <c r="C13" s="406">
        <v>0.151</v>
      </c>
      <c r="D13" s="404">
        <v>12</v>
      </c>
      <c r="F13" s="416">
        <v>16</v>
      </c>
      <c r="G13" s="417">
        <v>12</v>
      </c>
      <c r="I13" s="424">
        <v>9</v>
      </c>
      <c r="J13" s="425">
        <v>12</v>
      </c>
    </row>
    <row r="14" spans="2:10" ht="15" x14ac:dyDescent="0.25">
      <c r="B14" s="404"/>
      <c r="C14" s="406">
        <v>0.17100000000000001</v>
      </c>
      <c r="D14" s="404">
        <v>11</v>
      </c>
      <c r="F14" s="416">
        <v>15</v>
      </c>
      <c r="G14" s="417">
        <v>11</v>
      </c>
      <c r="I14" s="424">
        <v>10</v>
      </c>
      <c r="J14" s="425">
        <v>11</v>
      </c>
    </row>
    <row r="15" spans="2:10" ht="15" x14ac:dyDescent="0.25">
      <c r="B15" s="404"/>
      <c r="C15" s="406">
        <v>0.191</v>
      </c>
      <c r="D15" s="404">
        <v>10</v>
      </c>
      <c r="F15" s="416">
        <v>14</v>
      </c>
      <c r="G15" s="417">
        <v>10</v>
      </c>
      <c r="I15" s="424">
        <v>11</v>
      </c>
      <c r="J15" s="425">
        <v>10</v>
      </c>
    </row>
    <row r="16" spans="2:10" ht="15" x14ac:dyDescent="0.25">
      <c r="B16" s="404"/>
      <c r="C16" s="406">
        <v>0.21099999999999999</v>
      </c>
      <c r="D16" s="404">
        <v>9</v>
      </c>
      <c r="F16" s="416">
        <v>13</v>
      </c>
      <c r="G16" s="417">
        <v>9</v>
      </c>
      <c r="I16" s="424">
        <v>12</v>
      </c>
      <c r="J16" s="425">
        <v>9</v>
      </c>
    </row>
    <row r="17" spans="2:10" ht="15" x14ac:dyDescent="0.25">
      <c r="B17" s="404"/>
      <c r="C17" s="406">
        <v>0.23100000000000001</v>
      </c>
      <c r="D17" s="404">
        <v>8</v>
      </c>
      <c r="F17" s="416">
        <v>12</v>
      </c>
      <c r="G17" s="417">
        <v>8</v>
      </c>
      <c r="I17" s="424">
        <v>13</v>
      </c>
      <c r="J17" s="425">
        <v>8</v>
      </c>
    </row>
    <row r="18" spans="2:10" ht="15" x14ac:dyDescent="0.25">
      <c r="B18" s="404"/>
      <c r="C18" s="406">
        <v>0.251</v>
      </c>
      <c r="D18" s="404">
        <v>7</v>
      </c>
      <c r="F18" s="416">
        <v>11</v>
      </c>
      <c r="G18" s="417">
        <v>7</v>
      </c>
      <c r="I18" s="424">
        <v>14</v>
      </c>
      <c r="J18" s="425">
        <v>7</v>
      </c>
    </row>
    <row r="19" spans="2:10" ht="15" x14ac:dyDescent="0.25">
      <c r="B19" s="404"/>
      <c r="C19" s="406">
        <v>0.27100000000000002</v>
      </c>
      <c r="D19" s="404">
        <v>6</v>
      </c>
      <c r="F19" s="416">
        <v>10</v>
      </c>
      <c r="G19" s="417">
        <v>6</v>
      </c>
      <c r="I19" s="424">
        <v>15</v>
      </c>
      <c r="J19" s="425">
        <v>6</v>
      </c>
    </row>
    <row r="20" spans="2:10" x14ac:dyDescent="0.35">
      <c r="B20" s="404"/>
      <c r="C20" s="407">
        <v>0.29099999999999998</v>
      </c>
      <c r="D20" s="404">
        <v>5</v>
      </c>
      <c r="F20" s="416">
        <v>9</v>
      </c>
      <c r="G20" s="417">
        <v>5</v>
      </c>
      <c r="I20" s="424">
        <v>16</v>
      </c>
      <c r="J20" s="425">
        <v>5</v>
      </c>
    </row>
    <row r="21" spans="2:10" x14ac:dyDescent="0.35">
      <c r="B21" s="404"/>
      <c r="C21" s="406">
        <v>0.311</v>
      </c>
      <c r="D21" s="404">
        <v>4</v>
      </c>
      <c r="F21" s="416">
        <v>8</v>
      </c>
      <c r="G21" s="417">
        <v>4</v>
      </c>
      <c r="I21" s="424">
        <v>17</v>
      </c>
      <c r="J21" s="425">
        <v>4</v>
      </c>
    </row>
    <row r="22" spans="2:10" x14ac:dyDescent="0.35">
      <c r="B22" s="404"/>
      <c r="C22" s="406">
        <v>0.33100000000000002</v>
      </c>
      <c r="D22" s="404">
        <v>3</v>
      </c>
      <c r="F22" s="416">
        <v>7</v>
      </c>
      <c r="G22" s="417">
        <v>3</v>
      </c>
      <c r="I22" s="424">
        <v>18</v>
      </c>
      <c r="J22" s="425">
        <v>3</v>
      </c>
    </row>
    <row r="23" spans="2:10" x14ac:dyDescent="0.35">
      <c r="B23" s="404"/>
      <c r="C23" s="406">
        <v>0.35099999999999998</v>
      </c>
      <c r="D23" s="404">
        <v>2</v>
      </c>
      <c r="F23" s="416">
        <v>6</v>
      </c>
      <c r="G23" s="417">
        <v>2</v>
      </c>
      <c r="I23" s="424">
        <v>19</v>
      </c>
      <c r="J23" s="425">
        <v>2</v>
      </c>
    </row>
    <row r="24" spans="2:10" ht="15" thickBot="1" x14ac:dyDescent="0.4">
      <c r="B24" s="404"/>
      <c r="C24" s="406">
        <v>0.371</v>
      </c>
      <c r="D24" s="404">
        <v>1</v>
      </c>
      <c r="F24" s="418">
        <v>5</v>
      </c>
      <c r="G24" s="419">
        <v>1</v>
      </c>
      <c r="I24" s="426">
        <v>20</v>
      </c>
      <c r="J24" s="427">
        <v>1</v>
      </c>
    </row>
    <row r="25" spans="2:10" ht="15" thickTop="1" x14ac:dyDescent="0.35">
      <c r="B25" s="404"/>
      <c r="C25" s="408">
        <v>0.39</v>
      </c>
      <c r="D25" s="404">
        <v>0</v>
      </c>
    </row>
  </sheetData>
  <mergeCells count="2">
    <mergeCell ref="F3:G3"/>
    <mergeCell ref="I3:J3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26"/>
  <sheetViews>
    <sheetView topLeftCell="A5" workbookViewId="0">
      <selection activeCell="I19" sqref="I19"/>
    </sheetView>
  </sheetViews>
  <sheetFormatPr baseColWidth="10" defaultRowHeight="14.5" x14ac:dyDescent="0.35"/>
  <sheetData>
    <row r="3" spans="2:3" ht="15" thickBot="1" x14ac:dyDescent="0.4"/>
    <row r="4" spans="2:3" ht="15" thickBot="1" x14ac:dyDescent="0.4">
      <c r="B4" s="913" t="s">
        <v>294</v>
      </c>
      <c r="C4" s="914"/>
    </row>
    <row r="5" spans="2:3" ht="44" thickBot="1" x14ac:dyDescent="0.4">
      <c r="B5" s="420" t="s">
        <v>292</v>
      </c>
      <c r="C5" s="421" t="s">
        <v>293</v>
      </c>
    </row>
    <row r="6" spans="2:3" ht="15" thickTop="1" x14ac:dyDescent="0.35">
      <c r="B6" s="414">
        <v>24</v>
      </c>
      <c r="C6" s="415">
        <v>20</v>
      </c>
    </row>
    <row r="7" spans="2:3" x14ac:dyDescent="0.35">
      <c r="B7" s="416">
        <v>23</v>
      </c>
      <c r="C7" s="417">
        <v>19</v>
      </c>
    </row>
    <row r="8" spans="2:3" x14ac:dyDescent="0.35">
      <c r="B8" s="416">
        <v>22</v>
      </c>
      <c r="C8" s="417">
        <v>18</v>
      </c>
    </row>
    <row r="9" spans="2:3" x14ac:dyDescent="0.35">
      <c r="B9" s="416">
        <v>21</v>
      </c>
      <c r="C9" s="417">
        <v>17</v>
      </c>
    </row>
    <row r="10" spans="2:3" x14ac:dyDescent="0.35">
      <c r="B10" s="416">
        <v>20</v>
      </c>
      <c r="C10" s="417">
        <v>16</v>
      </c>
    </row>
    <row r="11" spans="2:3" x14ac:dyDescent="0.35">
      <c r="B11" s="416">
        <v>19</v>
      </c>
      <c r="C11" s="417">
        <v>15</v>
      </c>
    </row>
    <row r="12" spans="2:3" x14ac:dyDescent="0.35">
      <c r="B12" s="416">
        <v>18</v>
      </c>
      <c r="C12" s="417">
        <v>14</v>
      </c>
    </row>
    <row r="13" spans="2:3" x14ac:dyDescent="0.35">
      <c r="B13" s="416">
        <v>17</v>
      </c>
      <c r="C13" s="417">
        <v>13</v>
      </c>
    </row>
    <row r="14" spans="2:3" x14ac:dyDescent="0.35">
      <c r="B14" s="416">
        <v>16</v>
      </c>
      <c r="C14" s="417">
        <v>12</v>
      </c>
    </row>
    <row r="15" spans="2:3" x14ac:dyDescent="0.35">
      <c r="B15" s="416">
        <v>15</v>
      </c>
      <c r="C15" s="417">
        <v>11</v>
      </c>
    </row>
    <row r="16" spans="2:3" x14ac:dyDescent="0.35">
      <c r="B16" s="416">
        <v>14</v>
      </c>
      <c r="C16" s="417">
        <v>10</v>
      </c>
    </row>
    <row r="17" spans="2:3" x14ac:dyDescent="0.35">
      <c r="B17" s="416">
        <v>13</v>
      </c>
      <c r="C17" s="417">
        <v>9</v>
      </c>
    </row>
    <row r="18" spans="2:3" x14ac:dyDescent="0.35">
      <c r="B18" s="416">
        <v>12</v>
      </c>
      <c r="C18" s="417">
        <v>8</v>
      </c>
    </row>
    <row r="19" spans="2:3" x14ac:dyDescent="0.35">
      <c r="B19" s="416">
        <v>11</v>
      </c>
      <c r="C19" s="417">
        <v>7</v>
      </c>
    </row>
    <row r="20" spans="2:3" x14ac:dyDescent="0.35">
      <c r="B20" s="416">
        <v>10</v>
      </c>
      <c r="C20" s="417">
        <v>6</v>
      </c>
    </row>
    <row r="21" spans="2:3" x14ac:dyDescent="0.35">
      <c r="B21" s="416">
        <v>9</v>
      </c>
      <c r="C21" s="417">
        <v>5</v>
      </c>
    </row>
    <row r="22" spans="2:3" x14ac:dyDescent="0.35">
      <c r="B22" s="416">
        <v>8</v>
      </c>
      <c r="C22" s="417">
        <v>4</v>
      </c>
    </row>
    <row r="23" spans="2:3" x14ac:dyDescent="0.35">
      <c r="B23" s="416">
        <v>7</v>
      </c>
      <c r="C23" s="417">
        <v>3</v>
      </c>
    </row>
    <row r="24" spans="2:3" x14ac:dyDescent="0.35">
      <c r="B24" s="416">
        <v>6</v>
      </c>
      <c r="C24" s="417">
        <v>2</v>
      </c>
    </row>
    <row r="25" spans="2:3" ht="15" thickBot="1" x14ac:dyDescent="0.4">
      <c r="B25" s="418">
        <v>5</v>
      </c>
      <c r="C25" s="419">
        <v>1</v>
      </c>
    </row>
    <row r="26" spans="2:3" ht="15" thickTop="1" x14ac:dyDescent="0.35"/>
  </sheetData>
  <mergeCells count="1">
    <mergeCell ref="B4:C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31</vt:i4>
      </vt:variant>
    </vt:vector>
  </HeadingPairs>
  <TitlesOfParts>
    <vt:vector size="55" baseType="lpstr">
      <vt:lpstr>Synthèse</vt:lpstr>
      <vt:lpstr>Jour 1</vt:lpstr>
      <vt:lpstr>Jour 2</vt:lpstr>
      <vt:lpstr>Jour 3</vt:lpstr>
      <vt:lpstr>Jour 4</vt:lpstr>
      <vt:lpstr>Jour 5</vt:lpstr>
      <vt:lpstr>Jour 6</vt:lpstr>
      <vt:lpstr>Jour 7</vt:lpstr>
      <vt:lpstr>Jour 8</vt:lpstr>
      <vt:lpstr>Jour 9</vt:lpstr>
      <vt:lpstr>Jour 10</vt:lpstr>
      <vt:lpstr>Jour 11</vt:lpstr>
      <vt:lpstr>Jour 12</vt:lpstr>
      <vt:lpstr>Jour 13</vt:lpstr>
      <vt:lpstr>Jour 14</vt:lpstr>
      <vt:lpstr>Jour 15</vt:lpstr>
      <vt:lpstr>Recap Edition</vt:lpstr>
      <vt:lpstr>Recap Analyse</vt:lpstr>
      <vt:lpstr>Listes</vt:lpstr>
      <vt:lpstr>Observations</vt:lpstr>
      <vt:lpstr>Evaluation</vt:lpstr>
      <vt:lpstr>Feuil1</vt:lpstr>
      <vt:lpstr>Feuil2</vt:lpstr>
      <vt:lpstr>Feuil3</vt:lpstr>
      <vt:lpstr>analyse</vt:lpstr>
      <vt:lpstr>analyse1</vt:lpstr>
      <vt:lpstr>'Recap Analyse'!Criteres</vt:lpstr>
      <vt:lpstr>Date_jours</vt:lpstr>
      <vt:lpstr>Jours</vt:lpstr>
      <vt:lpstr>N°_colonne</vt:lpstr>
      <vt:lpstr>N°_relevé</vt:lpstr>
      <vt:lpstr>N°_stage</vt:lpstr>
      <vt:lpstr>Nom_Responsable_stage</vt:lpstr>
      <vt:lpstr>nom_stagiaires</vt:lpstr>
      <vt:lpstr>Nom_tuteurs</vt:lpstr>
      <vt:lpstr>Oui_Non</vt:lpstr>
      <vt:lpstr>'Jour 1'!Zone_d_impression</vt:lpstr>
      <vt:lpstr>'Jour 10'!Zone_d_impression</vt:lpstr>
      <vt:lpstr>'Jour 11'!Zone_d_impression</vt:lpstr>
      <vt:lpstr>'Jour 12'!Zone_d_impression</vt:lpstr>
      <vt:lpstr>'Jour 13'!Zone_d_impression</vt:lpstr>
      <vt:lpstr>'Jour 14'!Zone_d_impression</vt:lpstr>
      <vt:lpstr>'Jour 15'!Zone_d_impression</vt:lpstr>
      <vt:lpstr>'Jour 2'!Zone_d_impression</vt:lpstr>
      <vt:lpstr>'Jour 3'!Zone_d_impression</vt:lpstr>
      <vt:lpstr>'Jour 4'!Zone_d_impression</vt:lpstr>
      <vt:lpstr>'Jour 5'!Zone_d_impression</vt:lpstr>
      <vt:lpstr>'Jour 6'!Zone_d_impression</vt:lpstr>
      <vt:lpstr>'Jour 7'!Zone_d_impression</vt:lpstr>
      <vt:lpstr>'Jour 8'!Zone_d_impression</vt:lpstr>
      <vt:lpstr>'Jour 9'!Zone_d_impression</vt:lpstr>
      <vt:lpstr>Listes!Zone_d_impression</vt:lpstr>
      <vt:lpstr>'Recap Analyse'!Zone_d_impression</vt:lpstr>
      <vt:lpstr>'Recap Edition'!Zone_d_impression</vt:lpstr>
      <vt:lpstr>Synthèse!Zone_d_impression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DESBONNE Stevie</dc:creator>
  <cp:lastModifiedBy>Microsoft</cp:lastModifiedBy>
  <cp:lastPrinted>2017-01-26T13:22:02Z</cp:lastPrinted>
  <dcterms:created xsi:type="dcterms:W3CDTF">2013-04-13T13:47:06Z</dcterms:created>
  <dcterms:modified xsi:type="dcterms:W3CDTF">2018-06-22T12:01:16Z</dcterms:modified>
</cp:coreProperties>
</file>