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sheets/sheet28.xml" ContentType="application/vnd.openxmlformats-officedocument.spreadsheetml.worksheet+xml"/>
  <Override PartName="/xl/worksheets/sheet29.xml" ContentType="application/vnd.openxmlformats-officedocument.spreadsheetml.worksheet+xml"/>
  <Override PartName="/xl/worksheets/sheet30.xml" ContentType="application/vnd.openxmlformats-officedocument.spreadsheetml.worksheet+xml"/>
  <Override PartName="/xl/worksheets/sheet31.xml" ContentType="application/vnd.openxmlformats-officedocument.spreadsheetml.worksheet+xml"/>
  <Override PartName="/xl/worksheets/sheet3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tables/table1.xml" ContentType="application/vnd.openxmlformats-officedocument.spreadsheetml.table+xml"/>
  <Override PartName="/xl/comments1.xml" ContentType="application/vnd.openxmlformats-officedocument.spreadsheetml.comments+xml"/>
  <Override PartName="/xl/tables/table2.xml" ContentType="application/vnd.openxmlformats-officedocument.spreadsheetml.table+xml"/>
  <Override PartName="/xl/tables/table3.xml" ContentType="application/vnd.openxmlformats-officedocument.spreadsheetml.table+xml"/>
  <Override PartName="/xl/tables/table4.xml" ContentType="application/vnd.openxmlformats-officedocument.spreadsheetml.table+xml"/>
  <Override PartName="/xl/tables/table5.xml" ContentType="application/vnd.openxmlformats-officedocument.spreadsheetml.table+xml"/>
  <Override PartName="/xl/tables/table6.xml" ContentType="application/vnd.openxmlformats-officedocument.spreadsheetml.table+xml"/>
  <Override PartName="/xl/tables/table7.xml" ContentType="application/vnd.openxmlformats-officedocument.spreadsheetml.table+xml"/>
  <Override PartName="/xl/tables/table8.xml" ContentType="application/vnd.openxmlformats-officedocument.spreadsheetml.table+xml"/>
  <Override PartName="/xl/tables/table9.xml" ContentType="application/vnd.openxmlformats-officedocument.spreadsheetml.table+xml"/>
  <Override PartName="/xl/tables/table10.xml" ContentType="application/vnd.openxmlformats-officedocument.spreadsheetml.table+xml"/>
  <Override PartName="/xl/tables/table11.xml" ContentType="application/vnd.openxmlformats-officedocument.spreadsheetml.table+xml"/>
  <Override PartName="/xl/tables/table12.xml" ContentType="application/vnd.openxmlformats-officedocument.spreadsheetml.table+xml"/>
  <Override PartName="/xl/tables/table13.xml" ContentType="application/vnd.openxmlformats-officedocument.spreadsheetml.table+xml"/>
  <Override PartName="/xl/tables/table14.xml" ContentType="application/vnd.openxmlformats-officedocument.spreadsheetml.table+xml"/>
  <Override PartName="/xl/tables/table15.xml" ContentType="application/vnd.openxmlformats-officedocument.spreadsheetml.table+xml"/>
  <Override PartName="/xl/tables/table16.xml" ContentType="application/vnd.openxmlformats-officedocument.spreadsheetml.table+xml"/>
  <Override PartName="/xl/tables/table17.xml" ContentType="application/vnd.openxmlformats-officedocument.spreadsheetml.table+xml"/>
  <Override PartName="/xl/tables/table18.xml" ContentType="application/vnd.openxmlformats-officedocument.spreadsheetml.table+xml"/>
  <Override PartName="/xl/tables/table19.xml" ContentType="application/vnd.openxmlformats-officedocument.spreadsheetml.table+xml"/>
  <Override PartName="/xl/tables/table20.xml" ContentType="application/vnd.openxmlformats-officedocument.spreadsheetml.table+xml"/>
  <Override PartName="/xl/tables/table21.xml" ContentType="application/vnd.openxmlformats-officedocument.spreadsheetml.table+xml"/>
  <Override PartName="/xl/tables/table22.xml" ContentType="application/vnd.openxmlformats-officedocument.spreadsheetml.table+xml"/>
  <Override PartName="/xl/tables/table23.xml" ContentType="application/vnd.openxmlformats-officedocument.spreadsheetml.table+xml"/>
  <Override PartName="/xl/tables/table24.xml" ContentType="application/vnd.openxmlformats-officedocument.spreadsheetml.table+xml"/>
  <Override PartName="/xl/tables/table25.xml" ContentType="application/vnd.openxmlformats-officedocument.spreadsheetml.table+xml"/>
  <Override PartName="/xl/tables/table26.xml" ContentType="application/vnd.openxmlformats-officedocument.spreadsheetml.table+xml"/>
  <Override PartName="/xl/tables/table27.xml" ContentType="application/vnd.openxmlformats-officedocument.spreadsheetml.table+xml"/>
  <Override PartName="/xl/tables/table28.xml" ContentType="application/vnd.openxmlformats-officedocument.spreadsheetml.table+xml"/>
  <Override PartName="/xl/tables/table29.xml" ContentType="application/vnd.openxmlformats-officedocument.spreadsheetml.table+xml"/>
  <Override PartName="/xl/tables/table30.xml" ContentType="application/vnd.openxmlformats-officedocument.spreadsheetml.table+xml"/>
  <Override PartName="/xl/tables/table31.xml" ContentType="application/vnd.openxmlformats-officedocument.spreadsheetml.table+xml"/>
  <Override PartName="/xl/tables/table32.xml" ContentType="application/vnd.openxmlformats-officedocument.spreadsheetml.table+xml"/>
  <Override PartName="/xl/tables/table33.xml" ContentType="application/vnd.openxmlformats-officedocument.spreadsheetml.table+xml"/>
  <Override PartName="/xl/tables/table34.xml" ContentType="application/vnd.openxmlformats-officedocument.spreadsheetml.table+xml"/>
  <Override PartName="/xl/tables/table35.xml" ContentType="application/vnd.openxmlformats-officedocument.spreadsheetml.table+xml"/>
  <Override PartName="/xl/tables/table36.xml" ContentType="application/vnd.openxmlformats-officedocument.spreadsheetml.table+xml"/>
  <Override PartName="/xl/tables/table37.xml" ContentType="application/vnd.openxmlformats-officedocument.spreadsheetml.table+xml"/>
  <Override PartName="/xl/tables/table38.xml" ContentType="application/vnd.openxmlformats-officedocument.spreadsheetml.table+xml"/>
  <Override PartName="/xl/tables/table39.xml" ContentType="application/vnd.openxmlformats-officedocument.spreadsheetml.table+xml"/>
  <Override PartName="/xl/tables/table40.xml" ContentType="application/vnd.openxmlformats-officedocument.spreadsheetml.table+xml"/>
  <Override PartName="/xl/tables/table41.xml" ContentType="application/vnd.openxmlformats-officedocument.spreadsheetml.table+xml"/>
  <Override PartName="/xl/tables/table42.xml" ContentType="application/vnd.openxmlformats-officedocument.spreadsheetml.table+xml"/>
  <Override PartName="/xl/tables/table43.xml" ContentType="application/vnd.openxmlformats-officedocument.spreadsheetml.table+xml"/>
  <Override PartName="/xl/tables/table44.xml" ContentType="application/vnd.openxmlformats-officedocument.spreadsheetml.table+xml"/>
  <Override PartName="/xl/tables/table45.xml" ContentType="application/vnd.openxmlformats-officedocument.spreadsheetml.table+xml"/>
  <Override PartName="/xl/tables/table46.xml" ContentType="application/vnd.openxmlformats-officedocument.spreadsheetml.table+xml"/>
  <Override PartName="/xl/tables/table47.xml" ContentType="application/vnd.openxmlformats-officedocument.spreadsheetml.table+xml"/>
  <Override PartName="/xl/tables/table48.xml" ContentType="application/vnd.openxmlformats-officedocument.spreadsheetml.table+xml"/>
  <Override PartName="/xl/tables/table49.xml" ContentType="application/vnd.openxmlformats-officedocument.spreadsheetml.table+xml"/>
  <Override PartName="/xl/tables/table50.xml" ContentType="application/vnd.openxmlformats-officedocument.spreadsheetml.table+xml"/>
  <Override PartName="/xl/tables/table51.xml" ContentType="application/vnd.openxmlformats-officedocument.spreadsheetml.table+xml"/>
  <Override PartName="/xl/tables/table52.xml" ContentType="application/vnd.openxmlformats-officedocument.spreadsheetml.table+xml"/>
  <Override PartName="/xl/tables/table53.xml" ContentType="application/vnd.openxmlformats-officedocument.spreadsheetml.table+xml"/>
  <Override PartName="/xl/tables/table54.xml" ContentType="application/vnd.openxmlformats-officedocument.spreadsheetml.table+xml"/>
  <Override PartName="/xl/tables/table55.xml" ContentType="application/vnd.openxmlformats-officedocument.spreadsheetml.table+xml"/>
  <Override PartName="/xl/tables/table56.xml" ContentType="application/vnd.openxmlformats-officedocument.spreadsheetml.table+xml"/>
  <Override PartName="/xl/tables/table57.xml" ContentType="application/vnd.openxmlformats-officedocument.spreadsheetml.table+xml"/>
  <Override PartName="/xl/tables/table58.xml" ContentType="application/vnd.openxmlformats-officedocument.spreadsheetml.table+xml"/>
  <Override PartName="/xl/tables/table59.xml" ContentType="application/vnd.openxmlformats-officedocument.spreadsheetml.table+xml"/>
  <Override PartName="/xl/tables/table60.xml" ContentType="application/vnd.openxmlformats-officedocument.spreadsheetml.table+xml"/>
  <Override PartName="/xl/tables/table61.xml" ContentType="application/vnd.openxmlformats-officedocument.spreadsheetml.table+xml"/>
  <Override PartName="/xl/tables/table62.xml" ContentType="application/vnd.openxmlformats-officedocument.spreadsheetml.table+xml"/>
  <Override PartName="/xl/tables/table63.xml" ContentType="application/vnd.openxmlformats-officedocument.spreadsheetml.table+xml"/>
  <Override PartName="/xl/tables/table64.xml" ContentType="application/vnd.openxmlformats-officedocument.spreadsheetml.table+xml"/>
  <Override PartName="/xl/tables/table65.xml" ContentType="application/vnd.openxmlformats-officedocument.spreadsheetml.table+xml"/>
  <Override PartName="/xl/tables/table66.xml" ContentType="application/vnd.openxmlformats-officedocument.spreadsheetml.table+xml"/>
  <Override PartName="/xl/tables/table67.xml" ContentType="application/vnd.openxmlformats-officedocument.spreadsheetml.table+xml"/>
  <Override PartName="/xl/tables/table68.xml" ContentType="application/vnd.openxmlformats-officedocument.spreadsheetml.table+xml"/>
  <Override PartName="/xl/tables/table69.xml" ContentType="application/vnd.openxmlformats-officedocument.spreadsheetml.table+xml"/>
  <Override PartName="/xl/tables/table70.xml" ContentType="application/vnd.openxmlformats-officedocument.spreadsheetml.table+xml"/>
  <Override PartName="/xl/tables/table71.xml" ContentType="application/vnd.openxmlformats-officedocument.spreadsheetml.table+xml"/>
  <Override PartName="/xl/tables/table72.xml" ContentType="application/vnd.openxmlformats-officedocument.spreadsheetml.table+xml"/>
  <Override PartName="/xl/tables/table73.xml" ContentType="application/vnd.openxmlformats-officedocument.spreadsheetml.table+xml"/>
  <Override PartName="/xl/tables/table74.xml" ContentType="application/vnd.openxmlformats-officedocument.spreadsheetml.table+xml"/>
  <Override PartName="/xl/tables/table75.xml" ContentType="application/vnd.openxmlformats-officedocument.spreadsheetml.table+xml"/>
  <Override PartName="/xl/tables/table76.xml" ContentType="application/vnd.openxmlformats-officedocument.spreadsheetml.table+xml"/>
  <Override PartName="/xl/tables/table77.xml" ContentType="application/vnd.openxmlformats-officedocument.spreadsheetml.table+xml"/>
  <Override PartName="/xl/tables/table78.xml" ContentType="application/vnd.openxmlformats-officedocument.spreadsheetml.table+xml"/>
  <Override PartName="/xl/tables/table79.xml" ContentType="application/vnd.openxmlformats-officedocument.spreadsheetml.table+xml"/>
  <Override PartName="/xl/tables/table80.xml" ContentType="application/vnd.openxmlformats-officedocument.spreadsheetml.table+xml"/>
  <Override PartName="/xl/tables/table81.xml" ContentType="application/vnd.openxmlformats-officedocument.spreadsheetml.table+xml"/>
  <Override PartName="/xl/tables/table82.xml" ContentType="application/vnd.openxmlformats-officedocument.spreadsheetml.table+xml"/>
  <Override PartName="/xl/tables/table83.xml" ContentType="application/vnd.openxmlformats-officedocument.spreadsheetml.table+xml"/>
  <Override PartName="/xl/tables/table84.xml" ContentType="application/vnd.openxmlformats-officedocument.spreadsheetml.table+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0228"/>
  <workbookPr filterPrivacy="1"/>
  <xr:revisionPtr revIDLastSave="0" documentId="10_ncr:8100000_{02752D8E-6473-494F-A315-D7EED6BA6E6F}" xr6:coauthVersionLast="34" xr6:coauthVersionMax="34" xr10:uidLastSave="{00000000-0000-0000-0000-000000000000}"/>
  <bookViews>
    <workbookView xWindow="0" yWindow="0" windowWidth="22260" windowHeight="12645" tabRatio="880" activeTab="1" xr2:uid="{00000000-000D-0000-FFFF-FFFF00000000}"/>
  </bookViews>
  <sheets>
    <sheet name="Consignes inventaire" sheetId="33" r:id="rId1"/>
    <sheet name="Inventaire Matériel après FF18" sheetId="4" r:id="rId2"/>
    <sheet name="Inventaire Cablage après FF18" sheetId="5" r:id="rId3"/>
    <sheet name="Inventaire Mobilier après FF18" sheetId="6" r:id="rId4"/>
    <sheet name="Signalétique" sheetId="30" r:id="rId5"/>
    <sheet name="Régie site" sheetId="28" r:id="rId6"/>
    <sheet name="Régie scene" sheetId="27" r:id="rId7"/>
    <sheet name="Entrée public" sheetId="18" r:id="rId8"/>
    <sheet name="Production" sheetId="26" r:id="rId9"/>
    <sheet name="Régie Extérieur" sheetId="25" r:id="rId10"/>
    <sheet name="Camping festivaliers" sheetId="17" r:id="rId11"/>
    <sheet name="Restauration bénévole" sheetId="29" r:id="rId12"/>
    <sheet name="Parking festivalier" sheetId="24" r:id="rId13"/>
    <sheet name="Bar container" sheetId="11" r:id="rId14"/>
    <sheet name="Bar coca" sheetId="10" r:id="rId15"/>
    <sheet name="Bar Fire" sheetId="20" r:id="rId16"/>
    <sheet name="Acceuil artiste" sheetId="2" r:id="rId17"/>
    <sheet name="Merchandising" sheetId="23" r:id="rId18"/>
    <sheet name="Billetterie centrale" sheetId="14" r:id="rId19"/>
    <sheet name="Billetterrie entrée" sheetId="15" r:id="rId20"/>
    <sheet name="Freeshu Pichu" sheetId="21" r:id="rId21"/>
    <sheet name="Acceuil VIP" sheetId="7" r:id="rId22"/>
    <sheet name="Aremacs" sheetId="9" r:id="rId23"/>
    <sheet name="Animation" sheetId="8" r:id="rId24"/>
    <sheet name="Bar mayo loco" sheetId="13" r:id="rId25"/>
    <sheet name="Bar ricard" sheetId="12" r:id="rId26"/>
    <sheet name="Camping bénévole" sheetId="16" r:id="rId27"/>
    <sheet name="Espace presse" sheetId="19" r:id="rId28"/>
    <sheet name="Magasin" sheetId="22" r:id="rId29"/>
    <sheet name="Runners" sheetId="32" r:id="rId30"/>
    <sheet name="Feuil1" sheetId="34" r:id="rId31"/>
    <sheet name="Sofree" sheetId="31" r:id="rId32"/>
  </sheets>
  <definedNames>
    <definedName name="Fournitures">#REF!</definedName>
    <definedName name="Matériel">Tableau1[[#All],[Inventaire général Matériel]]</definedName>
  </definedNames>
  <calcPr calcId="162913" concurrentCalc="0"/>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F189" i="4" l="1"/>
  <c r="F190" i="4"/>
  <c r="F191" i="4"/>
  <c r="F192" i="4"/>
  <c r="F193" i="4"/>
  <c r="F194" i="4"/>
  <c r="F195" i="4"/>
  <c r="H189" i="4"/>
  <c r="H190" i="4"/>
  <c r="H191" i="4"/>
  <c r="H192" i="4"/>
  <c r="H193" i="4"/>
  <c r="H194" i="4"/>
  <c r="H195" i="4"/>
  <c r="F188" i="4"/>
  <c r="H188" i="4"/>
  <c r="F139" i="4"/>
  <c r="H139" i="4"/>
  <c r="E22" i="28"/>
  <c r="H22" i="28"/>
  <c r="E21" i="28"/>
  <c r="H21" i="28"/>
  <c r="E20" i="28"/>
  <c r="H20" i="28"/>
  <c r="E19" i="28"/>
  <c r="H19" i="28"/>
  <c r="E18" i="28"/>
  <c r="H18" i="28"/>
  <c r="E17" i="28"/>
  <c r="H17" i="28"/>
  <c r="E16" i="28"/>
  <c r="H16" i="28"/>
  <c r="F151" i="4"/>
  <c r="F177" i="4"/>
  <c r="F25" i="4"/>
  <c r="F158" i="4"/>
  <c r="F146" i="4"/>
  <c r="H151" i="4"/>
  <c r="H177" i="4"/>
  <c r="H25" i="4"/>
  <c r="H158" i="4"/>
  <c r="H146" i="4"/>
  <c r="E24" i="27"/>
  <c r="H24" i="27"/>
  <c r="E26" i="27"/>
  <c r="H26" i="27"/>
  <c r="E21" i="27"/>
  <c r="H21" i="27"/>
  <c r="E22" i="27"/>
  <c r="H22" i="27"/>
  <c r="E25" i="27"/>
  <c r="H25" i="27"/>
  <c r="E23" i="27"/>
  <c r="H23" i="27"/>
  <c r="E17" i="27"/>
  <c r="H17" i="27"/>
  <c r="E18" i="27"/>
  <c r="H18" i="27"/>
  <c r="E20" i="27"/>
  <c r="H20" i="27"/>
  <c r="E19" i="27"/>
  <c r="H19" i="27"/>
  <c r="E16" i="27"/>
  <c r="H16" i="27"/>
  <c r="F142" i="4"/>
  <c r="F148" i="4"/>
  <c r="F152" i="4"/>
  <c r="F153" i="4"/>
  <c r="F140" i="4"/>
  <c r="F98" i="4"/>
  <c r="F150" i="4"/>
  <c r="H142" i="4"/>
  <c r="H148" i="4"/>
  <c r="H152" i="4"/>
  <c r="H153" i="4"/>
  <c r="H140" i="4"/>
  <c r="H98" i="4"/>
  <c r="H150" i="4"/>
  <c r="E16" i="25"/>
  <c r="H16" i="25"/>
  <c r="F24" i="4"/>
  <c r="H24" i="4"/>
  <c r="E25" i="17"/>
  <c r="H25" i="17"/>
  <c r="E21" i="17"/>
  <c r="H21" i="17"/>
  <c r="E22" i="17"/>
  <c r="H22" i="17"/>
  <c r="E24" i="17"/>
  <c r="H24" i="17"/>
  <c r="E23" i="17"/>
  <c r="H23" i="17"/>
  <c r="E20" i="17"/>
  <c r="H20" i="17"/>
  <c r="E19" i="17"/>
  <c r="H19" i="17"/>
  <c r="E18" i="17"/>
  <c r="H18" i="17"/>
  <c r="E17" i="17"/>
  <c r="H17" i="17"/>
  <c r="E16" i="17"/>
  <c r="H16" i="17"/>
  <c r="E30" i="29"/>
  <c r="H30" i="29"/>
  <c r="E29" i="29"/>
  <c r="H29" i="29"/>
  <c r="E28" i="29"/>
  <c r="H28" i="29"/>
  <c r="E27" i="29"/>
  <c r="H27" i="29"/>
  <c r="E26" i="29"/>
  <c r="H26" i="29"/>
  <c r="E25" i="29"/>
  <c r="H25" i="29"/>
  <c r="E21" i="29"/>
  <c r="H21" i="29"/>
  <c r="E24" i="29"/>
  <c r="H24" i="29"/>
  <c r="E23" i="29"/>
  <c r="H23" i="29"/>
  <c r="E22" i="29"/>
  <c r="H22" i="29"/>
  <c r="E17" i="29"/>
  <c r="H17" i="29"/>
  <c r="E16" i="29"/>
  <c r="H16" i="29"/>
  <c r="E18" i="29"/>
  <c r="H18" i="29"/>
  <c r="E20" i="29"/>
  <c r="H20" i="29"/>
  <c r="E19" i="29"/>
  <c r="H19" i="29"/>
  <c r="F109" i="4"/>
  <c r="F119" i="4"/>
  <c r="F162" i="4"/>
  <c r="F120" i="4"/>
  <c r="F61" i="4"/>
  <c r="F10" i="4"/>
  <c r="F29" i="4"/>
  <c r="F81" i="4"/>
  <c r="F99" i="4"/>
  <c r="F155" i="4"/>
  <c r="F83" i="4"/>
  <c r="F185" i="4"/>
  <c r="F86" i="4"/>
  <c r="F82" i="4"/>
  <c r="F38" i="4"/>
  <c r="F117" i="4"/>
  <c r="F33" i="4"/>
  <c r="F39" i="4"/>
  <c r="F106" i="4"/>
  <c r="F149" i="4"/>
  <c r="F12" i="4"/>
  <c r="F42" i="4"/>
  <c r="F124" i="4"/>
  <c r="F141" i="4"/>
  <c r="H109" i="4"/>
  <c r="H119" i="4"/>
  <c r="H162" i="4"/>
  <c r="H120" i="4"/>
  <c r="H61" i="4"/>
  <c r="H10" i="4"/>
  <c r="H29" i="4"/>
  <c r="H81" i="4"/>
  <c r="H99" i="4"/>
  <c r="H155" i="4"/>
  <c r="H83" i="4"/>
  <c r="H185" i="4"/>
  <c r="H86" i="4"/>
  <c r="H82" i="4"/>
  <c r="H38" i="4"/>
  <c r="H117" i="4"/>
  <c r="H33" i="4"/>
  <c r="H39" i="4"/>
  <c r="H106" i="4"/>
  <c r="H149" i="4"/>
  <c r="H12" i="4"/>
  <c r="H42" i="4"/>
  <c r="H124" i="4"/>
  <c r="H141" i="4"/>
  <c r="E18" i="20"/>
  <c r="H18" i="20"/>
  <c r="E17" i="20"/>
  <c r="H17" i="20"/>
  <c r="E16" i="20"/>
  <c r="H16" i="20"/>
  <c r="E26" i="2"/>
  <c r="H26" i="2"/>
  <c r="E28" i="2"/>
  <c r="H28" i="2"/>
  <c r="E27" i="2"/>
  <c r="H27" i="2"/>
  <c r="E25" i="2"/>
  <c r="H25" i="2"/>
  <c r="E22" i="2"/>
  <c r="H22" i="2"/>
  <c r="E24" i="2"/>
  <c r="H24" i="2"/>
  <c r="E23" i="2"/>
  <c r="H23" i="2"/>
  <c r="E19" i="2"/>
  <c r="E20" i="2"/>
  <c r="E21" i="2"/>
  <c r="H21" i="2"/>
  <c r="H20" i="2"/>
  <c r="H19" i="2"/>
  <c r="E18" i="2"/>
  <c r="H18" i="2"/>
  <c r="E17" i="2"/>
  <c r="H17" i="2"/>
  <c r="E16" i="2"/>
  <c r="H16" i="2"/>
  <c r="F130" i="4"/>
  <c r="F52" i="4"/>
  <c r="F51" i="4"/>
  <c r="F68" i="4"/>
  <c r="F69" i="4"/>
  <c r="F95" i="4"/>
  <c r="F105" i="4"/>
  <c r="H130" i="4"/>
  <c r="H52" i="4"/>
  <c r="H51" i="4"/>
  <c r="H68" i="4"/>
  <c r="H69" i="4"/>
  <c r="H95" i="4"/>
  <c r="H105" i="4"/>
  <c r="F15" i="4"/>
  <c r="F30" i="4"/>
  <c r="F34" i="4"/>
  <c r="F56" i="4"/>
  <c r="F101" i="4"/>
  <c r="F181" i="4"/>
  <c r="F94" i="4"/>
  <c r="H15" i="4"/>
  <c r="H30" i="4"/>
  <c r="H34" i="4"/>
  <c r="H56" i="4"/>
  <c r="H101" i="4"/>
  <c r="H181" i="4"/>
  <c r="H94" i="4"/>
  <c r="E21" i="23"/>
  <c r="H21" i="23"/>
  <c r="E20" i="23"/>
  <c r="H20" i="23"/>
  <c r="E19" i="23"/>
  <c r="H19" i="23"/>
  <c r="E18" i="23"/>
  <c r="H18" i="23"/>
  <c r="E17" i="23"/>
  <c r="H17" i="23"/>
  <c r="E16" i="23"/>
  <c r="H16" i="23"/>
  <c r="C196" i="4"/>
  <c r="F97" i="4"/>
  <c r="F156" i="4"/>
  <c r="F159" i="4"/>
  <c r="F170" i="4"/>
  <c r="F7" i="4"/>
  <c r="F186" i="4"/>
  <c r="F11" i="4"/>
  <c r="H97" i="4"/>
  <c r="H156" i="4"/>
  <c r="H159" i="4"/>
  <c r="H170" i="4"/>
  <c r="H7" i="4"/>
  <c r="H186" i="4"/>
  <c r="H11" i="4"/>
  <c r="E19" i="14"/>
  <c r="H19" i="14"/>
  <c r="E18" i="14"/>
  <c r="H18" i="14"/>
  <c r="E17" i="14"/>
  <c r="H17" i="14"/>
  <c r="E16" i="14"/>
  <c r="H16" i="14"/>
  <c r="E26" i="31"/>
  <c r="H26" i="31"/>
  <c r="E25" i="31"/>
  <c r="H25" i="31"/>
  <c r="E24" i="31"/>
  <c r="H24" i="31"/>
  <c r="E23" i="31"/>
  <c r="H23" i="31"/>
  <c r="E22" i="31"/>
  <c r="H22" i="31"/>
  <c r="E21" i="31"/>
  <c r="H21" i="31"/>
  <c r="E20" i="31"/>
  <c r="H20" i="31"/>
  <c r="E16" i="31"/>
  <c r="H16" i="31"/>
  <c r="E17" i="31"/>
  <c r="H17" i="31"/>
  <c r="E19" i="31"/>
  <c r="H19" i="31"/>
  <c r="E18" i="31"/>
  <c r="H18" i="31"/>
  <c r="F172" i="4"/>
  <c r="F138" i="4"/>
  <c r="F167" i="4"/>
  <c r="F180" i="4"/>
  <c r="F171" i="4"/>
  <c r="F17" i="4"/>
  <c r="F35" i="4"/>
  <c r="F96" i="4"/>
  <c r="H172" i="4"/>
  <c r="H138" i="4"/>
  <c r="H167" i="4"/>
  <c r="H180" i="4"/>
  <c r="H171" i="4"/>
  <c r="H17" i="4"/>
  <c r="H35" i="4"/>
  <c r="H96" i="4"/>
  <c r="F90" i="4"/>
  <c r="F123" i="4"/>
  <c r="F9" i="4"/>
  <c r="F26" i="4"/>
  <c r="F28" i="4"/>
  <c r="F58" i="4"/>
  <c r="F179" i="4"/>
  <c r="F110" i="4"/>
  <c r="F163" i="4"/>
  <c r="F57" i="4"/>
  <c r="H90" i="4"/>
  <c r="H123" i="4"/>
  <c r="H9" i="4"/>
  <c r="H26" i="4"/>
  <c r="H28" i="4"/>
  <c r="H58" i="4"/>
  <c r="H179" i="4"/>
  <c r="H110" i="4"/>
  <c r="H163" i="4"/>
  <c r="H57" i="4"/>
  <c r="F74" i="4"/>
  <c r="H74" i="4"/>
  <c r="F107" i="4"/>
  <c r="F147" i="4"/>
  <c r="F157" i="4"/>
  <c r="F5" i="4"/>
  <c r="F154" i="4"/>
  <c r="F104" i="4"/>
  <c r="F32" i="4"/>
  <c r="F19" i="4"/>
  <c r="F18" i="4"/>
  <c r="F53" i="4"/>
  <c r="F111" i="4"/>
  <c r="F72" i="4"/>
  <c r="F55" i="4"/>
  <c r="F50" i="4"/>
  <c r="F160" i="4"/>
  <c r="F126" i="4"/>
  <c r="F47" i="4"/>
  <c r="F40" i="4"/>
  <c r="F145" i="4"/>
  <c r="F143" i="4"/>
  <c r="F8" i="4"/>
  <c r="F36" i="4"/>
  <c r="F125" i="4"/>
  <c r="F84" i="4"/>
  <c r="F65" i="4"/>
  <c r="F168" i="4"/>
  <c r="F64" i="4"/>
  <c r="F67" i="4"/>
  <c r="F100" i="4"/>
  <c r="F165" i="4"/>
  <c r="F102" i="4"/>
  <c r="F127" i="4"/>
  <c r="F46" i="4"/>
  <c r="F62" i="4"/>
  <c r="F116" i="4"/>
  <c r="F129" i="4"/>
  <c r="F144" i="4"/>
  <c r="F85" i="4"/>
  <c r="F13" i="4"/>
  <c r="F121" i="4"/>
  <c r="F16" i="4"/>
  <c r="H107" i="4"/>
  <c r="H147" i="4"/>
  <c r="H157" i="4"/>
  <c r="H5" i="4"/>
  <c r="H154" i="4"/>
  <c r="H104" i="4"/>
  <c r="H32" i="4"/>
  <c r="H19" i="4"/>
  <c r="H18" i="4"/>
  <c r="H53" i="4"/>
  <c r="H111" i="4"/>
  <c r="H72" i="4"/>
  <c r="H55" i="4"/>
  <c r="H50" i="4"/>
  <c r="H160" i="4"/>
  <c r="H126" i="4"/>
  <c r="H47" i="4"/>
  <c r="H40" i="4"/>
  <c r="H145" i="4"/>
  <c r="H143" i="4"/>
  <c r="H8" i="4"/>
  <c r="H36" i="4"/>
  <c r="H125" i="4"/>
  <c r="H84" i="4"/>
  <c r="H65" i="4"/>
  <c r="H168" i="4"/>
  <c r="H64" i="4"/>
  <c r="H67" i="4"/>
  <c r="H100" i="4"/>
  <c r="H165" i="4"/>
  <c r="H102" i="4"/>
  <c r="H127" i="4"/>
  <c r="H46" i="4"/>
  <c r="H62" i="4"/>
  <c r="H116" i="4"/>
  <c r="H129" i="4"/>
  <c r="H144" i="4"/>
  <c r="H85" i="4"/>
  <c r="H13" i="4"/>
  <c r="H121" i="4"/>
  <c r="H16" i="4"/>
  <c r="I6" i="5"/>
  <c r="I5" i="5"/>
  <c r="I10" i="5"/>
  <c r="I8" i="5"/>
  <c r="I7" i="5"/>
  <c r="I11" i="5"/>
  <c r="F132" i="4"/>
  <c r="F136" i="4"/>
  <c r="F134" i="4"/>
  <c r="F131" i="4"/>
  <c r="F183" i="4"/>
  <c r="F122" i="4"/>
  <c r="F14" i="4"/>
  <c r="F103" i="4"/>
  <c r="F63" i="4"/>
  <c r="F118" i="4"/>
  <c r="F178" i="4"/>
  <c r="F108" i="4"/>
  <c r="F79" i="4"/>
  <c r="F44" i="4"/>
  <c r="F115" i="4"/>
  <c r="F113" i="4"/>
  <c r="F43" i="4"/>
  <c r="F114" i="4"/>
  <c r="F112" i="4"/>
  <c r="F187" i="4"/>
  <c r="F66" i="4"/>
  <c r="F87" i="4"/>
  <c r="F88" i="4"/>
  <c r="F184" i="4"/>
  <c r="F60" i="4"/>
  <c r="F59" i="4"/>
  <c r="F37" i="4"/>
  <c r="F89" i="4"/>
  <c r="F54" i="4"/>
  <c r="F80" i="4"/>
  <c r="F6" i="4"/>
  <c r="F137" i="4"/>
  <c r="H132" i="4"/>
  <c r="H136" i="4"/>
  <c r="H134" i="4"/>
  <c r="H131" i="4"/>
  <c r="H183" i="4"/>
  <c r="H122" i="4"/>
  <c r="H14" i="4"/>
  <c r="H103" i="4"/>
  <c r="H63" i="4"/>
  <c r="H118" i="4"/>
  <c r="H178" i="4"/>
  <c r="H108" i="4"/>
  <c r="H79" i="4"/>
  <c r="H44" i="4"/>
  <c r="H115" i="4"/>
  <c r="H113" i="4"/>
  <c r="H43" i="4"/>
  <c r="H114" i="4"/>
  <c r="H112" i="4"/>
  <c r="H187" i="4"/>
  <c r="H66" i="4"/>
  <c r="H87" i="4"/>
  <c r="H88" i="4"/>
  <c r="H184" i="4"/>
  <c r="H60" i="4"/>
  <c r="H59" i="4"/>
  <c r="H37" i="4"/>
  <c r="H89" i="4"/>
  <c r="H54" i="4"/>
  <c r="H80" i="4"/>
  <c r="H6" i="4"/>
  <c r="H137" i="4"/>
  <c r="F166" i="4"/>
  <c r="F27" i="4"/>
  <c r="F182" i="4"/>
  <c r="F4" i="4"/>
  <c r="F23" i="4"/>
  <c r="F91" i="4"/>
  <c r="F128" i="4"/>
  <c r="F22" i="4"/>
  <c r="F20" i="4"/>
  <c r="F21" i="4"/>
  <c r="F45" i="4"/>
  <c r="F161" i="4"/>
  <c r="F174" i="4"/>
  <c r="F133" i="4"/>
  <c r="F135" i="4"/>
  <c r="H166" i="4"/>
  <c r="H27" i="4"/>
  <c r="H182" i="4"/>
  <c r="H4" i="4"/>
  <c r="H23" i="4"/>
  <c r="H91" i="4"/>
  <c r="H128" i="4"/>
  <c r="H22" i="4"/>
  <c r="H20" i="4"/>
  <c r="H21" i="4"/>
  <c r="H45" i="4"/>
  <c r="H161" i="4"/>
  <c r="H174" i="4"/>
  <c r="H133" i="4"/>
  <c r="H135" i="4"/>
  <c r="F41" i="4"/>
  <c r="H41" i="4"/>
  <c r="F73" i="4"/>
  <c r="F48" i="4"/>
  <c r="F175" i="4"/>
  <c r="F176" i="4"/>
  <c r="F169" i="4"/>
  <c r="F31" i="4"/>
  <c r="F93" i="4"/>
  <c r="F70" i="4"/>
  <c r="F71" i="4"/>
  <c r="F173" i="4"/>
  <c r="F49" i="4"/>
  <c r="F164" i="4"/>
  <c r="F92" i="4"/>
  <c r="H73" i="4"/>
  <c r="H48" i="4"/>
  <c r="H175" i="4"/>
  <c r="H176" i="4"/>
  <c r="H169" i="4"/>
  <c r="H31" i="4"/>
  <c r="H93" i="4"/>
  <c r="H70" i="4"/>
  <c r="H71" i="4"/>
  <c r="H173" i="4"/>
  <c r="H49" i="4"/>
  <c r="H164" i="4"/>
  <c r="H92" i="4"/>
  <c r="F76" i="4"/>
  <c r="H76" i="4"/>
  <c r="E3" i="2"/>
  <c r="I9" i="5"/>
  <c r="I4" i="5"/>
  <c r="F75" i="4"/>
  <c r="F78" i="4"/>
  <c r="F77" i="4"/>
  <c r="H75" i="4"/>
  <c r="H78" i="4"/>
  <c r="H77" i="4"/>
  <c r="H48" i="31"/>
  <c r="H49" i="31"/>
  <c r="H50" i="31"/>
  <c r="H51" i="31"/>
  <c r="H52" i="31"/>
  <c r="H53" i="31"/>
  <c r="H54" i="31"/>
  <c r="H55" i="31"/>
  <c r="H56" i="31"/>
  <c r="H57" i="31"/>
  <c r="H58" i="31"/>
  <c r="H59" i="31"/>
  <c r="H60" i="31"/>
  <c r="H61" i="31"/>
  <c r="F61" i="31"/>
  <c r="E48" i="31"/>
  <c r="E49" i="31"/>
  <c r="E50" i="31"/>
  <c r="E51" i="31"/>
  <c r="E52" i="31"/>
  <c r="E53" i="31"/>
  <c r="E54" i="31"/>
  <c r="E55" i="31"/>
  <c r="E56" i="31"/>
  <c r="E57" i="31"/>
  <c r="E58" i="31"/>
  <c r="E59" i="31"/>
  <c r="E60" i="31"/>
  <c r="E61" i="31"/>
  <c r="D61" i="31"/>
  <c r="C61" i="31"/>
  <c r="H31" i="31"/>
  <c r="H32" i="31"/>
  <c r="H33" i="31"/>
  <c r="H34" i="31"/>
  <c r="H35" i="31"/>
  <c r="H36" i="31"/>
  <c r="H37" i="31"/>
  <c r="H38" i="31"/>
  <c r="H39" i="31"/>
  <c r="H40" i="31"/>
  <c r="H41" i="31"/>
  <c r="H42" i="31"/>
  <c r="H43" i="31"/>
  <c r="H44" i="31"/>
  <c r="F44" i="31"/>
  <c r="E31" i="31"/>
  <c r="E32" i="31"/>
  <c r="E33" i="31"/>
  <c r="E34" i="31"/>
  <c r="E35" i="31"/>
  <c r="E36" i="31"/>
  <c r="E37" i="31"/>
  <c r="E38" i="31"/>
  <c r="E39" i="31"/>
  <c r="E40" i="31"/>
  <c r="E41" i="31"/>
  <c r="E42" i="31"/>
  <c r="E43" i="31"/>
  <c r="E44" i="31"/>
  <c r="D44" i="31"/>
  <c r="C44" i="31"/>
  <c r="H3" i="31"/>
  <c r="H4" i="31"/>
  <c r="H5" i="31"/>
  <c r="H6" i="31"/>
  <c r="H7" i="31"/>
  <c r="H8" i="31"/>
  <c r="H9" i="31"/>
  <c r="H10" i="31"/>
  <c r="H11" i="31"/>
  <c r="H12" i="31"/>
  <c r="H13" i="31"/>
  <c r="H14" i="31"/>
  <c r="H15" i="31"/>
  <c r="H27" i="31"/>
  <c r="F27" i="31"/>
  <c r="E3" i="31"/>
  <c r="E4" i="31"/>
  <c r="E5" i="31"/>
  <c r="E6" i="31"/>
  <c r="E7" i="31"/>
  <c r="E8" i="31"/>
  <c r="E9" i="31"/>
  <c r="E10" i="31"/>
  <c r="E11" i="31"/>
  <c r="E12" i="31"/>
  <c r="E13" i="31"/>
  <c r="E14" i="31"/>
  <c r="E15" i="31"/>
  <c r="E27" i="31"/>
  <c r="D27" i="31"/>
  <c r="C27" i="31"/>
  <c r="H37" i="30"/>
  <c r="H38" i="30"/>
  <c r="H39" i="30"/>
  <c r="H40" i="30"/>
  <c r="H41" i="30"/>
  <c r="H42" i="30"/>
  <c r="H43" i="30"/>
  <c r="H44" i="30"/>
  <c r="H45" i="30"/>
  <c r="H46" i="30"/>
  <c r="H47" i="30"/>
  <c r="H48" i="30"/>
  <c r="H49" i="30"/>
  <c r="H50" i="30"/>
  <c r="F50" i="30"/>
  <c r="E37" i="30"/>
  <c r="E38" i="30"/>
  <c r="E39" i="30"/>
  <c r="E40" i="30"/>
  <c r="E41" i="30"/>
  <c r="E42" i="30"/>
  <c r="E43" i="30"/>
  <c r="E44" i="30"/>
  <c r="E45" i="30"/>
  <c r="E46" i="30"/>
  <c r="E47" i="30"/>
  <c r="E48" i="30"/>
  <c r="E49" i="30"/>
  <c r="E50" i="30"/>
  <c r="D50" i="30"/>
  <c r="C50" i="30"/>
  <c r="H20" i="30"/>
  <c r="H21" i="30"/>
  <c r="H22" i="30"/>
  <c r="H23" i="30"/>
  <c r="H24" i="30"/>
  <c r="H25" i="30"/>
  <c r="H26" i="30"/>
  <c r="H27" i="30"/>
  <c r="H28" i="30"/>
  <c r="H29" i="30"/>
  <c r="H30" i="30"/>
  <c r="H31" i="30"/>
  <c r="H32" i="30"/>
  <c r="H33" i="30"/>
  <c r="F33" i="30"/>
  <c r="E20" i="30"/>
  <c r="E21" i="30"/>
  <c r="E22" i="30"/>
  <c r="E23" i="30"/>
  <c r="E24" i="30"/>
  <c r="E25" i="30"/>
  <c r="E26" i="30"/>
  <c r="E27" i="30"/>
  <c r="E28" i="30"/>
  <c r="E29" i="30"/>
  <c r="E30" i="30"/>
  <c r="E31" i="30"/>
  <c r="E32" i="30"/>
  <c r="E33" i="30"/>
  <c r="D33" i="30"/>
  <c r="C33" i="30"/>
  <c r="H3" i="30"/>
  <c r="H4" i="30"/>
  <c r="H5" i="30"/>
  <c r="H6" i="30"/>
  <c r="H7" i="30"/>
  <c r="H8" i="30"/>
  <c r="H9" i="30"/>
  <c r="H10" i="30"/>
  <c r="H11" i="30"/>
  <c r="H12" i="30"/>
  <c r="H13" i="30"/>
  <c r="H14" i="30"/>
  <c r="H15" i="30"/>
  <c r="H16" i="30"/>
  <c r="F16" i="30"/>
  <c r="E3" i="30"/>
  <c r="E4" i="30"/>
  <c r="E5" i="30"/>
  <c r="E6" i="30"/>
  <c r="E7" i="30"/>
  <c r="E8" i="30"/>
  <c r="E9" i="30"/>
  <c r="E10" i="30"/>
  <c r="E11" i="30"/>
  <c r="E12" i="30"/>
  <c r="E13" i="30"/>
  <c r="E14" i="30"/>
  <c r="E15" i="30"/>
  <c r="E16" i="30"/>
  <c r="D16" i="30"/>
  <c r="C16" i="30"/>
  <c r="H37" i="32"/>
  <c r="H38" i="32"/>
  <c r="H39" i="32"/>
  <c r="H40" i="32"/>
  <c r="H41" i="32"/>
  <c r="H42" i="32"/>
  <c r="H43" i="32"/>
  <c r="H44" i="32"/>
  <c r="H45" i="32"/>
  <c r="H46" i="32"/>
  <c r="H47" i="32"/>
  <c r="H48" i="32"/>
  <c r="H49" i="32"/>
  <c r="H50" i="32"/>
  <c r="F50" i="32"/>
  <c r="E37" i="32"/>
  <c r="E38" i="32"/>
  <c r="E39" i="32"/>
  <c r="E40" i="32"/>
  <c r="E41" i="32"/>
  <c r="E42" i="32"/>
  <c r="E43" i="32"/>
  <c r="E44" i="32"/>
  <c r="E45" i="32"/>
  <c r="E46" i="32"/>
  <c r="E47" i="32"/>
  <c r="E48" i="32"/>
  <c r="E49" i="32"/>
  <c r="E50" i="32"/>
  <c r="D50" i="32"/>
  <c r="C50" i="32"/>
  <c r="H20" i="32"/>
  <c r="H21" i="32"/>
  <c r="H22" i="32"/>
  <c r="H23" i="32"/>
  <c r="H24" i="32"/>
  <c r="H25" i="32"/>
  <c r="H26" i="32"/>
  <c r="H27" i="32"/>
  <c r="H28" i="32"/>
  <c r="H29" i="32"/>
  <c r="H30" i="32"/>
  <c r="H31" i="32"/>
  <c r="H32" i="32"/>
  <c r="H33" i="32"/>
  <c r="F33" i="32"/>
  <c r="E20" i="32"/>
  <c r="E21" i="32"/>
  <c r="E22" i="32"/>
  <c r="E23" i="32"/>
  <c r="E24" i="32"/>
  <c r="E25" i="32"/>
  <c r="E26" i="32"/>
  <c r="E27" i="32"/>
  <c r="E28" i="32"/>
  <c r="E29" i="32"/>
  <c r="E30" i="32"/>
  <c r="E31" i="32"/>
  <c r="E32" i="32"/>
  <c r="E33" i="32"/>
  <c r="D33" i="32"/>
  <c r="C33" i="32"/>
  <c r="H3" i="32"/>
  <c r="H4" i="32"/>
  <c r="H5" i="32"/>
  <c r="H6" i="32"/>
  <c r="H7" i="32"/>
  <c r="H8" i="32"/>
  <c r="H9" i="32"/>
  <c r="H10" i="32"/>
  <c r="H11" i="32"/>
  <c r="H12" i="32"/>
  <c r="H13" i="32"/>
  <c r="H14" i="32"/>
  <c r="H15" i="32"/>
  <c r="H16" i="32"/>
  <c r="F16" i="32"/>
  <c r="E3" i="32"/>
  <c r="E4" i="32"/>
  <c r="E5" i="32"/>
  <c r="E6" i="32"/>
  <c r="E7" i="32"/>
  <c r="E8" i="32"/>
  <c r="E9" i="32"/>
  <c r="E10" i="32"/>
  <c r="E11" i="32"/>
  <c r="E12" i="32"/>
  <c r="E13" i="32"/>
  <c r="E14" i="32"/>
  <c r="E15" i="32"/>
  <c r="E16" i="32"/>
  <c r="D16" i="32"/>
  <c r="C16" i="32"/>
  <c r="H52" i="29"/>
  <c r="H53" i="29"/>
  <c r="H54" i="29"/>
  <c r="H55" i="29"/>
  <c r="H56" i="29"/>
  <c r="H57" i="29"/>
  <c r="H58" i="29"/>
  <c r="H59" i="29"/>
  <c r="H60" i="29"/>
  <c r="H61" i="29"/>
  <c r="H62" i="29"/>
  <c r="H63" i="29"/>
  <c r="H64" i="29"/>
  <c r="H65" i="29"/>
  <c r="F65" i="29"/>
  <c r="E52" i="29"/>
  <c r="E53" i="29"/>
  <c r="E54" i="29"/>
  <c r="E55" i="29"/>
  <c r="E56" i="29"/>
  <c r="E57" i="29"/>
  <c r="E58" i="29"/>
  <c r="E59" i="29"/>
  <c r="E60" i="29"/>
  <c r="E61" i="29"/>
  <c r="E62" i="29"/>
  <c r="E63" i="29"/>
  <c r="E64" i="29"/>
  <c r="E65" i="29"/>
  <c r="D65" i="29"/>
  <c r="C65" i="29"/>
  <c r="H35" i="29"/>
  <c r="H36" i="29"/>
  <c r="H37" i="29"/>
  <c r="H38" i="29"/>
  <c r="H39" i="29"/>
  <c r="H40" i="29"/>
  <c r="H41" i="29"/>
  <c r="H42" i="29"/>
  <c r="H43" i="29"/>
  <c r="H44" i="29"/>
  <c r="H45" i="29"/>
  <c r="H46" i="29"/>
  <c r="H47" i="29"/>
  <c r="H48" i="29"/>
  <c r="F48" i="29"/>
  <c r="E35" i="29"/>
  <c r="E36" i="29"/>
  <c r="E37" i="29"/>
  <c r="E38" i="29"/>
  <c r="E39" i="29"/>
  <c r="E40" i="29"/>
  <c r="E41" i="29"/>
  <c r="E42" i="29"/>
  <c r="E43" i="29"/>
  <c r="E44" i="29"/>
  <c r="E45" i="29"/>
  <c r="E46" i="29"/>
  <c r="E47" i="29"/>
  <c r="E48" i="29"/>
  <c r="D48" i="29"/>
  <c r="C48" i="29"/>
  <c r="H3" i="29"/>
  <c r="H4" i="29"/>
  <c r="H5" i="29"/>
  <c r="H6" i="29"/>
  <c r="H7" i="29"/>
  <c r="H8" i="29"/>
  <c r="H9" i="29"/>
  <c r="H10" i="29"/>
  <c r="H11" i="29"/>
  <c r="H12" i="29"/>
  <c r="H13" i="29"/>
  <c r="H14" i="29"/>
  <c r="H15" i="29"/>
  <c r="H31" i="29"/>
  <c r="F31" i="29"/>
  <c r="E3" i="29"/>
  <c r="E4" i="29"/>
  <c r="E5" i="29"/>
  <c r="E6" i="29"/>
  <c r="E7" i="29"/>
  <c r="E8" i="29"/>
  <c r="E9" i="29"/>
  <c r="E10" i="29"/>
  <c r="E11" i="29"/>
  <c r="E12" i="29"/>
  <c r="E13" i="29"/>
  <c r="E14" i="29"/>
  <c r="E15" i="29"/>
  <c r="E31" i="29"/>
  <c r="D31" i="29"/>
  <c r="C31" i="29"/>
  <c r="H44" i="28"/>
  <c r="H45" i="28"/>
  <c r="H46" i="28"/>
  <c r="H47" i="28"/>
  <c r="H48" i="28"/>
  <c r="H49" i="28"/>
  <c r="H50" i="28"/>
  <c r="H51" i="28"/>
  <c r="H52" i="28"/>
  <c r="H53" i="28"/>
  <c r="H54" i="28"/>
  <c r="H55" i="28"/>
  <c r="H56" i="28"/>
  <c r="H57" i="28"/>
  <c r="F57" i="28"/>
  <c r="E44" i="28"/>
  <c r="E45" i="28"/>
  <c r="E46" i="28"/>
  <c r="E47" i="28"/>
  <c r="E48" i="28"/>
  <c r="E49" i="28"/>
  <c r="E50" i="28"/>
  <c r="E51" i="28"/>
  <c r="E52" i="28"/>
  <c r="E53" i="28"/>
  <c r="E54" i="28"/>
  <c r="E55" i="28"/>
  <c r="E56" i="28"/>
  <c r="E57" i="28"/>
  <c r="D57" i="28"/>
  <c r="C57" i="28"/>
  <c r="H27" i="28"/>
  <c r="H28" i="28"/>
  <c r="H29" i="28"/>
  <c r="H30" i="28"/>
  <c r="H31" i="28"/>
  <c r="H32" i="28"/>
  <c r="H33" i="28"/>
  <c r="H34" i="28"/>
  <c r="H35" i="28"/>
  <c r="H36" i="28"/>
  <c r="H37" i="28"/>
  <c r="H38" i="28"/>
  <c r="H39" i="28"/>
  <c r="H40" i="28"/>
  <c r="F40" i="28"/>
  <c r="E27" i="28"/>
  <c r="E28" i="28"/>
  <c r="E29" i="28"/>
  <c r="E30" i="28"/>
  <c r="E31" i="28"/>
  <c r="E32" i="28"/>
  <c r="E33" i="28"/>
  <c r="E34" i="28"/>
  <c r="E35" i="28"/>
  <c r="E36" i="28"/>
  <c r="E37" i="28"/>
  <c r="E38" i="28"/>
  <c r="E39" i="28"/>
  <c r="E40" i="28"/>
  <c r="D40" i="28"/>
  <c r="C40" i="28"/>
  <c r="H3" i="28"/>
  <c r="H4" i="28"/>
  <c r="H5" i="28"/>
  <c r="H6" i="28"/>
  <c r="H7" i="28"/>
  <c r="H8" i="28"/>
  <c r="H9" i="28"/>
  <c r="H10" i="28"/>
  <c r="H11" i="28"/>
  <c r="H12" i="28"/>
  <c r="H13" i="28"/>
  <c r="H14" i="28"/>
  <c r="H15" i="28"/>
  <c r="H23" i="28"/>
  <c r="F23" i="28"/>
  <c r="E3" i="28"/>
  <c r="E4" i="28"/>
  <c r="E5" i="28"/>
  <c r="E6" i="28"/>
  <c r="E7" i="28"/>
  <c r="E8" i="28"/>
  <c r="E9" i="28"/>
  <c r="E10" i="28"/>
  <c r="E11" i="28"/>
  <c r="E12" i="28"/>
  <c r="E13" i="28"/>
  <c r="E14" i="28"/>
  <c r="E15" i="28"/>
  <c r="E23" i="28"/>
  <c r="D23" i="28"/>
  <c r="H48" i="27"/>
  <c r="H49" i="27"/>
  <c r="H50" i="27"/>
  <c r="H51" i="27"/>
  <c r="H52" i="27"/>
  <c r="H53" i="27"/>
  <c r="H54" i="27"/>
  <c r="H55" i="27"/>
  <c r="H56" i="27"/>
  <c r="H57" i="27"/>
  <c r="H58" i="27"/>
  <c r="H59" i="27"/>
  <c r="H60" i="27"/>
  <c r="H61" i="27"/>
  <c r="F61" i="27"/>
  <c r="E48" i="27"/>
  <c r="E49" i="27"/>
  <c r="E50" i="27"/>
  <c r="E51" i="27"/>
  <c r="E52" i="27"/>
  <c r="E53" i="27"/>
  <c r="E54" i="27"/>
  <c r="E55" i="27"/>
  <c r="E56" i="27"/>
  <c r="E57" i="27"/>
  <c r="E58" i="27"/>
  <c r="E59" i="27"/>
  <c r="E60" i="27"/>
  <c r="E61" i="27"/>
  <c r="D61" i="27"/>
  <c r="C61" i="27"/>
  <c r="H31" i="27"/>
  <c r="H32" i="27"/>
  <c r="H33" i="27"/>
  <c r="H34" i="27"/>
  <c r="H35" i="27"/>
  <c r="H36" i="27"/>
  <c r="H37" i="27"/>
  <c r="H38" i="27"/>
  <c r="H39" i="27"/>
  <c r="H40" i="27"/>
  <c r="H41" i="27"/>
  <c r="H42" i="27"/>
  <c r="H43" i="27"/>
  <c r="H44" i="27"/>
  <c r="F44" i="27"/>
  <c r="E31" i="27"/>
  <c r="E32" i="27"/>
  <c r="E33" i="27"/>
  <c r="E34" i="27"/>
  <c r="E35" i="27"/>
  <c r="E36" i="27"/>
  <c r="E37" i="27"/>
  <c r="E38" i="27"/>
  <c r="E39" i="27"/>
  <c r="E40" i="27"/>
  <c r="E41" i="27"/>
  <c r="E42" i="27"/>
  <c r="E43" i="27"/>
  <c r="E44" i="27"/>
  <c r="D44" i="27"/>
  <c r="C44" i="27"/>
  <c r="H3" i="27"/>
  <c r="H4" i="27"/>
  <c r="H5" i="27"/>
  <c r="H6" i="27"/>
  <c r="H7" i="27"/>
  <c r="H8" i="27"/>
  <c r="H9" i="27"/>
  <c r="H10" i="27"/>
  <c r="H11" i="27"/>
  <c r="H12" i="27"/>
  <c r="H13" i="27"/>
  <c r="H14" i="27"/>
  <c r="H15" i="27"/>
  <c r="H27" i="27"/>
  <c r="F27" i="27"/>
  <c r="E3" i="27"/>
  <c r="E4" i="27"/>
  <c r="E5" i="27"/>
  <c r="E6" i="27"/>
  <c r="E7" i="27"/>
  <c r="E8" i="27"/>
  <c r="E9" i="27"/>
  <c r="E10" i="27"/>
  <c r="E11" i="27"/>
  <c r="E12" i="27"/>
  <c r="E13" i="27"/>
  <c r="E14" i="27"/>
  <c r="E15" i="27"/>
  <c r="E27" i="27"/>
  <c r="D27" i="27"/>
  <c r="C27" i="27"/>
  <c r="H38" i="25"/>
  <c r="H39" i="25"/>
  <c r="H40" i="25"/>
  <c r="H41" i="25"/>
  <c r="H42" i="25"/>
  <c r="H43" i="25"/>
  <c r="H44" i="25"/>
  <c r="H45" i="25"/>
  <c r="H46" i="25"/>
  <c r="H47" i="25"/>
  <c r="H48" i="25"/>
  <c r="H49" i="25"/>
  <c r="H50" i="25"/>
  <c r="H51" i="25"/>
  <c r="F51" i="25"/>
  <c r="E38" i="25"/>
  <c r="E39" i="25"/>
  <c r="E40" i="25"/>
  <c r="E41" i="25"/>
  <c r="E42" i="25"/>
  <c r="E43" i="25"/>
  <c r="E44" i="25"/>
  <c r="E45" i="25"/>
  <c r="E46" i="25"/>
  <c r="E47" i="25"/>
  <c r="E48" i="25"/>
  <c r="E49" i="25"/>
  <c r="E50" i="25"/>
  <c r="E51" i="25"/>
  <c r="D51" i="25"/>
  <c r="C51" i="25"/>
  <c r="H21" i="25"/>
  <c r="H22" i="25"/>
  <c r="H23" i="25"/>
  <c r="H24" i="25"/>
  <c r="H25" i="25"/>
  <c r="H26" i="25"/>
  <c r="H27" i="25"/>
  <c r="H28" i="25"/>
  <c r="H29" i="25"/>
  <c r="H30" i="25"/>
  <c r="H31" i="25"/>
  <c r="H32" i="25"/>
  <c r="H33" i="25"/>
  <c r="H34" i="25"/>
  <c r="F34" i="25"/>
  <c r="E21" i="25"/>
  <c r="E22" i="25"/>
  <c r="E23" i="25"/>
  <c r="E24" i="25"/>
  <c r="E25" i="25"/>
  <c r="E26" i="25"/>
  <c r="E27" i="25"/>
  <c r="E28" i="25"/>
  <c r="E29" i="25"/>
  <c r="E30" i="25"/>
  <c r="E31" i="25"/>
  <c r="E32" i="25"/>
  <c r="E33" i="25"/>
  <c r="E34" i="25"/>
  <c r="D34" i="25"/>
  <c r="C34" i="25"/>
  <c r="H3" i="25"/>
  <c r="H4" i="25"/>
  <c r="H5" i="25"/>
  <c r="H6" i="25"/>
  <c r="H7" i="25"/>
  <c r="H8" i="25"/>
  <c r="H9" i="25"/>
  <c r="H10" i="25"/>
  <c r="H11" i="25"/>
  <c r="H12" i="25"/>
  <c r="H13" i="25"/>
  <c r="H14" i="25"/>
  <c r="H15" i="25"/>
  <c r="H17" i="25"/>
  <c r="F17" i="25"/>
  <c r="E3" i="25"/>
  <c r="E4" i="25"/>
  <c r="E5" i="25"/>
  <c r="E6" i="25"/>
  <c r="E7" i="25"/>
  <c r="E8" i="25"/>
  <c r="E9" i="25"/>
  <c r="E10" i="25"/>
  <c r="E11" i="25"/>
  <c r="E12" i="25"/>
  <c r="E13" i="25"/>
  <c r="E14" i="25"/>
  <c r="E15" i="25"/>
  <c r="E17" i="25"/>
  <c r="D17" i="25"/>
  <c r="C17" i="25"/>
  <c r="H37" i="26"/>
  <c r="H38" i="26"/>
  <c r="H39" i="26"/>
  <c r="H40" i="26"/>
  <c r="H41" i="26"/>
  <c r="H42" i="26"/>
  <c r="H43" i="26"/>
  <c r="H44" i="26"/>
  <c r="H45" i="26"/>
  <c r="H46" i="26"/>
  <c r="H47" i="26"/>
  <c r="H48" i="26"/>
  <c r="H49" i="26"/>
  <c r="H50" i="26"/>
  <c r="F50" i="26"/>
  <c r="E37" i="26"/>
  <c r="E38" i="26"/>
  <c r="E39" i="26"/>
  <c r="E40" i="26"/>
  <c r="E41" i="26"/>
  <c r="E42" i="26"/>
  <c r="E43" i="26"/>
  <c r="E44" i="26"/>
  <c r="E45" i="26"/>
  <c r="E46" i="26"/>
  <c r="E47" i="26"/>
  <c r="E48" i="26"/>
  <c r="E49" i="26"/>
  <c r="E50" i="26"/>
  <c r="D50" i="26"/>
  <c r="C50" i="26"/>
  <c r="H20" i="26"/>
  <c r="H21" i="26"/>
  <c r="H22" i="26"/>
  <c r="H23" i="26"/>
  <c r="H24" i="26"/>
  <c r="H25" i="26"/>
  <c r="H26" i="26"/>
  <c r="H27" i="26"/>
  <c r="H28" i="26"/>
  <c r="H29" i="26"/>
  <c r="H30" i="26"/>
  <c r="H31" i="26"/>
  <c r="H32" i="26"/>
  <c r="H33" i="26"/>
  <c r="F33" i="26"/>
  <c r="E20" i="26"/>
  <c r="E21" i="26"/>
  <c r="E22" i="26"/>
  <c r="E23" i="26"/>
  <c r="E24" i="26"/>
  <c r="E25" i="26"/>
  <c r="E26" i="26"/>
  <c r="E27" i="26"/>
  <c r="E28" i="26"/>
  <c r="E29" i="26"/>
  <c r="E30" i="26"/>
  <c r="E31" i="26"/>
  <c r="E32" i="26"/>
  <c r="E33" i="26"/>
  <c r="D33" i="26"/>
  <c r="C33" i="26"/>
  <c r="H3" i="26"/>
  <c r="H4" i="26"/>
  <c r="H5" i="26"/>
  <c r="H6" i="26"/>
  <c r="H7" i="26"/>
  <c r="H8" i="26"/>
  <c r="H9" i="26"/>
  <c r="H10" i="26"/>
  <c r="H11" i="26"/>
  <c r="H12" i="26"/>
  <c r="H13" i="26"/>
  <c r="H14" i="26"/>
  <c r="H15" i="26"/>
  <c r="H16" i="26"/>
  <c r="F16" i="26"/>
  <c r="E3" i="26"/>
  <c r="E4" i="26"/>
  <c r="E5" i="26"/>
  <c r="E6" i="26"/>
  <c r="E7" i="26"/>
  <c r="E8" i="26"/>
  <c r="E9" i="26"/>
  <c r="E10" i="26"/>
  <c r="E11" i="26"/>
  <c r="E12" i="26"/>
  <c r="E13" i="26"/>
  <c r="E14" i="26"/>
  <c r="E15" i="26"/>
  <c r="E16" i="26"/>
  <c r="D16" i="26"/>
  <c r="C16" i="26"/>
  <c r="H37" i="24"/>
  <c r="H38" i="24"/>
  <c r="H39" i="24"/>
  <c r="H40" i="24"/>
  <c r="H41" i="24"/>
  <c r="H42" i="24"/>
  <c r="H43" i="24"/>
  <c r="H44" i="24"/>
  <c r="H45" i="24"/>
  <c r="H46" i="24"/>
  <c r="H47" i="24"/>
  <c r="H48" i="24"/>
  <c r="H49" i="24"/>
  <c r="H50" i="24"/>
  <c r="F50" i="24"/>
  <c r="E37" i="24"/>
  <c r="E38" i="24"/>
  <c r="E39" i="24"/>
  <c r="E40" i="24"/>
  <c r="E41" i="24"/>
  <c r="E42" i="24"/>
  <c r="E43" i="24"/>
  <c r="E44" i="24"/>
  <c r="E45" i="24"/>
  <c r="E46" i="24"/>
  <c r="E47" i="24"/>
  <c r="E48" i="24"/>
  <c r="E49" i="24"/>
  <c r="E50" i="24"/>
  <c r="D50" i="24"/>
  <c r="C50" i="24"/>
  <c r="H20" i="24"/>
  <c r="H21" i="24"/>
  <c r="H22" i="24"/>
  <c r="H23" i="24"/>
  <c r="H24" i="24"/>
  <c r="H25" i="24"/>
  <c r="H26" i="24"/>
  <c r="H27" i="24"/>
  <c r="H28" i="24"/>
  <c r="H29" i="24"/>
  <c r="H30" i="24"/>
  <c r="H31" i="24"/>
  <c r="H32" i="24"/>
  <c r="H33" i="24"/>
  <c r="F33" i="24"/>
  <c r="E20" i="24"/>
  <c r="E21" i="24"/>
  <c r="E22" i="24"/>
  <c r="E23" i="24"/>
  <c r="E24" i="24"/>
  <c r="E25" i="24"/>
  <c r="E26" i="24"/>
  <c r="E27" i="24"/>
  <c r="E28" i="24"/>
  <c r="E29" i="24"/>
  <c r="E30" i="24"/>
  <c r="E31" i="24"/>
  <c r="E32" i="24"/>
  <c r="E33" i="24"/>
  <c r="D33" i="24"/>
  <c r="C33" i="24"/>
  <c r="H3" i="24"/>
  <c r="H4" i="24"/>
  <c r="H5" i="24"/>
  <c r="H6" i="24"/>
  <c r="H7" i="24"/>
  <c r="H8" i="24"/>
  <c r="H9" i="24"/>
  <c r="H10" i="24"/>
  <c r="H11" i="24"/>
  <c r="H12" i="24"/>
  <c r="H13" i="24"/>
  <c r="H14" i="24"/>
  <c r="H15" i="24"/>
  <c r="H16" i="24"/>
  <c r="F16" i="24"/>
  <c r="E3" i="24"/>
  <c r="E4" i="24"/>
  <c r="E5" i="24"/>
  <c r="E6" i="24"/>
  <c r="E7" i="24"/>
  <c r="E8" i="24"/>
  <c r="E9" i="24"/>
  <c r="E10" i="24"/>
  <c r="E11" i="24"/>
  <c r="E12" i="24"/>
  <c r="E13" i="24"/>
  <c r="E14" i="24"/>
  <c r="E15" i="24"/>
  <c r="E16" i="24"/>
  <c r="D16" i="24"/>
  <c r="C16" i="24"/>
  <c r="H43" i="23"/>
  <c r="H44" i="23"/>
  <c r="H45" i="23"/>
  <c r="H46" i="23"/>
  <c r="H47" i="23"/>
  <c r="H48" i="23"/>
  <c r="H49" i="23"/>
  <c r="H50" i="23"/>
  <c r="H51" i="23"/>
  <c r="H52" i="23"/>
  <c r="H53" i="23"/>
  <c r="H54" i="23"/>
  <c r="H55" i="23"/>
  <c r="H56" i="23"/>
  <c r="F56" i="23"/>
  <c r="E43" i="23"/>
  <c r="E44" i="23"/>
  <c r="E45" i="23"/>
  <c r="E46" i="23"/>
  <c r="E47" i="23"/>
  <c r="E48" i="23"/>
  <c r="E49" i="23"/>
  <c r="E50" i="23"/>
  <c r="E51" i="23"/>
  <c r="E52" i="23"/>
  <c r="E53" i="23"/>
  <c r="E54" i="23"/>
  <c r="E55" i="23"/>
  <c r="E56" i="23"/>
  <c r="D56" i="23"/>
  <c r="C56" i="23"/>
  <c r="H26" i="23"/>
  <c r="H27" i="23"/>
  <c r="H28" i="23"/>
  <c r="H29" i="23"/>
  <c r="H30" i="23"/>
  <c r="H31" i="23"/>
  <c r="H32" i="23"/>
  <c r="H33" i="23"/>
  <c r="H34" i="23"/>
  <c r="H35" i="23"/>
  <c r="H36" i="23"/>
  <c r="H37" i="23"/>
  <c r="H38" i="23"/>
  <c r="H39" i="23"/>
  <c r="F39" i="23"/>
  <c r="E26" i="23"/>
  <c r="E27" i="23"/>
  <c r="E28" i="23"/>
  <c r="E29" i="23"/>
  <c r="E30" i="23"/>
  <c r="E31" i="23"/>
  <c r="E32" i="23"/>
  <c r="E33" i="23"/>
  <c r="E34" i="23"/>
  <c r="E35" i="23"/>
  <c r="E36" i="23"/>
  <c r="E37" i="23"/>
  <c r="E38" i="23"/>
  <c r="E39" i="23"/>
  <c r="D39" i="23"/>
  <c r="C39" i="23"/>
  <c r="H3" i="23"/>
  <c r="H4" i="23"/>
  <c r="H5" i="23"/>
  <c r="H6" i="23"/>
  <c r="H7" i="23"/>
  <c r="H8" i="23"/>
  <c r="H9" i="23"/>
  <c r="H10" i="23"/>
  <c r="H11" i="23"/>
  <c r="H12" i="23"/>
  <c r="H13" i="23"/>
  <c r="H14" i="23"/>
  <c r="H15" i="23"/>
  <c r="H22" i="23"/>
  <c r="F22" i="23"/>
  <c r="E3" i="23"/>
  <c r="E4" i="23"/>
  <c r="E5" i="23"/>
  <c r="E6" i="23"/>
  <c r="E7" i="23"/>
  <c r="E8" i="23"/>
  <c r="E9" i="23"/>
  <c r="E10" i="23"/>
  <c r="E11" i="23"/>
  <c r="E12" i="23"/>
  <c r="E13" i="23"/>
  <c r="E14" i="23"/>
  <c r="E15" i="23"/>
  <c r="E22" i="23"/>
  <c r="D22" i="23"/>
  <c r="C22" i="23"/>
  <c r="H37" i="22"/>
  <c r="H38" i="22"/>
  <c r="H39" i="22"/>
  <c r="H40" i="22"/>
  <c r="H41" i="22"/>
  <c r="H42" i="22"/>
  <c r="H43" i="22"/>
  <c r="H44" i="22"/>
  <c r="H45" i="22"/>
  <c r="H46" i="22"/>
  <c r="H47" i="22"/>
  <c r="H48" i="22"/>
  <c r="H49" i="22"/>
  <c r="H50" i="22"/>
  <c r="F50" i="22"/>
  <c r="E37" i="22"/>
  <c r="E38" i="22"/>
  <c r="E39" i="22"/>
  <c r="E40" i="22"/>
  <c r="E41" i="22"/>
  <c r="E42" i="22"/>
  <c r="E43" i="22"/>
  <c r="E44" i="22"/>
  <c r="E45" i="22"/>
  <c r="E46" i="22"/>
  <c r="E47" i="22"/>
  <c r="E48" i="22"/>
  <c r="E49" i="22"/>
  <c r="E50" i="22"/>
  <c r="D50" i="22"/>
  <c r="C50" i="22"/>
  <c r="H20" i="22"/>
  <c r="H21" i="22"/>
  <c r="H22" i="22"/>
  <c r="H23" i="22"/>
  <c r="H24" i="22"/>
  <c r="H25" i="22"/>
  <c r="H26" i="22"/>
  <c r="H27" i="22"/>
  <c r="H28" i="22"/>
  <c r="H29" i="22"/>
  <c r="H30" i="22"/>
  <c r="H31" i="22"/>
  <c r="H32" i="22"/>
  <c r="H33" i="22"/>
  <c r="F33" i="22"/>
  <c r="E20" i="22"/>
  <c r="E21" i="22"/>
  <c r="E22" i="22"/>
  <c r="E23" i="22"/>
  <c r="E24" i="22"/>
  <c r="E25" i="22"/>
  <c r="E26" i="22"/>
  <c r="E27" i="22"/>
  <c r="E28" i="22"/>
  <c r="E29" i="22"/>
  <c r="E30" i="22"/>
  <c r="E31" i="22"/>
  <c r="E32" i="22"/>
  <c r="E33" i="22"/>
  <c r="D33" i="22"/>
  <c r="C33" i="22"/>
  <c r="H3" i="22"/>
  <c r="H4" i="22"/>
  <c r="H5" i="22"/>
  <c r="H6" i="22"/>
  <c r="H7" i="22"/>
  <c r="H8" i="22"/>
  <c r="H9" i="22"/>
  <c r="H10" i="22"/>
  <c r="H11" i="22"/>
  <c r="H12" i="22"/>
  <c r="H13" i="22"/>
  <c r="H14" i="22"/>
  <c r="H15" i="22"/>
  <c r="H16" i="22"/>
  <c r="F16" i="22"/>
  <c r="E3" i="22"/>
  <c r="E4" i="22"/>
  <c r="E5" i="22"/>
  <c r="E6" i="22"/>
  <c r="E7" i="22"/>
  <c r="E8" i="22"/>
  <c r="E9" i="22"/>
  <c r="E10" i="22"/>
  <c r="E11" i="22"/>
  <c r="E12" i="22"/>
  <c r="E13" i="22"/>
  <c r="E14" i="22"/>
  <c r="E15" i="22"/>
  <c r="E16" i="22"/>
  <c r="D16" i="22"/>
  <c r="C16" i="22"/>
  <c r="H37" i="21"/>
  <c r="H38" i="21"/>
  <c r="H39" i="21"/>
  <c r="H40" i="21"/>
  <c r="H41" i="21"/>
  <c r="H42" i="21"/>
  <c r="H43" i="21"/>
  <c r="H44" i="21"/>
  <c r="H45" i="21"/>
  <c r="H46" i="21"/>
  <c r="H47" i="21"/>
  <c r="H48" i="21"/>
  <c r="H49" i="21"/>
  <c r="H50" i="21"/>
  <c r="F50" i="21"/>
  <c r="E37" i="21"/>
  <c r="E38" i="21"/>
  <c r="E39" i="21"/>
  <c r="E40" i="21"/>
  <c r="E41" i="21"/>
  <c r="E42" i="21"/>
  <c r="E43" i="21"/>
  <c r="E44" i="21"/>
  <c r="E45" i="21"/>
  <c r="E46" i="21"/>
  <c r="E47" i="21"/>
  <c r="E48" i="21"/>
  <c r="E49" i="21"/>
  <c r="E50" i="21"/>
  <c r="D50" i="21"/>
  <c r="C50" i="21"/>
  <c r="H20" i="21"/>
  <c r="H21" i="21"/>
  <c r="H22" i="21"/>
  <c r="H23" i="21"/>
  <c r="H24" i="21"/>
  <c r="H25" i="21"/>
  <c r="H26" i="21"/>
  <c r="H27" i="21"/>
  <c r="H28" i="21"/>
  <c r="H29" i="21"/>
  <c r="H30" i="21"/>
  <c r="H31" i="21"/>
  <c r="H32" i="21"/>
  <c r="H33" i="21"/>
  <c r="F33" i="21"/>
  <c r="E20" i="21"/>
  <c r="E21" i="21"/>
  <c r="E22" i="21"/>
  <c r="E23" i="21"/>
  <c r="E24" i="21"/>
  <c r="E25" i="21"/>
  <c r="E26" i="21"/>
  <c r="E27" i="21"/>
  <c r="E28" i="21"/>
  <c r="E29" i="21"/>
  <c r="E30" i="21"/>
  <c r="E31" i="21"/>
  <c r="E32" i="21"/>
  <c r="E33" i="21"/>
  <c r="D33" i="21"/>
  <c r="C33" i="21"/>
  <c r="H3" i="21"/>
  <c r="H4" i="21"/>
  <c r="H5" i="21"/>
  <c r="H6" i="21"/>
  <c r="H7" i="21"/>
  <c r="H8" i="21"/>
  <c r="H9" i="21"/>
  <c r="H10" i="21"/>
  <c r="H11" i="21"/>
  <c r="H12" i="21"/>
  <c r="H13" i="21"/>
  <c r="H14" i="21"/>
  <c r="H15" i="21"/>
  <c r="H16" i="21"/>
  <c r="F16" i="21"/>
  <c r="E3" i="21"/>
  <c r="E4" i="21"/>
  <c r="E5" i="21"/>
  <c r="E6" i="21"/>
  <c r="E7" i="21"/>
  <c r="E8" i="21"/>
  <c r="E9" i="21"/>
  <c r="E10" i="21"/>
  <c r="E11" i="21"/>
  <c r="E12" i="21"/>
  <c r="E13" i="21"/>
  <c r="E14" i="21"/>
  <c r="E15" i="21"/>
  <c r="E16" i="21"/>
  <c r="D16" i="21"/>
  <c r="C16" i="21"/>
  <c r="H37" i="19"/>
  <c r="H38" i="19"/>
  <c r="H39" i="19"/>
  <c r="H40" i="19"/>
  <c r="H41" i="19"/>
  <c r="H42" i="19"/>
  <c r="H43" i="19"/>
  <c r="H44" i="19"/>
  <c r="H45" i="19"/>
  <c r="H46" i="19"/>
  <c r="H47" i="19"/>
  <c r="H48" i="19"/>
  <c r="H49" i="19"/>
  <c r="H50" i="19"/>
  <c r="F50" i="19"/>
  <c r="E37" i="19"/>
  <c r="E38" i="19"/>
  <c r="E39" i="19"/>
  <c r="E40" i="19"/>
  <c r="E41" i="19"/>
  <c r="E42" i="19"/>
  <c r="E43" i="19"/>
  <c r="E44" i="19"/>
  <c r="E45" i="19"/>
  <c r="E46" i="19"/>
  <c r="E47" i="19"/>
  <c r="E48" i="19"/>
  <c r="E49" i="19"/>
  <c r="E50" i="19"/>
  <c r="D50" i="19"/>
  <c r="C50" i="19"/>
  <c r="H20" i="19"/>
  <c r="H21" i="19"/>
  <c r="H22" i="19"/>
  <c r="H23" i="19"/>
  <c r="H24" i="19"/>
  <c r="H25" i="19"/>
  <c r="H26" i="19"/>
  <c r="H27" i="19"/>
  <c r="H28" i="19"/>
  <c r="H29" i="19"/>
  <c r="H30" i="19"/>
  <c r="H31" i="19"/>
  <c r="H32" i="19"/>
  <c r="H33" i="19"/>
  <c r="F33" i="19"/>
  <c r="E20" i="19"/>
  <c r="E21" i="19"/>
  <c r="E22" i="19"/>
  <c r="E23" i="19"/>
  <c r="E24" i="19"/>
  <c r="E25" i="19"/>
  <c r="E26" i="19"/>
  <c r="E27" i="19"/>
  <c r="E28" i="19"/>
  <c r="E29" i="19"/>
  <c r="E30" i="19"/>
  <c r="E31" i="19"/>
  <c r="E32" i="19"/>
  <c r="E33" i="19"/>
  <c r="D33" i="19"/>
  <c r="C33" i="19"/>
  <c r="H3" i="19"/>
  <c r="H4" i="19"/>
  <c r="H5" i="19"/>
  <c r="H6" i="19"/>
  <c r="H7" i="19"/>
  <c r="H8" i="19"/>
  <c r="H9" i="19"/>
  <c r="H10" i="19"/>
  <c r="H11" i="19"/>
  <c r="H12" i="19"/>
  <c r="H13" i="19"/>
  <c r="H14" i="19"/>
  <c r="H15" i="19"/>
  <c r="H16" i="19"/>
  <c r="F16" i="19"/>
  <c r="E3" i="19"/>
  <c r="E4" i="19"/>
  <c r="E5" i="19"/>
  <c r="E6" i="19"/>
  <c r="E7" i="19"/>
  <c r="E8" i="19"/>
  <c r="E9" i="19"/>
  <c r="E10" i="19"/>
  <c r="E11" i="19"/>
  <c r="E12" i="19"/>
  <c r="E13" i="19"/>
  <c r="E14" i="19"/>
  <c r="E15" i="19"/>
  <c r="E16" i="19"/>
  <c r="D16" i="19"/>
  <c r="C16" i="19"/>
  <c r="H37" i="18"/>
  <c r="H38" i="18"/>
  <c r="H39" i="18"/>
  <c r="H40" i="18"/>
  <c r="H41" i="18"/>
  <c r="H42" i="18"/>
  <c r="H43" i="18"/>
  <c r="H44" i="18"/>
  <c r="H45" i="18"/>
  <c r="H46" i="18"/>
  <c r="H47" i="18"/>
  <c r="H48" i="18"/>
  <c r="H49" i="18"/>
  <c r="H50" i="18"/>
  <c r="F50" i="18"/>
  <c r="E37" i="18"/>
  <c r="E38" i="18"/>
  <c r="E39" i="18"/>
  <c r="E40" i="18"/>
  <c r="E41" i="18"/>
  <c r="E42" i="18"/>
  <c r="E43" i="18"/>
  <c r="E44" i="18"/>
  <c r="E45" i="18"/>
  <c r="E46" i="18"/>
  <c r="E47" i="18"/>
  <c r="E48" i="18"/>
  <c r="E49" i="18"/>
  <c r="E50" i="18"/>
  <c r="D50" i="18"/>
  <c r="C50" i="18"/>
  <c r="H20" i="18"/>
  <c r="H21" i="18"/>
  <c r="H22" i="18"/>
  <c r="H23" i="18"/>
  <c r="H24" i="18"/>
  <c r="H25" i="18"/>
  <c r="H26" i="18"/>
  <c r="H27" i="18"/>
  <c r="H28" i="18"/>
  <c r="H29" i="18"/>
  <c r="H30" i="18"/>
  <c r="H31" i="18"/>
  <c r="H32" i="18"/>
  <c r="H33" i="18"/>
  <c r="F33" i="18"/>
  <c r="E20" i="18"/>
  <c r="E21" i="18"/>
  <c r="E22" i="18"/>
  <c r="E23" i="18"/>
  <c r="E24" i="18"/>
  <c r="E25" i="18"/>
  <c r="E26" i="18"/>
  <c r="E27" i="18"/>
  <c r="E28" i="18"/>
  <c r="E29" i="18"/>
  <c r="E30" i="18"/>
  <c r="E31" i="18"/>
  <c r="E32" i="18"/>
  <c r="E33" i="18"/>
  <c r="D33" i="18"/>
  <c r="C33" i="18"/>
  <c r="H3" i="18"/>
  <c r="H4" i="18"/>
  <c r="H5" i="18"/>
  <c r="H6" i="18"/>
  <c r="H7" i="18"/>
  <c r="H8" i="18"/>
  <c r="H9" i="18"/>
  <c r="H10" i="18"/>
  <c r="H11" i="18"/>
  <c r="H12" i="18"/>
  <c r="H13" i="18"/>
  <c r="H14" i="18"/>
  <c r="H15" i="18"/>
  <c r="H16" i="18"/>
  <c r="F16" i="18"/>
  <c r="E3" i="18"/>
  <c r="E4" i="18"/>
  <c r="E5" i="18"/>
  <c r="E6" i="18"/>
  <c r="E7" i="18"/>
  <c r="E8" i="18"/>
  <c r="E9" i="18"/>
  <c r="E10" i="18"/>
  <c r="E11" i="18"/>
  <c r="E12" i="18"/>
  <c r="E13" i="18"/>
  <c r="E14" i="18"/>
  <c r="E15" i="18"/>
  <c r="E16" i="18"/>
  <c r="D16" i="18"/>
  <c r="C16" i="18"/>
  <c r="H47" i="17"/>
  <c r="H48" i="17"/>
  <c r="H49" i="17"/>
  <c r="H50" i="17"/>
  <c r="H51" i="17"/>
  <c r="H52" i="17"/>
  <c r="H53" i="17"/>
  <c r="H54" i="17"/>
  <c r="H55" i="17"/>
  <c r="H56" i="17"/>
  <c r="H57" i="17"/>
  <c r="H58" i="17"/>
  <c r="H59" i="17"/>
  <c r="H60" i="17"/>
  <c r="F60" i="17"/>
  <c r="E47" i="17"/>
  <c r="E48" i="17"/>
  <c r="E49" i="17"/>
  <c r="E50" i="17"/>
  <c r="E51" i="17"/>
  <c r="E52" i="17"/>
  <c r="E53" i="17"/>
  <c r="E54" i="17"/>
  <c r="E55" i="17"/>
  <c r="E56" i="17"/>
  <c r="E57" i="17"/>
  <c r="E58" i="17"/>
  <c r="E59" i="17"/>
  <c r="E60" i="17"/>
  <c r="D60" i="17"/>
  <c r="C60" i="17"/>
  <c r="H30" i="17"/>
  <c r="H31" i="17"/>
  <c r="H32" i="17"/>
  <c r="H33" i="17"/>
  <c r="H34" i="17"/>
  <c r="H35" i="17"/>
  <c r="H36" i="17"/>
  <c r="H37" i="17"/>
  <c r="H38" i="17"/>
  <c r="H39" i="17"/>
  <c r="H40" i="17"/>
  <c r="H41" i="17"/>
  <c r="H42" i="17"/>
  <c r="H43" i="17"/>
  <c r="F43" i="17"/>
  <c r="E30" i="17"/>
  <c r="E31" i="17"/>
  <c r="E32" i="17"/>
  <c r="E33" i="17"/>
  <c r="E34" i="17"/>
  <c r="E35" i="17"/>
  <c r="E36" i="17"/>
  <c r="E37" i="17"/>
  <c r="E38" i="17"/>
  <c r="E39" i="17"/>
  <c r="E40" i="17"/>
  <c r="E41" i="17"/>
  <c r="E42" i="17"/>
  <c r="E43" i="17"/>
  <c r="D43" i="17"/>
  <c r="C43" i="17"/>
  <c r="H3" i="17"/>
  <c r="H4" i="17"/>
  <c r="H5" i="17"/>
  <c r="H6" i="17"/>
  <c r="H7" i="17"/>
  <c r="H8" i="17"/>
  <c r="H9" i="17"/>
  <c r="H10" i="17"/>
  <c r="H11" i="17"/>
  <c r="H12" i="17"/>
  <c r="H13" i="17"/>
  <c r="H14" i="17"/>
  <c r="H15" i="17"/>
  <c r="H26" i="17"/>
  <c r="F26" i="17"/>
  <c r="E3" i="17"/>
  <c r="E4" i="17"/>
  <c r="E5" i="17"/>
  <c r="E6" i="17"/>
  <c r="E7" i="17"/>
  <c r="E8" i="17"/>
  <c r="E9" i="17"/>
  <c r="E10" i="17"/>
  <c r="E11" i="17"/>
  <c r="E12" i="17"/>
  <c r="E13" i="17"/>
  <c r="E14" i="17"/>
  <c r="E15" i="17"/>
  <c r="E26" i="17"/>
  <c r="D26" i="17"/>
  <c r="C26" i="17"/>
  <c r="H37" i="16"/>
  <c r="H38" i="16"/>
  <c r="H39" i="16"/>
  <c r="H40" i="16"/>
  <c r="H41" i="16"/>
  <c r="H42" i="16"/>
  <c r="H43" i="16"/>
  <c r="H44" i="16"/>
  <c r="H45" i="16"/>
  <c r="H46" i="16"/>
  <c r="H47" i="16"/>
  <c r="H48" i="16"/>
  <c r="H49" i="16"/>
  <c r="H50" i="16"/>
  <c r="F50" i="16"/>
  <c r="E37" i="16"/>
  <c r="E38" i="16"/>
  <c r="E39" i="16"/>
  <c r="E40" i="16"/>
  <c r="E41" i="16"/>
  <c r="E42" i="16"/>
  <c r="E43" i="16"/>
  <c r="E44" i="16"/>
  <c r="E45" i="16"/>
  <c r="E46" i="16"/>
  <c r="E47" i="16"/>
  <c r="E48" i="16"/>
  <c r="E49" i="16"/>
  <c r="E50" i="16"/>
  <c r="D50" i="16"/>
  <c r="C50" i="16"/>
  <c r="H20" i="16"/>
  <c r="H21" i="16"/>
  <c r="H22" i="16"/>
  <c r="H23" i="16"/>
  <c r="H24" i="16"/>
  <c r="H25" i="16"/>
  <c r="H26" i="16"/>
  <c r="H27" i="16"/>
  <c r="H28" i="16"/>
  <c r="H29" i="16"/>
  <c r="H30" i="16"/>
  <c r="H31" i="16"/>
  <c r="H32" i="16"/>
  <c r="H33" i="16"/>
  <c r="F33" i="16"/>
  <c r="E20" i="16"/>
  <c r="E21" i="16"/>
  <c r="E22" i="16"/>
  <c r="E23" i="16"/>
  <c r="E24" i="16"/>
  <c r="E25" i="16"/>
  <c r="E26" i="16"/>
  <c r="E27" i="16"/>
  <c r="E28" i="16"/>
  <c r="E29" i="16"/>
  <c r="E30" i="16"/>
  <c r="E31" i="16"/>
  <c r="E32" i="16"/>
  <c r="E33" i="16"/>
  <c r="D33" i="16"/>
  <c r="C33" i="16"/>
  <c r="H3" i="16"/>
  <c r="H4" i="16"/>
  <c r="H5" i="16"/>
  <c r="H6" i="16"/>
  <c r="H7" i="16"/>
  <c r="H8" i="16"/>
  <c r="H9" i="16"/>
  <c r="H10" i="16"/>
  <c r="H11" i="16"/>
  <c r="H12" i="16"/>
  <c r="H13" i="16"/>
  <c r="H14" i="16"/>
  <c r="H15" i="16"/>
  <c r="H16" i="16"/>
  <c r="F16" i="16"/>
  <c r="E3" i="16"/>
  <c r="E4" i="16"/>
  <c r="E5" i="16"/>
  <c r="E6" i="16"/>
  <c r="E7" i="16"/>
  <c r="E8" i="16"/>
  <c r="E9" i="16"/>
  <c r="E10" i="16"/>
  <c r="E11" i="16"/>
  <c r="E12" i="16"/>
  <c r="E13" i="16"/>
  <c r="E14" i="16"/>
  <c r="E15" i="16"/>
  <c r="E16" i="16"/>
  <c r="D16" i="16"/>
  <c r="C16" i="16"/>
  <c r="H37" i="15"/>
  <c r="H38" i="15"/>
  <c r="H39" i="15"/>
  <c r="H40" i="15"/>
  <c r="H41" i="15"/>
  <c r="H42" i="15"/>
  <c r="H43" i="15"/>
  <c r="H44" i="15"/>
  <c r="H45" i="15"/>
  <c r="H46" i="15"/>
  <c r="H47" i="15"/>
  <c r="H48" i="15"/>
  <c r="H49" i="15"/>
  <c r="H50" i="15"/>
  <c r="F50" i="15"/>
  <c r="E37" i="15"/>
  <c r="E38" i="15"/>
  <c r="E39" i="15"/>
  <c r="E40" i="15"/>
  <c r="E41" i="15"/>
  <c r="E42" i="15"/>
  <c r="E43" i="15"/>
  <c r="E44" i="15"/>
  <c r="E45" i="15"/>
  <c r="E46" i="15"/>
  <c r="E47" i="15"/>
  <c r="E48" i="15"/>
  <c r="E49" i="15"/>
  <c r="E50" i="15"/>
  <c r="D50" i="15"/>
  <c r="C50" i="15"/>
  <c r="H20" i="15"/>
  <c r="H21" i="15"/>
  <c r="H22" i="15"/>
  <c r="H23" i="15"/>
  <c r="H24" i="15"/>
  <c r="H25" i="15"/>
  <c r="H26" i="15"/>
  <c r="H27" i="15"/>
  <c r="H28" i="15"/>
  <c r="H29" i="15"/>
  <c r="H30" i="15"/>
  <c r="H31" i="15"/>
  <c r="H32" i="15"/>
  <c r="H33" i="15"/>
  <c r="F33" i="15"/>
  <c r="E20" i="15"/>
  <c r="E21" i="15"/>
  <c r="E22" i="15"/>
  <c r="E23" i="15"/>
  <c r="E24" i="15"/>
  <c r="E25" i="15"/>
  <c r="E26" i="15"/>
  <c r="E27" i="15"/>
  <c r="E28" i="15"/>
  <c r="E29" i="15"/>
  <c r="E30" i="15"/>
  <c r="E31" i="15"/>
  <c r="E32" i="15"/>
  <c r="E33" i="15"/>
  <c r="D33" i="15"/>
  <c r="C33" i="15"/>
  <c r="H3" i="15"/>
  <c r="H4" i="15"/>
  <c r="H5" i="15"/>
  <c r="H6" i="15"/>
  <c r="H7" i="15"/>
  <c r="H8" i="15"/>
  <c r="H9" i="15"/>
  <c r="H10" i="15"/>
  <c r="H11" i="15"/>
  <c r="H12" i="15"/>
  <c r="H13" i="15"/>
  <c r="H14" i="15"/>
  <c r="H15" i="15"/>
  <c r="H16" i="15"/>
  <c r="F16" i="15"/>
  <c r="E3" i="15"/>
  <c r="E4" i="15"/>
  <c r="E5" i="15"/>
  <c r="E6" i="15"/>
  <c r="E7" i="15"/>
  <c r="E8" i="15"/>
  <c r="E9" i="15"/>
  <c r="E10" i="15"/>
  <c r="E11" i="15"/>
  <c r="E12" i="15"/>
  <c r="E13" i="15"/>
  <c r="E14" i="15"/>
  <c r="E15" i="15"/>
  <c r="E16" i="15"/>
  <c r="D16" i="15"/>
  <c r="C16" i="15"/>
  <c r="H41" i="14"/>
  <c r="H42" i="14"/>
  <c r="H43" i="14"/>
  <c r="H44" i="14"/>
  <c r="H45" i="14"/>
  <c r="H46" i="14"/>
  <c r="H47" i="14"/>
  <c r="H48" i="14"/>
  <c r="H49" i="14"/>
  <c r="H50" i="14"/>
  <c r="H51" i="14"/>
  <c r="H52" i="14"/>
  <c r="H53" i="14"/>
  <c r="H54" i="14"/>
  <c r="F54" i="14"/>
  <c r="E41" i="14"/>
  <c r="E42" i="14"/>
  <c r="E43" i="14"/>
  <c r="E44" i="14"/>
  <c r="E45" i="14"/>
  <c r="E46" i="14"/>
  <c r="E47" i="14"/>
  <c r="E48" i="14"/>
  <c r="E49" i="14"/>
  <c r="E50" i="14"/>
  <c r="E51" i="14"/>
  <c r="E52" i="14"/>
  <c r="E53" i="14"/>
  <c r="E54" i="14"/>
  <c r="D54" i="14"/>
  <c r="C54" i="14"/>
  <c r="H24" i="14"/>
  <c r="H25" i="14"/>
  <c r="H26" i="14"/>
  <c r="H27" i="14"/>
  <c r="H28" i="14"/>
  <c r="H29" i="14"/>
  <c r="H30" i="14"/>
  <c r="H31" i="14"/>
  <c r="H32" i="14"/>
  <c r="H33" i="14"/>
  <c r="H34" i="14"/>
  <c r="H35" i="14"/>
  <c r="H36" i="14"/>
  <c r="H37" i="14"/>
  <c r="F37" i="14"/>
  <c r="E24" i="14"/>
  <c r="E25" i="14"/>
  <c r="E26" i="14"/>
  <c r="E27" i="14"/>
  <c r="E28" i="14"/>
  <c r="E29" i="14"/>
  <c r="E30" i="14"/>
  <c r="E31" i="14"/>
  <c r="E32" i="14"/>
  <c r="E33" i="14"/>
  <c r="E34" i="14"/>
  <c r="E35" i="14"/>
  <c r="E36" i="14"/>
  <c r="E37" i="14"/>
  <c r="D37" i="14"/>
  <c r="C37" i="14"/>
  <c r="H3" i="14"/>
  <c r="H4" i="14"/>
  <c r="H5" i="14"/>
  <c r="H6" i="14"/>
  <c r="H7" i="14"/>
  <c r="H8" i="14"/>
  <c r="H9" i="14"/>
  <c r="H10" i="14"/>
  <c r="H11" i="14"/>
  <c r="H12" i="14"/>
  <c r="H13" i="14"/>
  <c r="H14" i="14"/>
  <c r="H15" i="14"/>
  <c r="H20" i="14"/>
  <c r="F20" i="14"/>
  <c r="E3" i="14"/>
  <c r="E4" i="14"/>
  <c r="E5" i="14"/>
  <c r="E6" i="14"/>
  <c r="E7" i="14"/>
  <c r="E8" i="14"/>
  <c r="E9" i="14"/>
  <c r="E10" i="14"/>
  <c r="E11" i="14"/>
  <c r="E12" i="14"/>
  <c r="E13" i="14"/>
  <c r="E14" i="14"/>
  <c r="E15" i="14"/>
  <c r="E20" i="14"/>
  <c r="D20" i="14"/>
  <c r="C20" i="14"/>
  <c r="H37" i="12"/>
  <c r="H38" i="12"/>
  <c r="H39" i="12"/>
  <c r="H40" i="12"/>
  <c r="H41" i="12"/>
  <c r="H42" i="12"/>
  <c r="H43" i="12"/>
  <c r="H44" i="12"/>
  <c r="H45" i="12"/>
  <c r="H46" i="12"/>
  <c r="H47" i="12"/>
  <c r="H48" i="12"/>
  <c r="H49" i="12"/>
  <c r="H50" i="12"/>
  <c r="F50" i="12"/>
  <c r="E37" i="12"/>
  <c r="E38" i="12"/>
  <c r="E39" i="12"/>
  <c r="E40" i="12"/>
  <c r="E41" i="12"/>
  <c r="E42" i="12"/>
  <c r="E43" i="12"/>
  <c r="E44" i="12"/>
  <c r="E45" i="12"/>
  <c r="E46" i="12"/>
  <c r="E47" i="12"/>
  <c r="E48" i="12"/>
  <c r="E49" i="12"/>
  <c r="E50" i="12"/>
  <c r="D50" i="12"/>
  <c r="C50" i="12"/>
  <c r="H20" i="12"/>
  <c r="H21" i="12"/>
  <c r="H22" i="12"/>
  <c r="H23" i="12"/>
  <c r="H24" i="12"/>
  <c r="H25" i="12"/>
  <c r="H26" i="12"/>
  <c r="H27" i="12"/>
  <c r="H28" i="12"/>
  <c r="H29" i="12"/>
  <c r="H30" i="12"/>
  <c r="H31" i="12"/>
  <c r="H32" i="12"/>
  <c r="H33" i="12"/>
  <c r="F33" i="12"/>
  <c r="E20" i="12"/>
  <c r="E21" i="12"/>
  <c r="E22" i="12"/>
  <c r="E23" i="12"/>
  <c r="E24" i="12"/>
  <c r="E25" i="12"/>
  <c r="E26" i="12"/>
  <c r="E27" i="12"/>
  <c r="E28" i="12"/>
  <c r="E29" i="12"/>
  <c r="E30" i="12"/>
  <c r="E31" i="12"/>
  <c r="E32" i="12"/>
  <c r="E33" i="12"/>
  <c r="D33" i="12"/>
  <c r="C33" i="12"/>
  <c r="H3" i="12"/>
  <c r="H4" i="12"/>
  <c r="H5" i="12"/>
  <c r="H6" i="12"/>
  <c r="H7" i="12"/>
  <c r="H8" i="12"/>
  <c r="H9" i="12"/>
  <c r="H10" i="12"/>
  <c r="H11" i="12"/>
  <c r="H12" i="12"/>
  <c r="H13" i="12"/>
  <c r="H14" i="12"/>
  <c r="H15" i="12"/>
  <c r="H16" i="12"/>
  <c r="F16" i="12"/>
  <c r="E3" i="12"/>
  <c r="E4" i="12"/>
  <c r="E5" i="12"/>
  <c r="E6" i="12"/>
  <c r="E7" i="12"/>
  <c r="E8" i="12"/>
  <c r="E9" i="12"/>
  <c r="E10" i="12"/>
  <c r="E11" i="12"/>
  <c r="E12" i="12"/>
  <c r="E13" i="12"/>
  <c r="E14" i="12"/>
  <c r="E15" i="12"/>
  <c r="E16" i="12"/>
  <c r="D16" i="12"/>
  <c r="C16" i="12"/>
  <c r="H37" i="13"/>
  <c r="H38" i="13"/>
  <c r="H39" i="13"/>
  <c r="H40" i="13"/>
  <c r="H41" i="13"/>
  <c r="H42" i="13"/>
  <c r="H43" i="13"/>
  <c r="H44" i="13"/>
  <c r="H45" i="13"/>
  <c r="H46" i="13"/>
  <c r="H47" i="13"/>
  <c r="H48" i="13"/>
  <c r="H49" i="13"/>
  <c r="H50" i="13"/>
  <c r="F50" i="13"/>
  <c r="E37" i="13"/>
  <c r="E38" i="13"/>
  <c r="E39" i="13"/>
  <c r="E40" i="13"/>
  <c r="E41" i="13"/>
  <c r="E42" i="13"/>
  <c r="E43" i="13"/>
  <c r="E44" i="13"/>
  <c r="E45" i="13"/>
  <c r="E46" i="13"/>
  <c r="E47" i="13"/>
  <c r="E48" i="13"/>
  <c r="E49" i="13"/>
  <c r="E50" i="13"/>
  <c r="D50" i="13"/>
  <c r="C50" i="13"/>
  <c r="H20" i="13"/>
  <c r="H21" i="13"/>
  <c r="H22" i="13"/>
  <c r="H23" i="13"/>
  <c r="H24" i="13"/>
  <c r="H25" i="13"/>
  <c r="H26" i="13"/>
  <c r="H27" i="13"/>
  <c r="H28" i="13"/>
  <c r="H29" i="13"/>
  <c r="H30" i="13"/>
  <c r="H31" i="13"/>
  <c r="H32" i="13"/>
  <c r="H33" i="13"/>
  <c r="F33" i="13"/>
  <c r="E20" i="13"/>
  <c r="E21" i="13"/>
  <c r="E22" i="13"/>
  <c r="E23" i="13"/>
  <c r="E24" i="13"/>
  <c r="E25" i="13"/>
  <c r="E26" i="13"/>
  <c r="E27" i="13"/>
  <c r="E28" i="13"/>
  <c r="E29" i="13"/>
  <c r="E30" i="13"/>
  <c r="E31" i="13"/>
  <c r="E32" i="13"/>
  <c r="E33" i="13"/>
  <c r="D33" i="13"/>
  <c r="C33" i="13"/>
  <c r="H3" i="13"/>
  <c r="H4" i="13"/>
  <c r="H5" i="13"/>
  <c r="H6" i="13"/>
  <c r="H7" i="13"/>
  <c r="H8" i="13"/>
  <c r="H9" i="13"/>
  <c r="H10" i="13"/>
  <c r="H11" i="13"/>
  <c r="H12" i="13"/>
  <c r="H13" i="13"/>
  <c r="H14" i="13"/>
  <c r="H15" i="13"/>
  <c r="H16" i="13"/>
  <c r="F16" i="13"/>
  <c r="E3" i="13"/>
  <c r="E4" i="13"/>
  <c r="E5" i="13"/>
  <c r="E6" i="13"/>
  <c r="E7" i="13"/>
  <c r="E8" i="13"/>
  <c r="E9" i="13"/>
  <c r="E10" i="13"/>
  <c r="E11" i="13"/>
  <c r="E12" i="13"/>
  <c r="E13" i="13"/>
  <c r="E14" i="13"/>
  <c r="E15" i="13"/>
  <c r="E16" i="13"/>
  <c r="D16" i="13"/>
  <c r="C16" i="13"/>
  <c r="H40" i="20"/>
  <c r="H41" i="20"/>
  <c r="H42" i="20"/>
  <c r="H43" i="20"/>
  <c r="H44" i="20"/>
  <c r="H45" i="20"/>
  <c r="H46" i="20"/>
  <c r="H47" i="20"/>
  <c r="H48" i="20"/>
  <c r="H49" i="20"/>
  <c r="H50" i="20"/>
  <c r="H51" i="20"/>
  <c r="H52" i="20"/>
  <c r="H53" i="20"/>
  <c r="F53" i="20"/>
  <c r="E40" i="20"/>
  <c r="E41" i="20"/>
  <c r="E42" i="20"/>
  <c r="E43" i="20"/>
  <c r="E44" i="20"/>
  <c r="E45" i="20"/>
  <c r="E46" i="20"/>
  <c r="E47" i="20"/>
  <c r="E48" i="20"/>
  <c r="E49" i="20"/>
  <c r="E50" i="20"/>
  <c r="E51" i="20"/>
  <c r="E52" i="20"/>
  <c r="E53" i="20"/>
  <c r="D53" i="20"/>
  <c r="C53" i="20"/>
  <c r="H23" i="20"/>
  <c r="H24" i="20"/>
  <c r="H25" i="20"/>
  <c r="H26" i="20"/>
  <c r="H27" i="20"/>
  <c r="H28" i="20"/>
  <c r="H29" i="20"/>
  <c r="H30" i="20"/>
  <c r="H31" i="20"/>
  <c r="H32" i="20"/>
  <c r="H33" i="20"/>
  <c r="H34" i="20"/>
  <c r="H35" i="20"/>
  <c r="H36" i="20"/>
  <c r="F36" i="20"/>
  <c r="E23" i="20"/>
  <c r="E24" i="20"/>
  <c r="E25" i="20"/>
  <c r="E26" i="20"/>
  <c r="E27" i="20"/>
  <c r="E28" i="20"/>
  <c r="E29" i="20"/>
  <c r="E30" i="20"/>
  <c r="E31" i="20"/>
  <c r="E32" i="20"/>
  <c r="E33" i="20"/>
  <c r="E34" i="20"/>
  <c r="E35" i="20"/>
  <c r="E36" i="20"/>
  <c r="D36" i="20"/>
  <c r="C36" i="20"/>
  <c r="H3" i="20"/>
  <c r="H4" i="20"/>
  <c r="H5" i="20"/>
  <c r="H6" i="20"/>
  <c r="H7" i="20"/>
  <c r="H8" i="20"/>
  <c r="H9" i="20"/>
  <c r="H10" i="20"/>
  <c r="H11" i="20"/>
  <c r="H12" i="20"/>
  <c r="H13" i="20"/>
  <c r="H14" i="20"/>
  <c r="H15" i="20"/>
  <c r="H19" i="20"/>
  <c r="F19" i="20"/>
  <c r="E3" i="20"/>
  <c r="E4" i="20"/>
  <c r="E5" i="20"/>
  <c r="E6" i="20"/>
  <c r="E7" i="20"/>
  <c r="E8" i="20"/>
  <c r="E9" i="20"/>
  <c r="E10" i="20"/>
  <c r="E11" i="20"/>
  <c r="E12" i="20"/>
  <c r="E13" i="20"/>
  <c r="E14" i="20"/>
  <c r="E15" i="20"/>
  <c r="E19" i="20"/>
  <c r="D19" i="20"/>
  <c r="C19" i="20"/>
  <c r="H37" i="11"/>
  <c r="H38" i="11"/>
  <c r="H39" i="11"/>
  <c r="H40" i="11"/>
  <c r="H41" i="11"/>
  <c r="H42" i="11"/>
  <c r="H43" i="11"/>
  <c r="H44" i="11"/>
  <c r="H45" i="11"/>
  <c r="H46" i="11"/>
  <c r="H47" i="11"/>
  <c r="H48" i="11"/>
  <c r="H49" i="11"/>
  <c r="H50" i="11"/>
  <c r="F50" i="11"/>
  <c r="E37" i="11"/>
  <c r="E38" i="11"/>
  <c r="E39" i="11"/>
  <c r="E40" i="11"/>
  <c r="E41" i="11"/>
  <c r="E42" i="11"/>
  <c r="E43" i="11"/>
  <c r="E44" i="11"/>
  <c r="E45" i="11"/>
  <c r="E46" i="11"/>
  <c r="E47" i="11"/>
  <c r="E48" i="11"/>
  <c r="E49" i="11"/>
  <c r="E50" i="11"/>
  <c r="D50" i="11"/>
  <c r="C50" i="11"/>
  <c r="H20" i="11"/>
  <c r="H21" i="11"/>
  <c r="H22" i="11"/>
  <c r="H23" i="11"/>
  <c r="H24" i="11"/>
  <c r="H25" i="11"/>
  <c r="H26" i="11"/>
  <c r="H27" i="11"/>
  <c r="H28" i="11"/>
  <c r="H29" i="11"/>
  <c r="H30" i="11"/>
  <c r="H31" i="11"/>
  <c r="H32" i="11"/>
  <c r="H33" i="11"/>
  <c r="F33" i="11"/>
  <c r="E20" i="11"/>
  <c r="E21" i="11"/>
  <c r="E22" i="11"/>
  <c r="E23" i="11"/>
  <c r="E24" i="11"/>
  <c r="E25" i="11"/>
  <c r="E26" i="11"/>
  <c r="E27" i="11"/>
  <c r="E28" i="11"/>
  <c r="E29" i="11"/>
  <c r="E30" i="11"/>
  <c r="E31" i="11"/>
  <c r="E32" i="11"/>
  <c r="E33" i="11"/>
  <c r="D33" i="11"/>
  <c r="C33" i="11"/>
  <c r="H3" i="11"/>
  <c r="H4" i="11"/>
  <c r="H5" i="11"/>
  <c r="H6" i="11"/>
  <c r="H7" i="11"/>
  <c r="H8" i="11"/>
  <c r="H9" i="11"/>
  <c r="H10" i="11"/>
  <c r="H11" i="11"/>
  <c r="H12" i="11"/>
  <c r="H13" i="11"/>
  <c r="H14" i="11"/>
  <c r="H15" i="11"/>
  <c r="H16" i="11"/>
  <c r="F16" i="11"/>
  <c r="E3" i="11"/>
  <c r="E4" i="11"/>
  <c r="E5" i="11"/>
  <c r="E6" i="11"/>
  <c r="E7" i="11"/>
  <c r="E8" i="11"/>
  <c r="E9" i="11"/>
  <c r="E10" i="11"/>
  <c r="E11" i="11"/>
  <c r="E12" i="11"/>
  <c r="E13" i="11"/>
  <c r="E14" i="11"/>
  <c r="E15" i="11"/>
  <c r="E16" i="11"/>
  <c r="D16" i="11"/>
  <c r="C16" i="11"/>
  <c r="H37" i="10"/>
  <c r="H38" i="10"/>
  <c r="H39" i="10"/>
  <c r="H40" i="10"/>
  <c r="H41" i="10"/>
  <c r="H42" i="10"/>
  <c r="H43" i="10"/>
  <c r="H44" i="10"/>
  <c r="H45" i="10"/>
  <c r="H46" i="10"/>
  <c r="H47" i="10"/>
  <c r="H48" i="10"/>
  <c r="H49" i="10"/>
  <c r="H50" i="10"/>
  <c r="F50" i="10"/>
  <c r="E37" i="10"/>
  <c r="E38" i="10"/>
  <c r="E39" i="10"/>
  <c r="E40" i="10"/>
  <c r="E41" i="10"/>
  <c r="E42" i="10"/>
  <c r="E43" i="10"/>
  <c r="E44" i="10"/>
  <c r="E45" i="10"/>
  <c r="E46" i="10"/>
  <c r="E47" i="10"/>
  <c r="E48" i="10"/>
  <c r="E49" i="10"/>
  <c r="E50" i="10"/>
  <c r="D50" i="10"/>
  <c r="C50" i="10"/>
  <c r="H20" i="10"/>
  <c r="H21" i="10"/>
  <c r="H22" i="10"/>
  <c r="H23" i="10"/>
  <c r="H24" i="10"/>
  <c r="H25" i="10"/>
  <c r="H26" i="10"/>
  <c r="H27" i="10"/>
  <c r="H28" i="10"/>
  <c r="H29" i="10"/>
  <c r="H30" i="10"/>
  <c r="H31" i="10"/>
  <c r="H32" i="10"/>
  <c r="H33" i="10"/>
  <c r="F33" i="10"/>
  <c r="E20" i="10"/>
  <c r="E21" i="10"/>
  <c r="E22" i="10"/>
  <c r="E23" i="10"/>
  <c r="E24" i="10"/>
  <c r="E25" i="10"/>
  <c r="E26" i="10"/>
  <c r="E27" i="10"/>
  <c r="E28" i="10"/>
  <c r="E29" i="10"/>
  <c r="E30" i="10"/>
  <c r="E31" i="10"/>
  <c r="E32" i="10"/>
  <c r="E33" i="10"/>
  <c r="D33" i="10"/>
  <c r="C33" i="10"/>
  <c r="H3" i="10"/>
  <c r="H4" i="10"/>
  <c r="H5" i="10"/>
  <c r="H6" i="10"/>
  <c r="H7" i="10"/>
  <c r="H8" i="10"/>
  <c r="H9" i="10"/>
  <c r="H10" i="10"/>
  <c r="H11" i="10"/>
  <c r="H12" i="10"/>
  <c r="H13" i="10"/>
  <c r="H14" i="10"/>
  <c r="H15" i="10"/>
  <c r="H16" i="10"/>
  <c r="F16" i="10"/>
  <c r="E3" i="10"/>
  <c r="E4" i="10"/>
  <c r="E5" i="10"/>
  <c r="E6" i="10"/>
  <c r="E7" i="10"/>
  <c r="E8" i="10"/>
  <c r="E9" i="10"/>
  <c r="E10" i="10"/>
  <c r="E11" i="10"/>
  <c r="E12" i="10"/>
  <c r="E13" i="10"/>
  <c r="E14" i="10"/>
  <c r="E15" i="10"/>
  <c r="E16" i="10"/>
  <c r="D16" i="10"/>
  <c r="C16" i="10"/>
  <c r="H37" i="8"/>
  <c r="H38" i="8"/>
  <c r="H39" i="8"/>
  <c r="H40" i="8"/>
  <c r="H41" i="8"/>
  <c r="H42" i="8"/>
  <c r="H43" i="8"/>
  <c r="H44" i="8"/>
  <c r="H45" i="8"/>
  <c r="H46" i="8"/>
  <c r="H47" i="8"/>
  <c r="H48" i="8"/>
  <c r="H49" i="8"/>
  <c r="H50" i="8"/>
  <c r="F50" i="8"/>
  <c r="E37" i="8"/>
  <c r="E38" i="8"/>
  <c r="E39" i="8"/>
  <c r="E40" i="8"/>
  <c r="E41" i="8"/>
  <c r="E42" i="8"/>
  <c r="E43" i="8"/>
  <c r="E44" i="8"/>
  <c r="E45" i="8"/>
  <c r="E46" i="8"/>
  <c r="E47" i="8"/>
  <c r="E48" i="8"/>
  <c r="E49" i="8"/>
  <c r="E50" i="8"/>
  <c r="D50" i="8"/>
  <c r="C50" i="8"/>
  <c r="H20" i="8"/>
  <c r="H21" i="8"/>
  <c r="H22" i="8"/>
  <c r="H23" i="8"/>
  <c r="H24" i="8"/>
  <c r="H25" i="8"/>
  <c r="H26" i="8"/>
  <c r="H27" i="8"/>
  <c r="H28" i="8"/>
  <c r="H29" i="8"/>
  <c r="H30" i="8"/>
  <c r="H31" i="8"/>
  <c r="H32" i="8"/>
  <c r="H33" i="8"/>
  <c r="F33" i="8"/>
  <c r="E20" i="8"/>
  <c r="E21" i="8"/>
  <c r="E22" i="8"/>
  <c r="E23" i="8"/>
  <c r="E24" i="8"/>
  <c r="E25" i="8"/>
  <c r="E26" i="8"/>
  <c r="E27" i="8"/>
  <c r="E28" i="8"/>
  <c r="E29" i="8"/>
  <c r="E30" i="8"/>
  <c r="E31" i="8"/>
  <c r="E32" i="8"/>
  <c r="E33" i="8"/>
  <c r="D33" i="8"/>
  <c r="C33" i="8"/>
  <c r="H3" i="8"/>
  <c r="H4" i="8"/>
  <c r="H5" i="8"/>
  <c r="H6" i="8"/>
  <c r="H7" i="8"/>
  <c r="H8" i="8"/>
  <c r="H9" i="8"/>
  <c r="H10" i="8"/>
  <c r="H11" i="8"/>
  <c r="H12" i="8"/>
  <c r="H13" i="8"/>
  <c r="H14" i="8"/>
  <c r="H15" i="8"/>
  <c r="H16" i="8"/>
  <c r="F16" i="8"/>
  <c r="E3" i="8"/>
  <c r="E4" i="8"/>
  <c r="E5" i="8"/>
  <c r="E6" i="8"/>
  <c r="E7" i="8"/>
  <c r="E8" i="8"/>
  <c r="E9" i="8"/>
  <c r="E10" i="8"/>
  <c r="E11" i="8"/>
  <c r="E12" i="8"/>
  <c r="E13" i="8"/>
  <c r="E14" i="8"/>
  <c r="E15" i="8"/>
  <c r="E16" i="8"/>
  <c r="D16" i="8"/>
  <c r="C16" i="8"/>
  <c r="H37" i="9"/>
  <c r="H38" i="9"/>
  <c r="H39" i="9"/>
  <c r="H40" i="9"/>
  <c r="H41" i="9"/>
  <c r="H42" i="9"/>
  <c r="H43" i="9"/>
  <c r="H44" i="9"/>
  <c r="H45" i="9"/>
  <c r="H46" i="9"/>
  <c r="H47" i="9"/>
  <c r="H48" i="9"/>
  <c r="H49" i="9"/>
  <c r="H50" i="9"/>
  <c r="F50" i="9"/>
  <c r="E37" i="9"/>
  <c r="E38" i="9"/>
  <c r="E39" i="9"/>
  <c r="E40" i="9"/>
  <c r="E41" i="9"/>
  <c r="E42" i="9"/>
  <c r="E43" i="9"/>
  <c r="E44" i="9"/>
  <c r="E45" i="9"/>
  <c r="E46" i="9"/>
  <c r="E47" i="9"/>
  <c r="E48" i="9"/>
  <c r="E49" i="9"/>
  <c r="E50" i="9"/>
  <c r="D50" i="9"/>
  <c r="C50" i="9"/>
  <c r="H20" i="9"/>
  <c r="H21" i="9"/>
  <c r="H22" i="9"/>
  <c r="H23" i="9"/>
  <c r="H24" i="9"/>
  <c r="H25" i="9"/>
  <c r="H26" i="9"/>
  <c r="H27" i="9"/>
  <c r="H28" i="9"/>
  <c r="H29" i="9"/>
  <c r="H30" i="9"/>
  <c r="H31" i="9"/>
  <c r="H32" i="9"/>
  <c r="H33" i="9"/>
  <c r="F33" i="9"/>
  <c r="E20" i="9"/>
  <c r="E21" i="9"/>
  <c r="E22" i="9"/>
  <c r="E23" i="9"/>
  <c r="E24" i="9"/>
  <c r="E25" i="9"/>
  <c r="E26" i="9"/>
  <c r="E27" i="9"/>
  <c r="E28" i="9"/>
  <c r="E29" i="9"/>
  <c r="E30" i="9"/>
  <c r="E31" i="9"/>
  <c r="E32" i="9"/>
  <c r="E33" i="9"/>
  <c r="D33" i="9"/>
  <c r="C33" i="9"/>
  <c r="H3" i="9"/>
  <c r="H4" i="9"/>
  <c r="H5" i="9"/>
  <c r="H6" i="9"/>
  <c r="H7" i="9"/>
  <c r="H8" i="9"/>
  <c r="H9" i="9"/>
  <c r="H10" i="9"/>
  <c r="H11" i="9"/>
  <c r="H12" i="9"/>
  <c r="H13" i="9"/>
  <c r="H14" i="9"/>
  <c r="H15" i="9"/>
  <c r="H16" i="9"/>
  <c r="F16" i="9"/>
  <c r="E3" i="9"/>
  <c r="E4" i="9"/>
  <c r="E5" i="9"/>
  <c r="E6" i="9"/>
  <c r="E7" i="9"/>
  <c r="E8" i="9"/>
  <c r="E9" i="9"/>
  <c r="E10" i="9"/>
  <c r="E11" i="9"/>
  <c r="E12" i="9"/>
  <c r="E13" i="9"/>
  <c r="E14" i="9"/>
  <c r="E15" i="9"/>
  <c r="E16" i="9"/>
  <c r="D16" i="9"/>
  <c r="C16" i="9"/>
  <c r="H37" i="7"/>
  <c r="H38" i="7"/>
  <c r="H39" i="7"/>
  <c r="H40" i="7"/>
  <c r="H41" i="7"/>
  <c r="H42" i="7"/>
  <c r="H43" i="7"/>
  <c r="H44" i="7"/>
  <c r="H45" i="7"/>
  <c r="H46" i="7"/>
  <c r="H47" i="7"/>
  <c r="H48" i="7"/>
  <c r="H49" i="7"/>
  <c r="H50" i="7"/>
  <c r="F50" i="7"/>
  <c r="E37" i="7"/>
  <c r="E38" i="7"/>
  <c r="E39" i="7"/>
  <c r="E40" i="7"/>
  <c r="E41" i="7"/>
  <c r="E42" i="7"/>
  <c r="E43" i="7"/>
  <c r="E44" i="7"/>
  <c r="E45" i="7"/>
  <c r="E46" i="7"/>
  <c r="E47" i="7"/>
  <c r="E48" i="7"/>
  <c r="E49" i="7"/>
  <c r="E50" i="7"/>
  <c r="D50" i="7"/>
  <c r="C50" i="7"/>
  <c r="H20" i="7"/>
  <c r="H21" i="7"/>
  <c r="H22" i="7"/>
  <c r="H23" i="7"/>
  <c r="H24" i="7"/>
  <c r="H25" i="7"/>
  <c r="H26" i="7"/>
  <c r="H27" i="7"/>
  <c r="H28" i="7"/>
  <c r="H29" i="7"/>
  <c r="H30" i="7"/>
  <c r="H31" i="7"/>
  <c r="H32" i="7"/>
  <c r="H33" i="7"/>
  <c r="F33" i="7"/>
  <c r="E20" i="7"/>
  <c r="E21" i="7"/>
  <c r="E22" i="7"/>
  <c r="E23" i="7"/>
  <c r="E24" i="7"/>
  <c r="E25" i="7"/>
  <c r="E26" i="7"/>
  <c r="E27" i="7"/>
  <c r="E28" i="7"/>
  <c r="E29" i="7"/>
  <c r="E30" i="7"/>
  <c r="E31" i="7"/>
  <c r="E32" i="7"/>
  <c r="E33" i="7"/>
  <c r="D33" i="7"/>
  <c r="C33" i="7"/>
  <c r="H3" i="7"/>
  <c r="H4" i="7"/>
  <c r="H5" i="7"/>
  <c r="H6" i="7"/>
  <c r="H7" i="7"/>
  <c r="H8" i="7"/>
  <c r="H9" i="7"/>
  <c r="H10" i="7"/>
  <c r="H11" i="7"/>
  <c r="H12" i="7"/>
  <c r="H13" i="7"/>
  <c r="H14" i="7"/>
  <c r="H15" i="7"/>
  <c r="H16" i="7"/>
  <c r="F16" i="7"/>
  <c r="E3" i="7"/>
  <c r="E4" i="7"/>
  <c r="E5" i="7"/>
  <c r="E6" i="7"/>
  <c r="E7" i="7"/>
  <c r="E8" i="7"/>
  <c r="E9" i="7"/>
  <c r="E10" i="7"/>
  <c r="E11" i="7"/>
  <c r="E12" i="7"/>
  <c r="E13" i="7"/>
  <c r="E14" i="7"/>
  <c r="E15" i="7"/>
  <c r="E16" i="7"/>
  <c r="D16" i="7"/>
  <c r="C16" i="7"/>
  <c r="H50" i="2"/>
  <c r="H51" i="2"/>
  <c r="H52" i="2"/>
  <c r="H53" i="2"/>
  <c r="H54" i="2"/>
  <c r="H55" i="2"/>
  <c r="H56" i="2"/>
  <c r="H57" i="2"/>
  <c r="H58" i="2"/>
  <c r="H59" i="2"/>
  <c r="H60" i="2"/>
  <c r="H61" i="2"/>
  <c r="H62" i="2"/>
  <c r="H33" i="2"/>
  <c r="H34" i="2"/>
  <c r="H35" i="2"/>
  <c r="H36" i="2"/>
  <c r="H37" i="2"/>
  <c r="H38" i="2"/>
  <c r="H39" i="2"/>
  <c r="H40" i="2"/>
  <c r="H41" i="2"/>
  <c r="H42" i="2"/>
  <c r="H43" i="2"/>
  <c r="H44" i="2"/>
  <c r="H45" i="2"/>
  <c r="H3" i="2"/>
  <c r="H4" i="2"/>
  <c r="H5" i="2"/>
  <c r="H6" i="2"/>
  <c r="H7" i="2"/>
  <c r="H8" i="2"/>
  <c r="H9" i="2"/>
  <c r="H10" i="2"/>
  <c r="H11" i="2"/>
  <c r="H12" i="2"/>
  <c r="H13" i="2"/>
  <c r="H14" i="2"/>
  <c r="H15" i="2"/>
  <c r="E50" i="2"/>
  <c r="E51" i="2"/>
  <c r="E33" i="2"/>
  <c r="H63" i="2"/>
  <c r="F63" i="2"/>
  <c r="E52" i="2"/>
  <c r="E53" i="2"/>
  <c r="E54" i="2"/>
  <c r="E55" i="2"/>
  <c r="E56" i="2"/>
  <c r="E57" i="2"/>
  <c r="E58" i="2"/>
  <c r="E59" i="2"/>
  <c r="E60" i="2"/>
  <c r="E61" i="2"/>
  <c r="E62" i="2"/>
  <c r="E63" i="2"/>
  <c r="D63" i="2"/>
  <c r="C63" i="2"/>
  <c r="H46" i="2"/>
  <c r="F46" i="2"/>
  <c r="E34" i="2"/>
  <c r="E35" i="2"/>
  <c r="E36" i="2"/>
  <c r="E37" i="2"/>
  <c r="E38" i="2"/>
  <c r="E39" i="2"/>
  <c r="E40" i="2"/>
  <c r="E41" i="2"/>
  <c r="E42" i="2"/>
  <c r="E43" i="2"/>
  <c r="E44" i="2"/>
  <c r="E45" i="2"/>
  <c r="E46" i="2"/>
  <c r="D46" i="2"/>
  <c r="C46" i="2"/>
  <c r="C29" i="2"/>
  <c r="D29" i="2"/>
  <c r="F29" i="2"/>
  <c r="H29" i="2"/>
  <c r="E4" i="2"/>
  <c r="E5" i="2"/>
  <c r="E6" i="2"/>
  <c r="E7" i="2"/>
  <c r="E8" i="2"/>
  <c r="E9" i="2"/>
  <c r="E10" i="2"/>
  <c r="E11" i="2"/>
  <c r="E12" i="2"/>
  <c r="E13" i="2"/>
  <c r="E14" i="2"/>
  <c r="E15" i="2"/>
  <c r="E29" i="2"/>
</calcChain>
</file>

<file path=xl/comments1.xml><?xml version="1.0" encoding="utf-8"?>
<comments xmlns="http://schemas.openxmlformats.org/spreadsheetml/2006/main" xmlns:mc="http://schemas.openxmlformats.org/markup-compatibility/2006" xmlns:xr="http://schemas.microsoft.com/office/spreadsheetml/2014/revision" mc:Ignorable="xr">
  <authors>
    <author>Auteur</author>
  </authors>
  <commentList>
    <comment ref="F4" authorId="0" shapeId="0" xr:uid="{063718D2-097F-42E5-BAFD-E88A71CD57F8}">
      <text>
        <r>
          <rPr>
            <b/>
            <sz val="9"/>
            <color indexed="81"/>
            <rFont val="Tahoma"/>
            <charset val="1"/>
          </rPr>
          <t>Auteur:</t>
        </r>
        <r>
          <rPr>
            <sz val="9"/>
            <color indexed="81"/>
            <rFont val="Tahoma"/>
            <charset val="1"/>
          </rPr>
          <t xml:space="preserve">
=Quantité N-1 - Quantité N - Prêté - Quantité de B4 dans les autres feuilles du tableurs dans la colonne "present dans la malle"</t>
        </r>
      </text>
    </comment>
    <comment ref="G4" authorId="0" shapeId="0" xr:uid="{4780B765-D0EB-48C5-91B9-2C6CE1A8FE62}">
      <text>
        <r>
          <rPr>
            <b/>
            <sz val="9"/>
            <color indexed="81"/>
            <rFont val="Tahoma"/>
            <charset val="1"/>
          </rPr>
          <t>Auteur:</t>
        </r>
        <r>
          <rPr>
            <sz val="9"/>
            <color indexed="81"/>
            <rFont val="Tahoma"/>
            <charset val="1"/>
          </rPr>
          <t xml:space="preserve">
=somme de quantité de B4 dans les autres feuilles du tableur dans la colonne "Demande"</t>
        </r>
      </text>
    </comment>
    <comment ref="J4" authorId="0" shapeId="0" xr:uid="{372F89C1-F8C9-4F51-AF27-F7D14ADC324F}">
      <text>
        <r>
          <rPr>
            <b/>
            <sz val="9"/>
            <color indexed="81"/>
            <rFont val="Tahoma"/>
            <family val="2"/>
          </rPr>
          <t>Tiksm:</t>
        </r>
        <r>
          <rPr>
            <sz val="9"/>
            <color indexed="81"/>
            <rFont val="Tahoma"/>
            <family val="2"/>
          </rPr>
          <t xml:space="preserve">
°Toute les données sont fictifs
°Des matériels "exemple" sont répartis dans les différents secteurs ainsi que des quantités
°Les secteurs vont de "Acceuil artistes" à "Sofree"
°Le résultat dans disponible doit être 4</t>
        </r>
      </text>
    </comment>
    <comment ref="F74" authorId="0" shapeId="0" xr:uid="{E425CE97-D190-436C-942D-F53270055F75}">
      <text>
        <r>
          <rPr>
            <b/>
            <sz val="9"/>
            <color indexed="81"/>
            <rFont val="Tahoma"/>
            <family val="2"/>
          </rPr>
          <t>Auteur:</t>
        </r>
        <r>
          <rPr>
            <sz val="9"/>
            <color indexed="81"/>
            <rFont val="Tahoma"/>
            <family val="2"/>
          </rPr>
          <t xml:space="preserve">
Quantité 2017 + 2018 du matos  - prêté - quantité présente dans les différents secteurs
 </t>
        </r>
      </text>
    </comment>
    <comment ref="G74" authorId="0" shapeId="0" xr:uid="{26EA7945-F5C5-42E6-BADC-4BC805741229}">
      <text>
        <r>
          <rPr>
            <b/>
            <sz val="9"/>
            <color indexed="81"/>
            <rFont val="Tahoma"/>
            <family val="2"/>
          </rPr>
          <t>Auteur:</t>
        </r>
        <r>
          <rPr>
            <sz val="9"/>
            <color indexed="81"/>
            <rFont val="Tahoma"/>
            <family val="2"/>
          </rPr>
          <t xml:space="preserve">
=SOMME de demande de x dans tout les secteurs</t>
        </r>
      </text>
    </comment>
  </commentList>
</comments>
</file>

<file path=xl/sharedStrings.xml><?xml version="1.0" encoding="utf-8"?>
<sst xmlns="http://schemas.openxmlformats.org/spreadsheetml/2006/main" count="1146" uniqueCount="228">
  <si>
    <t>Présente dans la malle</t>
  </si>
  <si>
    <t>Demande</t>
  </si>
  <si>
    <t>Manque</t>
  </si>
  <si>
    <t>Disponible</t>
  </si>
  <si>
    <t>Total</t>
  </si>
  <si>
    <t>Cablage</t>
  </si>
  <si>
    <t>Mobilier</t>
  </si>
  <si>
    <t>Matériel</t>
  </si>
  <si>
    <t>Prêté</t>
  </si>
  <si>
    <t xml:space="preserve"> </t>
  </si>
  <si>
    <t>CT</t>
  </si>
  <si>
    <t>CU du matos rajouté acheté</t>
  </si>
  <si>
    <t>Inventaire général Matériel</t>
  </si>
  <si>
    <t>Inventaire général Cablage</t>
  </si>
  <si>
    <t>Inventaire général Mobilier</t>
  </si>
  <si>
    <t>Quantités acheté rajouté</t>
  </si>
  <si>
    <t>Demande total</t>
  </si>
  <si>
    <t>Emprunté</t>
  </si>
  <si>
    <t>Quantité N-1</t>
  </si>
  <si>
    <t>Quantité N</t>
  </si>
  <si>
    <t>Quantité à acheter</t>
  </si>
  <si>
    <t>Spare</t>
  </si>
  <si>
    <t>Gaffer blanc</t>
  </si>
  <si>
    <t>Gaffer noir</t>
  </si>
  <si>
    <t>Gants de ménage apta rose x1</t>
  </si>
  <si>
    <t>Gants de manutention x1</t>
  </si>
  <si>
    <t>Fourchettes en plastique  x100</t>
  </si>
  <si>
    <t>Couteau en plastique x100</t>
  </si>
  <si>
    <t>Touilette domédia x100</t>
  </si>
  <si>
    <t>Touilette U maison x50</t>
  </si>
  <si>
    <t>Tasse à café domédia x10</t>
  </si>
  <si>
    <t>Cendier alu (ramequins) x10</t>
  </si>
  <si>
    <t>Filtre à café n°4 x40</t>
  </si>
  <si>
    <t>Filtre à café n°4 x80</t>
  </si>
  <si>
    <t xml:space="preserve">Thé fruits rouges </t>
  </si>
  <si>
    <t>Couverture de survit</t>
  </si>
  <si>
    <t>Stylo bille x4</t>
  </si>
  <si>
    <t>Collier de serage de tuyau x2</t>
  </si>
  <si>
    <t>Sucre en buchettes x100</t>
  </si>
  <si>
    <t>Vis 2,4 x L40mm 1kg</t>
  </si>
  <si>
    <t>Agrafes n°10 x2000</t>
  </si>
  <si>
    <t xml:space="preserve">Produit nettoyant apta </t>
  </si>
  <si>
    <t>Bouilloire</t>
  </si>
  <si>
    <t>Bombe de tracage orange Opsial</t>
  </si>
  <si>
    <t>Bouchons d'oreille x200</t>
  </si>
  <si>
    <t>Colson vrac 200x4,5mm</t>
  </si>
  <si>
    <t>Serpillère apta</t>
  </si>
  <si>
    <t>Torchons</t>
  </si>
  <si>
    <t xml:space="preserve">PVC noir </t>
  </si>
  <si>
    <t>PVC rouge</t>
  </si>
  <si>
    <t>PVC bleu</t>
  </si>
  <si>
    <t>PVC vert</t>
  </si>
  <si>
    <t>PVC orange</t>
  </si>
  <si>
    <t>PVC blanc</t>
  </si>
  <si>
    <t>Vis 3xL16 mm x100</t>
  </si>
  <si>
    <t xml:space="preserve">Pointe 1,5x30 acier doux 500g </t>
  </si>
  <si>
    <t xml:space="preserve">Balayette </t>
  </si>
  <si>
    <t>Nettoyant plaque de cuisson dégraissent</t>
  </si>
  <si>
    <t>Essuie tout x4</t>
  </si>
  <si>
    <t>Pinces à linge x36</t>
  </si>
  <si>
    <t>Trousse à pharmacie</t>
  </si>
  <si>
    <t>Papier toilette x12</t>
  </si>
  <si>
    <t>Gants en latex mapa x10</t>
  </si>
  <si>
    <t>Gants en latex apta x10</t>
  </si>
  <si>
    <t>Colson blanc vrac 140mm</t>
  </si>
  <si>
    <t>Piles LR6 vrac</t>
  </si>
  <si>
    <t>Piles LR14 vrac</t>
  </si>
  <si>
    <t>Colson blanc vrac 100mm</t>
  </si>
  <si>
    <t>Piles LR20 vrac</t>
  </si>
  <si>
    <t>Piles 6LP</t>
  </si>
  <si>
    <t>WD40</t>
  </si>
  <si>
    <t>Triplètes blanche intérieur</t>
  </si>
  <si>
    <t>Ralonge blanche 10m intérieur</t>
  </si>
  <si>
    <t>Fil de fer 0,9mm</t>
  </si>
  <si>
    <t>Lame de cutter 18mm x10</t>
  </si>
  <si>
    <t>Lame de cutter 9mm x10</t>
  </si>
  <si>
    <t>Vis 3xL20mm x60</t>
  </si>
  <si>
    <t>Embout tuyau vrac</t>
  </si>
  <si>
    <t>Embout double tuyau</t>
  </si>
  <si>
    <t>Ciseaux</t>
  </si>
  <si>
    <t>Lame de cutteur magnusson 18mm x10</t>
  </si>
  <si>
    <t>Cutter</t>
  </si>
  <si>
    <t>Gants handlite 300n</t>
  </si>
  <si>
    <t>Agraffeuse (petite)</t>
  </si>
  <si>
    <t>Raccordement électrique</t>
  </si>
  <si>
    <t>Papier pour étiqueteuse</t>
  </si>
  <si>
    <t>Sagles 5m x 25mm orange</t>
  </si>
  <si>
    <t>Scotch ruban d'emballage</t>
  </si>
  <si>
    <t>Agraffes E14 x768</t>
  </si>
  <si>
    <t>Scotch blanc</t>
  </si>
  <si>
    <t xml:space="preserve">Chaine de fer 1m </t>
  </si>
  <si>
    <t>Outilage vrac caisse</t>
  </si>
  <si>
    <t>Boite pour perceuse</t>
  </si>
  <si>
    <t>Boite de cicloche</t>
  </si>
  <si>
    <t>Cuillères en métal</t>
  </si>
  <si>
    <t>Petite cuillères en métal</t>
  </si>
  <si>
    <t>Fourchettes en métal</t>
  </si>
  <si>
    <t>Décapsuleur</t>
  </si>
  <si>
    <t xml:space="preserve">Crochet d'armoire </t>
  </si>
  <si>
    <t>Poubelle de bureau</t>
  </si>
  <si>
    <t>Couteau en metal</t>
  </si>
  <si>
    <t>Colier de sérage métalique (étrier)</t>
  </si>
  <si>
    <t>Sacs poubelle vrac</t>
  </si>
  <si>
    <t>Sac poubelle jaune (rouleau)</t>
  </si>
  <si>
    <t xml:space="preserve">Cis circulaire </t>
  </si>
  <si>
    <t>Poubelle</t>
  </si>
  <si>
    <t>Gros marqueur</t>
  </si>
  <si>
    <t xml:space="preserve">Fer à repasser </t>
  </si>
  <si>
    <t xml:space="preserve">Tableau des clés </t>
  </si>
  <si>
    <t>étiqueteuse</t>
  </si>
  <si>
    <t xml:space="preserve">Ampoule E14 </t>
  </si>
  <si>
    <t xml:space="preserve">Fil de pêche </t>
  </si>
  <si>
    <t>Metre</t>
  </si>
  <si>
    <t>Nappe blanche 50m x1,2m</t>
  </si>
  <si>
    <t>Tapis</t>
  </si>
  <si>
    <t>Stylo vrac</t>
  </si>
  <si>
    <t>Produit multisurface apta</t>
  </si>
  <si>
    <t>Ralonge blanche 5m intérieur</t>
  </si>
  <si>
    <t>Corde en rouleau</t>
  </si>
  <si>
    <t>Eponge</t>
  </si>
  <si>
    <t>Lampe de chevet</t>
  </si>
  <si>
    <t>Pince à colson</t>
  </si>
  <si>
    <t xml:space="preserve">Lavette par 5 apta </t>
  </si>
  <si>
    <t>Produit vaisselle</t>
  </si>
  <si>
    <t>Seau 10L</t>
  </si>
  <si>
    <t>Sac poubelle noir 100L</t>
  </si>
  <si>
    <t>Ralonge blanche 3m intérieur</t>
  </si>
  <si>
    <t>Guirlande électrique</t>
  </si>
  <si>
    <t>Baladeuse de plafond</t>
  </si>
  <si>
    <t>Tableau des clés</t>
  </si>
  <si>
    <t>Planche accroche ticket</t>
  </si>
  <si>
    <t>Ballon de foot</t>
  </si>
  <si>
    <t>Parasols (grand)</t>
  </si>
  <si>
    <t>Parasols (petit)</t>
  </si>
  <si>
    <t>Pompe à eau thermique</t>
  </si>
  <si>
    <t>Ardoise</t>
  </si>
  <si>
    <t>Balai à poussière</t>
  </si>
  <si>
    <t>Cadenas avec 2 clés</t>
  </si>
  <si>
    <t>Café noir x2</t>
  </si>
  <si>
    <t>Cafetière</t>
  </si>
  <si>
    <t>Dosettes nespresso</t>
  </si>
  <si>
    <t>Tuyau d'arrosage</t>
  </si>
  <si>
    <t xml:space="preserve">Carnet de facturation </t>
  </si>
  <si>
    <t>Petit seau</t>
  </si>
  <si>
    <t>Spots blanc</t>
  </si>
  <si>
    <t>Dosettes de sucre (grande)</t>
  </si>
  <si>
    <t>Thé citron</t>
  </si>
  <si>
    <t>Robinet multiple tuyau</t>
  </si>
  <si>
    <t>Sucre en kg</t>
  </si>
  <si>
    <t>Verres kro 50cl</t>
  </si>
  <si>
    <t>Balai brosse</t>
  </si>
  <si>
    <t>Thé à la menthe</t>
  </si>
  <si>
    <t>Bassine</t>
  </si>
  <si>
    <t>Cintres metal</t>
  </si>
  <si>
    <t>Mannequins</t>
  </si>
  <si>
    <t>Marqueur permanent noir</t>
  </si>
  <si>
    <t>Scotch marron</t>
  </si>
  <si>
    <t>Scotch transparent 5cm</t>
  </si>
  <si>
    <t>Tenaille</t>
  </si>
  <si>
    <t>Cientres metal</t>
  </si>
  <si>
    <t>Agraffeuse murale</t>
  </si>
  <si>
    <t>Vis pour palette</t>
  </si>
  <si>
    <t>Bac 100L</t>
  </si>
  <si>
    <t>Balayette à chiotte</t>
  </si>
  <si>
    <t>Canard WC</t>
  </si>
  <si>
    <t>Cintres bois</t>
  </si>
  <si>
    <t>Destop</t>
  </si>
  <si>
    <t>Miroir</t>
  </si>
  <si>
    <t>Vinaigre blanc</t>
  </si>
  <si>
    <t>vinaigre blanc</t>
  </si>
  <si>
    <t>limonadier</t>
  </si>
  <si>
    <t>Lave mains labell</t>
  </si>
  <si>
    <t>Punaises</t>
  </si>
  <si>
    <t>Cuillères de service</t>
  </si>
  <si>
    <t>Cuilères à soupe</t>
  </si>
  <si>
    <t>Film alu 50m</t>
  </si>
  <si>
    <t xml:space="preserve">Film étirable </t>
  </si>
  <si>
    <t>Louche</t>
  </si>
  <si>
    <t>Ouvre boite</t>
  </si>
  <si>
    <t>Percolateur</t>
  </si>
  <si>
    <t>Pinces barbecue</t>
  </si>
  <si>
    <t>Saladier inox 26cm</t>
  </si>
  <si>
    <t>Saladier inox 30l</t>
  </si>
  <si>
    <t>Spatule en metal</t>
  </si>
  <si>
    <t>Planche à découper</t>
  </si>
  <si>
    <t>Eplucheur</t>
  </si>
  <si>
    <t>Assiettes plastique</t>
  </si>
  <si>
    <t>Cales en bois</t>
  </si>
  <si>
    <t>Gillet jaune</t>
  </si>
  <si>
    <t>Massette</t>
  </si>
  <si>
    <t>Scotch double face</t>
  </si>
  <si>
    <t>Gros cutter</t>
  </si>
  <si>
    <t>Lampe torche</t>
  </si>
  <si>
    <t>Vis diam3</t>
  </si>
  <si>
    <t>Jeu 3 ustensiles barbecue</t>
  </si>
  <si>
    <t>Grande alumette</t>
  </si>
  <si>
    <t>Clé de 19</t>
  </si>
  <si>
    <t>Pince coupante</t>
  </si>
  <si>
    <t>Cadenas 38mm</t>
  </si>
  <si>
    <t>Cadenas 48mm</t>
  </si>
  <si>
    <t>Choqueuse dewalt</t>
  </si>
  <si>
    <t>Coffret douilles</t>
  </si>
  <si>
    <t>Pack embout choqueuse</t>
  </si>
  <si>
    <t>Sangles noir petite</t>
  </si>
  <si>
    <t>Bâches 3x3</t>
  </si>
  <si>
    <t>Balai 1m</t>
  </si>
  <si>
    <t>Colson 40cm x100</t>
  </si>
  <si>
    <t>Pompe à vélo</t>
  </si>
  <si>
    <t>Rubalisme en rouleau</t>
  </si>
  <si>
    <t>Sac noir 30L</t>
  </si>
  <si>
    <t>Sangles de camion</t>
  </si>
  <si>
    <t>Scotch barnier couleur</t>
  </si>
  <si>
    <t>Scotch barnier noir</t>
  </si>
  <si>
    <t>Rouleau de moquette noir</t>
  </si>
  <si>
    <t>Marteau</t>
  </si>
  <si>
    <t>Scie</t>
  </si>
  <si>
    <t>Scie à métaux</t>
  </si>
  <si>
    <t xml:space="preserve">Tourne vis </t>
  </si>
  <si>
    <t>Cadenas à code</t>
  </si>
  <si>
    <t>Scotch transparent 1,5 cm</t>
  </si>
  <si>
    <t>Sagles 5m x 25mm bleu</t>
  </si>
  <si>
    <t>Tabouret Seb</t>
  </si>
  <si>
    <t>Chaise local rouge</t>
  </si>
  <si>
    <t>Rondelles étroites 5x10mm x75</t>
  </si>
  <si>
    <t>Même formule que dans inv. Matériel</t>
  </si>
  <si>
    <t>Triplètes noir ext</t>
  </si>
  <si>
    <t>Ralonge noir 5m ext</t>
  </si>
  <si>
    <t>Ralonge noir 10m ext</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</si>
</sst>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xmlns:xr9="http://schemas.microsoft.com/office/spreadsheetml/2016/revision9" mc:Ignorable="x14ac x16r2 xr xr9">
  <numFmts count="2">
    <numFmt numFmtId="44" formatCode="_-* #,##0.00\ &quot;€&quot;_-;\-* #,##0.00\ &quot;€&quot;_-;_-* &quot;-&quot;??\ &quot;€&quot;_-;_-@_-"/>
    <numFmt numFmtId="164" formatCode="#,##0.00\ &quot;€&quot;"/>
  </numFmts>
  <fonts count="7" x14ac:knownFonts="1">
    <font>
      <sz val="11"/>
      <color theme="1"/>
      <name val="Calibri"/>
      <family val="2"/>
      <scheme val="minor"/>
    </font>
    <font>
      <sz val="11"/>
      <color theme="1"/>
      <name val="Calibri"/>
      <family val="2"/>
      <scheme val="minor"/>
    </font>
    <font>
      <sz val="9"/>
      <color indexed="81"/>
      <name val="Tahoma"/>
      <family val="2"/>
    </font>
    <font>
      <b/>
      <sz val="9"/>
      <color indexed="81"/>
      <name val="Tahoma"/>
      <family val="2"/>
    </font>
    <font>
      <sz val="11"/>
      <color theme="0"/>
      <name val="Calibri"/>
      <family val="2"/>
      <scheme val="minor"/>
    </font>
    <font>
      <sz val="9"/>
      <color indexed="81"/>
      <name val="Tahoma"/>
      <charset val="1"/>
    </font>
    <font>
      <b/>
      <sz val="9"/>
      <color indexed="81"/>
      <name val="Tahoma"/>
      <charset val="1"/>
    </font>
  </fonts>
  <fills count="4">
    <fill>
      <patternFill patternType="none"/>
    </fill>
    <fill>
      <patternFill patternType="gray125"/>
    </fill>
    <fill>
      <patternFill patternType="solid">
        <fgColor theme="6" tint="-0.249977111117893"/>
        <bgColor theme="6" tint="-0.249977111117893"/>
      </patternFill>
    </fill>
    <fill>
      <patternFill patternType="solid">
        <fgColor rgb="FFFFFF00"/>
        <bgColor indexed="64"/>
      </patternFill>
    </fill>
  </fills>
  <borders count="1">
    <border>
      <left/>
      <right/>
      <top/>
      <bottom/>
      <diagonal/>
    </border>
  </borders>
  <cellStyleXfs count="2">
    <xf numFmtId="0" fontId="0" fillId="0" borderId="0"/>
    <xf numFmtId="44" fontId="1" fillId="0" borderId="0" applyFont="0" applyFill="0" applyBorder="0" applyAlignment="0" applyProtection="0"/>
  </cellStyleXfs>
  <cellXfs count="14">
    <xf numFmtId="0" fontId="0" fillId="0" borderId="0" xfId="0"/>
    <xf numFmtId="0" fontId="0" fillId="0" borderId="0" xfId="0" applyNumberFormat="1"/>
    <xf numFmtId="44" fontId="0" fillId="0" borderId="0" xfId="1" applyFont="1"/>
    <xf numFmtId="0" fontId="4" fillId="2" borderId="0" xfId="0" applyFont="1" applyFill="1"/>
    <xf numFmtId="44" fontId="1" fillId="0" borderId="0" xfId="1" applyFont="1"/>
    <xf numFmtId="0" fontId="0" fillId="0" borderId="0" xfId="1" applyNumberFormat="1" applyFont="1"/>
    <xf numFmtId="0" fontId="0" fillId="0" borderId="0" xfId="0" applyNumberFormat="1" applyFont="1"/>
    <xf numFmtId="0" fontId="1" fillId="0" borderId="0" xfId="0" applyNumberFormat="1" applyFont="1"/>
    <xf numFmtId="164" fontId="0" fillId="0" borderId="0" xfId="1" applyNumberFormat="1" applyFont="1"/>
    <xf numFmtId="44" fontId="1" fillId="0" borderId="0" xfId="0" applyNumberFormat="1" applyFont="1"/>
    <xf numFmtId="44" fontId="0" fillId="0" borderId="0" xfId="0" applyNumberFormat="1" applyFont="1"/>
    <xf numFmtId="0" fontId="4" fillId="2" borderId="0" xfId="0" applyNumberFormat="1" applyFont="1" applyFill="1"/>
    <xf numFmtId="0" fontId="0" fillId="3" borderId="0" xfId="0" applyFill="1"/>
    <xf numFmtId="0" fontId="0" fillId="3" borderId="0" xfId="0" applyFill="1" applyAlignment="1">
      <alignment horizontal="center"/>
    </xf>
  </cellXfs>
  <cellStyles count="2">
    <cellStyle name="Monétaire" xfId="1" builtinId="4"/>
    <cellStyle name="Normal" xfId="0" builtinId="0"/>
  </cellStyles>
  <dxfs count="1058">
    <dxf>
      <font>
        <b val="0"/>
        <i val="0"/>
        <strike val="0"/>
        <condense val="0"/>
        <extend val="0"/>
        <outline val="0"/>
        <shadow val="0"/>
        <u val="none"/>
        <vertAlign val="baseline"/>
        <sz val="11"/>
        <color theme="1"/>
        <name val="Calibri"/>
        <family val="2"/>
        <scheme val="minor"/>
      </font>
      <numFmt numFmtId="34" formatCode="_-* #,##0.00\ &quot;€&quot;_-;\-* #,##0.00\ &quot;€&quot;_-;_-* &quot;-&quot;??\ &quot;€&quot;_-;_-@_-"/>
    </dxf>
    <dxf>
      <font>
        <b val="0"/>
        <i val="0"/>
        <strike val="0"/>
        <condense val="0"/>
        <extend val="0"/>
        <outline val="0"/>
        <shadow val="0"/>
        <u val="none"/>
        <vertAlign val="baseline"/>
        <sz val="11"/>
        <color theme="1"/>
        <name val="Calibri"/>
        <family val="2"/>
        <scheme val="minor"/>
      </font>
      <numFmt numFmtId="164" formatCode="#,##0.00\ &quot;€&quot;"/>
    </dxf>
    <dxf>
      <font>
        <b val="0"/>
        <i val="0"/>
        <strike val="0"/>
        <condense val="0"/>
        <extend val="0"/>
        <outline val="0"/>
        <shadow val="0"/>
        <u val="none"/>
        <vertAlign val="baseline"/>
        <sz val="11"/>
        <color theme="1"/>
        <name val="Calibri"/>
        <family val="2"/>
        <scheme val="minor"/>
      </font>
      <numFmt numFmtId="0" formatCode="General"/>
    </dxf>
    <dxf>
      <font>
        <b val="0"/>
        <i val="0"/>
        <strike val="0"/>
        <condense val="0"/>
        <extend val="0"/>
        <outline val="0"/>
        <shadow val="0"/>
        <u val="none"/>
        <vertAlign val="baseline"/>
        <sz val="11"/>
        <color theme="1"/>
        <name val="Calibri"/>
        <family val="2"/>
        <scheme val="minor"/>
      </font>
    </dxf>
    <dxf>
      <font>
        <b val="0"/>
        <i val="0"/>
        <strike val="0"/>
        <condense val="0"/>
        <extend val="0"/>
        <outline val="0"/>
        <shadow val="0"/>
        <u val="none"/>
        <vertAlign val="baseline"/>
        <sz val="11"/>
        <color theme="1"/>
        <name val="Calibri"/>
        <family val="2"/>
        <scheme val="minor"/>
      </font>
      <numFmt numFmtId="0" formatCode="General"/>
    </dxf>
    <dxf>
      <font>
        <b val="0"/>
        <i val="0"/>
        <strike val="0"/>
        <condense val="0"/>
        <extend val="0"/>
        <outline val="0"/>
        <shadow val="0"/>
        <u val="none"/>
        <vertAlign val="baseline"/>
        <sz val="11"/>
        <color theme="1"/>
        <name val="Calibri"/>
        <family val="2"/>
        <scheme val="minor"/>
      </font>
      <numFmt numFmtId="0" formatCode="General"/>
    </dxf>
    <dxf>
      <numFmt numFmtId="0" formatCode="General"/>
    </dxf>
    <dxf>
      <font>
        <b val="0"/>
        <i val="0"/>
        <strike val="0"/>
        <condense val="0"/>
        <extend val="0"/>
        <outline val="0"/>
        <shadow val="0"/>
        <u val="none"/>
        <vertAlign val="baseline"/>
        <sz val="11"/>
        <color theme="1"/>
        <name val="Calibri"/>
        <family val="2"/>
        <scheme val="minor"/>
      </font>
    </dxf>
    <dxf>
      <font>
        <b val="0"/>
        <i val="0"/>
        <strike val="0"/>
        <condense val="0"/>
        <extend val="0"/>
        <outline val="0"/>
        <shadow val="0"/>
        <u val="none"/>
        <vertAlign val="baseline"/>
        <sz val="11"/>
        <color theme="1"/>
        <name val="Calibri"/>
        <family val="2"/>
        <scheme val="minor"/>
      </font>
    </dxf>
    <dxf>
      <font>
        <b val="0"/>
        <i val="0"/>
        <strike val="0"/>
        <condense val="0"/>
        <extend val="0"/>
        <outline val="0"/>
        <shadow val="0"/>
        <u val="none"/>
        <vertAlign val="baseline"/>
        <sz val="11"/>
        <color theme="1"/>
        <name val="Calibri"/>
        <family val="2"/>
        <scheme val="minor"/>
      </font>
    </dxf>
    <dxf>
      <font>
        <b val="0"/>
        <i val="0"/>
        <strike val="0"/>
        <condense val="0"/>
        <extend val="0"/>
        <outline val="0"/>
        <shadow val="0"/>
        <u val="none"/>
        <vertAlign val="baseline"/>
        <sz val="11"/>
        <color theme="1"/>
        <name val="Calibri"/>
        <family val="2"/>
        <scheme val="minor"/>
      </font>
      <numFmt numFmtId="164" formatCode="#,##0.00\ &quot;€&quot;"/>
    </dxf>
    <dxf>
      <font>
        <b val="0"/>
        <i val="0"/>
        <strike val="0"/>
        <condense val="0"/>
        <extend val="0"/>
        <outline val="0"/>
        <shadow val="0"/>
        <u val="none"/>
        <vertAlign val="baseline"/>
        <sz val="11"/>
        <color theme="1"/>
        <name val="Calibri"/>
        <family val="2"/>
        <scheme val="minor"/>
      </font>
      <numFmt numFmtId="0" formatCode="General"/>
    </dxf>
    <dxf>
      <font>
        <b val="0"/>
        <i val="0"/>
        <strike val="0"/>
        <condense val="0"/>
        <extend val="0"/>
        <outline val="0"/>
        <shadow val="0"/>
        <u val="none"/>
        <vertAlign val="baseline"/>
        <sz val="11"/>
        <color theme="1"/>
        <name val="Calibri"/>
        <family val="2"/>
        <scheme val="minor"/>
      </font>
    </dxf>
    <dxf>
      <font>
        <b val="0"/>
        <i val="0"/>
        <strike val="0"/>
        <condense val="0"/>
        <extend val="0"/>
        <outline val="0"/>
        <shadow val="0"/>
        <u val="none"/>
        <vertAlign val="baseline"/>
        <sz val="11"/>
        <color theme="1"/>
        <name val="Calibri"/>
        <family val="2"/>
        <scheme val="minor"/>
      </font>
      <numFmt numFmtId="0" formatCode="General"/>
    </dxf>
    <dxf>
      <font>
        <b val="0"/>
        <i val="0"/>
        <strike val="0"/>
        <condense val="0"/>
        <extend val="0"/>
        <outline val="0"/>
        <shadow val="0"/>
        <u val="none"/>
        <vertAlign val="baseline"/>
        <sz val="11"/>
        <color theme="1"/>
        <name val="Calibri"/>
        <family val="2"/>
        <scheme val="minor"/>
      </font>
      <numFmt numFmtId="0" formatCode="General"/>
    </dxf>
    <dxf>
      <numFmt numFmtId="0" formatCode="General"/>
    </dxf>
    <dxf>
      <font>
        <b val="0"/>
        <i val="0"/>
        <strike val="0"/>
        <condense val="0"/>
        <extend val="0"/>
        <outline val="0"/>
        <shadow val="0"/>
        <u val="none"/>
        <vertAlign val="baseline"/>
        <sz val="11"/>
        <color theme="1"/>
        <name val="Calibri"/>
        <family val="2"/>
        <scheme val="minor"/>
      </font>
    </dxf>
    <dxf>
      <font>
        <b val="0"/>
        <i val="0"/>
        <strike val="0"/>
        <condense val="0"/>
        <extend val="0"/>
        <outline val="0"/>
        <shadow val="0"/>
        <u val="none"/>
        <vertAlign val="baseline"/>
        <sz val="11"/>
        <color theme="1"/>
        <name val="Calibri"/>
        <family val="2"/>
        <scheme val="minor"/>
      </font>
    </dxf>
    <dxf>
      <font>
        <b val="0"/>
        <i val="0"/>
        <strike val="0"/>
        <condense val="0"/>
        <extend val="0"/>
        <outline val="0"/>
        <shadow val="0"/>
        <u val="none"/>
        <vertAlign val="baseline"/>
        <sz val="11"/>
        <color theme="1"/>
        <name val="Calibri"/>
        <family val="2"/>
        <scheme val="minor"/>
      </font>
      <numFmt numFmtId="34" formatCode="_-* #,##0.00\ &quot;€&quot;_-;\-* #,##0.00\ &quot;€&quot;_-;_-* &quot;-&quot;??\ &quot;€&quot;_-;_-@_-"/>
    </dxf>
    <dxf>
      <font>
        <b val="0"/>
        <i val="0"/>
        <strike val="0"/>
        <condense val="0"/>
        <extend val="0"/>
        <outline val="0"/>
        <shadow val="0"/>
        <u val="none"/>
        <vertAlign val="baseline"/>
        <sz val="11"/>
        <color theme="1"/>
        <name val="Calibri"/>
        <family val="2"/>
        <scheme val="minor"/>
      </font>
      <numFmt numFmtId="164" formatCode="#,##0.00\ &quot;€&quot;"/>
    </dxf>
    <dxf>
      <font>
        <b val="0"/>
        <i val="0"/>
        <strike val="0"/>
        <condense val="0"/>
        <extend val="0"/>
        <outline val="0"/>
        <shadow val="0"/>
        <u val="none"/>
        <vertAlign val="baseline"/>
        <sz val="11"/>
        <color theme="1"/>
        <name val="Calibri"/>
        <family val="2"/>
        <scheme val="minor"/>
      </font>
      <numFmt numFmtId="0" formatCode="General"/>
    </dxf>
    <dxf>
      <font>
        <b val="0"/>
        <i val="0"/>
        <strike val="0"/>
        <condense val="0"/>
        <extend val="0"/>
        <outline val="0"/>
        <shadow val="0"/>
        <u val="none"/>
        <vertAlign val="baseline"/>
        <sz val="11"/>
        <color theme="1"/>
        <name val="Calibri"/>
        <family val="2"/>
        <scheme val="minor"/>
      </font>
    </dxf>
    <dxf>
      <font>
        <b val="0"/>
        <i val="0"/>
        <strike val="0"/>
        <condense val="0"/>
        <extend val="0"/>
        <outline val="0"/>
        <shadow val="0"/>
        <u val="none"/>
        <vertAlign val="baseline"/>
        <sz val="11"/>
        <color theme="1"/>
        <name val="Calibri"/>
        <family val="2"/>
        <scheme val="minor"/>
      </font>
      <numFmt numFmtId="0" formatCode="General"/>
    </dxf>
    <dxf>
      <font>
        <b val="0"/>
        <i val="0"/>
        <strike val="0"/>
        <condense val="0"/>
        <extend val="0"/>
        <outline val="0"/>
        <shadow val="0"/>
        <u val="none"/>
        <vertAlign val="baseline"/>
        <sz val="11"/>
        <color theme="1"/>
        <name val="Calibri"/>
        <family val="2"/>
        <scheme val="minor"/>
      </font>
      <numFmt numFmtId="0" formatCode="General"/>
    </dxf>
    <dxf>
      <numFmt numFmtId="0" formatCode="General"/>
    </dxf>
    <dxf>
      <font>
        <b val="0"/>
        <i val="0"/>
        <strike val="0"/>
        <condense val="0"/>
        <extend val="0"/>
        <outline val="0"/>
        <shadow val="0"/>
        <u val="none"/>
        <vertAlign val="baseline"/>
        <sz val="11"/>
        <color theme="1"/>
        <name val="Calibri"/>
        <family val="2"/>
        <scheme val="minor"/>
      </font>
    </dxf>
    <dxf>
      <font>
        <b val="0"/>
        <i val="0"/>
        <strike val="0"/>
        <condense val="0"/>
        <extend val="0"/>
        <outline val="0"/>
        <shadow val="0"/>
        <u val="none"/>
        <vertAlign val="baseline"/>
        <sz val="11"/>
        <color theme="1"/>
        <name val="Calibri"/>
        <family val="2"/>
        <scheme val="minor"/>
      </font>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theme="9"/>
      </font>
      <fill>
        <patternFill>
          <bgColor theme="9"/>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theme="9"/>
      </font>
      <fill>
        <patternFill>
          <bgColor theme="9"/>
        </patternFill>
      </fill>
    </dxf>
    <dxf>
      <font>
        <color theme="9"/>
      </font>
      <fill>
        <patternFill>
          <bgColor theme="9"/>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b val="0"/>
        <i val="0"/>
        <strike val="0"/>
        <condense val="0"/>
        <extend val="0"/>
        <outline val="0"/>
        <shadow val="0"/>
        <u val="none"/>
        <vertAlign val="baseline"/>
        <sz val="11"/>
        <color theme="1"/>
        <name val="Calibri"/>
        <family val="2"/>
        <scheme val="minor"/>
      </font>
    </dxf>
    <dxf>
      <font>
        <b val="0"/>
        <i val="0"/>
        <strike val="0"/>
        <condense val="0"/>
        <extend val="0"/>
        <outline val="0"/>
        <shadow val="0"/>
        <u val="none"/>
        <vertAlign val="baseline"/>
        <sz val="11"/>
        <color theme="1"/>
        <name val="Calibri"/>
        <family val="2"/>
        <scheme val="minor"/>
      </font>
      <numFmt numFmtId="164" formatCode="#,##0.00\ &quot;€&quot;"/>
    </dxf>
    <dxf>
      <font>
        <b val="0"/>
        <i val="0"/>
        <strike val="0"/>
        <condense val="0"/>
        <extend val="0"/>
        <outline val="0"/>
        <shadow val="0"/>
        <u val="none"/>
        <vertAlign val="baseline"/>
        <sz val="11"/>
        <color theme="1"/>
        <name val="Calibri"/>
        <family val="2"/>
        <scheme val="minor"/>
      </font>
      <numFmt numFmtId="0" formatCode="General"/>
    </dxf>
    <dxf>
      <font>
        <b val="0"/>
        <i val="0"/>
        <strike val="0"/>
        <condense val="0"/>
        <extend val="0"/>
        <outline val="0"/>
        <shadow val="0"/>
        <u val="none"/>
        <vertAlign val="baseline"/>
        <sz val="11"/>
        <color theme="1"/>
        <name val="Calibri"/>
        <family val="2"/>
        <scheme val="minor"/>
      </font>
    </dxf>
    <dxf>
      <font>
        <b val="0"/>
        <i val="0"/>
        <strike val="0"/>
        <condense val="0"/>
        <extend val="0"/>
        <outline val="0"/>
        <shadow val="0"/>
        <u val="none"/>
        <vertAlign val="baseline"/>
        <sz val="11"/>
        <color theme="1"/>
        <name val="Calibri"/>
        <family val="2"/>
        <scheme val="minor"/>
      </font>
      <numFmt numFmtId="0" formatCode="General"/>
    </dxf>
    <dxf>
      <font>
        <b val="0"/>
        <i val="0"/>
        <strike val="0"/>
        <condense val="0"/>
        <extend val="0"/>
        <outline val="0"/>
        <shadow val="0"/>
        <u val="none"/>
        <vertAlign val="baseline"/>
        <sz val="11"/>
        <color theme="1"/>
        <name val="Calibri"/>
        <family val="2"/>
        <scheme val="minor"/>
      </font>
      <numFmt numFmtId="0" formatCode="General"/>
    </dxf>
    <dxf>
      <numFmt numFmtId="0" formatCode="General"/>
    </dxf>
    <dxf>
      <font>
        <b val="0"/>
        <i val="0"/>
        <strike val="0"/>
        <condense val="0"/>
        <extend val="0"/>
        <outline val="0"/>
        <shadow val="0"/>
        <u val="none"/>
        <vertAlign val="baseline"/>
        <sz val="11"/>
        <color theme="1"/>
        <name val="Calibri"/>
        <family val="2"/>
        <scheme val="minor"/>
      </font>
    </dxf>
    <dxf>
      <font>
        <b val="0"/>
        <i val="0"/>
        <strike val="0"/>
        <condense val="0"/>
        <extend val="0"/>
        <outline val="0"/>
        <shadow val="0"/>
        <u val="none"/>
        <vertAlign val="baseline"/>
        <sz val="11"/>
        <color theme="1"/>
        <name val="Calibri"/>
        <family val="2"/>
        <scheme val="minor"/>
      </font>
    </dxf>
    <dxf>
      <font>
        <b val="0"/>
        <i val="0"/>
        <strike val="0"/>
        <condense val="0"/>
        <extend val="0"/>
        <outline val="0"/>
        <shadow val="0"/>
        <u val="none"/>
        <vertAlign val="baseline"/>
        <sz val="11"/>
        <color theme="1"/>
        <name val="Calibri"/>
        <family val="2"/>
        <scheme val="minor"/>
      </font>
    </dxf>
    <dxf>
      <font>
        <b val="0"/>
        <i val="0"/>
        <strike val="0"/>
        <condense val="0"/>
        <extend val="0"/>
        <outline val="0"/>
        <shadow val="0"/>
        <u val="none"/>
        <vertAlign val="baseline"/>
        <sz val="11"/>
        <color theme="1"/>
        <name val="Calibri"/>
        <family val="2"/>
        <scheme val="minor"/>
      </font>
      <numFmt numFmtId="164" formatCode="#,##0.00\ &quot;€&quot;"/>
    </dxf>
    <dxf>
      <font>
        <b val="0"/>
        <i val="0"/>
        <strike val="0"/>
        <condense val="0"/>
        <extend val="0"/>
        <outline val="0"/>
        <shadow val="0"/>
        <u val="none"/>
        <vertAlign val="baseline"/>
        <sz val="11"/>
        <color theme="1"/>
        <name val="Calibri"/>
        <family val="2"/>
        <scheme val="minor"/>
      </font>
      <numFmt numFmtId="0" formatCode="General"/>
    </dxf>
    <dxf>
      <font>
        <b val="0"/>
        <i val="0"/>
        <strike val="0"/>
        <condense val="0"/>
        <extend val="0"/>
        <outline val="0"/>
        <shadow val="0"/>
        <u val="none"/>
        <vertAlign val="baseline"/>
        <sz val="11"/>
        <color theme="1"/>
        <name val="Calibri"/>
        <family val="2"/>
        <scheme val="minor"/>
      </font>
    </dxf>
    <dxf>
      <font>
        <b val="0"/>
        <i val="0"/>
        <strike val="0"/>
        <condense val="0"/>
        <extend val="0"/>
        <outline val="0"/>
        <shadow val="0"/>
        <u val="none"/>
        <vertAlign val="baseline"/>
        <sz val="11"/>
        <color theme="1"/>
        <name val="Calibri"/>
        <family val="2"/>
        <scheme val="minor"/>
      </font>
      <numFmt numFmtId="0" formatCode="General"/>
    </dxf>
    <dxf>
      <font>
        <b val="0"/>
        <i val="0"/>
        <strike val="0"/>
        <condense val="0"/>
        <extend val="0"/>
        <outline val="0"/>
        <shadow val="0"/>
        <u val="none"/>
        <vertAlign val="baseline"/>
        <sz val="11"/>
        <color theme="1"/>
        <name val="Calibri"/>
        <family val="2"/>
        <scheme val="minor"/>
      </font>
      <numFmt numFmtId="0" formatCode="General"/>
    </dxf>
    <dxf>
      <numFmt numFmtId="0" formatCode="General"/>
    </dxf>
    <dxf>
      <font>
        <b val="0"/>
        <i val="0"/>
        <strike val="0"/>
        <condense val="0"/>
        <extend val="0"/>
        <outline val="0"/>
        <shadow val="0"/>
        <u val="none"/>
        <vertAlign val="baseline"/>
        <sz val="11"/>
        <color theme="1"/>
        <name val="Calibri"/>
        <family val="2"/>
        <scheme val="minor"/>
      </font>
    </dxf>
    <dxf>
      <font>
        <b val="0"/>
        <i val="0"/>
        <strike val="0"/>
        <condense val="0"/>
        <extend val="0"/>
        <outline val="0"/>
        <shadow val="0"/>
        <u val="none"/>
        <vertAlign val="baseline"/>
        <sz val="11"/>
        <color theme="1"/>
        <name val="Calibri"/>
        <family val="2"/>
        <scheme val="minor"/>
      </font>
    </dxf>
    <dxf>
      <font>
        <b val="0"/>
        <i val="0"/>
        <strike val="0"/>
        <condense val="0"/>
        <extend val="0"/>
        <outline val="0"/>
        <shadow val="0"/>
        <u val="none"/>
        <vertAlign val="baseline"/>
        <sz val="11"/>
        <color theme="1"/>
        <name val="Calibri"/>
        <family val="2"/>
        <scheme val="minor"/>
      </font>
      <numFmt numFmtId="34" formatCode="_-* #,##0.00\ &quot;€&quot;_-;\-* #,##0.00\ &quot;€&quot;_-;_-* &quot;-&quot;??\ &quot;€&quot;_-;_-@_-"/>
    </dxf>
    <dxf>
      <font>
        <b val="0"/>
        <i val="0"/>
        <strike val="0"/>
        <condense val="0"/>
        <extend val="0"/>
        <outline val="0"/>
        <shadow val="0"/>
        <u val="none"/>
        <vertAlign val="baseline"/>
        <sz val="11"/>
        <color theme="1"/>
        <name val="Calibri"/>
        <family val="2"/>
        <scheme val="minor"/>
      </font>
      <numFmt numFmtId="164" formatCode="#,##0.00\ &quot;€&quot;"/>
    </dxf>
    <dxf>
      <font>
        <b val="0"/>
        <i val="0"/>
        <strike val="0"/>
        <condense val="0"/>
        <extend val="0"/>
        <outline val="0"/>
        <shadow val="0"/>
        <u val="none"/>
        <vertAlign val="baseline"/>
        <sz val="11"/>
        <color theme="1"/>
        <name val="Calibri"/>
        <family val="2"/>
        <scheme val="minor"/>
      </font>
      <numFmt numFmtId="0" formatCode="General"/>
    </dxf>
    <dxf>
      <font>
        <b val="0"/>
        <i val="0"/>
        <strike val="0"/>
        <condense val="0"/>
        <extend val="0"/>
        <outline val="0"/>
        <shadow val="0"/>
        <u val="none"/>
        <vertAlign val="baseline"/>
        <sz val="11"/>
        <color theme="1"/>
        <name val="Calibri"/>
        <family val="2"/>
        <scheme val="minor"/>
      </font>
    </dxf>
    <dxf>
      <font>
        <b val="0"/>
        <i val="0"/>
        <strike val="0"/>
        <condense val="0"/>
        <extend val="0"/>
        <outline val="0"/>
        <shadow val="0"/>
        <u val="none"/>
        <vertAlign val="baseline"/>
        <sz val="11"/>
        <color theme="1"/>
        <name val="Calibri"/>
        <family val="2"/>
        <scheme val="minor"/>
      </font>
      <numFmt numFmtId="0" formatCode="General"/>
    </dxf>
    <dxf>
      <font>
        <b val="0"/>
        <i val="0"/>
        <strike val="0"/>
        <condense val="0"/>
        <extend val="0"/>
        <outline val="0"/>
        <shadow val="0"/>
        <u val="none"/>
        <vertAlign val="baseline"/>
        <sz val="11"/>
        <color theme="1"/>
        <name val="Calibri"/>
        <family val="2"/>
        <scheme val="minor"/>
      </font>
      <numFmt numFmtId="0" formatCode="General"/>
    </dxf>
    <dxf>
      <numFmt numFmtId="0" formatCode="General"/>
    </dxf>
    <dxf>
      <font>
        <b val="0"/>
        <i val="0"/>
        <strike val="0"/>
        <condense val="0"/>
        <extend val="0"/>
        <outline val="0"/>
        <shadow val="0"/>
        <u val="none"/>
        <vertAlign val="baseline"/>
        <sz val="11"/>
        <color theme="1"/>
        <name val="Calibri"/>
        <family val="2"/>
        <scheme val="minor"/>
      </font>
    </dxf>
    <dxf>
      <font>
        <b val="0"/>
        <i val="0"/>
        <strike val="0"/>
        <condense val="0"/>
        <extend val="0"/>
        <outline val="0"/>
        <shadow val="0"/>
        <u val="none"/>
        <vertAlign val="baseline"/>
        <sz val="11"/>
        <color theme="1"/>
        <name val="Calibri"/>
        <family val="2"/>
        <scheme val="minor"/>
      </font>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theme="9"/>
      </font>
      <fill>
        <patternFill>
          <bgColor theme="9"/>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theme="9"/>
      </font>
      <fill>
        <patternFill>
          <bgColor theme="9"/>
        </patternFill>
      </fill>
    </dxf>
    <dxf>
      <font>
        <color theme="9"/>
      </font>
      <fill>
        <patternFill>
          <bgColor theme="9"/>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b val="0"/>
        <i val="0"/>
        <strike val="0"/>
        <condense val="0"/>
        <extend val="0"/>
        <outline val="0"/>
        <shadow val="0"/>
        <u val="none"/>
        <vertAlign val="baseline"/>
        <sz val="11"/>
        <color theme="1"/>
        <name val="Calibri"/>
        <family val="2"/>
        <scheme val="minor"/>
      </font>
    </dxf>
    <dxf>
      <font>
        <b val="0"/>
        <i val="0"/>
        <strike val="0"/>
        <condense val="0"/>
        <extend val="0"/>
        <outline val="0"/>
        <shadow val="0"/>
        <u val="none"/>
        <vertAlign val="baseline"/>
        <sz val="11"/>
        <color theme="1"/>
        <name val="Calibri"/>
        <family val="2"/>
        <scheme val="minor"/>
      </font>
      <numFmt numFmtId="164" formatCode="#,##0.00\ &quot;€&quot;"/>
    </dxf>
    <dxf>
      <font>
        <b val="0"/>
        <i val="0"/>
        <strike val="0"/>
        <condense val="0"/>
        <extend val="0"/>
        <outline val="0"/>
        <shadow val="0"/>
        <u val="none"/>
        <vertAlign val="baseline"/>
        <sz val="11"/>
        <color theme="1"/>
        <name val="Calibri"/>
        <family val="2"/>
        <scheme val="minor"/>
      </font>
      <numFmt numFmtId="0" formatCode="General"/>
    </dxf>
    <dxf>
      <font>
        <b val="0"/>
        <i val="0"/>
        <strike val="0"/>
        <condense val="0"/>
        <extend val="0"/>
        <outline val="0"/>
        <shadow val="0"/>
        <u val="none"/>
        <vertAlign val="baseline"/>
        <sz val="11"/>
        <color theme="1"/>
        <name val="Calibri"/>
        <family val="2"/>
        <scheme val="minor"/>
      </font>
    </dxf>
    <dxf>
      <font>
        <b val="0"/>
        <i val="0"/>
        <strike val="0"/>
        <condense val="0"/>
        <extend val="0"/>
        <outline val="0"/>
        <shadow val="0"/>
        <u val="none"/>
        <vertAlign val="baseline"/>
        <sz val="11"/>
        <color theme="1"/>
        <name val="Calibri"/>
        <family val="2"/>
        <scheme val="minor"/>
      </font>
      <numFmt numFmtId="0" formatCode="General"/>
    </dxf>
    <dxf>
      <font>
        <b val="0"/>
        <i val="0"/>
        <strike val="0"/>
        <condense val="0"/>
        <extend val="0"/>
        <outline val="0"/>
        <shadow val="0"/>
        <u val="none"/>
        <vertAlign val="baseline"/>
        <sz val="11"/>
        <color theme="1"/>
        <name val="Calibri"/>
        <family val="2"/>
        <scheme val="minor"/>
      </font>
      <numFmt numFmtId="0" formatCode="General"/>
    </dxf>
    <dxf>
      <numFmt numFmtId="0" formatCode="General"/>
    </dxf>
    <dxf>
      <font>
        <b val="0"/>
        <i val="0"/>
        <strike val="0"/>
        <condense val="0"/>
        <extend val="0"/>
        <outline val="0"/>
        <shadow val="0"/>
        <u val="none"/>
        <vertAlign val="baseline"/>
        <sz val="11"/>
        <color theme="1"/>
        <name val="Calibri"/>
        <family val="2"/>
        <scheme val="minor"/>
      </font>
    </dxf>
    <dxf>
      <font>
        <b val="0"/>
        <i val="0"/>
        <strike val="0"/>
        <condense val="0"/>
        <extend val="0"/>
        <outline val="0"/>
        <shadow val="0"/>
        <u val="none"/>
        <vertAlign val="baseline"/>
        <sz val="11"/>
        <color theme="1"/>
        <name val="Calibri"/>
        <family val="2"/>
        <scheme val="minor"/>
      </font>
    </dxf>
    <dxf>
      <font>
        <b val="0"/>
        <i val="0"/>
        <strike val="0"/>
        <condense val="0"/>
        <extend val="0"/>
        <outline val="0"/>
        <shadow val="0"/>
        <u val="none"/>
        <vertAlign val="baseline"/>
        <sz val="11"/>
        <color theme="1"/>
        <name val="Calibri"/>
        <family val="2"/>
        <scheme val="minor"/>
      </font>
    </dxf>
    <dxf>
      <font>
        <b val="0"/>
        <i val="0"/>
        <strike val="0"/>
        <condense val="0"/>
        <extend val="0"/>
        <outline val="0"/>
        <shadow val="0"/>
        <u val="none"/>
        <vertAlign val="baseline"/>
        <sz val="11"/>
        <color theme="1"/>
        <name val="Calibri"/>
        <family val="2"/>
        <scheme val="minor"/>
      </font>
      <numFmt numFmtId="164" formatCode="#,##0.00\ &quot;€&quot;"/>
    </dxf>
    <dxf>
      <font>
        <b val="0"/>
        <i val="0"/>
        <strike val="0"/>
        <condense val="0"/>
        <extend val="0"/>
        <outline val="0"/>
        <shadow val="0"/>
        <u val="none"/>
        <vertAlign val="baseline"/>
        <sz val="11"/>
        <color theme="1"/>
        <name val="Calibri"/>
        <family val="2"/>
        <scheme val="minor"/>
      </font>
      <numFmt numFmtId="0" formatCode="General"/>
    </dxf>
    <dxf>
      <font>
        <b val="0"/>
        <i val="0"/>
        <strike val="0"/>
        <condense val="0"/>
        <extend val="0"/>
        <outline val="0"/>
        <shadow val="0"/>
        <u val="none"/>
        <vertAlign val="baseline"/>
        <sz val="11"/>
        <color theme="1"/>
        <name val="Calibri"/>
        <family val="2"/>
        <scheme val="minor"/>
      </font>
    </dxf>
    <dxf>
      <font>
        <b val="0"/>
        <i val="0"/>
        <strike val="0"/>
        <condense val="0"/>
        <extend val="0"/>
        <outline val="0"/>
        <shadow val="0"/>
        <u val="none"/>
        <vertAlign val="baseline"/>
        <sz val="11"/>
        <color theme="1"/>
        <name val="Calibri"/>
        <family val="2"/>
        <scheme val="minor"/>
      </font>
      <numFmt numFmtId="0" formatCode="General"/>
    </dxf>
    <dxf>
      <font>
        <b val="0"/>
        <i val="0"/>
        <strike val="0"/>
        <condense val="0"/>
        <extend val="0"/>
        <outline val="0"/>
        <shadow val="0"/>
        <u val="none"/>
        <vertAlign val="baseline"/>
        <sz val="11"/>
        <color theme="1"/>
        <name val="Calibri"/>
        <family val="2"/>
        <scheme val="minor"/>
      </font>
      <numFmt numFmtId="0" formatCode="General"/>
    </dxf>
    <dxf>
      <numFmt numFmtId="0" formatCode="General"/>
    </dxf>
    <dxf>
      <font>
        <b val="0"/>
        <i val="0"/>
        <strike val="0"/>
        <condense val="0"/>
        <extend val="0"/>
        <outline val="0"/>
        <shadow val="0"/>
        <u val="none"/>
        <vertAlign val="baseline"/>
        <sz val="11"/>
        <color theme="1"/>
        <name val="Calibri"/>
        <family val="2"/>
        <scheme val="minor"/>
      </font>
    </dxf>
    <dxf>
      <font>
        <b val="0"/>
        <i val="0"/>
        <strike val="0"/>
        <condense val="0"/>
        <extend val="0"/>
        <outline val="0"/>
        <shadow val="0"/>
        <u val="none"/>
        <vertAlign val="baseline"/>
        <sz val="11"/>
        <color theme="1"/>
        <name val="Calibri"/>
        <family val="2"/>
        <scheme val="minor"/>
      </font>
    </dxf>
    <dxf>
      <font>
        <b val="0"/>
        <i val="0"/>
        <strike val="0"/>
        <condense val="0"/>
        <extend val="0"/>
        <outline val="0"/>
        <shadow val="0"/>
        <u val="none"/>
        <vertAlign val="baseline"/>
        <sz val="11"/>
        <color theme="1"/>
        <name val="Calibri"/>
        <family val="2"/>
        <scheme val="minor"/>
      </font>
    </dxf>
    <dxf>
      <font>
        <b val="0"/>
        <i val="0"/>
        <strike val="0"/>
        <condense val="0"/>
        <extend val="0"/>
        <outline val="0"/>
        <shadow val="0"/>
        <u val="none"/>
        <vertAlign val="baseline"/>
        <sz val="11"/>
        <color theme="1"/>
        <name val="Calibri"/>
        <family val="2"/>
        <scheme val="minor"/>
      </font>
      <numFmt numFmtId="164" formatCode="#,##0.00\ &quot;€&quot;"/>
    </dxf>
    <dxf>
      <font>
        <b val="0"/>
        <i val="0"/>
        <strike val="0"/>
        <condense val="0"/>
        <extend val="0"/>
        <outline val="0"/>
        <shadow val="0"/>
        <u val="none"/>
        <vertAlign val="baseline"/>
        <sz val="11"/>
        <color theme="1"/>
        <name val="Calibri"/>
        <family val="2"/>
        <scheme val="minor"/>
      </font>
      <numFmt numFmtId="0" formatCode="General"/>
    </dxf>
    <dxf>
      <font>
        <b val="0"/>
        <i val="0"/>
        <strike val="0"/>
        <condense val="0"/>
        <extend val="0"/>
        <outline val="0"/>
        <shadow val="0"/>
        <u val="none"/>
        <vertAlign val="baseline"/>
        <sz val="11"/>
        <color theme="1"/>
        <name val="Calibri"/>
        <family val="2"/>
        <scheme val="minor"/>
      </font>
    </dxf>
    <dxf>
      <font>
        <b val="0"/>
        <i val="0"/>
        <strike val="0"/>
        <condense val="0"/>
        <extend val="0"/>
        <outline val="0"/>
        <shadow val="0"/>
        <u val="none"/>
        <vertAlign val="baseline"/>
        <sz val="11"/>
        <color theme="1"/>
        <name val="Calibri"/>
        <family val="2"/>
        <scheme val="minor"/>
      </font>
      <numFmt numFmtId="0" formatCode="General"/>
    </dxf>
    <dxf>
      <font>
        <b val="0"/>
        <i val="0"/>
        <strike val="0"/>
        <condense val="0"/>
        <extend val="0"/>
        <outline val="0"/>
        <shadow val="0"/>
        <u val="none"/>
        <vertAlign val="baseline"/>
        <sz val="11"/>
        <color theme="1"/>
        <name val="Calibri"/>
        <family val="2"/>
        <scheme val="minor"/>
      </font>
      <numFmt numFmtId="0" formatCode="General"/>
    </dxf>
    <dxf>
      <numFmt numFmtId="0" formatCode="General"/>
    </dxf>
    <dxf>
      <font>
        <b val="0"/>
        <i val="0"/>
        <strike val="0"/>
        <condense val="0"/>
        <extend val="0"/>
        <outline val="0"/>
        <shadow val="0"/>
        <u val="none"/>
        <vertAlign val="baseline"/>
        <sz val="11"/>
        <color theme="1"/>
        <name val="Calibri"/>
        <family val="2"/>
        <scheme val="minor"/>
      </font>
    </dxf>
    <dxf>
      <font>
        <b val="0"/>
        <i val="0"/>
        <strike val="0"/>
        <condense val="0"/>
        <extend val="0"/>
        <outline val="0"/>
        <shadow val="0"/>
        <u val="none"/>
        <vertAlign val="baseline"/>
        <sz val="11"/>
        <color theme="1"/>
        <name val="Calibri"/>
        <family val="2"/>
        <scheme val="minor"/>
      </font>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theme="9"/>
      </font>
      <fill>
        <patternFill>
          <bgColor theme="9"/>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theme="9"/>
      </font>
      <fill>
        <patternFill>
          <bgColor theme="9"/>
        </patternFill>
      </fill>
    </dxf>
    <dxf>
      <font>
        <color theme="9"/>
      </font>
      <fill>
        <patternFill>
          <bgColor theme="9"/>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b val="0"/>
        <i val="0"/>
        <strike val="0"/>
        <condense val="0"/>
        <extend val="0"/>
        <outline val="0"/>
        <shadow val="0"/>
        <u val="none"/>
        <vertAlign val="baseline"/>
        <sz val="11"/>
        <color theme="1"/>
        <name val="Calibri"/>
        <family val="2"/>
        <scheme val="minor"/>
      </font>
    </dxf>
    <dxf>
      <font>
        <b val="0"/>
        <i val="0"/>
        <strike val="0"/>
        <condense val="0"/>
        <extend val="0"/>
        <outline val="0"/>
        <shadow val="0"/>
        <u val="none"/>
        <vertAlign val="baseline"/>
        <sz val="11"/>
        <color theme="1"/>
        <name val="Calibri"/>
        <family val="2"/>
        <scheme val="minor"/>
      </font>
      <numFmt numFmtId="164" formatCode="#,##0.00\ &quot;€&quot;"/>
    </dxf>
    <dxf>
      <font>
        <b val="0"/>
        <i val="0"/>
        <strike val="0"/>
        <condense val="0"/>
        <extend val="0"/>
        <outline val="0"/>
        <shadow val="0"/>
        <u val="none"/>
        <vertAlign val="baseline"/>
        <sz val="11"/>
        <color theme="1"/>
        <name val="Calibri"/>
        <family val="2"/>
        <scheme val="minor"/>
      </font>
      <numFmt numFmtId="0" formatCode="General"/>
    </dxf>
    <dxf>
      <font>
        <b val="0"/>
        <i val="0"/>
        <strike val="0"/>
        <condense val="0"/>
        <extend val="0"/>
        <outline val="0"/>
        <shadow val="0"/>
        <u val="none"/>
        <vertAlign val="baseline"/>
        <sz val="11"/>
        <color theme="1"/>
        <name val="Calibri"/>
        <family val="2"/>
        <scheme val="minor"/>
      </font>
    </dxf>
    <dxf>
      <font>
        <b val="0"/>
        <i val="0"/>
        <strike val="0"/>
        <condense val="0"/>
        <extend val="0"/>
        <outline val="0"/>
        <shadow val="0"/>
        <u val="none"/>
        <vertAlign val="baseline"/>
        <sz val="11"/>
        <color theme="1"/>
        <name val="Calibri"/>
        <family val="2"/>
        <scheme val="minor"/>
      </font>
      <numFmt numFmtId="0" formatCode="General"/>
    </dxf>
    <dxf>
      <font>
        <b val="0"/>
        <i val="0"/>
        <strike val="0"/>
        <condense val="0"/>
        <extend val="0"/>
        <outline val="0"/>
        <shadow val="0"/>
        <u val="none"/>
        <vertAlign val="baseline"/>
        <sz val="11"/>
        <color theme="1"/>
        <name val="Calibri"/>
        <family val="2"/>
        <scheme val="minor"/>
      </font>
      <numFmt numFmtId="0" formatCode="General"/>
    </dxf>
    <dxf>
      <numFmt numFmtId="0" formatCode="General"/>
    </dxf>
    <dxf>
      <font>
        <b val="0"/>
        <i val="0"/>
        <strike val="0"/>
        <condense val="0"/>
        <extend val="0"/>
        <outline val="0"/>
        <shadow val="0"/>
        <u val="none"/>
        <vertAlign val="baseline"/>
        <sz val="11"/>
        <color theme="1"/>
        <name val="Calibri"/>
        <family val="2"/>
        <scheme val="minor"/>
      </font>
    </dxf>
    <dxf>
      <font>
        <b val="0"/>
        <i val="0"/>
        <strike val="0"/>
        <condense val="0"/>
        <extend val="0"/>
        <outline val="0"/>
        <shadow val="0"/>
        <u val="none"/>
        <vertAlign val="baseline"/>
        <sz val="11"/>
        <color theme="1"/>
        <name val="Calibri"/>
        <family val="2"/>
        <scheme val="minor"/>
      </font>
    </dxf>
    <dxf>
      <font>
        <b val="0"/>
        <i val="0"/>
        <strike val="0"/>
        <condense val="0"/>
        <extend val="0"/>
        <outline val="0"/>
        <shadow val="0"/>
        <u val="none"/>
        <vertAlign val="baseline"/>
        <sz val="11"/>
        <color theme="1"/>
        <name val="Calibri"/>
        <family val="2"/>
        <scheme val="minor"/>
      </font>
    </dxf>
    <dxf>
      <font>
        <b val="0"/>
        <i val="0"/>
        <strike val="0"/>
        <condense val="0"/>
        <extend val="0"/>
        <outline val="0"/>
        <shadow val="0"/>
        <u val="none"/>
        <vertAlign val="baseline"/>
        <sz val="11"/>
        <color theme="1"/>
        <name val="Calibri"/>
        <family val="2"/>
        <scheme val="minor"/>
      </font>
      <numFmt numFmtId="164" formatCode="#,##0.00\ &quot;€&quot;"/>
    </dxf>
    <dxf>
      <font>
        <b val="0"/>
        <i val="0"/>
        <strike val="0"/>
        <condense val="0"/>
        <extend val="0"/>
        <outline val="0"/>
        <shadow val="0"/>
        <u val="none"/>
        <vertAlign val="baseline"/>
        <sz val="11"/>
        <color theme="1"/>
        <name val="Calibri"/>
        <family val="2"/>
        <scheme val="minor"/>
      </font>
      <numFmt numFmtId="0" formatCode="General"/>
    </dxf>
    <dxf>
      <font>
        <b val="0"/>
        <i val="0"/>
        <strike val="0"/>
        <condense val="0"/>
        <extend val="0"/>
        <outline val="0"/>
        <shadow val="0"/>
        <u val="none"/>
        <vertAlign val="baseline"/>
        <sz val="11"/>
        <color theme="1"/>
        <name val="Calibri"/>
        <family val="2"/>
        <scheme val="minor"/>
      </font>
    </dxf>
    <dxf>
      <font>
        <b val="0"/>
        <i val="0"/>
        <strike val="0"/>
        <condense val="0"/>
        <extend val="0"/>
        <outline val="0"/>
        <shadow val="0"/>
        <u val="none"/>
        <vertAlign val="baseline"/>
        <sz val="11"/>
        <color theme="1"/>
        <name val="Calibri"/>
        <family val="2"/>
        <scheme val="minor"/>
      </font>
      <numFmt numFmtId="0" formatCode="General"/>
    </dxf>
    <dxf>
      <font>
        <b val="0"/>
        <i val="0"/>
        <strike val="0"/>
        <condense val="0"/>
        <extend val="0"/>
        <outline val="0"/>
        <shadow val="0"/>
        <u val="none"/>
        <vertAlign val="baseline"/>
        <sz val="11"/>
        <color theme="1"/>
        <name val="Calibri"/>
        <family val="2"/>
        <scheme val="minor"/>
      </font>
      <numFmt numFmtId="0" formatCode="General"/>
    </dxf>
    <dxf>
      <numFmt numFmtId="0" formatCode="General"/>
    </dxf>
    <dxf>
      <font>
        <b val="0"/>
        <i val="0"/>
        <strike val="0"/>
        <condense val="0"/>
        <extend val="0"/>
        <outline val="0"/>
        <shadow val="0"/>
        <u val="none"/>
        <vertAlign val="baseline"/>
        <sz val="11"/>
        <color theme="1"/>
        <name val="Calibri"/>
        <family val="2"/>
        <scheme val="minor"/>
      </font>
    </dxf>
    <dxf>
      <font>
        <b val="0"/>
        <i val="0"/>
        <strike val="0"/>
        <condense val="0"/>
        <extend val="0"/>
        <outline val="0"/>
        <shadow val="0"/>
        <u val="none"/>
        <vertAlign val="baseline"/>
        <sz val="11"/>
        <color theme="1"/>
        <name val="Calibri"/>
        <family val="2"/>
        <scheme val="minor"/>
      </font>
    </dxf>
    <dxf>
      <font>
        <b val="0"/>
        <i val="0"/>
        <strike val="0"/>
        <condense val="0"/>
        <extend val="0"/>
        <outline val="0"/>
        <shadow val="0"/>
        <u val="none"/>
        <vertAlign val="baseline"/>
        <sz val="11"/>
        <color theme="1"/>
        <name val="Calibri"/>
        <family val="2"/>
        <scheme val="minor"/>
      </font>
      <numFmt numFmtId="34" formatCode="_-* #,##0.00\ &quot;€&quot;_-;\-* #,##0.00\ &quot;€&quot;_-;_-* &quot;-&quot;??\ &quot;€&quot;_-;_-@_-"/>
    </dxf>
    <dxf>
      <font>
        <b val="0"/>
        <i val="0"/>
        <strike val="0"/>
        <condense val="0"/>
        <extend val="0"/>
        <outline val="0"/>
        <shadow val="0"/>
        <u val="none"/>
        <vertAlign val="baseline"/>
        <sz val="11"/>
        <color theme="1"/>
        <name val="Calibri"/>
        <family val="2"/>
        <scheme val="minor"/>
      </font>
      <numFmt numFmtId="164" formatCode="#,##0.00\ &quot;€&quot;"/>
    </dxf>
    <dxf>
      <font>
        <b val="0"/>
        <i val="0"/>
        <strike val="0"/>
        <condense val="0"/>
        <extend val="0"/>
        <outline val="0"/>
        <shadow val="0"/>
        <u val="none"/>
        <vertAlign val="baseline"/>
        <sz val="11"/>
        <color theme="1"/>
        <name val="Calibri"/>
        <family val="2"/>
        <scheme val="minor"/>
      </font>
      <numFmt numFmtId="0" formatCode="General"/>
    </dxf>
    <dxf>
      <font>
        <b val="0"/>
        <i val="0"/>
        <strike val="0"/>
        <condense val="0"/>
        <extend val="0"/>
        <outline val="0"/>
        <shadow val="0"/>
        <u val="none"/>
        <vertAlign val="baseline"/>
        <sz val="11"/>
        <color theme="1"/>
        <name val="Calibri"/>
        <family val="2"/>
        <scheme val="minor"/>
      </font>
    </dxf>
    <dxf>
      <font>
        <b val="0"/>
        <i val="0"/>
        <strike val="0"/>
        <condense val="0"/>
        <extend val="0"/>
        <outline val="0"/>
        <shadow val="0"/>
        <u val="none"/>
        <vertAlign val="baseline"/>
        <sz val="11"/>
        <color theme="1"/>
        <name val="Calibri"/>
        <family val="2"/>
        <scheme val="minor"/>
      </font>
      <numFmt numFmtId="0" formatCode="General"/>
    </dxf>
    <dxf>
      <font>
        <b val="0"/>
        <i val="0"/>
        <strike val="0"/>
        <condense val="0"/>
        <extend val="0"/>
        <outline val="0"/>
        <shadow val="0"/>
        <u val="none"/>
        <vertAlign val="baseline"/>
        <sz val="11"/>
        <color theme="1"/>
        <name val="Calibri"/>
        <family val="2"/>
        <scheme val="minor"/>
      </font>
      <numFmt numFmtId="0" formatCode="General"/>
    </dxf>
    <dxf>
      <numFmt numFmtId="0" formatCode="General"/>
    </dxf>
    <dxf>
      <font>
        <b val="0"/>
        <i val="0"/>
        <strike val="0"/>
        <condense val="0"/>
        <extend val="0"/>
        <outline val="0"/>
        <shadow val="0"/>
        <u val="none"/>
        <vertAlign val="baseline"/>
        <sz val="11"/>
        <color theme="1"/>
        <name val="Calibri"/>
        <family val="2"/>
        <scheme val="minor"/>
      </font>
    </dxf>
    <dxf>
      <font>
        <b val="0"/>
        <i val="0"/>
        <strike val="0"/>
        <condense val="0"/>
        <extend val="0"/>
        <outline val="0"/>
        <shadow val="0"/>
        <u val="none"/>
        <vertAlign val="baseline"/>
        <sz val="11"/>
        <color theme="1"/>
        <name val="Calibri"/>
        <family val="2"/>
        <scheme val="minor"/>
      </font>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theme="9"/>
      </font>
      <fill>
        <patternFill>
          <bgColor theme="9"/>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theme="9"/>
      </font>
      <fill>
        <patternFill>
          <bgColor theme="9"/>
        </patternFill>
      </fill>
    </dxf>
    <dxf>
      <font>
        <color theme="9"/>
      </font>
      <fill>
        <patternFill>
          <bgColor theme="9"/>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b val="0"/>
        <i val="0"/>
        <strike val="0"/>
        <condense val="0"/>
        <extend val="0"/>
        <outline val="0"/>
        <shadow val="0"/>
        <u val="none"/>
        <vertAlign val="baseline"/>
        <sz val="11"/>
        <color theme="1"/>
        <name val="Calibri"/>
        <family val="2"/>
        <scheme val="minor"/>
      </font>
    </dxf>
    <dxf>
      <font>
        <b val="0"/>
        <i val="0"/>
        <strike val="0"/>
        <condense val="0"/>
        <extend val="0"/>
        <outline val="0"/>
        <shadow val="0"/>
        <u val="none"/>
        <vertAlign val="baseline"/>
        <sz val="11"/>
        <color theme="1"/>
        <name val="Calibri"/>
        <family val="2"/>
        <scheme val="minor"/>
      </font>
      <numFmt numFmtId="164" formatCode="#,##0.00\ &quot;€&quot;"/>
    </dxf>
    <dxf>
      <font>
        <b val="0"/>
        <i val="0"/>
        <strike val="0"/>
        <condense val="0"/>
        <extend val="0"/>
        <outline val="0"/>
        <shadow val="0"/>
        <u val="none"/>
        <vertAlign val="baseline"/>
        <sz val="11"/>
        <color theme="1"/>
        <name val="Calibri"/>
        <family val="2"/>
        <scheme val="minor"/>
      </font>
      <numFmt numFmtId="0" formatCode="General"/>
    </dxf>
    <dxf>
      <font>
        <b val="0"/>
        <i val="0"/>
        <strike val="0"/>
        <condense val="0"/>
        <extend val="0"/>
        <outline val="0"/>
        <shadow val="0"/>
        <u val="none"/>
        <vertAlign val="baseline"/>
        <sz val="11"/>
        <color theme="1"/>
        <name val="Calibri"/>
        <family val="2"/>
        <scheme val="minor"/>
      </font>
    </dxf>
    <dxf>
      <font>
        <b val="0"/>
        <i val="0"/>
        <strike val="0"/>
        <condense val="0"/>
        <extend val="0"/>
        <outline val="0"/>
        <shadow val="0"/>
        <u val="none"/>
        <vertAlign val="baseline"/>
        <sz val="11"/>
        <color theme="1"/>
        <name val="Calibri"/>
        <family val="2"/>
        <scheme val="minor"/>
      </font>
      <numFmt numFmtId="0" formatCode="General"/>
    </dxf>
    <dxf>
      <font>
        <b val="0"/>
        <i val="0"/>
        <strike val="0"/>
        <condense val="0"/>
        <extend val="0"/>
        <outline val="0"/>
        <shadow val="0"/>
        <u val="none"/>
        <vertAlign val="baseline"/>
        <sz val="11"/>
        <color theme="1"/>
        <name val="Calibri"/>
        <family val="2"/>
        <scheme val="minor"/>
      </font>
      <numFmt numFmtId="0" formatCode="General"/>
    </dxf>
    <dxf>
      <numFmt numFmtId="0" formatCode="General"/>
    </dxf>
    <dxf>
      <font>
        <b val="0"/>
        <i val="0"/>
        <strike val="0"/>
        <condense val="0"/>
        <extend val="0"/>
        <outline val="0"/>
        <shadow val="0"/>
        <u val="none"/>
        <vertAlign val="baseline"/>
        <sz val="11"/>
        <color theme="1"/>
        <name val="Calibri"/>
        <family val="2"/>
        <scheme val="minor"/>
      </font>
    </dxf>
    <dxf>
      <font>
        <b val="0"/>
        <i val="0"/>
        <strike val="0"/>
        <condense val="0"/>
        <extend val="0"/>
        <outline val="0"/>
        <shadow val="0"/>
        <u val="none"/>
        <vertAlign val="baseline"/>
        <sz val="11"/>
        <color theme="1"/>
        <name val="Calibri"/>
        <family val="2"/>
        <scheme val="minor"/>
      </font>
    </dxf>
    <dxf>
      <font>
        <b val="0"/>
        <i val="0"/>
        <strike val="0"/>
        <condense val="0"/>
        <extend val="0"/>
        <outline val="0"/>
        <shadow val="0"/>
        <u val="none"/>
        <vertAlign val="baseline"/>
        <sz val="11"/>
        <color theme="1"/>
        <name val="Calibri"/>
        <family val="2"/>
        <scheme val="minor"/>
      </font>
    </dxf>
    <dxf>
      <font>
        <b val="0"/>
        <i val="0"/>
        <strike val="0"/>
        <condense val="0"/>
        <extend val="0"/>
        <outline val="0"/>
        <shadow val="0"/>
        <u val="none"/>
        <vertAlign val="baseline"/>
        <sz val="11"/>
        <color theme="1"/>
        <name val="Calibri"/>
        <family val="2"/>
        <scheme val="minor"/>
      </font>
      <numFmt numFmtId="164" formatCode="#,##0.00\ &quot;€&quot;"/>
    </dxf>
    <dxf>
      <font>
        <b val="0"/>
        <i val="0"/>
        <strike val="0"/>
        <condense val="0"/>
        <extend val="0"/>
        <outline val="0"/>
        <shadow val="0"/>
        <u val="none"/>
        <vertAlign val="baseline"/>
        <sz val="11"/>
        <color theme="1"/>
        <name val="Calibri"/>
        <family val="2"/>
        <scheme val="minor"/>
      </font>
      <numFmt numFmtId="0" formatCode="General"/>
    </dxf>
    <dxf>
      <font>
        <b val="0"/>
        <i val="0"/>
        <strike val="0"/>
        <condense val="0"/>
        <extend val="0"/>
        <outline val="0"/>
        <shadow val="0"/>
        <u val="none"/>
        <vertAlign val="baseline"/>
        <sz val="11"/>
        <color theme="1"/>
        <name val="Calibri"/>
        <family val="2"/>
        <scheme val="minor"/>
      </font>
    </dxf>
    <dxf>
      <font>
        <b val="0"/>
        <i val="0"/>
        <strike val="0"/>
        <condense val="0"/>
        <extend val="0"/>
        <outline val="0"/>
        <shadow val="0"/>
        <u val="none"/>
        <vertAlign val="baseline"/>
        <sz val="11"/>
        <color theme="1"/>
        <name val="Calibri"/>
        <family val="2"/>
        <scheme val="minor"/>
      </font>
      <numFmt numFmtId="0" formatCode="General"/>
    </dxf>
    <dxf>
      <font>
        <b val="0"/>
        <i val="0"/>
        <strike val="0"/>
        <condense val="0"/>
        <extend val="0"/>
        <outline val="0"/>
        <shadow val="0"/>
        <u val="none"/>
        <vertAlign val="baseline"/>
        <sz val="11"/>
        <color theme="1"/>
        <name val="Calibri"/>
        <family val="2"/>
        <scheme val="minor"/>
      </font>
      <numFmt numFmtId="0" formatCode="General"/>
    </dxf>
    <dxf>
      <numFmt numFmtId="0" formatCode="General"/>
    </dxf>
    <dxf>
      <font>
        <b val="0"/>
        <i val="0"/>
        <strike val="0"/>
        <condense val="0"/>
        <extend val="0"/>
        <outline val="0"/>
        <shadow val="0"/>
        <u val="none"/>
        <vertAlign val="baseline"/>
        <sz val="11"/>
        <color theme="1"/>
        <name val="Calibri"/>
        <family val="2"/>
        <scheme val="minor"/>
      </font>
    </dxf>
    <dxf>
      <font>
        <b val="0"/>
        <i val="0"/>
        <strike val="0"/>
        <condense val="0"/>
        <extend val="0"/>
        <outline val="0"/>
        <shadow val="0"/>
        <u val="none"/>
        <vertAlign val="baseline"/>
        <sz val="11"/>
        <color theme="1"/>
        <name val="Calibri"/>
        <family val="2"/>
        <scheme val="minor"/>
      </font>
    </dxf>
    <dxf>
      <font>
        <b val="0"/>
        <i val="0"/>
        <strike val="0"/>
        <condense val="0"/>
        <extend val="0"/>
        <outline val="0"/>
        <shadow val="0"/>
        <u val="none"/>
        <vertAlign val="baseline"/>
        <sz val="11"/>
        <color theme="1"/>
        <name val="Calibri"/>
        <family val="2"/>
        <scheme val="minor"/>
      </font>
    </dxf>
    <dxf>
      <font>
        <b val="0"/>
        <i val="0"/>
        <strike val="0"/>
        <condense val="0"/>
        <extend val="0"/>
        <outline val="0"/>
        <shadow val="0"/>
        <u val="none"/>
        <vertAlign val="baseline"/>
        <sz val="11"/>
        <color theme="1"/>
        <name val="Calibri"/>
        <family val="2"/>
        <scheme val="minor"/>
      </font>
      <numFmt numFmtId="164" formatCode="#,##0.00\ &quot;€&quot;"/>
    </dxf>
    <dxf>
      <font>
        <b val="0"/>
        <i val="0"/>
        <strike val="0"/>
        <condense val="0"/>
        <extend val="0"/>
        <outline val="0"/>
        <shadow val="0"/>
        <u val="none"/>
        <vertAlign val="baseline"/>
        <sz val="11"/>
        <color theme="1"/>
        <name val="Calibri"/>
        <family val="2"/>
        <scheme val="minor"/>
      </font>
      <numFmt numFmtId="0" formatCode="General"/>
    </dxf>
    <dxf>
      <font>
        <b val="0"/>
        <i val="0"/>
        <strike val="0"/>
        <condense val="0"/>
        <extend val="0"/>
        <outline val="0"/>
        <shadow val="0"/>
        <u val="none"/>
        <vertAlign val="baseline"/>
        <sz val="11"/>
        <color theme="1"/>
        <name val="Calibri"/>
        <family val="2"/>
        <scheme val="minor"/>
      </font>
    </dxf>
    <dxf>
      <font>
        <b val="0"/>
        <i val="0"/>
        <strike val="0"/>
        <condense val="0"/>
        <extend val="0"/>
        <outline val="0"/>
        <shadow val="0"/>
        <u val="none"/>
        <vertAlign val="baseline"/>
        <sz val="11"/>
        <color theme="1"/>
        <name val="Calibri"/>
        <family val="2"/>
        <scheme val="minor"/>
      </font>
      <numFmt numFmtId="0" formatCode="General"/>
    </dxf>
    <dxf>
      <font>
        <b val="0"/>
        <i val="0"/>
        <strike val="0"/>
        <condense val="0"/>
        <extend val="0"/>
        <outline val="0"/>
        <shadow val="0"/>
        <u val="none"/>
        <vertAlign val="baseline"/>
        <sz val="11"/>
        <color theme="1"/>
        <name val="Calibri"/>
        <family val="2"/>
        <scheme val="minor"/>
      </font>
      <numFmt numFmtId="0" formatCode="General"/>
    </dxf>
    <dxf>
      <numFmt numFmtId="0" formatCode="General"/>
    </dxf>
    <dxf>
      <font>
        <b val="0"/>
        <i val="0"/>
        <strike val="0"/>
        <condense val="0"/>
        <extend val="0"/>
        <outline val="0"/>
        <shadow val="0"/>
        <u val="none"/>
        <vertAlign val="baseline"/>
        <sz val="11"/>
        <color theme="1"/>
        <name val="Calibri"/>
        <family val="2"/>
        <scheme val="minor"/>
      </font>
    </dxf>
    <dxf>
      <font>
        <b val="0"/>
        <i val="0"/>
        <strike val="0"/>
        <condense val="0"/>
        <extend val="0"/>
        <outline val="0"/>
        <shadow val="0"/>
        <u val="none"/>
        <vertAlign val="baseline"/>
        <sz val="11"/>
        <color theme="1"/>
        <name val="Calibri"/>
        <family val="2"/>
        <scheme val="minor"/>
      </font>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theme="9"/>
      </font>
      <fill>
        <patternFill>
          <bgColor theme="9"/>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theme="9"/>
      </font>
      <fill>
        <patternFill>
          <bgColor theme="9"/>
        </patternFill>
      </fill>
    </dxf>
    <dxf>
      <font>
        <color theme="9"/>
      </font>
      <fill>
        <patternFill>
          <bgColor theme="9"/>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b val="0"/>
        <i val="0"/>
        <strike val="0"/>
        <condense val="0"/>
        <extend val="0"/>
        <outline val="0"/>
        <shadow val="0"/>
        <u val="none"/>
        <vertAlign val="baseline"/>
        <sz val="11"/>
        <color theme="1"/>
        <name val="Calibri"/>
        <family val="2"/>
        <scheme val="minor"/>
      </font>
    </dxf>
    <dxf>
      <font>
        <b val="0"/>
        <i val="0"/>
        <strike val="0"/>
        <condense val="0"/>
        <extend val="0"/>
        <outline val="0"/>
        <shadow val="0"/>
        <u val="none"/>
        <vertAlign val="baseline"/>
        <sz val="11"/>
        <color theme="1"/>
        <name val="Calibri"/>
        <family val="2"/>
        <scheme val="minor"/>
      </font>
      <numFmt numFmtId="164" formatCode="#,##0.00\ &quot;€&quot;"/>
    </dxf>
    <dxf>
      <font>
        <b val="0"/>
        <i val="0"/>
        <strike val="0"/>
        <condense val="0"/>
        <extend val="0"/>
        <outline val="0"/>
        <shadow val="0"/>
        <u val="none"/>
        <vertAlign val="baseline"/>
        <sz val="11"/>
        <color theme="1"/>
        <name val="Calibri"/>
        <family val="2"/>
        <scheme val="minor"/>
      </font>
      <numFmt numFmtId="0" formatCode="General"/>
    </dxf>
    <dxf>
      <font>
        <b val="0"/>
        <i val="0"/>
        <strike val="0"/>
        <condense val="0"/>
        <extend val="0"/>
        <outline val="0"/>
        <shadow val="0"/>
        <u val="none"/>
        <vertAlign val="baseline"/>
        <sz val="11"/>
        <color theme="1"/>
        <name val="Calibri"/>
        <family val="2"/>
        <scheme val="minor"/>
      </font>
    </dxf>
    <dxf>
      <font>
        <b val="0"/>
        <i val="0"/>
        <strike val="0"/>
        <condense val="0"/>
        <extend val="0"/>
        <outline val="0"/>
        <shadow val="0"/>
        <u val="none"/>
        <vertAlign val="baseline"/>
        <sz val="11"/>
        <color theme="1"/>
        <name val="Calibri"/>
        <family val="2"/>
        <scheme val="minor"/>
      </font>
      <numFmt numFmtId="0" formatCode="General"/>
    </dxf>
    <dxf>
      <font>
        <b val="0"/>
        <i val="0"/>
        <strike val="0"/>
        <condense val="0"/>
        <extend val="0"/>
        <outline val="0"/>
        <shadow val="0"/>
        <u val="none"/>
        <vertAlign val="baseline"/>
        <sz val="11"/>
        <color theme="1"/>
        <name val="Calibri"/>
        <family val="2"/>
        <scheme val="minor"/>
      </font>
      <numFmt numFmtId="0" formatCode="General"/>
    </dxf>
    <dxf>
      <numFmt numFmtId="0" formatCode="General"/>
    </dxf>
    <dxf>
      <font>
        <b val="0"/>
        <i val="0"/>
        <strike val="0"/>
        <condense val="0"/>
        <extend val="0"/>
        <outline val="0"/>
        <shadow val="0"/>
        <u val="none"/>
        <vertAlign val="baseline"/>
        <sz val="11"/>
        <color theme="1"/>
        <name val="Calibri"/>
        <family val="2"/>
        <scheme val="minor"/>
      </font>
    </dxf>
    <dxf>
      <font>
        <b val="0"/>
        <i val="0"/>
        <strike val="0"/>
        <condense val="0"/>
        <extend val="0"/>
        <outline val="0"/>
        <shadow val="0"/>
        <u val="none"/>
        <vertAlign val="baseline"/>
        <sz val="11"/>
        <color theme="1"/>
        <name val="Calibri"/>
        <family val="2"/>
        <scheme val="minor"/>
      </font>
    </dxf>
    <dxf>
      <font>
        <b val="0"/>
        <i val="0"/>
        <strike val="0"/>
        <condense val="0"/>
        <extend val="0"/>
        <outline val="0"/>
        <shadow val="0"/>
        <u val="none"/>
        <vertAlign val="baseline"/>
        <sz val="11"/>
        <color theme="1"/>
        <name val="Calibri"/>
        <family val="2"/>
        <scheme val="minor"/>
      </font>
    </dxf>
    <dxf>
      <font>
        <b val="0"/>
        <i val="0"/>
        <strike val="0"/>
        <condense val="0"/>
        <extend val="0"/>
        <outline val="0"/>
        <shadow val="0"/>
        <u val="none"/>
        <vertAlign val="baseline"/>
        <sz val="11"/>
        <color theme="1"/>
        <name val="Calibri"/>
        <family val="2"/>
        <scheme val="minor"/>
      </font>
      <numFmt numFmtId="164" formatCode="#,##0.00\ &quot;€&quot;"/>
    </dxf>
    <dxf>
      <font>
        <b val="0"/>
        <i val="0"/>
        <strike val="0"/>
        <condense val="0"/>
        <extend val="0"/>
        <outline val="0"/>
        <shadow val="0"/>
        <u val="none"/>
        <vertAlign val="baseline"/>
        <sz val="11"/>
        <color theme="1"/>
        <name val="Calibri"/>
        <family val="2"/>
        <scheme val="minor"/>
      </font>
      <numFmt numFmtId="0" formatCode="General"/>
    </dxf>
    <dxf>
      <font>
        <b val="0"/>
        <i val="0"/>
        <strike val="0"/>
        <condense val="0"/>
        <extend val="0"/>
        <outline val="0"/>
        <shadow val="0"/>
        <u val="none"/>
        <vertAlign val="baseline"/>
        <sz val="11"/>
        <color theme="1"/>
        <name val="Calibri"/>
        <family val="2"/>
        <scheme val="minor"/>
      </font>
    </dxf>
    <dxf>
      <font>
        <b val="0"/>
        <i val="0"/>
        <strike val="0"/>
        <condense val="0"/>
        <extend val="0"/>
        <outline val="0"/>
        <shadow val="0"/>
        <u val="none"/>
        <vertAlign val="baseline"/>
        <sz val="11"/>
        <color theme="1"/>
        <name val="Calibri"/>
        <family val="2"/>
        <scheme val="minor"/>
      </font>
      <numFmt numFmtId="0" formatCode="General"/>
    </dxf>
    <dxf>
      <font>
        <b val="0"/>
        <i val="0"/>
        <strike val="0"/>
        <condense val="0"/>
        <extend val="0"/>
        <outline val="0"/>
        <shadow val="0"/>
        <u val="none"/>
        <vertAlign val="baseline"/>
        <sz val="11"/>
        <color theme="1"/>
        <name val="Calibri"/>
        <family val="2"/>
        <scheme val="minor"/>
      </font>
      <numFmt numFmtId="0" formatCode="General"/>
    </dxf>
    <dxf>
      <numFmt numFmtId="0" formatCode="General"/>
    </dxf>
    <dxf>
      <font>
        <b val="0"/>
        <i val="0"/>
        <strike val="0"/>
        <condense val="0"/>
        <extend val="0"/>
        <outline val="0"/>
        <shadow val="0"/>
        <u val="none"/>
        <vertAlign val="baseline"/>
        <sz val="11"/>
        <color theme="1"/>
        <name val="Calibri"/>
        <family val="2"/>
        <scheme val="minor"/>
      </font>
    </dxf>
    <dxf>
      <font>
        <b val="0"/>
        <i val="0"/>
        <strike val="0"/>
        <condense val="0"/>
        <extend val="0"/>
        <outline val="0"/>
        <shadow val="0"/>
        <u val="none"/>
        <vertAlign val="baseline"/>
        <sz val="11"/>
        <color theme="1"/>
        <name val="Calibri"/>
        <family val="2"/>
        <scheme val="minor"/>
      </font>
    </dxf>
    <dxf>
      <font>
        <b val="0"/>
        <i val="0"/>
        <strike val="0"/>
        <condense val="0"/>
        <extend val="0"/>
        <outline val="0"/>
        <shadow val="0"/>
        <u val="none"/>
        <vertAlign val="baseline"/>
        <sz val="11"/>
        <color theme="1"/>
        <name val="Calibri"/>
        <family val="2"/>
        <scheme val="minor"/>
      </font>
      <numFmt numFmtId="34" formatCode="_-* #,##0.00\ &quot;€&quot;_-;\-* #,##0.00\ &quot;€&quot;_-;_-* &quot;-&quot;??\ &quot;€&quot;_-;_-@_-"/>
    </dxf>
    <dxf>
      <font>
        <b val="0"/>
        <i val="0"/>
        <strike val="0"/>
        <condense val="0"/>
        <extend val="0"/>
        <outline val="0"/>
        <shadow val="0"/>
        <u val="none"/>
        <vertAlign val="baseline"/>
        <sz val="11"/>
        <color theme="1"/>
        <name val="Calibri"/>
        <family val="2"/>
        <scheme val="minor"/>
      </font>
      <numFmt numFmtId="164" formatCode="#,##0.00\ &quot;€&quot;"/>
    </dxf>
    <dxf>
      <font>
        <b val="0"/>
        <i val="0"/>
        <strike val="0"/>
        <condense val="0"/>
        <extend val="0"/>
        <outline val="0"/>
        <shadow val="0"/>
        <u val="none"/>
        <vertAlign val="baseline"/>
        <sz val="11"/>
        <color theme="1"/>
        <name val="Calibri"/>
        <family val="2"/>
        <scheme val="minor"/>
      </font>
      <numFmt numFmtId="0" formatCode="General"/>
    </dxf>
    <dxf>
      <font>
        <b val="0"/>
        <i val="0"/>
        <strike val="0"/>
        <condense val="0"/>
        <extend val="0"/>
        <outline val="0"/>
        <shadow val="0"/>
        <u val="none"/>
        <vertAlign val="baseline"/>
        <sz val="11"/>
        <color theme="1"/>
        <name val="Calibri"/>
        <family val="2"/>
        <scheme val="minor"/>
      </font>
    </dxf>
    <dxf>
      <font>
        <b val="0"/>
        <i val="0"/>
        <strike val="0"/>
        <condense val="0"/>
        <extend val="0"/>
        <outline val="0"/>
        <shadow val="0"/>
        <u val="none"/>
        <vertAlign val="baseline"/>
        <sz val="11"/>
        <color theme="1"/>
        <name val="Calibri"/>
        <family val="2"/>
        <scheme val="minor"/>
      </font>
      <numFmt numFmtId="0" formatCode="General"/>
    </dxf>
    <dxf>
      <font>
        <b val="0"/>
        <i val="0"/>
        <strike val="0"/>
        <condense val="0"/>
        <extend val="0"/>
        <outline val="0"/>
        <shadow val="0"/>
        <u val="none"/>
        <vertAlign val="baseline"/>
        <sz val="11"/>
        <color theme="1"/>
        <name val="Calibri"/>
        <family val="2"/>
        <scheme val="minor"/>
      </font>
      <numFmt numFmtId="0" formatCode="General"/>
    </dxf>
    <dxf>
      <numFmt numFmtId="0" formatCode="General"/>
    </dxf>
    <dxf>
      <font>
        <b val="0"/>
        <i val="0"/>
        <strike val="0"/>
        <condense val="0"/>
        <extend val="0"/>
        <outline val="0"/>
        <shadow val="0"/>
        <u val="none"/>
        <vertAlign val="baseline"/>
        <sz val="11"/>
        <color theme="1"/>
        <name val="Calibri"/>
        <family val="2"/>
        <scheme val="minor"/>
      </font>
    </dxf>
    <dxf>
      <font>
        <b val="0"/>
        <i val="0"/>
        <strike val="0"/>
        <condense val="0"/>
        <extend val="0"/>
        <outline val="0"/>
        <shadow val="0"/>
        <u val="none"/>
        <vertAlign val="baseline"/>
        <sz val="11"/>
        <color theme="1"/>
        <name val="Calibri"/>
        <family val="2"/>
        <scheme val="minor"/>
      </font>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theme="9"/>
      </font>
      <fill>
        <patternFill>
          <bgColor theme="9"/>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theme="9"/>
      </font>
      <fill>
        <patternFill>
          <bgColor theme="9"/>
        </patternFill>
      </fill>
    </dxf>
    <dxf>
      <font>
        <color theme="9"/>
      </font>
      <fill>
        <patternFill>
          <bgColor theme="9"/>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b val="0"/>
        <i val="0"/>
        <strike val="0"/>
        <condense val="0"/>
        <extend val="0"/>
        <outline val="0"/>
        <shadow val="0"/>
        <u val="none"/>
        <vertAlign val="baseline"/>
        <sz val="11"/>
        <color theme="1"/>
        <name val="Calibri"/>
        <family val="2"/>
        <scheme val="minor"/>
      </font>
    </dxf>
    <dxf>
      <font>
        <b val="0"/>
        <i val="0"/>
        <strike val="0"/>
        <condense val="0"/>
        <extend val="0"/>
        <outline val="0"/>
        <shadow val="0"/>
        <u val="none"/>
        <vertAlign val="baseline"/>
        <sz val="11"/>
        <color theme="1"/>
        <name val="Calibri"/>
        <family val="2"/>
        <scheme val="minor"/>
      </font>
      <numFmt numFmtId="164" formatCode="#,##0.00\ &quot;€&quot;"/>
    </dxf>
    <dxf>
      <font>
        <b val="0"/>
        <i val="0"/>
        <strike val="0"/>
        <condense val="0"/>
        <extend val="0"/>
        <outline val="0"/>
        <shadow val="0"/>
        <u val="none"/>
        <vertAlign val="baseline"/>
        <sz val="11"/>
        <color theme="1"/>
        <name val="Calibri"/>
        <family val="2"/>
        <scheme val="minor"/>
      </font>
      <numFmt numFmtId="0" formatCode="General"/>
    </dxf>
    <dxf>
      <font>
        <b val="0"/>
        <i val="0"/>
        <strike val="0"/>
        <condense val="0"/>
        <extend val="0"/>
        <outline val="0"/>
        <shadow val="0"/>
        <u val="none"/>
        <vertAlign val="baseline"/>
        <sz val="11"/>
        <color theme="1"/>
        <name val="Calibri"/>
        <family val="2"/>
        <scheme val="minor"/>
      </font>
    </dxf>
    <dxf>
      <font>
        <b val="0"/>
        <i val="0"/>
        <strike val="0"/>
        <condense val="0"/>
        <extend val="0"/>
        <outline val="0"/>
        <shadow val="0"/>
        <u val="none"/>
        <vertAlign val="baseline"/>
        <sz val="11"/>
        <color theme="1"/>
        <name val="Calibri"/>
        <family val="2"/>
        <scheme val="minor"/>
      </font>
      <numFmt numFmtId="0" formatCode="General"/>
    </dxf>
    <dxf>
      <font>
        <b val="0"/>
        <i val="0"/>
        <strike val="0"/>
        <condense val="0"/>
        <extend val="0"/>
        <outline val="0"/>
        <shadow val="0"/>
        <u val="none"/>
        <vertAlign val="baseline"/>
        <sz val="11"/>
        <color theme="1"/>
        <name val="Calibri"/>
        <family val="2"/>
        <scheme val="minor"/>
      </font>
      <numFmt numFmtId="0" formatCode="General"/>
    </dxf>
    <dxf>
      <numFmt numFmtId="0" formatCode="General"/>
    </dxf>
    <dxf>
      <font>
        <b val="0"/>
        <i val="0"/>
        <strike val="0"/>
        <condense val="0"/>
        <extend val="0"/>
        <outline val="0"/>
        <shadow val="0"/>
        <u val="none"/>
        <vertAlign val="baseline"/>
        <sz val="11"/>
        <color theme="1"/>
        <name val="Calibri"/>
        <family val="2"/>
        <scheme val="minor"/>
      </font>
    </dxf>
    <dxf>
      <font>
        <b val="0"/>
        <i val="0"/>
        <strike val="0"/>
        <condense val="0"/>
        <extend val="0"/>
        <outline val="0"/>
        <shadow val="0"/>
        <u val="none"/>
        <vertAlign val="baseline"/>
        <sz val="11"/>
        <color theme="1"/>
        <name val="Calibri"/>
        <family val="2"/>
        <scheme val="minor"/>
      </font>
    </dxf>
    <dxf>
      <font>
        <b val="0"/>
        <i val="0"/>
        <strike val="0"/>
        <condense val="0"/>
        <extend val="0"/>
        <outline val="0"/>
        <shadow val="0"/>
        <u val="none"/>
        <vertAlign val="baseline"/>
        <sz val="11"/>
        <color theme="1"/>
        <name val="Calibri"/>
        <family val="2"/>
        <scheme val="minor"/>
      </font>
    </dxf>
    <dxf>
      <font>
        <b val="0"/>
        <i val="0"/>
        <strike val="0"/>
        <condense val="0"/>
        <extend val="0"/>
        <outline val="0"/>
        <shadow val="0"/>
        <u val="none"/>
        <vertAlign val="baseline"/>
        <sz val="11"/>
        <color theme="1"/>
        <name val="Calibri"/>
        <family val="2"/>
        <scheme val="minor"/>
      </font>
      <numFmt numFmtId="164" formatCode="#,##0.00\ &quot;€&quot;"/>
    </dxf>
    <dxf>
      <font>
        <b val="0"/>
        <i val="0"/>
        <strike val="0"/>
        <condense val="0"/>
        <extend val="0"/>
        <outline val="0"/>
        <shadow val="0"/>
        <u val="none"/>
        <vertAlign val="baseline"/>
        <sz val="11"/>
        <color theme="1"/>
        <name val="Calibri"/>
        <family val="2"/>
        <scheme val="minor"/>
      </font>
      <numFmt numFmtId="0" formatCode="General"/>
    </dxf>
    <dxf>
      <font>
        <b val="0"/>
        <i val="0"/>
        <strike val="0"/>
        <condense val="0"/>
        <extend val="0"/>
        <outline val="0"/>
        <shadow val="0"/>
        <u val="none"/>
        <vertAlign val="baseline"/>
        <sz val="11"/>
        <color theme="1"/>
        <name val="Calibri"/>
        <family val="2"/>
        <scheme val="minor"/>
      </font>
    </dxf>
    <dxf>
      <font>
        <b val="0"/>
        <i val="0"/>
        <strike val="0"/>
        <condense val="0"/>
        <extend val="0"/>
        <outline val="0"/>
        <shadow val="0"/>
        <u val="none"/>
        <vertAlign val="baseline"/>
        <sz val="11"/>
        <color theme="1"/>
        <name val="Calibri"/>
        <family val="2"/>
        <scheme val="minor"/>
      </font>
      <numFmt numFmtId="0" formatCode="General"/>
    </dxf>
    <dxf>
      <font>
        <b val="0"/>
        <i val="0"/>
        <strike val="0"/>
        <condense val="0"/>
        <extend val="0"/>
        <outline val="0"/>
        <shadow val="0"/>
        <u val="none"/>
        <vertAlign val="baseline"/>
        <sz val="11"/>
        <color theme="1"/>
        <name val="Calibri"/>
        <family val="2"/>
        <scheme val="minor"/>
      </font>
      <numFmt numFmtId="0" formatCode="General"/>
    </dxf>
    <dxf>
      <numFmt numFmtId="0" formatCode="General"/>
    </dxf>
    <dxf>
      <font>
        <b val="0"/>
        <i val="0"/>
        <strike val="0"/>
        <condense val="0"/>
        <extend val="0"/>
        <outline val="0"/>
        <shadow val="0"/>
        <u val="none"/>
        <vertAlign val="baseline"/>
        <sz val="11"/>
        <color theme="1"/>
        <name val="Calibri"/>
        <family val="2"/>
        <scheme val="minor"/>
      </font>
    </dxf>
    <dxf>
      <font>
        <b val="0"/>
        <i val="0"/>
        <strike val="0"/>
        <condense val="0"/>
        <extend val="0"/>
        <outline val="0"/>
        <shadow val="0"/>
        <u val="none"/>
        <vertAlign val="baseline"/>
        <sz val="11"/>
        <color theme="1"/>
        <name val="Calibri"/>
        <family val="2"/>
        <scheme val="minor"/>
      </font>
    </dxf>
    <dxf>
      <font>
        <b val="0"/>
        <i val="0"/>
        <strike val="0"/>
        <condense val="0"/>
        <extend val="0"/>
        <outline val="0"/>
        <shadow val="0"/>
        <u val="none"/>
        <vertAlign val="baseline"/>
        <sz val="11"/>
        <color theme="1"/>
        <name val="Calibri"/>
        <family val="2"/>
        <scheme val="minor"/>
      </font>
    </dxf>
    <dxf>
      <font>
        <b val="0"/>
        <i val="0"/>
        <strike val="0"/>
        <condense val="0"/>
        <extend val="0"/>
        <outline val="0"/>
        <shadow val="0"/>
        <u val="none"/>
        <vertAlign val="baseline"/>
        <sz val="11"/>
        <color theme="1"/>
        <name val="Calibri"/>
        <family val="2"/>
        <scheme val="minor"/>
      </font>
      <numFmt numFmtId="164" formatCode="#,##0.00\ &quot;€&quot;"/>
    </dxf>
    <dxf>
      <font>
        <b val="0"/>
        <i val="0"/>
        <strike val="0"/>
        <condense val="0"/>
        <extend val="0"/>
        <outline val="0"/>
        <shadow val="0"/>
        <u val="none"/>
        <vertAlign val="baseline"/>
        <sz val="11"/>
        <color theme="1"/>
        <name val="Calibri"/>
        <family val="2"/>
        <scheme val="minor"/>
      </font>
      <numFmt numFmtId="0" formatCode="General"/>
    </dxf>
    <dxf>
      <font>
        <b val="0"/>
        <i val="0"/>
        <strike val="0"/>
        <condense val="0"/>
        <extend val="0"/>
        <outline val="0"/>
        <shadow val="0"/>
        <u val="none"/>
        <vertAlign val="baseline"/>
        <sz val="11"/>
        <color theme="1"/>
        <name val="Calibri"/>
        <family val="2"/>
        <scheme val="minor"/>
      </font>
    </dxf>
    <dxf>
      <font>
        <b val="0"/>
        <i val="0"/>
        <strike val="0"/>
        <condense val="0"/>
        <extend val="0"/>
        <outline val="0"/>
        <shadow val="0"/>
        <u val="none"/>
        <vertAlign val="baseline"/>
        <sz val="11"/>
        <color theme="1"/>
        <name val="Calibri"/>
        <family val="2"/>
        <scheme val="minor"/>
      </font>
      <numFmt numFmtId="0" formatCode="General"/>
    </dxf>
    <dxf>
      <font>
        <b val="0"/>
        <i val="0"/>
        <strike val="0"/>
        <condense val="0"/>
        <extend val="0"/>
        <outline val="0"/>
        <shadow val="0"/>
        <u val="none"/>
        <vertAlign val="baseline"/>
        <sz val="11"/>
        <color theme="1"/>
        <name val="Calibri"/>
        <family val="2"/>
        <scheme val="minor"/>
      </font>
      <numFmt numFmtId="0" formatCode="General"/>
    </dxf>
    <dxf>
      <numFmt numFmtId="0" formatCode="General"/>
    </dxf>
    <dxf>
      <font>
        <b val="0"/>
        <i val="0"/>
        <strike val="0"/>
        <condense val="0"/>
        <extend val="0"/>
        <outline val="0"/>
        <shadow val="0"/>
        <u val="none"/>
        <vertAlign val="baseline"/>
        <sz val="11"/>
        <color theme="1"/>
        <name val="Calibri"/>
        <family val="2"/>
        <scheme val="minor"/>
      </font>
    </dxf>
    <dxf>
      <font>
        <b val="0"/>
        <i val="0"/>
        <strike val="0"/>
        <condense val="0"/>
        <extend val="0"/>
        <outline val="0"/>
        <shadow val="0"/>
        <u val="none"/>
        <vertAlign val="baseline"/>
        <sz val="11"/>
        <color theme="1"/>
        <name val="Calibri"/>
        <family val="2"/>
        <scheme val="minor"/>
      </font>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theme="9"/>
      </font>
      <fill>
        <patternFill>
          <bgColor theme="9"/>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theme="9"/>
      </font>
      <fill>
        <patternFill>
          <bgColor theme="9"/>
        </patternFill>
      </fill>
    </dxf>
    <dxf>
      <font>
        <color theme="9"/>
      </font>
      <fill>
        <patternFill>
          <bgColor theme="9"/>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b val="0"/>
        <i val="0"/>
        <strike val="0"/>
        <condense val="0"/>
        <extend val="0"/>
        <outline val="0"/>
        <shadow val="0"/>
        <u val="none"/>
        <vertAlign val="baseline"/>
        <sz val="11"/>
        <color theme="1"/>
        <name val="Calibri"/>
        <family val="2"/>
        <scheme val="minor"/>
      </font>
    </dxf>
    <dxf>
      <font>
        <b val="0"/>
        <i val="0"/>
        <strike val="0"/>
        <condense val="0"/>
        <extend val="0"/>
        <outline val="0"/>
        <shadow val="0"/>
        <u val="none"/>
        <vertAlign val="baseline"/>
        <sz val="11"/>
        <color theme="1"/>
        <name val="Calibri"/>
        <family val="2"/>
        <scheme val="minor"/>
      </font>
      <numFmt numFmtId="164" formatCode="#,##0.00\ &quot;€&quot;"/>
    </dxf>
    <dxf>
      <font>
        <b val="0"/>
        <i val="0"/>
        <strike val="0"/>
        <condense val="0"/>
        <extend val="0"/>
        <outline val="0"/>
        <shadow val="0"/>
        <u val="none"/>
        <vertAlign val="baseline"/>
        <sz val="11"/>
        <color theme="1"/>
        <name val="Calibri"/>
        <family val="2"/>
        <scheme val="minor"/>
      </font>
      <numFmt numFmtId="0" formatCode="General"/>
    </dxf>
    <dxf>
      <font>
        <b val="0"/>
        <i val="0"/>
        <strike val="0"/>
        <condense val="0"/>
        <extend val="0"/>
        <outline val="0"/>
        <shadow val="0"/>
        <u val="none"/>
        <vertAlign val="baseline"/>
        <sz val="11"/>
        <color theme="1"/>
        <name val="Calibri"/>
        <family val="2"/>
        <scheme val="minor"/>
      </font>
    </dxf>
    <dxf>
      <font>
        <b val="0"/>
        <i val="0"/>
        <strike val="0"/>
        <condense val="0"/>
        <extend val="0"/>
        <outline val="0"/>
        <shadow val="0"/>
        <u val="none"/>
        <vertAlign val="baseline"/>
        <sz val="11"/>
        <color theme="1"/>
        <name val="Calibri"/>
        <family val="2"/>
        <scheme val="minor"/>
      </font>
      <numFmt numFmtId="0" formatCode="General"/>
    </dxf>
    <dxf>
      <font>
        <b val="0"/>
        <i val="0"/>
        <strike val="0"/>
        <condense val="0"/>
        <extend val="0"/>
        <outline val="0"/>
        <shadow val="0"/>
        <u val="none"/>
        <vertAlign val="baseline"/>
        <sz val="11"/>
        <color theme="1"/>
        <name val="Calibri"/>
        <family val="2"/>
        <scheme val="minor"/>
      </font>
      <numFmt numFmtId="0" formatCode="General"/>
    </dxf>
    <dxf>
      <numFmt numFmtId="0" formatCode="General"/>
    </dxf>
    <dxf>
      <font>
        <b val="0"/>
        <i val="0"/>
        <strike val="0"/>
        <condense val="0"/>
        <extend val="0"/>
        <outline val="0"/>
        <shadow val="0"/>
        <u val="none"/>
        <vertAlign val="baseline"/>
        <sz val="11"/>
        <color theme="1"/>
        <name val="Calibri"/>
        <family val="2"/>
        <scheme val="minor"/>
      </font>
    </dxf>
    <dxf>
      <font>
        <b val="0"/>
        <i val="0"/>
        <strike val="0"/>
        <condense val="0"/>
        <extend val="0"/>
        <outline val="0"/>
        <shadow val="0"/>
        <u val="none"/>
        <vertAlign val="baseline"/>
        <sz val="11"/>
        <color theme="1"/>
        <name val="Calibri"/>
        <family val="2"/>
        <scheme val="minor"/>
      </font>
    </dxf>
    <dxf>
      <font>
        <b val="0"/>
        <i val="0"/>
        <strike val="0"/>
        <condense val="0"/>
        <extend val="0"/>
        <outline val="0"/>
        <shadow val="0"/>
        <u val="none"/>
        <vertAlign val="baseline"/>
        <sz val="11"/>
        <color theme="1"/>
        <name val="Calibri"/>
        <family val="2"/>
        <scheme val="minor"/>
      </font>
    </dxf>
    <dxf>
      <font>
        <b val="0"/>
        <i val="0"/>
        <strike val="0"/>
        <condense val="0"/>
        <extend val="0"/>
        <outline val="0"/>
        <shadow val="0"/>
        <u val="none"/>
        <vertAlign val="baseline"/>
        <sz val="11"/>
        <color theme="1"/>
        <name val="Calibri"/>
        <family val="2"/>
        <scheme val="minor"/>
      </font>
      <numFmt numFmtId="164" formatCode="#,##0.00\ &quot;€&quot;"/>
    </dxf>
    <dxf>
      <font>
        <b val="0"/>
        <i val="0"/>
        <strike val="0"/>
        <condense val="0"/>
        <extend val="0"/>
        <outline val="0"/>
        <shadow val="0"/>
        <u val="none"/>
        <vertAlign val="baseline"/>
        <sz val="11"/>
        <color theme="1"/>
        <name val="Calibri"/>
        <family val="2"/>
        <scheme val="minor"/>
      </font>
      <numFmt numFmtId="0" formatCode="General"/>
    </dxf>
    <dxf>
      <font>
        <b val="0"/>
        <i val="0"/>
        <strike val="0"/>
        <condense val="0"/>
        <extend val="0"/>
        <outline val="0"/>
        <shadow val="0"/>
        <u val="none"/>
        <vertAlign val="baseline"/>
        <sz val="11"/>
        <color theme="1"/>
        <name val="Calibri"/>
        <family val="2"/>
        <scheme val="minor"/>
      </font>
    </dxf>
    <dxf>
      <font>
        <b val="0"/>
        <i val="0"/>
        <strike val="0"/>
        <condense val="0"/>
        <extend val="0"/>
        <outline val="0"/>
        <shadow val="0"/>
        <u val="none"/>
        <vertAlign val="baseline"/>
        <sz val="11"/>
        <color theme="1"/>
        <name val="Calibri"/>
        <family val="2"/>
        <scheme val="minor"/>
      </font>
      <numFmt numFmtId="0" formatCode="General"/>
    </dxf>
    <dxf>
      <font>
        <b val="0"/>
        <i val="0"/>
        <strike val="0"/>
        <condense val="0"/>
        <extend val="0"/>
        <outline val="0"/>
        <shadow val="0"/>
        <u val="none"/>
        <vertAlign val="baseline"/>
        <sz val="11"/>
        <color theme="1"/>
        <name val="Calibri"/>
        <family val="2"/>
        <scheme val="minor"/>
      </font>
      <numFmt numFmtId="0" formatCode="General"/>
    </dxf>
    <dxf>
      <numFmt numFmtId="0" formatCode="General"/>
    </dxf>
    <dxf>
      <font>
        <b val="0"/>
        <i val="0"/>
        <strike val="0"/>
        <condense val="0"/>
        <extend val="0"/>
        <outline val="0"/>
        <shadow val="0"/>
        <u val="none"/>
        <vertAlign val="baseline"/>
        <sz val="11"/>
        <color theme="1"/>
        <name val="Calibri"/>
        <family val="2"/>
        <scheme val="minor"/>
      </font>
    </dxf>
    <dxf>
      <font>
        <b val="0"/>
        <i val="0"/>
        <strike val="0"/>
        <condense val="0"/>
        <extend val="0"/>
        <outline val="0"/>
        <shadow val="0"/>
        <u val="none"/>
        <vertAlign val="baseline"/>
        <sz val="11"/>
        <color theme="1"/>
        <name val="Calibri"/>
        <family val="2"/>
        <scheme val="minor"/>
      </font>
    </dxf>
    <dxf>
      <font>
        <b val="0"/>
        <i val="0"/>
        <strike val="0"/>
        <condense val="0"/>
        <extend val="0"/>
        <outline val="0"/>
        <shadow val="0"/>
        <u val="none"/>
        <vertAlign val="baseline"/>
        <sz val="11"/>
        <color theme="1"/>
        <name val="Calibri"/>
        <family val="2"/>
        <scheme val="minor"/>
      </font>
      <numFmt numFmtId="34" formatCode="_-* #,##0.00\ &quot;€&quot;_-;\-* #,##0.00\ &quot;€&quot;_-;_-* &quot;-&quot;??\ &quot;€&quot;_-;_-@_-"/>
    </dxf>
    <dxf>
      <font>
        <b val="0"/>
        <i val="0"/>
        <strike val="0"/>
        <condense val="0"/>
        <extend val="0"/>
        <outline val="0"/>
        <shadow val="0"/>
        <u val="none"/>
        <vertAlign val="baseline"/>
        <sz val="11"/>
        <color theme="1"/>
        <name val="Calibri"/>
        <family val="2"/>
        <scheme val="minor"/>
      </font>
      <numFmt numFmtId="164" formatCode="#,##0.00\ &quot;€&quot;"/>
    </dxf>
    <dxf>
      <font>
        <b val="0"/>
        <i val="0"/>
        <strike val="0"/>
        <condense val="0"/>
        <extend val="0"/>
        <outline val="0"/>
        <shadow val="0"/>
        <u val="none"/>
        <vertAlign val="baseline"/>
        <sz val="11"/>
        <color theme="1"/>
        <name val="Calibri"/>
        <family val="2"/>
        <scheme val="minor"/>
      </font>
      <numFmt numFmtId="0" formatCode="General"/>
    </dxf>
    <dxf>
      <font>
        <b val="0"/>
        <i val="0"/>
        <strike val="0"/>
        <condense val="0"/>
        <extend val="0"/>
        <outline val="0"/>
        <shadow val="0"/>
        <u val="none"/>
        <vertAlign val="baseline"/>
        <sz val="11"/>
        <color theme="1"/>
        <name val="Calibri"/>
        <family val="2"/>
        <scheme val="minor"/>
      </font>
    </dxf>
    <dxf>
      <font>
        <b val="0"/>
        <i val="0"/>
        <strike val="0"/>
        <condense val="0"/>
        <extend val="0"/>
        <outline val="0"/>
        <shadow val="0"/>
        <u val="none"/>
        <vertAlign val="baseline"/>
        <sz val="11"/>
        <color theme="1"/>
        <name val="Calibri"/>
        <family val="2"/>
        <scheme val="minor"/>
      </font>
      <numFmt numFmtId="0" formatCode="General"/>
    </dxf>
    <dxf>
      <font>
        <b val="0"/>
        <i val="0"/>
        <strike val="0"/>
        <condense val="0"/>
        <extend val="0"/>
        <outline val="0"/>
        <shadow val="0"/>
        <u val="none"/>
        <vertAlign val="baseline"/>
        <sz val="11"/>
        <color theme="1"/>
        <name val="Calibri"/>
        <family val="2"/>
        <scheme val="minor"/>
      </font>
      <numFmt numFmtId="0" formatCode="General"/>
    </dxf>
    <dxf>
      <numFmt numFmtId="0" formatCode="General"/>
    </dxf>
    <dxf>
      <font>
        <b val="0"/>
        <i val="0"/>
        <strike val="0"/>
        <condense val="0"/>
        <extend val="0"/>
        <outline val="0"/>
        <shadow val="0"/>
        <u val="none"/>
        <vertAlign val="baseline"/>
        <sz val="11"/>
        <color theme="1"/>
        <name val="Calibri"/>
        <family val="2"/>
        <scheme val="minor"/>
      </font>
    </dxf>
    <dxf>
      <font>
        <b val="0"/>
        <i val="0"/>
        <strike val="0"/>
        <condense val="0"/>
        <extend val="0"/>
        <outline val="0"/>
        <shadow val="0"/>
        <u val="none"/>
        <vertAlign val="baseline"/>
        <sz val="11"/>
        <color theme="1"/>
        <name val="Calibri"/>
        <family val="2"/>
        <scheme val="minor"/>
      </font>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theme="9"/>
      </font>
      <fill>
        <patternFill>
          <bgColor theme="9"/>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theme="9"/>
      </font>
      <fill>
        <patternFill>
          <bgColor theme="9"/>
        </patternFill>
      </fill>
    </dxf>
    <dxf>
      <font>
        <color theme="9"/>
      </font>
      <fill>
        <patternFill>
          <bgColor theme="9"/>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b val="0"/>
        <i val="0"/>
        <strike val="0"/>
        <condense val="0"/>
        <extend val="0"/>
        <outline val="0"/>
        <shadow val="0"/>
        <u val="none"/>
        <vertAlign val="baseline"/>
        <sz val="11"/>
        <color theme="1"/>
        <name val="Calibri"/>
        <family val="2"/>
        <scheme val="minor"/>
      </font>
    </dxf>
    <dxf>
      <font>
        <b val="0"/>
        <i val="0"/>
        <strike val="0"/>
        <condense val="0"/>
        <extend val="0"/>
        <outline val="0"/>
        <shadow val="0"/>
        <u val="none"/>
        <vertAlign val="baseline"/>
        <sz val="11"/>
        <color theme="1"/>
        <name val="Calibri"/>
        <family val="2"/>
        <scheme val="minor"/>
      </font>
      <numFmt numFmtId="164" formatCode="#,##0.00\ &quot;€&quot;"/>
    </dxf>
    <dxf>
      <font>
        <b val="0"/>
        <i val="0"/>
        <strike val="0"/>
        <condense val="0"/>
        <extend val="0"/>
        <outline val="0"/>
        <shadow val="0"/>
        <u val="none"/>
        <vertAlign val="baseline"/>
        <sz val="11"/>
        <color theme="1"/>
        <name val="Calibri"/>
        <family val="2"/>
        <scheme val="minor"/>
      </font>
      <numFmt numFmtId="0" formatCode="General"/>
    </dxf>
    <dxf>
      <font>
        <b val="0"/>
        <i val="0"/>
        <strike val="0"/>
        <condense val="0"/>
        <extend val="0"/>
        <outline val="0"/>
        <shadow val="0"/>
        <u val="none"/>
        <vertAlign val="baseline"/>
        <sz val="11"/>
        <color theme="1"/>
        <name val="Calibri"/>
        <family val="2"/>
        <scheme val="minor"/>
      </font>
    </dxf>
    <dxf>
      <font>
        <b val="0"/>
        <i val="0"/>
        <strike val="0"/>
        <condense val="0"/>
        <extend val="0"/>
        <outline val="0"/>
        <shadow val="0"/>
        <u val="none"/>
        <vertAlign val="baseline"/>
        <sz val="11"/>
        <color theme="1"/>
        <name val="Calibri"/>
        <family val="2"/>
        <scheme val="minor"/>
      </font>
      <numFmt numFmtId="0" formatCode="General"/>
    </dxf>
    <dxf>
      <font>
        <b val="0"/>
        <i val="0"/>
        <strike val="0"/>
        <condense val="0"/>
        <extend val="0"/>
        <outline val="0"/>
        <shadow val="0"/>
        <u val="none"/>
        <vertAlign val="baseline"/>
        <sz val="11"/>
        <color theme="1"/>
        <name val="Calibri"/>
        <family val="2"/>
        <scheme val="minor"/>
      </font>
      <numFmt numFmtId="0" formatCode="General"/>
    </dxf>
    <dxf>
      <numFmt numFmtId="0" formatCode="General"/>
    </dxf>
    <dxf>
      <font>
        <b val="0"/>
        <i val="0"/>
        <strike val="0"/>
        <condense val="0"/>
        <extend val="0"/>
        <outline val="0"/>
        <shadow val="0"/>
        <u val="none"/>
        <vertAlign val="baseline"/>
        <sz val="11"/>
        <color theme="1"/>
        <name val="Calibri"/>
        <family val="2"/>
        <scheme val="minor"/>
      </font>
    </dxf>
    <dxf>
      <font>
        <b val="0"/>
        <i val="0"/>
        <strike val="0"/>
        <condense val="0"/>
        <extend val="0"/>
        <outline val="0"/>
        <shadow val="0"/>
        <u val="none"/>
        <vertAlign val="baseline"/>
        <sz val="11"/>
        <color theme="1"/>
        <name val="Calibri"/>
        <family val="2"/>
        <scheme val="minor"/>
      </font>
    </dxf>
    <dxf>
      <font>
        <b val="0"/>
        <i val="0"/>
        <strike val="0"/>
        <condense val="0"/>
        <extend val="0"/>
        <outline val="0"/>
        <shadow val="0"/>
        <u val="none"/>
        <vertAlign val="baseline"/>
        <sz val="11"/>
        <color theme="1"/>
        <name val="Calibri"/>
        <family val="2"/>
        <scheme val="minor"/>
      </font>
    </dxf>
    <dxf>
      <font>
        <b val="0"/>
        <i val="0"/>
        <strike val="0"/>
        <condense val="0"/>
        <extend val="0"/>
        <outline val="0"/>
        <shadow val="0"/>
        <u val="none"/>
        <vertAlign val="baseline"/>
        <sz val="11"/>
        <color theme="1"/>
        <name val="Calibri"/>
        <family val="2"/>
        <scheme val="minor"/>
      </font>
      <numFmt numFmtId="164" formatCode="#,##0.00\ &quot;€&quot;"/>
    </dxf>
    <dxf>
      <font>
        <b val="0"/>
        <i val="0"/>
        <strike val="0"/>
        <condense val="0"/>
        <extend val="0"/>
        <outline val="0"/>
        <shadow val="0"/>
        <u val="none"/>
        <vertAlign val="baseline"/>
        <sz val="11"/>
        <color theme="1"/>
        <name val="Calibri"/>
        <family val="2"/>
        <scheme val="minor"/>
      </font>
      <numFmt numFmtId="0" formatCode="General"/>
    </dxf>
    <dxf>
      <font>
        <b val="0"/>
        <i val="0"/>
        <strike val="0"/>
        <condense val="0"/>
        <extend val="0"/>
        <outline val="0"/>
        <shadow val="0"/>
        <u val="none"/>
        <vertAlign val="baseline"/>
        <sz val="11"/>
        <color theme="1"/>
        <name val="Calibri"/>
        <family val="2"/>
        <scheme val="minor"/>
      </font>
    </dxf>
    <dxf>
      <font>
        <b val="0"/>
        <i val="0"/>
        <strike val="0"/>
        <condense val="0"/>
        <extend val="0"/>
        <outline val="0"/>
        <shadow val="0"/>
        <u val="none"/>
        <vertAlign val="baseline"/>
        <sz val="11"/>
        <color theme="1"/>
        <name val="Calibri"/>
        <family val="2"/>
        <scheme val="minor"/>
      </font>
      <numFmt numFmtId="0" formatCode="General"/>
    </dxf>
    <dxf>
      <font>
        <b val="0"/>
        <i val="0"/>
        <strike val="0"/>
        <condense val="0"/>
        <extend val="0"/>
        <outline val="0"/>
        <shadow val="0"/>
        <u val="none"/>
        <vertAlign val="baseline"/>
        <sz val="11"/>
        <color theme="1"/>
        <name val="Calibri"/>
        <family val="2"/>
        <scheme val="minor"/>
      </font>
      <numFmt numFmtId="0" formatCode="General"/>
    </dxf>
    <dxf>
      <numFmt numFmtId="0" formatCode="General"/>
    </dxf>
    <dxf>
      <font>
        <b val="0"/>
        <i val="0"/>
        <strike val="0"/>
        <condense val="0"/>
        <extend val="0"/>
        <outline val="0"/>
        <shadow val="0"/>
        <u val="none"/>
        <vertAlign val="baseline"/>
        <sz val="11"/>
        <color theme="1"/>
        <name val="Calibri"/>
        <family val="2"/>
        <scheme val="minor"/>
      </font>
    </dxf>
    <dxf>
      <font>
        <b val="0"/>
        <i val="0"/>
        <strike val="0"/>
        <condense val="0"/>
        <extend val="0"/>
        <outline val="0"/>
        <shadow val="0"/>
        <u val="none"/>
        <vertAlign val="baseline"/>
        <sz val="11"/>
        <color theme="1"/>
        <name val="Calibri"/>
        <family val="2"/>
        <scheme val="minor"/>
      </font>
    </dxf>
    <dxf>
      <font>
        <b val="0"/>
        <i val="0"/>
        <strike val="0"/>
        <condense val="0"/>
        <extend val="0"/>
        <outline val="0"/>
        <shadow val="0"/>
        <u val="none"/>
        <vertAlign val="baseline"/>
        <sz val="11"/>
        <color theme="1"/>
        <name val="Calibri"/>
        <family val="2"/>
        <scheme val="minor"/>
      </font>
    </dxf>
    <dxf>
      <font>
        <b val="0"/>
        <i val="0"/>
        <strike val="0"/>
        <condense val="0"/>
        <extend val="0"/>
        <outline val="0"/>
        <shadow val="0"/>
        <u val="none"/>
        <vertAlign val="baseline"/>
        <sz val="11"/>
        <color theme="1"/>
        <name val="Calibri"/>
        <family val="2"/>
        <scheme val="minor"/>
      </font>
      <numFmt numFmtId="164" formatCode="#,##0.00\ &quot;€&quot;"/>
    </dxf>
    <dxf>
      <font>
        <b val="0"/>
        <i val="0"/>
        <strike val="0"/>
        <condense val="0"/>
        <extend val="0"/>
        <outline val="0"/>
        <shadow val="0"/>
        <u val="none"/>
        <vertAlign val="baseline"/>
        <sz val="11"/>
        <color theme="1"/>
        <name val="Calibri"/>
        <family val="2"/>
        <scheme val="minor"/>
      </font>
      <numFmt numFmtId="0" formatCode="General"/>
    </dxf>
    <dxf>
      <font>
        <b val="0"/>
        <i val="0"/>
        <strike val="0"/>
        <condense val="0"/>
        <extend val="0"/>
        <outline val="0"/>
        <shadow val="0"/>
        <u val="none"/>
        <vertAlign val="baseline"/>
        <sz val="11"/>
        <color theme="1"/>
        <name val="Calibri"/>
        <family val="2"/>
        <scheme val="minor"/>
      </font>
    </dxf>
    <dxf>
      <font>
        <b val="0"/>
        <i val="0"/>
        <strike val="0"/>
        <condense val="0"/>
        <extend val="0"/>
        <outline val="0"/>
        <shadow val="0"/>
        <u val="none"/>
        <vertAlign val="baseline"/>
        <sz val="11"/>
        <color theme="1"/>
        <name val="Calibri"/>
        <family val="2"/>
        <scheme val="minor"/>
      </font>
      <numFmt numFmtId="0" formatCode="General"/>
    </dxf>
    <dxf>
      <font>
        <b val="0"/>
        <i val="0"/>
        <strike val="0"/>
        <condense val="0"/>
        <extend val="0"/>
        <outline val="0"/>
        <shadow val="0"/>
        <u val="none"/>
        <vertAlign val="baseline"/>
        <sz val="11"/>
        <color theme="1"/>
        <name val="Calibri"/>
        <family val="2"/>
        <scheme val="minor"/>
      </font>
      <numFmt numFmtId="0" formatCode="General"/>
    </dxf>
    <dxf>
      <numFmt numFmtId="0" formatCode="General"/>
    </dxf>
    <dxf>
      <font>
        <b val="0"/>
        <i val="0"/>
        <strike val="0"/>
        <condense val="0"/>
        <extend val="0"/>
        <outline val="0"/>
        <shadow val="0"/>
        <u val="none"/>
        <vertAlign val="baseline"/>
        <sz val="11"/>
        <color theme="1"/>
        <name val="Calibri"/>
        <family val="2"/>
        <scheme val="minor"/>
      </font>
    </dxf>
    <dxf>
      <font>
        <b val="0"/>
        <i val="0"/>
        <strike val="0"/>
        <condense val="0"/>
        <extend val="0"/>
        <outline val="0"/>
        <shadow val="0"/>
        <u val="none"/>
        <vertAlign val="baseline"/>
        <sz val="11"/>
        <color theme="1"/>
        <name val="Calibri"/>
        <family val="2"/>
        <scheme val="minor"/>
      </font>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theme="9"/>
      </font>
      <fill>
        <patternFill>
          <bgColor theme="9"/>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theme="9"/>
      </font>
      <fill>
        <patternFill>
          <bgColor theme="9"/>
        </patternFill>
      </fill>
    </dxf>
    <dxf>
      <font>
        <color theme="9"/>
      </font>
      <fill>
        <patternFill>
          <bgColor theme="9"/>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b val="0"/>
        <i val="0"/>
        <strike val="0"/>
        <condense val="0"/>
        <extend val="0"/>
        <outline val="0"/>
        <shadow val="0"/>
        <u val="none"/>
        <vertAlign val="baseline"/>
        <sz val="11"/>
        <color theme="1"/>
        <name val="Calibri"/>
        <family val="2"/>
        <scheme val="minor"/>
      </font>
    </dxf>
    <dxf>
      <font>
        <b val="0"/>
        <i val="0"/>
        <strike val="0"/>
        <condense val="0"/>
        <extend val="0"/>
        <outline val="0"/>
        <shadow val="0"/>
        <u val="none"/>
        <vertAlign val="baseline"/>
        <sz val="11"/>
        <color theme="1"/>
        <name val="Calibri"/>
        <family val="2"/>
        <scheme val="minor"/>
      </font>
      <numFmt numFmtId="164" formatCode="#,##0.00\ &quot;€&quot;"/>
    </dxf>
    <dxf>
      <font>
        <b val="0"/>
        <i val="0"/>
        <strike val="0"/>
        <condense val="0"/>
        <extend val="0"/>
        <outline val="0"/>
        <shadow val="0"/>
        <u val="none"/>
        <vertAlign val="baseline"/>
        <sz val="11"/>
        <color theme="1"/>
        <name val="Calibri"/>
        <family val="2"/>
        <scheme val="minor"/>
      </font>
      <numFmt numFmtId="0" formatCode="General"/>
    </dxf>
    <dxf>
      <font>
        <b val="0"/>
        <i val="0"/>
        <strike val="0"/>
        <condense val="0"/>
        <extend val="0"/>
        <outline val="0"/>
        <shadow val="0"/>
        <u val="none"/>
        <vertAlign val="baseline"/>
        <sz val="11"/>
        <color theme="1"/>
        <name val="Calibri"/>
        <family val="2"/>
        <scheme val="minor"/>
      </font>
    </dxf>
    <dxf>
      <font>
        <b val="0"/>
        <i val="0"/>
        <strike val="0"/>
        <condense val="0"/>
        <extend val="0"/>
        <outline val="0"/>
        <shadow val="0"/>
        <u val="none"/>
        <vertAlign val="baseline"/>
        <sz val="11"/>
        <color theme="1"/>
        <name val="Calibri"/>
        <family val="2"/>
        <scheme val="minor"/>
      </font>
      <numFmt numFmtId="0" formatCode="General"/>
    </dxf>
    <dxf>
      <font>
        <b val="0"/>
        <i val="0"/>
        <strike val="0"/>
        <condense val="0"/>
        <extend val="0"/>
        <outline val="0"/>
        <shadow val="0"/>
        <u val="none"/>
        <vertAlign val="baseline"/>
        <sz val="11"/>
        <color theme="1"/>
        <name val="Calibri"/>
        <family val="2"/>
        <scheme val="minor"/>
      </font>
      <numFmt numFmtId="0" formatCode="General"/>
    </dxf>
    <dxf>
      <numFmt numFmtId="0" formatCode="General"/>
    </dxf>
    <dxf>
      <font>
        <b val="0"/>
        <i val="0"/>
        <strike val="0"/>
        <condense val="0"/>
        <extend val="0"/>
        <outline val="0"/>
        <shadow val="0"/>
        <u val="none"/>
        <vertAlign val="baseline"/>
        <sz val="11"/>
        <color theme="1"/>
        <name val="Calibri"/>
        <family val="2"/>
        <scheme val="minor"/>
      </font>
    </dxf>
    <dxf>
      <font>
        <b val="0"/>
        <i val="0"/>
        <strike val="0"/>
        <condense val="0"/>
        <extend val="0"/>
        <outline val="0"/>
        <shadow val="0"/>
        <u val="none"/>
        <vertAlign val="baseline"/>
        <sz val="11"/>
        <color theme="1"/>
        <name val="Calibri"/>
        <family val="2"/>
        <scheme val="minor"/>
      </font>
    </dxf>
    <dxf>
      <font>
        <b val="0"/>
        <i val="0"/>
        <strike val="0"/>
        <condense val="0"/>
        <extend val="0"/>
        <outline val="0"/>
        <shadow val="0"/>
        <u val="none"/>
        <vertAlign val="baseline"/>
        <sz val="11"/>
        <color theme="1"/>
        <name val="Calibri"/>
        <family val="2"/>
        <scheme val="minor"/>
      </font>
    </dxf>
    <dxf>
      <font>
        <b val="0"/>
        <i val="0"/>
        <strike val="0"/>
        <condense val="0"/>
        <extend val="0"/>
        <outline val="0"/>
        <shadow val="0"/>
        <u val="none"/>
        <vertAlign val="baseline"/>
        <sz val="11"/>
        <color theme="1"/>
        <name val="Calibri"/>
        <family val="2"/>
        <scheme val="minor"/>
      </font>
      <numFmt numFmtId="164" formatCode="#,##0.00\ &quot;€&quot;"/>
    </dxf>
    <dxf>
      <font>
        <b val="0"/>
        <i val="0"/>
        <strike val="0"/>
        <condense val="0"/>
        <extend val="0"/>
        <outline val="0"/>
        <shadow val="0"/>
        <u val="none"/>
        <vertAlign val="baseline"/>
        <sz val="11"/>
        <color theme="1"/>
        <name val="Calibri"/>
        <family val="2"/>
        <scheme val="minor"/>
      </font>
      <numFmt numFmtId="0" formatCode="General"/>
    </dxf>
    <dxf>
      <font>
        <b val="0"/>
        <i val="0"/>
        <strike val="0"/>
        <condense val="0"/>
        <extend val="0"/>
        <outline val="0"/>
        <shadow val="0"/>
        <u val="none"/>
        <vertAlign val="baseline"/>
        <sz val="11"/>
        <color theme="1"/>
        <name val="Calibri"/>
        <family val="2"/>
        <scheme val="minor"/>
      </font>
    </dxf>
    <dxf>
      <font>
        <b val="0"/>
        <i val="0"/>
        <strike val="0"/>
        <condense val="0"/>
        <extend val="0"/>
        <outline val="0"/>
        <shadow val="0"/>
        <u val="none"/>
        <vertAlign val="baseline"/>
        <sz val="11"/>
        <color theme="1"/>
        <name val="Calibri"/>
        <family val="2"/>
        <scheme val="minor"/>
      </font>
      <numFmt numFmtId="0" formatCode="General"/>
    </dxf>
    <dxf>
      <font>
        <b val="0"/>
        <i val="0"/>
        <strike val="0"/>
        <condense val="0"/>
        <extend val="0"/>
        <outline val="0"/>
        <shadow val="0"/>
        <u val="none"/>
        <vertAlign val="baseline"/>
        <sz val="11"/>
        <color theme="1"/>
        <name val="Calibri"/>
        <family val="2"/>
        <scheme val="minor"/>
      </font>
      <numFmt numFmtId="0" formatCode="General"/>
    </dxf>
    <dxf>
      <numFmt numFmtId="0" formatCode="General"/>
    </dxf>
    <dxf>
      <font>
        <b val="0"/>
        <i val="0"/>
        <strike val="0"/>
        <condense val="0"/>
        <extend val="0"/>
        <outline val="0"/>
        <shadow val="0"/>
        <u val="none"/>
        <vertAlign val="baseline"/>
        <sz val="11"/>
        <color theme="1"/>
        <name val="Calibri"/>
        <family val="2"/>
        <scheme val="minor"/>
      </font>
    </dxf>
    <dxf>
      <font>
        <b val="0"/>
        <i val="0"/>
        <strike val="0"/>
        <condense val="0"/>
        <extend val="0"/>
        <outline val="0"/>
        <shadow val="0"/>
        <u val="none"/>
        <vertAlign val="baseline"/>
        <sz val="11"/>
        <color theme="1"/>
        <name val="Calibri"/>
        <family val="2"/>
        <scheme val="minor"/>
      </font>
    </dxf>
    <dxf>
      <font>
        <b val="0"/>
        <i val="0"/>
        <strike val="0"/>
        <condense val="0"/>
        <extend val="0"/>
        <outline val="0"/>
        <shadow val="0"/>
        <u val="none"/>
        <vertAlign val="baseline"/>
        <sz val="11"/>
        <color theme="1"/>
        <name val="Calibri"/>
        <family val="2"/>
        <scheme val="minor"/>
      </font>
      <numFmt numFmtId="34" formatCode="_-* #,##0.00\ &quot;€&quot;_-;\-* #,##0.00\ &quot;€&quot;_-;_-* &quot;-&quot;??\ &quot;€&quot;_-;_-@_-"/>
    </dxf>
    <dxf>
      <font>
        <b val="0"/>
        <i val="0"/>
        <strike val="0"/>
        <condense val="0"/>
        <extend val="0"/>
        <outline val="0"/>
        <shadow val="0"/>
        <u val="none"/>
        <vertAlign val="baseline"/>
        <sz val="11"/>
        <color theme="1"/>
        <name val="Calibri"/>
        <family val="2"/>
        <scheme val="minor"/>
      </font>
      <numFmt numFmtId="164" formatCode="#,##0.00\ &quot;€&quot;"/>
    </dxf>
    <dxf>
      <font>
        <b val="0"/>
        <i val="0"/>
        <strike val="0"/>
        <condense val="0"/>
        <extend val="0"/>
        <outline val="0"/>
        <shadow val="0"/>
        <u val="none"/>
        <vertAlign val="baseline"/>
        <sz val="11"/>
        <color theme="1"/>
        <name val="Calibri"/>
        <family val="2"/>
        <scheme val="minor"/>
      </font>
      <numFmt numFmtId="0" formatCode="General"/>
    </dxf>
    <dxf>
      <font>
        <b val="0"/>
        <i val="0"/>
        <strike val="0"/>
        <condense val="0"/>
        <extend val="0"/>
        <outline val="0"/>
        <shadow val="0"/>
        <u val="none"/>
        <vertAlign val="baseline"/>
        <sz val="11"/>
        <color theme="1"/>
        <name val="Calibri"/>
        <family val="2"/>
        <scheme val="minor"/>
      </font>
    </dxf>
    <dxf>
      <font>
        <b val="0"/>
        <i val="0"/>
        <strike val="0"/>
        <condense val="0"/>
        <extend val="0"/>
        <outline val="0"/>
        <shadow val="0"/>
        <u val="none"/>
        <vertAlign val="baseline"/>
        <sz val="11"/>
        <color theme="1"/>
        <name val="Calibri"/>
        <family val="2"/>
        <scheme val="minor"/>
      </font>
      <numFmt numFmtId="0" formatCode="General"/>
    </dxf>
    <dxf>
      <font>
        <b val="0"/>
        <i val="0"/>
        <strike val="0"/>
        <condense val="0"/>
        <extend val="0"/>
        <outline val="0"/>
        <shadow val="0"/>
        <u val="none"/>
        <vertAlign val="baseline"/>
        <sz val="11"/>
        <color theme="1"/>
        <name val="Calibri"/>
        <family val="2"/>
        <scheme val="minor"/>
      </font>
      <numFmt numFmtId="0" formatCode="General"/>
    </dxf>
    <dxf>
      <numFmt numFmtId="0" formatCode="General"/>
    </dxf>
    <dxf>
      <font>
        <b val="0"/>
        <i val="0"/>
        <strike val="0"/>
        <condense val="0"/>
        <extend val="0"/>
        <outline val="0"/>
        <shadow val="0"/>
        <u val="none"/>
        <vertAlign val="baseline"/>
        <sz val="11"/>
        <color theme="1"/>
        <name val="Calibri"/>
        <family val="2"/>
        <scheme val="minor"/>
      </font>
    </dxf>
    <dxf>
      <font>
        <b val="0"/>
        <i val="0"/>
        <strike val="0"/>
        <condense val="0"/>
        <extend val="0"/>
        <outline val="0"/>
        <shadow val="0"/>
        <u val="none"/>
        <vertAlign val="baseline"/>
        <sz val="11"/>
        <color theme="1"/>
        <name val="Calibri"/>
        <family val="2"/>
        <scheme val="minor"/>
      </font>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theme="9"/>
      </font>
      <fill>
        <patternFill>
          <bgColor theme="9"/>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theme="9"/>
      </font>
      <fill>
        <patternFill>
          <bgColor theme="9"/>
        </patternFill>
      </fill>
    </dxf>
    <dxf>
      <font>
        <color theme="9"/>
      </font>
      <fill>
        <patternFill>
          <bgColor theme="9"/>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b val="0"/>
        <i val="0"/>
        <strike val="0"/>
        <condense val="0"/>
        <extend val="0"/>
        <outline val="0"/>
        <shadow val="0"/>
        <u val="none"/>
        <vertAlign val="baseline"/>
        <sz val="11"/>
        <color theme="1"/>
        <name val="Calibri"/>
        <family val="2"/>
        <scheme val="minor"/>
      </font>
    </dxf>
    <dxf>
      <font>
        <b val="0"/>
        <i val="0"/>
        <strike val="0"/>
        <condense val="0"/>
        <extend val="0"/>
        <outline val="0"/>
        <shadow val="0"/>
        <u val="none"/>
        <vertAlign val="baseline"/>
        <sz val="11"/>
        <color theme="1"/>
        <name val="Calibri"/>
        <family val="2"/>
        <scheme val="minor"/>
      </font>
      <numFmt numFmtId="164" formatCode="#,##0.00\ &quot;€&quot;"/>
    </dxf>
    <dxf>
      <font>
        <b val="0"/>
        <i val="0"/>
        <strike val="0"/>
        <condense val="0"/>
        <extend val="0"/>
        <outline val="0"/>
        <shadow val="0"/>
        <u val="none"/>
        <vertAlign val="baseline"/>
        <sz val="11"/>
        <color theme="1"/>
        <name val="Calibri"/>
        <family val="2"/>
        <scheme val="minor"/>
      </font>
      <numFmt numFmtId="0" formatCode="General"/>
    </dxf>
    <dxf>
      <font>
        <b val="0"/>
        <i val="0"/>
        <strike val="0"/>
        <condense val="0"/>
        <extend val="0"/>
        <outline val="0"/>
        <shadow val="0"/>
        <u val="none"/>
        <vertAlign val="baseline"/>
        <sz val="11"/>
        <color theme="1"/>
        <name val="Calibri"/>
        <family val="2"/>
        <scheme val="minor"/>
      </font>
    </dxf>
    <dxf>
      <font>
        <b val="0"/>
        <i val="0"/>
        <strike val="0"/>
        <condense val="0"/>
        <extend val="0"/>
        <outline val="0"/>
        <shadow val="0"/>
        <u val="none"/>
        <vertAlign val="baseline"/>
        <sz val="11"/>
        <color theme="1"/>
        <name val="Calibri"/>
        <family val="2"/>
        <scheme val="minor"/>
      </font>
      <numFmt numFmtId="0" formatCode="General"/>
    </dxf>
    <dxf>
      <font>
        <b val="0"/>
        <i val="0"/>
        <strike val="0"/>
        <condense val="0"/>
        <extend val="0"/>
        <outline val="0"/>
        <shadow val="0"/>
        <u val="none"/>
        <vertAlign val="baseline"/>
        <sz val="11"/>
        <color theme="1"/>
        <name val="Calibri"/>
        <family val="2"/>
        <scheme val="minor"/>
      </font>
      <numFmt numFmtId="0" formatCode="General"/>
    </dxf>
    <dxf>
      <numFmt numFmtId="0" formatCode="General"/>
    </dxf>
    <dxf>
      <font>
        <b val="0"/>
        <i val="0"/>
        <strike val="0"/>
        <condense val="0"/>
        <extend val="0"/>
        <outline val="0"/>
        <shadow val="0"/>
        <u val="none"/>
        <vertAlign val="baseline"/>
        <sz val="11"/>
        <color theme="1"/>
        <name val="Calibri"/>
        <family val="2"/>
        <scheme val="minor"/>
      </font>
    </dxf>
    <dxf>
      <font>
        <b val="0"/>
        <i val="0"/>
        <strike val="0"/>
        <condense val="0"/>
        <extend val="0"/>
        <outline val="0"/>
        <shadow val="0"/>
        <u val="none"/>
        <vertAlign val="baseline"/>
        <sz val="11"/>
        <color theme="1"/>
        <name val="Calibri"/>
        <family val="2"/>
        <scheme val="minor"/>
      </font>
    </dxf>
    <dxf>
      <font>
        <b val="0"/>
        <i val="0"/>
        <strike val="0"/>
        <condense val="0"/>
        <extend val="0"/>
        <outline val="0"/>
        <shadow val="0"/>
        <u val="none"/>
        <vertAlign val="baseline"/>
        <sz val="11"/>
        <color theme="1"/>
        <name val="Calibri"/>
        <family val="2"/>
        <scheme val="minor"/>
      </font>
    </dxf>
    <dxf>
      <font>
        <b val="0"/>
        <i val="0"/>
        <strike val="0"/>
        <condense val="0"/>
        <extend val="0"/>
        <outline val="0"/>
        <shadow val="0"/>
        <u val="none"/>
        <vertAlign val="baseline"/>
        <sz val="11"/>
        <color theme="1"/>
        <name val="Calibri"/>
        <family val="2"/>
        <scheme val="minor"/>
      </font>
      <numFmt numFmtId="164" formatCode="#,##0.00\ &quot;€&quot;"/>
    </dxf>
    <dxf>
      <font>
        <b val="0"/>
        <i val="0"/>
        <strike val="0"/>
        <condense val="0"/>
        <extend val="0"/>
        <outline val="0"/>
        <shadow val="0"/>
        <u val="none"/>
        <vertAlign val="baseline"/>
        <sz val="11"/>
        <color theme="1"/>
        <name val="Calibri"/>
        <family val="2"/>
        <scheme val="minor"/>
      </font>
      <numFmt numFmtId="0" formatCode="General"/>
    </dxf>
    <dxf>
      <font>
        <b val="0"/>
        <i val="0"/>
        <strike val="0"/>
        <condense val="0"/>
        <extend val="0"/>
        <outline val="0"/>
        <shadow val="0"/>
        <u val="none"/>
        <vertAlign val="baseline"/>
        <sz val="11"/>
        <color theme="1"/>
        <name val="Calibri"/>
        <family val="2"/>
        <scheme val="minor"/>
      </font>
    </dxf>
    <dxf>
      <font>
        <b val="0"/>
        <i val="0"/>
        <strike val="0"/>
        <condense val="0"/>
        <extend val="0"/>
        <outline val="0"/>
        <shadow val="0"/>
        <u val="none"/>
        <vertAlign val="baseline"/>
        <sz val="11"/>
        <color theme="1"/>
        <name val="Calibri"/>
        <family val="2"/>
        <scheme val="minor"/>
      </font>
      <numFmt numFmtId="0" formatCode="General"/>
    </dxf>
    <dxf>
      <font>
        <b val="0"/>
        <i val="0"/>
        <strike val="0"/>
        <condense val="0"/>
        <extend val="0"/>
        <outline val="0"/>
        <shadow val="0"/>
        <u val="none"/>
        <vertAlign val="baseline"/>
        <sz val="11"/>
        <color theme="1"/>
        <name val="Calibri"/>
        <family val="2"/>
        <scheme val="minor"/>
      </font>
      <numFmt numFmtId="0" formatCode="General"/>
    </dxf>
    <dxf>
      <numFmt numFmtId="0" formatCode="General"/>
    </dxf>
    <dxf>
      <font>
        <b val="0"/>
        <i val="0"/>
        <strike val="0"/>
        <condense val="0"/>
        <extend val="0"/>
        <outline val="0"/>
        <shadow val="0"/>
        <u val="none"/>
        <vertAlign val="baseline"/>
        <sz val="11"/>
        <color theme="1"/>
        <name val="Calibri"/>
        <family val="2"/>
        <scheme val="minor"/>
      </font>
    </dxf>
    <dxf>
      <font>
        <b val="0"/>
        <i val="0"/>
        <strike val="0"/>
        <condense val="0"/>
        <extend val="0"/>
        <outline val="0"/>
        <shadow val="0"/>
        <u val="none"/>
        <vertAlign val="baseline"/>
        <sz val="11"/>
        <color theme="1"/>
        <name val="Calibri"/>
        <family val="2"/>
        <scheme val="minor"/>
      </font>
    </dxf>
    <dxf>
      <font>
        <b val="0"/>
        <i val="0"/>
        <strike val="0"/>
        <condense val="0"/>
        <extend val="0"/>
        <outline val="0"/>
        <shadow val="0"/>
        <u val="none"/>
        <vertAlign val="baseline"/>
        <sz val="11"/>
        <color theme="1"/>
        <name val="Calibri"/>
        <family val="2"/>
        <scheme val="minor"/>
      </font>
      <numFmt numFmtId="34" formatCode="_-* #,##0.00\ &quot;€&quot;_-;\-* #,##0.00\ &quot;€&quot;_-;_-* &quot;-&quot;??\ &quot;€&quot;_-;_-@_-"/>
    </dxf>
    <dxf>
      <font>
        <b val="0"/>
        <i val="0"/>
        <strike val="0"/>
        <condense val="0"/>
        <extend val="0"/>
        <outline val="0"/>
        <shadow val="0"/>
        <u val="none"/>
        <vertAlign val="baseline"/>
        <sz val="11"/>
        <color theme="1"/>
        <name val="Calibri"/>
        <family val="2"/>
        <scheme val="minor"/>
      </font>
      <numFmt numFmtId="164" formatCode="#,##0.00\ &quot;€&quot;"/>
    </dxf>
    <dxf>
      <font>
        <b val="0"/>
        <i val="0"/>
        <strike val="0"/>
        <condense val="0"/>
        <extend val="0"/>
        <outline val="0"/>
        <shadow val="0"/>
        <u val="none"/>
        <vertAlign val="baseline"/>
        <sz val="11"/>
        <color theme="1"/>
        <name val="Calibri"/>
        <family val="2"/>
        <scheme val="minor"/>
      </font>
      <numFmt numFmtId="0" formatCode="General"/>
    </dxf>
    <dxf>
      <font>
        <b val="0"/>
        <i val="0"/>
        <strike val="0"/>
        <condense val="0"/>
        <extend val="0"/>
        <outline val="0"/>
        <shadow val="0"/>
        <u val="none"/>
        <vertAlign val="baseline"/>
        <sz val="11"/>
        <color theme="1"/>
        <name val="Calibri"/>
        <family val="2"/>
        <scheme val="minor"/>
      </font>
    </dxf>
    <dxf>
      <font>
        <b val="0"/>
        <i val="0"/>
        <strike val="0"/>
        <condense val="0"/>
        <extend val="0"/>
        <outline val="0"/>
        <shadow val="0"/>
        <u val="none"/>
        <vertAlign val="baseline"/>
        <sz val="11"/>
        <color theme="1"/>
        <name val="Calibri"/>
        <family val="2"/>
        <scheme val="minor"/>
      </font>
      <numFmt numFmtId="0" formatCode="General"/>
    </dxf>
    <dxf>
      <font>
        <b val="0"/>
        <i val="0"/>
        <strike val="0"/>
        <condense val="0"/>
        <extend val="0"/>
        <outline val="0"/>
        <shadow val="0"/>
        <u val="none"/>
        <vertAlign val="baseline"/>
        <sz val="11"/>
        <color theme="1"/>
        <name val="Calibri"/>
        <family val="2"/>
        <scheme val="minor"/>
      </font>
      <numFmt numFmtId="0" formatCode="General"/>
    </dxf>
    <dxf>
      <numFmt numFmtId="0" formatCode="General"/>
    </dxf>
    <dxf>
      <font>
        <b val="0"/>
        <i val="0"/>
        <strike val="0"/>
        <condense val="0"/>
        <extend val="0"/>
        <outline val="0"/>
        <shadow val="0"/>
        <u val="none"/>
        <vertAlign val="baseline"/>
        <sz val="11"/>
        <color theme="1"/>
        <name val="Calibri"/>
        <family val="2"/>
        <scheme val="minor"/>
      </font>
    </dxf>
    <dxf>
      <font>
        <b val="0"/>
        <i val="0"/>
        <strike val="0"/>
        <condense val="0"/>
        <extend val="0"/>
        <outline val="0"/>
        <shadow val="0"/>
        <u val="none"/>
        <vertAlign val="baseline"/>
        <sz val="11"/>
        <color theme="1"/>
        <name val="Calibri"/>
        <family val="2"/>
        <scheme val="minor"/>
      </font>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theme="9"/>
      </font>
      <fill>
        <patternFill>
          <bgColor theme="9"/>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theme="9"/>
      </font>
      <fill>
        <patternFill>
          <bgColor theme="9"/>
        </patternFill>
      </fill>
    </dxf>
    <dxf>
      <font>
        <color theme="9"/>
      </font>
      <fill>
        <patternFill>
          <bgColor theme="9"/>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b val="0"/>
        <i val="0"/>
        <strike val="0"/>
        <condense val="0"/>
        <extend val="0"/>
        <outline val="0"/>
        <shadow val="0"/>
        <u val="none"/>
        <vertAlign val="baseline"/>
        <sz val="11"/>
        <color theme="1"/>
        <name val="Calibri"/>
        <family val="2"/>
        <scheme val="minor"/>
      </font>
    </dxf>
    <dxf>
      <font>
        <b val="0"/>
        <i val="0"/>
        <strike val="0"/>
        <condense val="0"/>
        <extend val="0"/>
        <outline val="0"/>
        <shadow val="0"/>
        <u val="none"/>
        <vertAlign val="baseline"/>
        <sz val="11"/>
        <color theme="1"/>
        <name val="Calibri"/>
        <family val="2"/>
        <scheme val="minor"/>
      </font>
      <numFmt numFmtId="164" formatCode="#,##0.00\ &quot;€&quot;"/>
    </dxf>
    <dxf>
      <font>
        <b val="0"/>
        <i val="0"/>
        <strike val="0"/>
        <condense val="0"/>
        <extend val="0"/>
        <outline val="0"/>
        <shadow val="0"/>
        <u val="none"/>
        <vertAlign val="baseline"/>
        <sz val="11"/>
        <color theme="1"/>
        <name val="Calibri"/>
        <family val="2"/>
        <scheme val="minor"/>
      </font>
      <numFmt numFmtId="0" formatCode="General"/>
    </dxf>
    <dxf>
      <font>
        <b val="0"/>
        <i val="0"/>
        <strike val="0"/>
        <condense val="0"/>
        <extend val="0"/>
        <outline val="0"/>
        <shadow val="0"/>
        <u val="none"/>
        <vertAlign val="baseline"/>
        <sz val="11"/>
        <color theme="1"/>
        <name val="Calibri"/>
        <family val="2"/>
        <scheme val="minor"/>
      </font>
    </dxf>
    <dxf>
      <font>
        <b val="0"/>
        <i val="0"/>
        <strike val="0"/>
        <condense val="0"/>
        <extend val="0"/>
        <outline val="0"/>
        <shadow val="0"/>
        <u val="none"/>
        <vertAlign val="baseline"/>
        <sz val="11"/>
        <color theme="1"/>
        <name val="Calibri"/>
        <family val="2"/>
        <scheme val="minor"/>
      </font>
      <numFmt numFmtId="0" formatCode="General"/>
    </dxf>
    <dxf>
      <font>
        <b val="0"/>
        <i val="0"/>
        <strike val="0"/>
        <condense val="0"/>
        <extend val="0"/>
        <outline val="0"/>
        <shadow val="0"/>
        <u val="none"/>
        <vertAlign val="baseline"/>
        <sz val="11"/>
        <color theme="1"/>
        <name val="Calibri"/>
        <family val="2"/>
        <scheme val="minor"/>
      </font>
      <numFmt numFmtId="0" formatCode="General"/>
    </dxf>
    <dxf>
      <numFmt numFmtId="0" formatCode="General"/>
    </dxf>
    <dxf>
      <font>
        <b val="0"/>
        <i val="0"/>
        <strike val="0"/>
        <condense val="0"/>
        <extend val="0"/>
        <outline val="0"/>
        <shadow val="0"/>
        <u val="none"/>
        <vertAlign val="baseline"/>
        <sz val="11"/>
        <color theme="1"/>
        <name val="Calibri"/>
        <family val="2"/>
        <scheme val="minor"/>
      </font>
    </dxf>
    <dxf>
      <font>
        <b val="0"/>
        <i val="0"/>
        <strike val="0"/>
        <condense val="0"/>
        <extend val="0"/>
        <outline val="0"/>
        <shadow val="0"/>
        <u val="none"/>
        <vertAlign val="baseline"/>
        <sz val="11"/>
        <color theme="1"/>
        <name val="Calibri"/>
        <family val="2"/>
        <scheme val="minor"/>
      </font>
    </dxf>
    <dxf>
      <font>
        <b val="0"/>
        <i val="0"/>
        <strike val="0"/>
        <condense val="0"/>
        <extend val="0"/>
        <outline val="0"/>
        <shadow val="0"/>
        <u val="none"/>
        <vertAlign val="baseline"/>
        <sz val="11"/>
        <color theme="1"/>
        <name val="Calibri"/>
        <family val="2"/>
        <scheme val="minor"/>
      </font>
    </dxf>
    <dxf>
      <font>
        <b val="0"/>
        <i val="0"/>
        <strike val="0"/>
        <condense val="0"/>
        <extend val="0"/>
        <outline val="0"/>
        <shadow val="0"/>
        <u val="none"/>
        <vertAlign val="baseline"/>
        <sz val="11"/>
        <color theme="1"/>
        <name val="Calibri"/>
        <family val="2"/>
        <scheme val="minor"/>
      </font>
      <numFmt numFmtId="164" formatCode="#,##0.00\ &quot;€&quot;"/>
    </dxf>
    <dxf>
      <font>
        <b val="0"/>
        <i val="0"/>
        <strike val="0"/>
        <condense val="0"/>
        <extend val="0"/>
        <outline val="0"/>
        <shadow val="0"/>
        <u val="none"/>
        <vertAlign val="baseline"/>
        <sz val="11"/>
        <color theme="1"/>
        <name val="Calibri"/>
        <family val="2"/>
        <scheme val="minor"/>
      </font>
      <numFmt numFmtId="0" formatCode="General"/>
    </dxf>
    <dxf>
      <font>
        <b val="0"/>
        <i val="0"/>
        <strike val="0"/>
        <condense val="0"/>
        <extend val="0"/>
        <outline val="0"/>
        <shadow val="0"/>
        <u val="none"/>
        <vertAlign val="baseline"/>
        <sz val="11"/>
        <color theme="1"/>
        <name val="Calibri"/>
        <family val="2"/>
        <scheme val="minor"/>
      </font>
    </dxf>
    <dxf>
      <font>
        <b val="0"/>
        <i val="0"/>
        <strike val="0"/>
        <condense val="0"/>
        <extend val="0"/>
        <outline val="0"/>
        <shadow val="0"/>
        <u val="none"/>
        <vertAlign val="baseline"/>
        <sz val="11"/>
        <color theme="1"/>
        <name val="Calibri"/>
        <family val="2"/>
        <scheme val="minor"/>
      </font>
      <numFmt numFmtId="0" formatCode="General"/>
    </dxf>
    <dxf>
      <font>
        <b val="0"/>
        <i val="0"/>
        <strike val="0"/>
        <condense val="0"/>
        <extend val="0"/>
        <outline val="0"/>
        <shadow val="0"/>
        <u val="none"/>
        <vertAlign val="baseline"/>
        <sz val="11"/>
        <color theme="1"/>
        <name val="Calibri"/>
        <family val="2"/>
        <scheme val="minor"/>
      </font>
      <numFmt numFmtId="0" formatCode="General"/>
    </dxf>
    <dxf>
      <numFmt numFmtId="0" formatCode="General"/>
    </dxf>
    <dxf>
      <font>
        <b val="0"/>
        <i val="0"/>
        <strike val="0"/>
        <condense val="0"/>
        <extend val="0"/>
        <outline val="0"/>
        <shadow val="0"/>
        <u val="none"/>
        <vertAlign val="baseline"/>
        <sz val="11"/>
        <color theme="1"/>
        <name val="Calibri"/>
        <family val="2"/>
        <scheme val="minor"/>
      </font>
    </dxf>
    <dxf>
      <font>
        <b val="0"/>
        <i val="0"/>
        <strike val="0"/>
        <condense val="0"/>
        <extend val="0"/>
        <outline val="0"/>
        <shadow val="0"/>
        <u val="none"/>
        <vertAlign val="baseline"/>
        <sz val="11"/>
        <color theme="1"/>
        <name val="Calibri"/>
        <family val="2"/>
        <scheme val="minor"/>
      </font>
    </dxf>
    <dxf>
      <font>
        <b val="0"/>
        <i val="0"/>
        <strike val="0"/>
        <condense val="0"/>
        <extend val="0"/>
        <outline val="0"/>
        <shadow val="0"/>
        <u val="none"/>
        <vertAlign val="baseline"/>
        <sz val="11"/>
        <color theme="1"/>
        <name val="Calibri"/>
        <family val="2"/>
        <scheme val="minor"/>
      </font>
      <numFmt numFmtId="34" formatCode="_-* #,##0.00\ &quot;€&quot;_-;\-* #,##0.00\ &quot;€&quot;_-;_-* &quot;-&quot;??\ &quot;€&quot;_-;_-@_-"/>
    </dxf>
    <dxf>
      <font>
        <b val="0"/>
        <i val="0"/>
        <strike val="0"/>
        <condense val="0"/>
        <extend val="0"/>
        <outline val="0"/>
        <shadow val="0"/>
        <u val="none"/>
        <vertAlign val="baseline"/>
        <sz val="11"/>
        <color theme="1"/>
        <name val="Calibri"/>
        <family val="2"/>
        <scheme val="minor"/>
      </font>
      <numFmt numFmtId="164" formatCode="#,##0.00\ &quot;€&quot;"/>
    </dxf>
    <dxf>
      <font>
        <b val="0"/>
        <i val="0"/>
        <strike val="0"/>
        <condense val="0"/>
        <extend val="0"/>
        <outline val="0"/>
        <shadow val="0"/>
        <u val="none"/>
        <vertAlign val="baseline"/>
        <sz val="11"/>
        <color theme="1"/>
        <name val="Calibri"/>
        <family val="2"/>
        <scheme val="minor"/>
      </font>
      <numFmt numFmtId="0" formatCode="General"/>
    </dxf>
    <dxf>
      <font>
        <b val="0"/>
        <i val="0"/>
        <strike val="0"/>
        <condense val="0"/>
        <extend val="0"/>
        <outline val="0"/>
        <shadow val="0"/>
        <u val="none"/>
        <vertAlign val="baseline"/>
        <sz val="11"/>
        <color theme="1"/>
        <name val="Calibri"/>
        <family val="2"/>
        <scheme val="minor"/>
      </font>
    </dxf>
    <dxf>
      <font>
        <b val="0"/>
        <i val="0"/>
        <strike val="0"/>
        <condense val="0"/>
        <extend val="0"/>
        <outline val="0"/>
        <shadow val="0"/>
        <u val="none"/>
        <vertAlign val="baseline"/>
        <sz val="11"/>
        <color theme="1"/>
        <name val="Calibri"/>
        <family val="2"/>
        <scheme val="minor"/>
      </font>
      <numFmt numFmtId="0" formatCode="General"/>
    </dxf>
    <dxf>
      <font>
        <b val="0"/>
        <i val="0"/>
        <strike val="0"/>
        <condense val="0"/>
        <extend val="0"/>
        <outline val="0"/>
        <shadow val="0"/>
        <u val="none"/>
        <vertAlign val="baseline"/>
        <sz val="11"/>
        <color theme="1"/>
        <name val="Calibri"/>
        <family val="2"/>
        <scheme val="minor"/>
      </font>
      <numFmt numFmtId="0" formatCode="General"/>
    </dxf>
    <dxf>
      <numFmt numFmtId="0" formatCode="General"/>
    </dxf>
    <dxf>
      <font>
        <b val="0"/>
        <i val="0"/>
        <strike val="0"/>
        <condense val="0"/>
        <extend val="0"/>
        <outline val="0"/>
        <shadow val="0"/>
        <u val="none"/>
        <vertAlign val="baseline"/>
        <sz val="11"/>
        <color theme="1"/>
        <name val="Calibri"/>
        <family val="2"/>
        <scheme val="minor"/>
      </font>
    </dxf>
    <dxf>
      <font>
        <b val="0"/>
        <i val="0"/>
        <strike val="0"/>
        <condense val="0"/>
        <extend val="0"/>
        <outline val="0"/>
        <shadow val="0"/>
        <u val="none"/>
        <vertAlign val="baseline"/>
        <sz val="11"/>
        <color theme="1"/>
        <name val="Calibri"/>
        <family val="2"/>
        <scheme val="minor"/>
      </font>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theme="9"/>
      </font>
      <fill>
        <patternFill>
          <bgColor theme="9"/>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theme="9"/>
      </font>
      <fill>
        <patternFill>
          <bgColor theme="9"/>
        </patternFill>
      </fill>
    </dxf>
    <dxf>
      <font>
        <color theme="9"/>
      </font>
      <fill>
        <patternFill>
          <bgColor theme="9"/>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b val="0"/>
        <i val="0"/>
        <strike val="0"/>
        <condense val="0"/>
        <extend val="0"/>
        <outline val="0"/>
        <shadow val="0"/>
        <u val="none"/>
        <vertAlign val="baseline"/>
        <sz val="11"/>
        <color theme="1"/>
        <name val="Calibri"/>
        <family val="2"/>
        <scheme val="minor"/>
      </font>
    </dxf>
    <dxf>
      <font>
        <b val="0"/>
        <i val="0"/>
        <strike val="0"/>
        <condense val="0"/>
        <extend val="0"/>
        <outline val="0"/>
        <shadow val="0"/>
        <u val="none"/>
        <vertAlign val="baseline"/>
        <sz val="11"/>
        <color theme="1"/>
        <name val="Calibri"/>
        <family val="2"/>
        <scheme val="minor"/>
      </font>
      <numFmt numFmtId="164" formatCode="#,##0.00\ &quot;€&quot;"/>
    </dxf>
    <dxf>
      <font>
        <b val="0"/>
        <i val="0"/>
        <strike val="0"/>
        <condense val="0"/>
        <extend val="0"/>
        <outline val="0"/>
        <shadow val="0"/>
        <u val="none"/>
        <vertAlign val="baseline"/>
        <sz val="11"/>
        <color theme="1"/>
        <name val="Calibri"/>
        <family val="2"/>
        <scheme val="minor"/>
      </font>
      <numFmt numFmtId="0" formatCode="General"/>
    </dxf>
    <dxf>
      <font>
        <b val="0"/>
        <i val="0"/>
        <strike val="0"/>
        <condense val="0"/>
        <extend val="0"/>
        <outline val="0"/>
        <shadow val="0"/>
        <u val="none"/>
        <vertAlign val="baseline"/>
        <sz val="11"/>
        <color theme="1"/>
        <name val="Calibri"/>
        <family val="2"/>
        <scheme val="minor"/>
      </font>
    </dxf>
    <dxf>
      <font>
        <b val="0"/>
        <i val="0"/>
        <strike val="0"/>
        <condense val="0"/>
        <extend val="0"/>
        <outline val="0"/>
        <shadow val="0"/>
        <u val="none"/>
        <vertAlign val="baseline"/>
        <sz val="11"/>
        <color theme="1"/>
        <name val="Calibri"/>
        <family val="2"/>
        <scheme val="minor"/>
      </font>
      <numFmt numFmtId="0" formatCode="General"/>
    </dxf>
    <dxf>
      <font>
        <b val="0"/>
        <i val="0"/>
        <strike val="0"/>
        <condense val="0"/>
        <extend val="0"/>
        <outline val="0"/>
        <shadow val="0"/>
        <u val="none"/>
        <vertAlign val="baseline"/>
        <sz val="11"/>
        <color theme="1"/>
        <name val="Calibri"/>
        <family val="2"/>
        <scheme val="minor"/>
      </font>
      <numFmt numFmtId="0" formatCode="General"/>
    </dxf>
    <dxf>
      <numFmt numFmtId="0" formatCode="General"/>
    </dxf>
    <dxf>
      <font>
        <b val="0"/>
        <i val="0"/>
        <strike val="0"/>
        <condense val="0"/>
        <extend val="0"/>
        <outline val="0"/>
        <shadow val="0"/>
        <u val="none"/>
        <vertAlign val="baseline"/>
        <sz val="11"/>
        <color theme="1"/>
        <name val="Calibri"/>
        <family val="2"/>
        <scheme val="minor"/>
      </font>
    </dxf>
    <dxf>
      <font>
        <b val="0"/>
        <i val="0"/>
        <strike val="0"/>
        <condense val="0"/>
        <extend val="0"/>
        <outline val="0"/>
        <shadow val="0"/>
        <u val="none"/>
        <vertAlign val="baseline"/>
        <sz val="11"/>
        <color theme="1"/>
        <name val="Calibri"/>
        <family val="2"/>
        <scheme val="minor"/>
      </font>
    </dxf>
    <dxf>
      <font>
        <b val="0"/>
        <i val="0"/>
        <strike val="0"/>
        <condense val="0"/>
        <extend val="0"/>
        <outline val="0"/>
        <shadow val="0"/>
        <u val="none"/>
        <vertAlign val="baseline"/>
        <sz val="11"/>
        <color theme="1"/>
        <name val="Calibri"/>
        <family val="2"/>
        <scheme val="minor"/>
      </font>
    </dxf>
    <dxf>
      <font>
        <b val="0"/>
        <i val="0"/>
        <strike val="0"/>
        <condense val="0"/>
        <extend val="0"/>
        <outline val="0"/>
        <shadow val="0"/>
        <u val="none"/>
        <vertAlign val="baseline"/>
        <sz val="11"/>
        <color theme="1"/>
        <name val="Calibri"/>
        <family val="2"/>
        <scheme val="minor"/>
      </font>
      <numFmt numFmtId="164" formatCode="#,##0.00\ &quot;€&quot;"/>
    </dxf>
    <dxf>
      <font>
        <b val="0"/>
        <i val="0"/>
        <strike val="0"/>
        <condense val="0"/>
        <extend val="0"/>
        <outline val="0"/>
        <shadow val="0"/>
        <u val="none"/>
        <vertAlign val="baseline"/>
        <sz val="11"/>
        <color theme="1"/>
        <name val="Calibri"/>
        <family val="2"/>
        <scheme val="minor"/>
      </font>
      <numFmt numFmtId="0" formatCode="General"/>
    </dxf>
    <dxf>
      <font>
        <b val="0"/>
        <i val="0"/>
        <strike val="0"/>
        <condense val="0"/>
        <extend val="0"/>
        <outline val="0"/>
        <shadow val="0"/>
        <u val="none"/>
        <vertAlign val="baseline"/>
        <sz val="11"/>
        <color theme="1"/>
        <name val="Calibri"/>
        <family val="2"/>
        <scheme val="minor"/>
      </font>
    </dxf>
    <dxf>
      <font>
        <b val="0"/>
        <i val="0"/>
        <strike val="0"/>
        <condense val="0"/>
        <extend val="0"/>
        <outline val="0"/>
        <shadow val="0"/>
        <u val="none"/>
        <vertAlign val="baseline"/>
        <sz val="11"/>
        <color theme="1"/>
        <name val="Calibri"/>
        <family val="2"/>
        <scheme val="minor"/>
      </font>
      <numFmt numFmtId="0" formatCode="General"/>
    </dxf>
    <dxf>
      <font>
        <b val="0"/>
        <i val="0"/>
        <strike val="0"/>
        <condense val="0"/>
        <extend val="0"/>
        <outline val="0"/>
        <shadow val="0"/>
        <u val="none"/>
        <vertAlign val="baseline"/>
        <sz val="11"/>
        <color theme="1"/>
        <name val="Calibri"/>
        <family val="2"/>
        <scheme val="minor"/>
      </font>
      <numFmt numFmtId="0" formatCode="General"/>
    </dxf>
    <dxf>
      <numFmt numFmtId="0" formatCode="General"/>
    </dxf>
    <dxf>
      <font>
        <b val="0"/>
        <i val="0"/>
        <strike val="0"/>
        <condense val="0"/>
        <extend val="0"/>
        <outline val="0"/>
        <shadow val="0"/>
        <u val="none"/>
        <vertAlign val="baseline"/>
        <sz val="11"/>
        <color theme="1"/>
        <name val="Calibri"/>
        <family val="2"/>
        <scheme val="minor"/>
      </font>
    </dxf>
    <dxf>
      <font>
        <b val="0"/>
        <i val="0"/>
        <strike val="0"/>
        <condense val="0"/>
        <extend val="0"/>
        <outline val="0"/>
        <shadow val="0"/>
        <u val="none"/>
        <vertAlign val="baseline"/>
        <sz val="11"/>
        <color theme="1"/>
        <name val="Calibri"/>
        <family val="2"/>
        <scheme val="minor"/>
      </font>
    </dxf>
    <dxf>
      <font>
        <b val="0"/>
        <i val="0"/>
        <strike val="0"/>
        <condense val="0"/>
        <extend val="0"/>
        <outline val="0"/>
        <shadow val="0"/>
        <u val="none"/>
        <vertAlign val="baseline"/>
        <sz val="11"/>
        <color theme="1"/>
        <name val="Calibri"/>
        <family val="2"/>
        <scheme val="minor"/>
      </font>
      <numFmt numFmtId="34" formatCode="_-* #,##0.00\ &quot;€&quot;_-;\-* #,##0.00\ &quot;€&quot;_-;_-* &quot;-&quot;??\ &quot;€&quot;_-;_-@_-"/>
    </dxf>
    <dxf>
      <font>
        <b val="0"/>
        <i val="0"/>
        <strike val="0"/>
        <condense val="0"/>
        <extend val="0"/>
        <outline val="0"/>
        <shadow val="0"/>
        <u val="none"/>
        <vertAlign val="baseline"/>
        <sz val="11"/>
        <color theme="1"/>
        <name val="Calibri"/>
        <family val="2"/>
        <scheme val="minor"/>
      </font>
      <numFmt numFmtId="164" formatCode="#,##0.00\ &quot;€&quot;"/>
    </dxf>
    <dxf>
      <font>
        <b val="0"/>
        <i val="0"/>
        <strike val="0"/>
        <condense val="0"/>
        <extend val="0"/>
        <outline val="0"/>
        <shadow val="0"/>
        <u val="none"/>
        <vertAlign val="baseline"/>
        <sz val="11"/>
        <color theme="1"/>
        <name val="Calibri"/>
        <family val="2"/>
        <scheme val="minor"/>
      </font>
      <numFmt numFmtId="0" formatCode="General"/>
    </dxf>
    <dxf>
      <font>
        <b val="0"/>
        <i val="0"/>
        <strike val="0"/>
        <condense val="0"/>
        <extend val="0"/>
        <outline val="0"/>
        <shadow val="0"/>
        <u val="none"/>
        <vertAlign val="baseline"/>
        <sz val="11"/>
        <color theme="1"/>
        <name val="Calibri"/>
        <family val="2"/>
        <scheme val="minor"/>
      </font>
    </dxf>
    <dxf>
      <font>
        <b val="0"/>
        <i val="0"/>
        <strike val="0"/>
        <condense val="0"/>
        <extend val="0"/>
        <outline val="0"/>
        <shadow val="0"/>
        <u val="none"/>
        <vertAlign val="baseline"/>
        <sz val="11"/>
        <color theme="1"/>
        <name val="Calibri"/>
        <family val="2"/>
        <scheme val="minor"/>
      </font>
      <numFmt numFmtId="0" formatCode="General"/>
    </dxf>
    <dxf>
      <font>
        <b val="0"/>
        <i val="0"/>
        <strike val="0"/>
        <condense val="0"/>
        <extend val="0"/>
        <outline val="0"/>
        <shadow val="0"/>
        <u val="none"/>
        <vertAlign val="baseline"/>
        <sz val="11"/>
        <color theme="1"/>
        <name val="Calibri"/>
        <family val="2"/>
        <scheme val="minor"/>
      </font>
      <numFmt numFmtId="0" formatCode="General"/>
    </dxf>
    <dxf>
      <numFmt numFmtId="0" formatCode="General"/>
    </dxf>
    <dxf>
      <font>
        <b val="0"/>
        <i val="0"/>
        <strike val="0"/>
        <condense val="0"/>
        <extend val="0"/>
        <outline val="0"/>
        <shadow val="0"/>
        <u val="none"/>
        <vertAlign val="baseline"/>
        <sz val="11"/>
        <color theme="1"/>
        <name val="Calibri"/>
        <family val="2"/>
        <scheme val="minor"/>
      </font>
    </dxf>
    <dxf>
      <font>
        <b val="0"/>
        <i val="0"/>
        <strike val="0"/>
        <condense val="0"/>
        <extend val="0"/>
        <outline val="0"/>
        <shadow val="0"/>
        <u val="none"/>
        <vertAlign val="baseline"/>
        <sz val="11"/>
        <color theme="1"/>
        <name val="Calibri"/>
        <family val="2"/>
        <scheme val="minor"/>
      </font>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theme="9"/>
      </font>
      <fill>
        <patternFill>
          <bgColor theme="9"/>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theme="9"/>
      </font>
      <fill>
        <patternFill>
          <bgColor theme="9"/>
        </patternFill>
      </fill>
    </dxf>
    <dxf>
      <font>
        <color theme="9"/>
      </font>
      <fill>
        <patternFill>
          <bgColor theme="9"/>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b val="0"/>
        <i val="0"/>
        <strike val="0"/>
        <condense val="0"/>
        <extend val="0"/>
        <outline val="0"/>
        <shadow val="0"/>
        <u val="none"/>
        <vertAlign val="baseline"/>
        <sz val="11"/>
        <color theme="1"/>
        <name val="Calibri"/>
        <family val="2"/>
        <scheme val="minor"/>
      </font>
    </dxf>
    <dxf>
      <font>
        <b val="0"/>
        <i val="0"/>
        <strike val="0"/>
        <condense val="0"/>
        <extend val="0"/>
        <outline val="0"/>
        <shadow val="0"/>
        <u val="none"/>
        <vertAlign val="baseline"/>
        <sz val="11"/>
        <color theme="1"/>
        <name val="Calibri"/>
        <family val="2"/>
        <scheme val="minor"/>
      </font>
      <numFmt numFmtId="164" formatCode="#,##0.00\ &quot;€&quot;"/>
    </dxf>
    <dxf>
      <font>
        <b val="0"/>
        <i val="0"/>
        <strike val="0"/>
        <condense val="0"/>
        <extend val="0"/>
        <outline val="0"/>
        <shadow val="0"/>
        <u val="none"/>
        <vertAlign val="baseline"/>
        <sz val="11"/>
        <color theme="1"/>
        <name val="Calibri"/>
        <family val="2"/>
        <scheme val="minor"/>
      </font>
      <numFmt numFmtId="0" formatCode="General"/>
    </dxf>
    <dxf>
      <font>
        <b val="0"/>
        <i val="0"/>
        <strike val="0"/>
        <condense val="0"/>
        <extend val="0"/>
        <outline val="0"/>
        <shadow val="0"/>
        <u val="none"/>
        <vertAlign val="baseline"/>
        <sz val="11"/>
        <color theme="1"/>
        <name val="Calibri"/>
        <family val="2"/>
        <scheme val="minor"/>
      </font>
    </dxf>
    <dxf>
      <font>
        <b val="0"/>
        <i val="0"/>
        <strike val="0"/>
        <condense val="0"/>
        <extend val="0"/>
        <outline val="0"/>
        <shadow val="0"/>
        <u val="none"/>
        <vertAlign val="baseline"/>
        <sz val="11"/>
        <color theme="1"/>
        <name val="Calibri"/>
        <family val="2"/>
        <scheme val="minor"/>
      </font>
      <numFmt numFmtId="0" formatCode="General"/>
    </dxf>
    <dxf>
      <font>
        <b val="0"/>
        <i val="0"/>
        <strike val="0"/>
        <condense val="0"/>
        <extend val="0"/>
        <outline val="0"/>
        <shadow val="0"/>
        <u val="none"/>
        <vertAlign val="baseline"/>
        <sz val="11"/>
        <color theme="1"/>
        <name val="Calibri"/>
        <family val="2"/>
        <scheme val="minor"/>
      </font>
      <numFmt numFmtId="0" formatCode="General"/>
    </dxf>
    <dxf>
      <numFmt numFmtId="0" formatCode="General"/>
    </dxf>
    <dxf>
      <font>
        <b val="0"/>
        <i val="0"/>
        <strike val="0"/>
        <condense val="0"/>
        <extend val="0"/>
        <outline val="0"/>
        <shadow val="0"/>
        <u val="none"/>
        <vertAlign val="baseline"/>
        <sz val="11"/>
        <color theme="1"/>
        <name val="Calibri"/>
        <family val="2"/>
        <scheme val="minor"/>
      </font>
    </dxf>
    <dxf>
      <font>
        <b val="0"/>
        <i val="0"/>
        <strike val="0"/>
        <condense val="0"/>
        <extend val="0"/>
        <outline val="0"/>
        <shadow val="0"/>
        <u val="none"/>
        <vertAlign val="baseline"/>
        <sz val="11"/>
        <color theme="1"/>
        <name val="Calibri"/>
        <family val="2"/>
        <scheme val="minor"/>
      </font>
    </dxf>
    <dxf>
      <font>
        <b val="0"/>
        <i val="0"/>
        <strike val="0"/>
        <condense val="0"/>
        <extend val="0"/>
        <outline val="0"/>
        <shadow val="0"/>
        <u val="none"/>
        <vertAlign val="baseline"/>
        <sz val="11"/>
        <color theme="1"/>
        <name val="Calibri"/>
        <family val="2"/>
        <scheme val="minor"/>
      </font>
    </dxf>
    <dxf>
      <font>
        <b val="0"/>
        <i val="0"/>
        <strike val="0"/>
        <condense val="0"/>
        <extend val="0"/>
        <outline val="0"/>
        <shadow val="0"/>
        <u val="none"/>
        <vertAlign val="baseline"/>
        <sz val="11"/>
        <color theme="1"/>
        <name val="Calibri"/>
        <family val="2"/>
        <scheme val="minor"/>
      </font>
      <numFmt numFmtId="164" formatCode="#,##0.00\ &quot;€&quot;"/>
    </dxf>
    <dxf>
      <font>
        <b val="0"/>
        <i val="0"/>
        <strike val="0"/>
        <condense val="0"/>
        <extend val="0"/>
        <outline val="0"/>
        <shadow val="0"/>
        <u val="none"/>
        <vertAlign val="baseline"/>
        <sz val="11"/>
        <color theme="1"/>
        <name val="Calibri"/>
        <family val="2"/>
        <scheme val="minor"/>
      </font>
      <numFmt numFmtId="0" formatCode="General"/>
    </dxf>
    <dxf>
      <font>
        <b val="0"/>
        <i val="0"/>
        <strike val="0"/>
        <condense val="0"/>
        <extend val="0"/>
        <outline val="0"/>
        <shadow val="0"/>
        <u val="none"/>
        <vertAlign val="baseline"/>
        <sz val="11"/>
        <color theme="1"/>
        <name val="Calibri"/>
        <family val="2"/>
        <scheme val="minor"/>
      </font>
    </dxf>
    <dxf>
      <font>
        <b val="0"/>
        <i val="0"/>
        <strike val="0"/>
        <condense val="0"/>
        <extend val="0"/>
        <outline val="0"/>
        <shadow val="0"/>
        <u val="none"/>
        <vertAlign val="baseline"/>
        <sz val="11"/>
        <color theme="1"/>
        <name val="Calibri"/>
        <family val="2"/>
        <scheme val="minor"/>
      </font>
      <numFmt numFmtId="0" formatCode="General"/>
    </dxf>
    <dxf>
      <font>
        <b val="0"/>
        <i val="0"/>
        <strike val="0"/>
        <condense val="0"/>
        <extend val="0"/>
        <outline val="0"/>
        <shadow val="0"/>
        <u val="none"/>
        <vertAlign val="baseline"/>
        <sz val="11"/>
        <color theme="1"/>
        <name val="Calibri"/>
        <family val="2"/>
        <scheme val="minor"/>
      </font>
      <numFmt numFmtId="0" formatCode="General"/>
    </dxf>
    <dxf>
      <numFmt numFmtId="0" formatCode="General"/>
    </dxf>
    <dxf>
      <font>
        <b val="0"/>
        <i val="0"/>
        <strike val="0"/>
        <condense val="0"/>
        <extend val="0"/>
        <outline val="0"/>
        <shadow val="0"/>
        <u val="none"/>
        <vertAlign val="baseline"/>
        <sz val="11"/>
        <color theme="1"/>
        <name val="Calibri"/>
        <family val="2"/>
        <scheme val="minor"/>
      </font>
    </dxf>
    <dxf>
      <font>
        <b val="0"/>
        <i val="0"/>
        <strike val="0"/>
        <condense val="0"/>
        <extend val="0"/>
        <outline val="0"/>
        <shadow val="0"/>
        <u val="none"/>
        <vertAlign val="baseline"/>
        <sz val="11"/>
        <color theme="1"/>
        <name val="Calibri"/>
        <family val="2"/>
        <scheme val="minor"/>
      </font>
    </dxf>
    <dxf>
      <font>
        <b val="0"/>
        <i val="0"/>
        <strike val="0"/>
        <condense val="0"/>
        <extend val="0"/>
        <outline val="0"/>
        <shadow val="0"/>
        <u val="none"/>
        <vertAlign val="baseline"/>
        <sz val="11"/>
        <color theme="1"/>
        <name val="Calibri"/>
        <family val="2"/>
        <scheme val="minor"/>
      </font>
      <numFmt numFmtId="34" formatCode="_-* #,##0.00\ &quot;€&quot;_-;\-* #,##0.00\ &quot;€&quot;_-;_-* &quot;-&quot;??\ &quot;€&quot;_-;_-@_-"/>
    </dxf>
    <dxf>
      <font>
        <b val="0"/>
        <i val="0"/>
        <strike val="0"/>
        <condense val="0"/>
        <extend val="0"/>
        <outline val="0"/>
        <shadow val="0"/>
        <u val="none"/>
        <vertAlign val="baseline"/>
        <sz val="11"/>
        <color theme="1"/>
        <name val="Calibri"/>
        <family val="2"/>
        <scheme val="minor"/>
      </font>
      <numFmt numFmtId="164" formatCode="#,##0.00\ &quot;€&quot;"/>
    </dxf>
    <dxf>
      <font>
        <b val="0"/>
        <i val="0"/>
        <strike val="0"/>
        <condense val="0"/>
        <extend val="0"/>
        <outline val="0"/>
        <shadow val="0"/>
        <u val="none"/>
        <vertAlign val="baseline"/>
        <sz val="11"/>
        <color theme="1"/>
        <name val="Calibri"/>
        <family val="2"/>
        <scheme val="minor"/>
      </font>
      <numFmt numFmtId="0" formatCode="General"/>
    </dxf>
    <dxf>
      <font>
        <b val="0"/>
        <i val="0"/>
        <strike val="0"/>
        <condense val="0"/>
        <extend val="0"/>
        <outline val="0"/>
        <shadow val="0"/>
        <u val="none"/>
        <vertAlign val="baseline"/>
        <sz val="11"/>
        <color theme="1"/>
        <name val="Calibri"/>
        <family val="2"/>
        <scheme val="minor"/>
      </font>
    </dxf>
    <dxf>
      <font>
        <b val="0"/>
        <i val="0"/>
        <strike val="0"/>
        <condense val="0"/>
        <extend val="0"/>
        <outline val="0"/>
        <shadow val="0"/>
        <u val="none"/>
        <vertAlign val="baseline"/>
        <sz val="11"/>
        <color theme="1"/>
        <name val="Calibri"/>
        <family val="2"/>
        <scheme val="minor"/>
      </font>
      <numFmt numFmtId="0" formatCode="General"/>
    </dxf>
    <dxf>
      <font>
        <b val="0"/>
        <i val="0"/>
        <strike val="0"/>
        <condense val="0"/>
        <extend val="0"/>
        <outline val="0"/>
        <shadow val="0"/>
        <u val="none"/>
        <vertAlign val="baseline"/>
        <sz val="11"/>
        <color theme="1"/>
        <name val="Calibri"/>
        <family val="2"/>
        <scheme val="minor"/>
      </font>
      <numFmt numFmtId="0" formatCode="General"/>
    </dxf>
    <dxf>
      <numFmt numFmtId="0" formatCode="General"/>
    </dxf>
    <dxf>
      <font>
        <b val="0"/>
        <i val="0"/>
        <strike val="0"/>
        <condense val="0"/>
        <extend val="0"/>
        <outline val="0"/>
        <shadow val="0"/>
        <u val="none"/>
        <vertAlign val="baseline"/>
        <sz val="11"/>
        <color theme="1"/>
        <name val="Calibri"/>
        <family val="2"/>
        <scheme val="minor"/>
      </font>
    </dxf>
    <dxf>
      <font>
        <b val="0"/>
        <i val="0"/>
        <strike val="0"/>
        <condense val="0"/>
        <extend val="0"/>
        <outline val="0"/>
        <shadow val="0"/>
        <u val="none"/>
        <vertAlign val="baseline"/>
        <sz val="11"/>
        <color theme="1"/>
        <name val="Calibri"/>
        <family val="2"/>
        <scheme val="minor"/>
      </font>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theme="9"/>
      </font>
      <fill>
        <patternFill>
          <bgColor theme="9"/>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theme="9"/>
      </font>
      <fill>
        <patternFill>
          <bgColor theme="9"/>
        </patternFill>
      </fill>
    </dxf>
    <dxf>
      <font>
        <color theme="9"/>
      </font>
      <fill>
        <patternFill>
          <bgColor theme="9"/>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b val="0"/>
        <i val="0"/>
        <strike val="0"/>
        <condense val="0"/>
        <extend val="0"/>
        <outline val="0"/>
        <shadow val="0"/>
        <u val="none"/>
        <vertAlign val="baseline"/>
        <sz val="11"/>
        <color theme="1"/>
        <name val="Calibri"/>
        <family val="2"/>
        <scheme val="minor"/>
      </font>
    </dxf>
    <dxf>
      <font>
        <b val="0"/>
        <i val="0"/>
        <strike val="0"/>
        <condense val="0"/>
        <extend val="0"/>
        <outline val="0"/>
        <shadow val="0"/>
        <u val="none"/>
        <vertAlign val="baseline"/>
        <sz val="11"/>
        <color theme="1"/>
        <name val="Calibri"/>
        <family val="2"/>
        <scheme val="minor"/>
      </font>
      <numFmt numFmtId="164" formatCode="#,##0.00\ &quot;€&quot;"/>
    </dxf>
    <dxf>
      <font>
        <b val="0"/>
        <i val="0"/>
        <strike val="0"/>
        <condense val="0"/>
        <extend val="0"/>
        <outline val="0"/>
        <shadow val="0"/>
        <u val="none"/>
        <vertAlign val="baseline"/>
        <sz val="11"/>
        <color theme="1"/>
        <name val="Calibri"/>
        <family val="2"/>
        <scheme val="minor"/>
      </font>
      <numFmt numFmtId="0" formatCode="General"/>
    </dxf>
    <dxf>
      <font>
        <b val="0"/>
        <i val="0"/>
        <strike val="0"/>
        <condense val="0"/>
        <extend val="0"/>
        <outline val="0"/>
        <shadow val="0"/>
        <u val="none"/>
        <vertAlign val="baseline"/>
        <sz val="11"/>
        <color theme="1"/>
        <name val="Calibri"/>
        <family val="2"/>
        <scheme val="minor"/>
      </font>
    </dxf>
    <dxf>
      <font>
        <b val="0"/>
        <i val="0"/>
        <strike val="0"/>
        <condense val="0"/>
        <extend val="0"/>
        <outline val="0"/>
        <shadow val="0"/>
        <u val="none"/>
        <vertAlign val="baseline"/>
        <sz val="11"/>
        <color theme="1"/>
        <name val="Calibri"/>
        <family val="2"/>
        <scheme val="minor"/>
      </font>
      <numFmt numFmtId="0" formatCode="General"/>
    </dxf>
    <dxf>
      <font>
        <b val="0"/>
        <i val="0"/>
        <strike val="0"/>
        <condense val="0"/>
        <extend val="0"/>
        <outline val="0"/>
        <shadow val="0"/>
        <u val="none"/>
        <vertAlign val="baseline"/>
        <sz val="11"/>
        <color theme="1"/>
        <name val="Calibri"/>
        <family val="2"/>
        <scheme val="minor"/>
      </font>
      <numFmt numFmtId="0" formatCode="General"/>
    </dxf>
    <dxf>
      <numFmt numFmtId="0" formatCode="General"/>
    </dxf>
    <dxf>
      <font>
        <b val="0"/>
        <i val="0"/>
        <strike val="0"/>
        <condense val="0"/>
        <extend val="0"/>
        <outline val="0"/>
        <shadow val="0"/>
        <u val="none"/>
        <vertAlign val="baseline"/>
        <sz val="11"/>
        <color theme="1"/>
        <name val="Calibri"/>
        <family val="2"/>
        <scheme val="minor"/>
      </font>
    </dxf>
    <dxf>
      <font>
        <b val="0"/>
        <i val="0"/>
        <strike val="0"/>
        <condense val="0"/>
        <extend val="0"/>
        <outline val="0"/>
        <shadow val="0"/>
        <u val="none"/>
        <vertAlign val="baseline"/>
        <sz val="11"/>
        <color theme="1"/>
        <name val="Calibri"/>
        <family val="2"/>
        <scheme val="minor"/>
      </font>
    </dxf>
    <dxf>
      <font>
        <b val="0"/>
        <i val="0"/>
        <strike val="0"/>
        <condense val="0"/>
        <extend val="0"/>
        <outline val="0"/>
        <shadow val="0"/>
        <u val="none"/>
        <vertAlign val="baseline"/>
        <sz val="11"/>
        <color theme="1"/>
        <name val="Calibri"/>
        <family val="2"/>
        <scheme val="minor"/>
      </font>
    </dxf>
    <dxf>
      <font>
        <b val="0"/>
        <i val="0"/>
        <strike val="0"/>
        <condense val="0"/>
        <extend val="0"/>
        <outline val="0"/>
        <shadow val="0"/>
        <u val="none"/>
        <vertAlign val="baseline"/>
        <sz val="11"/>
        <color theme="1"/>
        <name val="Calibri"/>
        <family val="2"/>
        <scheme val="minor"/>
      </font>
      <numFmt numFmtId="164" formatCode="#,##0.00\ &quot;€&quot;"/>
    </dxf>
    <dxf>
      <font>
        <b val="0"/>
        <i val="0"/>
        <strike val="0"/>
        <condense val="0"/>
        <extend val="0"/>
        <outline val="0"/>
        <shadow val="0"/>
        <u val="none"/>
        <vertAlign val="baseline"/>
        <sz val="11"/>
        <color theme="1"/>
        <name val="Calibri"/>
        <family val="2"/>
        <scheme val="minor"/>
      </font>
      <numFmt numFmtId="0" formatCode="General"/>
    </dxf>
    <dxf>
      <font>
        <b val="0"/>
        <i val="0"/>
        <strike val="0"/>
        <condense val="0"/>
        <extend val="0"/>
        <outline val="0"/>
        <shadow val="0"/>
        <u val="none"/>
        <vertAlign val="baseline"/>
        <sz val="11"/>
        <color theme="1"/>
        <name val="Calibri"/>
        <family val="2"/>
        <scheme val="minor"/>
      </font>
    </dxf>
    <dxf>
      <font>
        <b val="0"/>
        <i val="0"/>
        <strike val="0"/>
        <condense val="0"/>
        <extend val="0"/>
        <outline val="0"/>
        <shadow val="0"/>
        <u val="none"/>
        <vertAlign val="baseline"/>
        <sz val="11"/>
        <color theme="1"/>
        <name val="Calibri"/>
        <family val="2"/>
        <scheme val="minor"/>
      </font>
      <numFmt numFmtId="0" formatCode="General"/>
    </dxf>
    <dxf>
      <font>
        <b val="0"/>
        <i val="0"/>
        <strike val="0"/>
        <condense val="0"/>
        <extend val="0"/>
        <outline val="0"/>
        <shadow val="0"/>
        <u val="none"/>
        <vertAlign val="baseline"/>
        <sz val="11"/>
        <color theme="1"/>
        <name val="Calibri"/>
        <family val="2"/>
        <scheme val="minor"/>
      </font>
      <numFmt numFmtId="0" formatCode="General"/>
    </dxf>
    <dxf>
      <numFmt numFmtId="0" formatCode="General"/>
    </dxf>
    <dxf>
      <font>
        <b val="0"/>
        <i val="0"/>
        <strike val="0"/>
        <condense val="0"/>
        <extend val="0"/>
        <outline val="0"/>
        <shadow val="0"/>
        <u val="none"/>
        <vertAlign val="baseline"/>
        <sz val="11"/>
        <color theme="1"/>
        <name val="Calibri"/>
        <family val="2"/>
        <scheme val="minor"/>
      </font>
    </dxf>
    <dxf>
      <font>
        <b val="0"/>
        <i val="0"/>
        <strike val="0"/>
        <condense val="0"/>
        <extend val="0"/>
        <outline val="0"/>
        <shadow val="0"/>
        <u val="none"/>
        <vertAlign val="baseline"/>
        <sz val="11"/>
        <color theme="1"/>
        <name val="Calibri"/>
        <family val="2"/>
        <scheme val="minor"/>
      </font>
    </dxf>
    <dxf>
      <font>
        <b val="0"/>
        <i val="0"/>
        <strike val="0"/>
        <condense val="0"/>
        <extend val="0"/>
        <outline val="0"/>
        <shadow val="0"/>
        <u val="none"/>
        <vertAlign val="baseline"/>
        <sz val="11"/>
        <color theme="1"/>
        <name val="Calibri"/>
        <family val="2"/>
        <scheme val="minor"/>
      </font>
      <numFmt numFmtId="34" formatCode="_-* #,##0.00\ &quot;€&quot;_-;\-* #,##0.00\ &quot;€&quot;_-;_-* &quot;-&quot;??\ &quot;€&quot;_-;_-@_-"/>
    </dxf>
    <dxf>
      <font>
        <b val="0"/>
        <i val="0"/>
        <strike val="0"/>
        <condense val="0"/>
        <extend val="0"/>
        <outline val="0"/>
        <shadow val="0"/>
        <u val="none"/>
        <vertAlign val="baseline"/>
        <sz val="11"/>
        <color theme="1"/>
        <name val="Calibri"/>
        <family val="2"/>
        <scheme val="minor"/>
      </font>
      <numFmt numFmtId="164" formatCode="#,##0.00\ &quot;€&quot;"/>
    </dxf>
    <dxf>
      <font>
        <b val="0"/>
        <i val="0"/>
        <strike val="0"/>
        <condense val="0"/>
        <extend val="0"/>
        <outline val="0"/>
        <shadow val="0"/>
        <u val="none"/>
        <vertAlign val="baseline"/>
        <sz val="11"/>
        <color theme="1"/>
        <name val="Calibri"/>
        <family val="2"/>
        <scheme val="minor"/>
      </font>
      <numFmt numFmtId="0" formatCode="General"/>
    </dxf>
    <dxf>
      <font>
        <b val="0"/>
        <i val="0"/>
        <strike val="0"/>
        <condense val="0"/>
        <extend val="0"/>
        <outline val="0"/>
        <shadow val="0"/>
        <u val="none"/>
        <vertAlign val="baseline"/>
        <sz val="11"/>
        <color theme="1"/>
        <name val="Calibri"/>
        <family val="2"/>
        <scheme val="minor"/>
      </font>
    </dxf>
    <dxf>
      <font>
        <b val="0"/>
        <i val="0"/>
        <strike val="0"/>
        <condense val="0"/>
        <extend val="0"/>
        <outline val="0"/>
        <shadow val="0"/>
        <u val="none"/>
        <vertAlign val="baseline"/>
        <sz val="11"/>
        <color theme="1"/>
        <name val="Calibri"/>
        <family val="2"/>
        <scheme val="minor"/>
      </font>
      <numFmt numFmtId="0" formatCode="General"/>
    </dxf>
    <dxf>
      <font>
        <b val="0"/>
        <i val="0"/>
        <strike val="0"/>
        <condense val="0"/>
        <extend val="0"/>
        <outline val="0"/>
        <shadow val="0"/>
        <u val="none"/>
        <vertAlign val="baseline"/>
        <sz val="11"/>
        <color theme="1"/>
        <name val="Calibri"/>
        <family val="2"/>
        <scheme val="minor"/>
      </font>
      <numFmt numFmtId="0" formatCode="General"/>
    </dxf>
    <dxf>
      <numFmt numFmtId="0" formatCode="General"/>
    </dxf>
    <dxf>
      <font>
        <b val="0"/>
        <i val="0"/>
        <strike val="0"/>
        <condense val="0"/>
        <extend val="0"/>
        <outline val="0"/>
        <shadow val="0"/>
        <u val="none"/>
        <vertAlign val="baseline"/>
        <sz val="11"/>
        <color theme="1"/>
        <name val="Calibri"/>
        <family val="2"/>
        <scheme val="minor"/>
      </font>
    </dxf>
    <dxf>
      <font>
        <b val="0"/>
        <i val="0"/>
        <strike val="0"/>
        <condense val="0"/>
        <extend val="0"/>
        <outline val="0"/>
        <shadow val="0"/>
        <u val="none"/>
        <vertAlign val="baseline"/>
        <sz val="11"/>
        <color theme="1"/>
        <name val="Calibri"/>
        <family val="2"/>
        <scheme val="minor"/>
      </font>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theme="9"/>
      </font>
      <fill>
        <patternFill>
          <bgColor theme="9"/>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theme="9"/>
      </font>
      <fill>
        <patternFill>
          <bgColor theme="9"/>
        </patternFill>
      </fill>
    </dxf>
    <dxf>
      <font>
        <color theme="9"/>
      </font>
      <fill>
        <patternFill>
          <bgColor theme="9"/>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b val="0"/>
        <i val="0"/>
        <strike val="0"/>
        <condense val="0"/>
        <extend val="0"/>
        <outline val="0"/>
        <shadow val="0"/>
        <u val="none"/>
        <vertAlign val="baseline"/>
        <sz val="11"/>
        <color theme="1"/>
        <name val="Calibri"/>
        <family val="2"/>
        <scheme val="minor"/>
      </font>
    </dxf>
    <dxf>
      <font>
        <b val="0"/>
        <i val="0"/>
        <strike val="0"/>
        <condense val="0"/>
        <extend val="0"/>
        <outline val="0"/>
        <shadow val="0"/>
        <u val="none"/>
        <vertAlign val="baseline"/>
        <sz val="11"/>
        <color theme="1"/>
        <name val="Calibri"/>
        <family val="2"/>
        <scheme val="minor"/>
      </font>
      <numFmt numFmtId="164" formatCode="#,##0.00\ &quot;€&quot;"/>
    </dxf>
    <dxf>
      <font>
        <b val="0"/>
        <i val="0"/>
        <strike val="0"/>
        <condense val="0"/>
        <extend val="0"/>
        <outline val="0"/>
        <shadow val="0"/>
        <u val="none"/>
        <vertAlign val="baseline"/>
        <sz val="11"/>
        <color theme="1"/>
        <name val="Calibri"/>
        <family val="2"/>
        <scheme val="minor"/>
      </font>
      <numFmt numFmtId="0" formatCode="General"/>
    </dxf>
    <dxf>
      <font>
        <b val="0"/>
        <i val="0"/>
        <strike val="0"/>
        <condense val="0"/>
        <extend val="0"/>
        <outline val="0"/>
        <shadow val="0"/>
        <u val="none"/>
        <vertAlign val="baseline"/>
        <sz val="11"/>
        <color theme="1"/>
        <name val="Calibri"/>
        <family val="2"/>
        <scheme val="minor"/>
      </font>
    </dxf>
    <dxf>
      <font>
        <b val="0"/>
        <i val="0"/>
        <strike val="0"/>
        <condense val="0"/>
        <extend val="0"/>
        <outline val="0"/>
        <shadow val="0"/>
        <u val="none"/>
        <vertAlign val="baseline"/>
        <sz val="11"/>
        <color theme="1"/>
        <name val="Calibri"/>
        <family val="2"/>
        <scheme val="minor"/>
      </font>
      <numFmt numFmtId="0" formatCode="General"/>
    </dxf>
    <dxf>
      <font>
        <b val="0"/>
        <i val="0"/>
        <strike val="0"/>
        <condense val="0"/>
        <extend val="0"/>
        <outline val="0"/>
        <shadow val="0"/>
        <u val="none"/>
        <vertAlign val="baseline"/>
        <sz val="11"/>
        <color theme="1"/>
        <name val="Calibri"/>
        <family val="2"/>
        <scheme val="minor"/>
      </font>
      <numFmt numFmtId="0" formatCode="General"/>
    </dxf>
    <dxf>
      <numFmt numFmtId="0" formatCode="General"/>
    </dxf>
    <dxf>
      <font>
        <b val="0"/>
        <i val="0"/>
        <strike val="0"/>
        <condense val="0"/>
        <extend val="0"/>
        <outline val="0"/>
        <shadow val="0"/>
        <u val="none"/>
        <vertAlign val="baseline"/>
        <sz val="11"/>
        <color theme="1"/>
        <name val="Calibri"/>
        <family val="2"/>
        <scheme val="minor"/>
      </font>
    </dxf>
    <dxf>
      <font>
        <b val="0"/>
        <i val="0"/>
        <strike val="0"/>
        <condense val="0"/>
        <extend val="0"/>
        <outline val="0"/>
        <shadow val="0"/>
        <u val="none"/>
        <vertAlign val="baseline"/>
        <sz val="11"/>
        <color theme="1"/>
        <name val="Calibri"/>
        <family val="2"/>
        <scheme val="minor"/>
      </font>
    </dxf>
    <dxf>
      <font>
        <b val="0"/>
        <i val="0"/>
        <strike val="0"/>
        <condense val="0"/>
        <extend val="0"/>
        <outline val="0"/>
        <shadow val="0"/>
        <u val="none"/>
        <vertAlign val="baseline"/>
        <sz val="11"/>
        <color theme="1"/>
        <name val="Calibri"/>
        <family val="2"/>
        <scheme val="minor"/>
      </font>
    </dxf>
    <dxf>
      <font>
        <b val="0"/>
        <i val="0"/>
        <strike val="0"/>
        <condense val="0"/>
        <extend val="0"/>
        <outline val="0"/>
        <shadow val="0"/>
        <u val="none"/>
        <vertAlign val="baseline"/>
        <sz val="11"/>
        <color theme="1"/>
        <name val="Calibri"/>
        <family val="2"/>
        <scheme val="minor"/>
      </font>
      <numFmt numFmtId="164" formatCode="#,##0.00\ &quot;€&quot;"/>
    </dxf>
    <dxf>
      <font>
        <b val="0"/>
        <i val="0"/>
        <strike val="0"/>
        <condense val="0"/>
        <extend val="0"/>
        <outline val="0"/>
        <shadow val="0"/>
        <u val="none"/>
        <vertAlign val="baseline"/>
        <sz val="11"/>
        <color theme="1"/>
        <name val="Calibri"/>
        <family val="2"/>
        <scheme val="minor"/>
      </font>
      <numFmt numFmtId="0" formatCode="General"/>
    </dxf>
    <dxf>
      <font>
        <b val="0"/>
        <i val="0"/>
        <strike val="0"/>
        <condense val="0"/>
        <extend val="0"/>
        <outline val="0"/>
        <shadow val="0"/>
        <u val="none"/>
        <vertAlign val="baseline"/>
        <sz val="11"/>
        <color theme="1"/>
        <name val="Calibri"/>
        <family val="2"/>
        <scheme val="minor"/>
      </font>
    </dxf>
    <dxf>
      <font>
        <b val="0"/>
        <i val="0"/>
        <strike val="0"/>
        <condense val="0"/>
        <extend val="0"/>
        <outline val="0"/>
        <shadow val="0"/>
        <u val="none"/>
        <vertAlign val="baseline"/>
        <sz val="11"/>
        <color theme="1"/>
        <name val="Calibri"/>
        <family val="2"/>
        <scheme val="minor"/>
      </font>
      <numFmt numFmtId="0" formatCode="General"/>
    </dxf>
    <dxf>
      <font>
        <b val="0"/>
        <i val="0"/>
        <strike val="0"/>
        <condense val="0"/>
        <extend val="0"/>
        <outline val="0"/>
        <shadow val="0"/>
        <u val="none"/>
        <vertAlign val="baseline"/>
        <sz val="11"/>
        <color theme="1"/>
        <name val="Calibri"/>
        <family val="2"/>
        <scheme val="minor"/>
      </font>
      <numFmt numFmtId="0" formatCode="General"/>
    </dxf>
    <dxf>
      <numFmt numFmtId="0" formatCode="General"/>
    </dxf>
    <dxf>
      <font>
        <b val="0"/>
        <i val="0"/>
        <strike val="0"/>
        <condense val="0"/>
        <extend val="0"/>
        <outline val="0"/>
        <shadow val="0"/>
        <u val="none"/>
        <vertAlign val="baseline"/>
        <sz val="11"/>
        <color theme="1"/>
        <name val="Calibri"/>
        <family val="2"/>
        <scheme val="minor"/>
      </font>
    </dxf>
    <dxf>
      <font>
        <b val="0"/>
        <i val="0"/>
        <strike val="0"/>
        <condense val="0"/>
        <extend val="0"/>
        <outline val="0"/>
        <shadow val="0"/>
        <u val="none"/>
        <vertAlign val="baseline"/>
        <sz val="11"/>
        <color theme="1"/>
        <name val="Calibri"/>
        <family val="2"/>
        <scheme val="minor"/>
      </font>
    </dxf>
    <dxf>
      <font>
        <b val="0"/>
        <i val="0"/>
        <strike val="0"/>
        <condense val="0"/>
        <extend val="0"/>
        <outline val="0"/>
        <shadow val="0"/>
        <u val="none"/>
        <vertAlign val="baseline"/>
        <sz val="11"/>
        <color theme="1"/>
        <name val="Calibri"/>
        <family val="2"/>
        <scheme val="minor"/>
      </font>
      <numFmt numFmtId="34" formatCode="_-* #,##0.00\ &quot;€&quot;_-;\-* #,##0.00\ &quot;€&quot;_-;_-* &quot;-&quot;??\ &quot;€&quot;_-;_-@_-"/>
    </dxf>
    <dxf>
      <font>
        <b val="0"/>
        <i val="0"/>
        <strike val="0"/>
        <condense val="0"/>
        <extend val="0"/>
        <outline val="0"/>
        <shadow val="0"/>
        <u val="none"/>
        <vertAlign val="baseline"/>
        <sz val="11"/>
        <color theme="1"/>
        <name val="Calibri"/>
        <family val="2"/>
        <scheme val="minor"/>
      </font>
      <numFmt numFmtId="164" formatCode="#,##0.00\ &quot;€&quot;"/>
    </dxf>
    <dxf>
      <font>
        <b val="0"/>
        <i val="0"/>
        <strike val="0"/>
        <condense val="0"/>
        <extend val="0"/>
        <outline val="0"/>
        <shadow val="0"/>
        <u val="none"/>
        <vertAlign val="baseline"/>
        <sz val="11"/>
        <color theme="1"/>
        <name val="Calibri"/>
        <family val="2"/>
        <scheme val="minor"/>
      </font>
      <numFmt numFmtId="0" formatCode="General"/>
    </dxf>
    <dxf>
      <font>
        <b val="0"/>
        <i val="0"/>
        <strike val="0"/>
        <condense val="0"/>
        <extend val="0"/>
        <outline val="0"/>
        <shadow val="0"/>
        <u val="none"/>
        <vertAlign val="baseline"/>
        <sz val="11"/>
        <color theme="1"/>
        <name val="Calibri"/>
        <family val="2"/>
        <scheme val="minor"/>
      </font>
    </dxf>
    <dxf>
      <font>
        <b val="0"/>
        <i val="0"/>
        <strike val="0"/>
        <condense val="0"/>
        <extend val="0"/>
        <outline val="0"/>
        <shadow val="0"/>
        <u val="none"/>
        <vertAlign val="baseline"/>
        <sz val="11"/>
        <color theme="1"/>
        <name val="Calibri"/>
        <family val="2"/>
        <scheme val="minor"/>
      </font>
      <numFmt numFmtId="0" formatCode="General"/>
    </dxf>
    <dxf>
      <font>
        <b val="0"/>
        <i val="0"/>
        <strike val="0"/>
        <condense val="0"/>
        <extend val="0"/>
        <outline val="0"/>
        <shadow val="0"/>
        <u val="none"/>
        <vertAlign val="baseline"/>
        <sz val="11"/>
        <color theme="1"/>
        <name val="Calibri"/>
        <family val="2"/>
        <scheme val="minor"/>
      </font>
      <numFmt numFmtId="0" formatCode="General"/>
    </dxf>
    <dxf>
      <numFmt numFmtId="0" formatCode="General"/>
    </dxf>
    <dxf>
      <font>
        <b val="0"/>
        <i val="0"/>
        <strike val="0"/>
        <condense val="0"/>
        <extend val="0"/>
        <outline val="0"/>
        <shadow val="0"/>
        <u val="none"/>
        <vertAlign val="baseline"/>
        <sz val="11"/>
        <color theme="1"/>
        <name val="Calibri"/>
        <family val="2"/>
        <scheme val="minor"/>
      </font>
    </dxf>
    <dxf>
      <font>
        <b val="0"/>
        <i val="0"/>
        <strike val="0"/>
        <condense val="0"/>
        <extend val="0"/>
        <outline val="0"/>
        <shadow val="0"/>
        <u val="none"/>
        <vertAlign val="baseline"/>
        <sz val="11"/>
        <color theme="1"/>
        <name val="Calibri"/>
        <family val="2"/>
        <scheme val="minor"/>
      </font>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theme="9"/>
      </font>
      <fill>
        <patternFill>
          <bgColor theme="9"/>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theme="9"/>
      </font>
      <fill>
        <patternFill>
          <bgColor theme="9"/>
        </patternFill>
      </fill>
    </dxf>
    <dxf>
      <font>
        <color theme="9"/>
      </font>
      <fill>
        <patternFill>
          <bgColor theme="9"/>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b val="0"/>
        <i val="0"/>
        <strike val="0"/>
        <condense val="0"/>
        <extend val="0"/>
        <outline val="0"/>
        <shadow val="0"/>
        <u val="none"/>
        <vertAlign val="baseline"/>
        <sz val="11"/>
        <color theme="1"/>
        <name val="Calibri"/>
        <family val="2"/>
        <scheme val="minor"/>
      </font>
    </dxf>
    <dxf>
      <font>
        <b val="0"/>
        <i val="0"/>
        <strike val="0"/>
        <condense val="0"/>
        <extend val="0"/>
        <outline val="0"/>
        <shadow val="0"/>
        <u val="none"/>
        <vertAlign val="baseline"/>
        <sz val="11"/>
        <color theme="1"/>
        <name val="Calibri"/>
        <family val="2"/>
        <scheme val="minor"/>
      </font>
      <numFmt numFmtId="164" formatCode="#,##0.00\ &quot;€&quot;"/>
    </dxf>
    <dxf>
      <font>
        <b val="0"/>
        <i val="0"/>
        <strike val="0"/>
        <condense val="0"/>
        <extend val="0"/>
        <outline val="0"/>
        <shadow val="0"/>
        <u val="none"/>
        <vertAlign val="baseline"/>
        <sz val="11"/>
        <color theme="1"/>
        <name val="Calibri"/>
        <family val="2"/>
        <scheme val="minor"/>
      </font>
      <numFmt numFmtId="0" formatCode="General"/>
    </dxf>
    <dxf>
      <font>
        <b val="0"/>
        <i val="0"/>
        <strike val="0"/>
        <condense val="0"/>
        <extend val="0"/>
        <outline val="0"/>
        <shadow val="0"/>
        <u val="none"/>
        <vertAlign val="baseline"/>
        <sz val="11"/>
        <color theme="1"/>
        <name val="Calibri"/>
        <family val="2"/>
        <scheme val="minor"/>
      </font>
    </dxf>
    <dxf>
      <font>
        <b val="0"/>
        <i val="0"/>
        <strike val="0"/>
        <condense val="0"/>
        <extend val="0"/>
        <outline val="0"/>
        <shadow val="0"/>
        <u val="none"/>
        <vertAlign val="baseline"/>
        <sz val="11"/>
        <color theme="1"/>
        <name val="Calibri"/>
        <family val="2"/>
        <scheme val="minor"/>
      </font>
      <numFmt numFmtId="0" formatCode="General"/>
    </dxf>
    <dxf>
      <font>
        <b val="0"/>
        <i val="0"/>
        <strike val="0"/>
        <condense val="0"/>
        <extend val="0"/>
        <outline val="0"/>
        <shadow val="0"/>
        <u val="none"/>
        <vertAlign val="baseline"/>
        <sz val="11"/>
        <color theme="1"/>
        <name val="Calibri"/>
        <family val="2"/>
        <scheme val="minor"/>
      </font>
      <numFmt numFmtId="0" formatCode="General"/>
    </dxf>
    <dxf>
      <numFmt numFmtId="0" formatCode="General"/>
    </dxf>
    <dxf>
      <font>
        <b val="0"/>
        <i val="0"/>
        <strike val="0"/>
        <condense val="0"/>
        <extend val="0"/>
        <outline val="0"/>
        <shadow val="0"/>
        <u val="none"/>
        <vertAlign val="baseline"/>
        <sz val="11"/>
        <color theme="1"/>
        <name val="Calibri"/>
        <family val="2"/>
        <scheme val="minor"/>
      </font>
    </dxf>
    <dxf>
      <font>
        <b val="0"/>
        <i val="0"/>
        <strike val="0"/>
        <condense val="0"/>
        <extend val="0"/>
        <outline val="0"/>
        <shadow val="0"/>
        <u val="none"/>
        <vertAlign val="baseline"/>
        <sz val="11"/>
        <color theme="1"/>
        <name val="Calibri"/>
        <family val="2"/>
        <scheme val="minor"/>
      </font>
    </dxf>
    <dxf>
      <font>
        <b val="0"/>
        <i val="0"/>
        <strike val="0"/>
        <condense val="0"/>
        <extend val="0"/>
        <outline val="0"/>
        <shadow val="0"/>
        <u val="none"/>
        <vertAlign val="baseline"/>
        <sz val="11"/>
        <color theme="1"/>
        <name val="Calibri"/>
        <family val="2"/>
        <scheme val="minor"/>
      </font>
    </dxf>
    <dxf>
      <font>
        <b val="0"/>
        <i val="0"/>
        <strike val="0"/>
        <condense val="0"/>
        <extend val="0"/>
        <outline val="0"/>
        <shadow val="0"/>
        <u val="none"/>
        <vertAlign val="baseline"/>
        <sz val="11"/>
        <color theme="1"/>
        <name val="Calibri"/>
        <family val="2"/>
        <scheme val="minor"/>
      </font>
      <numFmt numFmtId="164" formatCode="#,##0.00\ &quot;€&quot;"/>
    </dxf>
    <dxf>
      <font>
        <b val="0"/>
        <i val="0"/>
        <strike val="0"/>
        <condense val="0"/>
        <extend val="0"/>
        <outline val="0"/>
        <shadow val="0"/>
        <u val="none"/>
        <vertAlign val="baseline"/>
        <sz val="11"/>
        <color theme="1"/>
        <name val="Calibri"/>
        <family val="2"/>
        <scheme val="minor"/>
      </font>
      <numFmt numFmtId="0" formatCode="General"/>
    </dxf>
    <dxf>
      <font>
        <b val="0"/>
        <i val="0"/>
        <strike val="0"/>
        <condense val="0"/>
        <extend val="0"/>
        <outline val="0"/>
        <shadow val="0"/>
        <u val="none"/>
        <vertAlign val="baseline"/>
        <sz val="11"/>
        <color theme="1"/>
        <name val="Calibri"/>
        <family val="2"/>
        <scheme val="minor"/>
      </font>
    </dxf>
    <dxf>
      <font>
        <b val="0"/>
        <i val="0"/>
        <strike val="0"/>
        <condense val="0"/>
        <extend val="0"/>
        <outline val="0"/>
        <shadow val="0"/>
        <u val="none"/>
        <vertAlign val="baseline"/>
        <sz val="11"/>
        <color theme="1"/>
        <name val="Calibri"/>
        <family val="2"/>
        <scheme val="minor"/>
      </font>
      <numFmt numFmtId="0" formatCode="General"/>
    </dxf>
    <dxf>
      <font>
        <b val="0"/>
        <i val="0"/>
        <strike val="0"/>
        <condense val="0"/>
        <extend val="0"/>
        <outline val="0"/>
        <shadow val="0"/>
        <u val="none"/>
        <vertAlign val="baseline"/>
        <sz val="11"/>
        <color theme="1"/>
        <name val="Calibri"/>
        <family val="2"/>
        <scheme val="minor"/>
      </font>
      <numFmt numFmtId="0" formatCode="General"/>
    </dxf>
    <dxf>
      <numFmt numFmtId="0" formatCode="General"/>
    </dxf>
    <dxf>
      <font>
        <b val="0"/>
        <i val="0"/>
        <strike val="0"/>
        <condense val="0"/>
        <extend val="0"/>
        <outline val="0"/>
        <shadow val="0"/>
        <u val="none"/>
        <vertAlign val="baseline"/>
        <sz val="11"/>
        <color theme="1"/>
        <name val="Calibri"/>
        <family val="2"/>
        <scheme val="minor"/>
      </font>
    </dxf>
    <dxf>
      <font>
        <b val="0"/>
        <i val="0"/>
        <strike val="0"/>
        <condense val="0"/>
        <extend val="0"/>
        <outline val="0"/>
        <shadow val="0"/>
        <u val="none"/>
        <vertAlign val="baseline"/>
        <sz val="11"/>
        <color theme="1"/>
        <name val="Calibri"/>
        <family val="2"/>
        <scheme val="minor"/>
      </font>
    </dxf>
    <dxf>
      <font>
        <b val="0"/>
        <i val="0"/>
        <strike val="0"/>
        <condense val="0"/>
        <extend val="0"/>
        <outline val="0"/>
        <shadow val="0"/>
        <u val="none"/>
        <vertAlign val="baseline"/>
        <sz val="11"/>
        <color theme="1"/>
        <name val="Calibri"/>
        <family val="2"/>
        <scheme val="minor"/>
      </font>
    </dxf>
    <dxf>
      <font>
        <b val="0"/>
        <i val="0"/>
        <strike val="0"/>
        <condense val="0"/>
        <extend val="0"/>
        <outline val="0"/>
        <shadow val="0"/>
        <u val="none"/>
        <vertAlign val="baseline"/>
        <sz val="11"/>
        <color theme="1"/>
        <name val="Calibri"/>
        <family val="2"/>
        <scheme val="minor"/>
      </font>
      <numFmt numFmtId="164" formatCode="#,##0.00\ &quot;€&quot;"/>
    </dxf>
    <dxf>
      <font>
        <b val="0"/>
        <i val="0"/>
        <strike val="0"/>
        <condense val="0"/>
        <extend val="0"/>
        <outline val="0"/>
        <shadow val="0"/>
        <u val="none"/>
        <vertAlign val="baseline"/>
        <sz val="11"/>
        <color theme="1"/>
        <name val="Calibri"/>
        <family val="2"/>
        <scheme val="minor"/>
      </font>
      <numFmt numFmtId="0" formatCode="General"/>
    </dxf>
    <dxf>
      <font>
        <b val="0"/>
        <i val="0"/>
        <strike val="0"/>
        <condense val="0"/>
        <extend val="0"/>
        <outline val="0"/>
        <shadow val="0"/>
        <u val="none"/>
        <vertAlign val="baseline"/>
        <sz val="11"/>
        <color theme="1"/>
        <name val="Calibri"/>
        <family val="2"/>
        <scheme val="minor"/>
      </font>
    </dxf>
    <dxf>
      <font>
        <b val="0"/>
        <i val="0"/>
        <strike val="0"/>
        <condense val="0"/>
        <extend val="0"/>
        <outline val="0"/>
        <shadow val="0"/>
        <u val="none"/>
        <vertAlign val="baseline"/>
        <sz val="11"/>
        <color theme="1"/>
        <name val="Calibri"/>
        <family val="2"/>
        <scheme val="minor"/>
      </font>
      <numFmt numFmtId="0" formatCode="General"/>
    </dxf>
    <dxf>
      <font>
        <b val="0"/>
        <i val="0"/>
        <strike val="0"/>
        <condense val="0"/>
        <extend val="0"/>
        <outline val="0"/>
        <shadow val="0"/>
        <u val="none"/>
        <vertAlign val="baseline"/>
        <sz val="11"/>
        <color theme="1"/>
        <name val="Calibri"/>
        <family val="2"/>
        <scheme val="minor"/>
      </font>
      <numFmt numFmtId="0" formatCode="General"/>
    </dxf>
    <dxf>
      <numFmt numFmtId="0" formatCode="General"/>
    </dxf>
    <dxf>
      <font>
        <b val="0"/>
        <i val="0"/>
        <strike val="0"/>
        <condense val="0"/>
        <extend val="0"/>
        <outline val="0"/>
        <shadow val="0"/>
        <u val="none"/>
        <vertAlign val="baseline"/>
        <sz val="11"/>
        <color theme="1"/>
        <name val="Calibri"/>
        <family val="2"/>
        <scheme val="minor"/>
      </font>
    </dxf>
    <dxf>
      <font>
        <b val="0"/>
        <i val="0"/>
        <strike val="0"/>
        <condense val="0"/>
        <extend val="0"/>
        <outline val="0"/>
        <shadow val="0"/>
        <u val="none"/>
        <vertAlign val="baseline"/>
        <sz val="11"/>
        <color theme="1"/>
        <name val="Calibri"/>
        <family val="2"/>
        <scheme val="minor"/>
      </font>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theme="9"/>
      </font>
      <fill>
        <patternFill>
          <bgColor theme="9"/>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theme="9"/>
      </font>
      <fill>
        <patternFill>
          <bgColor theme="9"/>
        </patternFill>
      </fill>
    </dxf>
    <dxf>
      <font>
        <color theme="9"/>
      </font>
      <fill>
        <patternFill>
          <bgColor theme="9"/>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b val="0"/>
        <i val="0"/>
        <strike val="0"/>
        <condense val="0"/>
        <extend val="0"/>
        <outline val="0"/>
        <shadow val="0"/>
        <u val="none"/>
        <vertAlign val="baseline"/>
        <sz val="11"/>
        <color theme="1"/>
        <name val="Calibri"/>
        <family val="2"/>
        <scheme val="minor"/>
      </font>
    </dxf>
    <dxf>
      <font>
        <b val="0"/>
        <i val="0"/>
        <strike val="0"/>
        <condense val="0"/>
        <extend val="0"/>
        <outline val="0"/>
        <shadow val="0"/>
        <u val="none"/>
        <vertAlign val="baseline"/>
        <sz val="11"/>
        <color theme="1"/>
        <name val="Calibri"/>
        <family val="2"/>
        <scheme val="minor"/>
      </font>
      <numFmt numFmtId="164" formatCode="#,##0.00\ &quot;€&quot;"/>
    </dxf>
    <dxf>
      <font>
        <b val="0"/>
        <i val="0"/>
        <strike val="0"/>
        <condense val="0"/>
        <extend val="0"/>
        <outline val="0"/>
        <shadow val="0"/>
        <u val="none"/>
        <vertAlign val="baseline"/>
        <sz val="11"/>
        <color theme="1"/>
        <name val="Calibri"/>
        <family val="2"/>
        <scheme val="minor"/>
      </font>
      <numFmt numFmtId="0" formatCode="General"/>
    </dxf>
    <dxf>
      <font>
        <b val="0"/>
        <i val="0"/>
        <strike val="0"/>
        <condense val="0"/>
        <extend val="0"/>
        <outline val="0"/>
        <shadow val="0"/>
        <u val="none"/>
        <vertAlign val="baseline"/>
        <sz val="11"/>
        <color theme="1"/>
        <name val="Calibri"/>
        <family val="2"/>
        <scheme val="minor"/>
      </font>
    </dxf>
    <dxf>
      <font>
        <b val="0"/>
        <i val="0"/>
        <strike val="0"/>
        <condense val="0"/>
        <extend val="0"/>
        <outline val="0"/>
        <shadow val="0"/>
        <u val="none"/>
        <vertAlign val="baseline"/>
        <sz val="11"/>
        <color theme="1"/>
        <name val="Calibri"/>
        <family val="2"/>
        <scheme val="minor"/>
      </font>
      <numFmt numFmtId="0" formatCode="General"/>
    </dxf>
    <dxf>
      <font>
        <b val="0"/>
        <i val="0"/>
        <strike val="0"/>
        <condense val="0"/>
        <extend val="0"/>
        <outline val="0"/>
        <shadow val="0"/>
        <u val="none"/>
        <vertAlign val="baseline"/>
        <sz val="11"/>
        <color theme="1"/>
        <name val="Calibri"/>
        <family val="2"/>
        <scheme val="minor"/>
      </font>
      <numFmt numFmtId="0" formatCode="General"/>
    </dxf>
    <dxf>
      <numFmt numFmtId="0" formatCode="General"/>
    </dxf>
    <dxf>
      <font>
        <b val="0"/>
        <i val="0"/>
        <strike val="0"/>
        <condense val="0"/>
        <extend val="0"/>
        <outline val="0"/>
        <shadow val="0"/>
        <u val="none"/>
        <vertAlign val="baseline"/>
        <sz val="11"/>
        <color theme="1"/>
        <name val="Calibri"/>
        <family val="2"/>
        <scheme val="minor"/>
      </font>
    </dxf>
    <dxf>
      <font>
        <b val="0"/>
        <i val="0"/>
        <strike val="0"/>
        <condense val="0"/>
        <extend val="0"/>
        <outline val="0"/>
        <shadow val="0"/>
        <u val="none"/>
        <vertAlign val="baseline"/>
        <sz val="11"/>
        <color theme="1"/>
        <name val="Calibri"/>
        <family val="2"/>
        <scheme val="minor"/>
      </font>
    </dxf>
    <dxf>
      <font>
        <b val="0"/>
        <i val="0"/>
        <strike val="0"/>
        <condense val="0"/>
        <extend val="0"/>
        <outline val="0"/>
        <shadow val="0"/>
        <u val="none"/>
        <vertAlign val="baseline"/>
        <sz val="11"/>
        <color theme="1"/>
        <name val="Calibri"/>
        <family val="2"/>
        <scheme val="minor"/>
      </font>
    </dxf>
    <dxf>
      <font>
        <b val="0"/>
        <i val="0"/>
        <strike val="0"/>
        <condense val="0"/>
        <extend val="0"/>
        <outline val="0"/>
        <shadow val="0"/>
        <u val="none"/>
        <vertAlign val="baseline"/>
        <sz val="11"/>
        <color theme="1"/>
        <name val="Calibri"/>
        <family val="2"/>
        <scheme val="minor"/>
      </font>
      <numFmt numFmtId="164" formatCode="#,##0.00\ &quot;€&quot;"/>
    </dxf>
    <dxf>
      <font>
        <b val="0"/>
        <i val="0"/>
        <strike val="0"/>
        <condense val="0"/>
        <extend val="0"/>
        <outline val="0"/>
        <shadow val="0"/>
        <u val="none"/>
        <vertAlign val="baseline"/>
        <sz val="11"/>
        <color theme="1"/>
        <name val="Calibri"/>
        <family val="2"/>
        <scheme val="minor"/>
      </font>
      <numFmt numFmtId="0" formatCode="General"/>
    </dxf>
    <dxf>
      <font>
        <b val="0"/>
        <i val="0"/>
        <strike val="0"/>
        <condense val="0"/>
        <extend val="0"/>
        <outline val="0"/>
        <shadow val="0"/>
        <u val="none"/>
        <vertAlign val="baseline"/>
        <sz val="11"/>
        <color theme="1"/>
        <name val="Calibri"/>
        <family val="2"/>
        <scheme val="minor"/>
      </font>
    </dxf>
    <dxf>
      <font>
        <b val="0"/>
        <i val="0"/>
        <strike val="0"/>
        <condense val="0"/>
        <extend val="0"/>
        <outline val="0"/>
        <shadow val="0"/>
        <u val="none"/>
        <vertAlign val="baseline"/>
        <sz val="11"/>
        <color theme="1"/>
        <name val="Calibri"/>
        <family val="2"/>
        <scheme val="minor"/>
      </font>
      <numFmt numFmtId="0" formatCode="General"/>
    </dxf>
    <dxf>
      <font>
        <b val="0"/>
        <i val="0"/>
        <strike val="0"/>
        <condense val="0"/>
        <extend val="0"/>
        <outline val="0"/>
        <shadow val="0"/>
        <u val="none"/>
        <vertAlign val="baseline"/>
        <sz val="11"/>
        <color theme="1"/>
        <name val="Calibri"/>
        <family val="2"/>
        <scheme val="minor"/>
      </font>
      <numFmt numFmtId="0" formatCode="General"/>
    </dxf>
    <dxf>
      <numFmt numFmtId="0" formatCode="General"/>
    </dxf>
    <dxf>
      <font>
        <b val="0"/>
        <i val="0"/>
        <strike val="0"/>
        <condense val="0"/>
        <extend val="0"/>
        <outline val="0"/>
        <shadow val="0"/>
        <u val="none"/>
        <vertAlign val="baseline"/>
        <sz val="11"/>
        <color theme="1"/>
        <name val="Calibri"/>
        <family val="2"/>
        <scheme val="minor"/>
      </font>
    </dxf>
    <dxf>
      <font>
        <b val="0"/>
        <i val="0"/>
        <strike val="0"/>
        <condense val="0"/>
        <extend val="0"/>
        <outline val="0"/>
        <shadow val="0"/>
        <u val="none"/>
        <vertAlign val="baseline"/>
        <sz val="11"/>
        <color theme="1"/>
        <name val="Calibri"/>
        <family val="2"/>
        <scheme val="minor"/>
      </font>
    </dxf>
    <dxf>
      <font>
        <b val="0"/>
        <i val="0"/>
        <strike val="0"/>
        <condense val="0"/>
        <extend val="0"/>
        <outline val="0"/>
        <shadow val="0"/>
        <u val="none"/>
        <vertAlign val="baseline"/>
        <sz val="11"/>
        <color theme="1"/>
        <name val="Calibri"/>
        <family val="2"/>
        <scheme val="minor"/>
      </font>
      <numFmt numFmtId="34" formatCode="_-* #,##0.00\ &quot;€&quot;_-;\-* #,##0.00\ &quot;€&quot;_-;_-* &quot;-&quot;??\ &quot;€&quot;_-;_-@_-"/>
    </dxf>
    <dxf>
      <font>
        <b val="0"/>
        <i val="0"/>
        <strike val="0"/>
        <condense val="0"/>
        <extend val="0"/>
        <outline val="0"/>
        <shadow val="0"/>
        <u val="none"/>
        <vertAlign val="baseline"/>
        <sz val="11"/>
        <color theme="1"/>
        <name val="Calibri"/>
        <family val="2"/>
        <scheme val="minor"/>
      </font>
      <numFmt numFmtId="164" formatCode="#,##0.00\ &quot;€&quot;"/>
    </dxf>
    <dxf>
      <font>
        <b val="0"/>
        <i val="0"/>
        <strike val="0"/>
        <condense val="0"/>
        <extend val="0"/>
        <outline val="0"/>
        <shadow val="0"/>
        <u val="none"/>
        <vertAlign val="baseline"/>
        <sz val="11"/>
        <color theme="1"/>
        <name val="Calibri"/>
        <family val="2"/>
        <scheme val="minor"/>
      </font>
      <numFmt numFmtId="0" formatCode="General"/>
    </dxf>
    <dxf>
      <font>
        <b val="0"/>
        <i val="0"/>
        <strike val="0"/>
        <condense val="0"/>
        <extend val="0"/>
        <outline val="0"/>
        <shadow val="0"/>
        <u val="none"/>
        <vertAlign val="baseline"/>
        <sz val="11"/>
        <color theme="1"/>
        <name val="Calibri"/>
        <family val="2"/>
        <scheme val="minor"/>
      </font>
    </dxf>
    <dxf>
      <font>
        <b val="0"/>
        <i val="0"/>
        <strike val="0"/>
        <condense val="0"/>
        <extend val="0"/>
        <outline val="0"/>
        <shadow val="0"/>
        <u val="none"/>
        <vertAlign val="baseline"/>
        <sz val="11"/>
        <color theme="1"/>
        <name val="Calibri"/>
        <family val="2"/>
        <scheme val="minor"/>
      </font>
      <numFmt numFmtId="0" formatCode="General"/>
    </dxf>
    <dxf>
      <font>
        <b val="0"/>
        <i val="0"/>
        <strike val="0"/>
        <condense val="0"/>
        <extend val="0"/>
        <outline val="0"/>
        <shadow val="0"/>
        <u val="none"/>
        <vertAlign val="baseline"/>
        <sz val="11"/>
        <color theme="1"/>
        <name val="Calibri"/>
        <family val="2"/>
        <scheme val="minor"/>
      </font>
      <numFmt numFmtId="0" formatCode="General"/>
    </dxf>
    <dxf>
      <numFmt numFmtId="0" formatCode="General"/>
    </dxf>
    <dxf>
      <font>
        <b val="0"/>
        <i val="0"/>
        <strike val="0"/>
        <condense val="0"/>
        <extend val="0"/>
        <outline val="0"/>
        <shadow val="0"/>
        <u val="none"/>
        <vertAlign val="baseline"/>
        <sz val="11"/>
        <color theme="1"/>
        <name val="Calibri"/>
        <family val="2"/>
        <scheme val="minor"/>
      </font>
    </dxf>
    <dxf>
      <font>
        <b val="0"/>
        <i val="0"/>
        <strike val="0"/>
        <condense val="0"/>
        <extend val="0"/>
        <outline val="0"/>
        <shadow val="0"/>
        <u val="none"/>
        <vertAlign val="baseline"/>
        <sz val="11"/>
        <color theme="1"/>
        <name val="Calibri"/>
        <family val="2"/>
        <scheme val="minor"/>
      </font>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theme="9"/>
      </font>
      <fill>
        <patternFill>
          <bgColor theme="9"/>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theme="9"/>
      </font>
      <fill>
        <patternFill>
          <bgColor theme="9"/>
        </patternFill>
      </fill>
    </dxf>
    <dxf>
      <font>
        <color theme="9"/>
      </font>
      <fill>
        <patternFill>
          <bgColor theme="9"/>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b val="0"/>
        <i val="0"/>
        <strike val="0"/>
        <condense val="0"/>
        <extend val="0"/>
        <outline val="0"/>
        <shadow val="0"/>
        <u val="none"/>
        <vertAlign val="baseline"/>
        <sz val="11"/>
        <color theme="1"/>
        <name val="Calibri"/>
        <family val="2"/>
        <scheme val="minor"/>
      </font>
    </dxf>
    <dxf>
      <font>
        <b val="0"/>
        <i val="0"/>
        <strike val="0"/>
        <condense val="0"/>
        <extend val="0"/>
        <outline val="0"/>
        <shadow val="0"/>
        <u val="none"/>
        <vertAlign val="baseline"/>
        <sz val="11"/>
        <color theme="1"/>
        <name val="Calibri"/>
        <family val="2"/>
        <scheme val="minor"/>
      </font>
      <numFmt numFmtId="164" formatCode="#,##0.00\ &quot;€&quot;"/>
    </dxf>
    <dxf>
      <font>
        <b val="0"/>
        <i val="0"/>
        <strike val="0"/>
        <condense val="0"/>
        <extend val="0"/>
        <outline val="0"/>
        <shadow val="0"/>
        <u val="none"/>
        <vertAlign val="baseline"/>
        <sz val="11"/>
        <color theme="1"/>
        <name val="Calibri"/>
        <family val="2"/>
        <scheme val="minor"/>
      </font>
      <numFmt numFmtId="0" formatCode="General"/>
    </dxf>
    <dxf>
      <font>
        <b val="0"/>
        <i val="0"/>
        <strike val="0"/>
        <condense val="0"/>
        <extend val="0"/>
        <outline val="0"/>
        <shadow val="0"/>
        <u val="none"/>
        <vertAlign val="baseline"/>
        <sz val="11"/>
        <color theme="1"/>
        <name val="Calibri"/>
        <family val="2"/>
        <scheme val="minor"/>
      </font>
    </dxf>
    <dxf>
      <font>
        <b val="0"/>
        <i val="0"/>
        <strike val="0"/>
        <condense val="0"/>
        <extend val="0"/>
        <outline val="0"/>
        <shadow val="0"/>
        <u val="none"/>
        <vertAlign val="baseline"/>
        <sz val="11"/>
        <color theme="1"/>
        <name val="Calibri"/>
        <family val="2"/>
        <scheme val="minor"/>
      </font>
      <numFmt numFmtId="0" formatCode="General"/>
    </dxf>
    <dxf>
      <font>
        <b val="0"/>
        <i val="0"/>
        <strike val="0"/>
        <condense val="0"/>
        <extend val="0"/>
        <outline val="0"/>
        <shadow val="0"/>
        <u val="none"/>
        <vertAlign val="baseline"/>
        <sz val="11"/>
        <color theme="1"/>
        <name val="Calibri"/>
        <family val="2"/>
        <scheme val="minor"/>
      </font>
      <numFmt numFmtId="0" formatCode="General"/>
    </dxf>
    <dxf>
      <numFmt numFmtId="0" formatCode="General"/>
    </dxf>
    <dxf>
      <font>
        <b val="0"/>
        <i val="0"/>
        <strike val="0"/>
        <condense val="0"/>
        <extend val="0"/>
        <outline val="0"/>
        <shadow val="0"/>
        <u val="none"/>
        <vertAlign val="baseline"/>
        <sz val="11"/>
        <color theme="1"/>
        <name val="Calibri"/>
        <family val="2"/>
        <scheme val="minor"/>
      </font>
    </dxf>
    <dxf>
      <font>
        <b val="0"/>
        <i val="0"/>
        <strike val="0"/>
        <condense val="0"/>
        <extend val="0"/>
        <outline val="0"/>
        <shadow val="0"/>
        <u val="none"/>
        <vertAlign val="baseline"/>
        <sz val="11"/>
        <color theme="1"/>
        <name val="Calibri"/>
        <family val="2"/>
        <scheme val="minor"/>
      </font>
    </dxf>
    <dxf>
      <font>
        <b val="0"/>
        <i val="0"/>
        <strike val="0"/>
        <condense val="0"/>
        <extend val="0"/>
        <outline val="0"/>
        <shadow val="0"/>
        <u val="none"/>
        <vertAlign val="baseline"/>
        <sz val="11"/>
        <color theme="1"/>
        <name val="Calibri"/>
        <family val="2"/>
        <scheme val="minor"/>
      </font>
    </dxf>
    <dxf>
      <font>
        <b val="0"/>
        <i val="0"/>
        <strike val="0"/>
        <condense val="0"/>
        <extend val="0"/>
        <outline val="0"/>
        <shadow val="0"/>
        <u val="none"/>
        <vertAlign val="baseline"/>
        <sz val="11"/>
        <color theme="1"/>
        <name val="Calibri"/>
        <family val="2"/>
        <scheme val="minor"/>
      </font>
      <numFmt numFmtId="164" formatCode="#,##0.00\ &quot;€&quot;"/>
    </dxf>
    <dxf>
      <font>
        <b val="0"/>
        <i val="0"/>
        <strike val="0"/>
        <condense val="0"/>
        <extend val="0"/>
        <outline val="0"/>
        <shadow val="0"/>
        <u val="none"/>
        <vertAlign val="baseline"/>
        <sz val="11"/>
        <color theme="1"/>
        <name val="Calibri"/>
        <family val="2"/>
        <scheme val="minor"/>
      </font>
      <numFmt numFmtId="0" formatCode="General"/>
    </dxf>
    <dxf>
      <font>
        <b val="0"/>
        <i val="0"/>
        <strike val="0"/>
        <condense val="0"/>
        <extend val="0"/>
        <outline val="0"/>
        <shadow val="0"/>
        <u val="none"/>
        <vertAlign val="baseline"/>
        <sz val="11"/>
        <color theme="1"/>
        <name val="Calibri"/>
        <family val="2"/>
        <scheme val="minor"/>
      </font>
    </dxf>
    <dxf>
      <font>
        <b val="0"/>
        <i val="0"/>
        <strike val="0"/>
        <condense val="0"/>
        <extend val="0"/>
        <outline val="0"/>
        <shadow val="0"/>
        <u val="none"/>
        <vertAlign val="baseline"/>
        <sz val="11"/>
        <color theme="1"/>
        <name val="Calibri"/>
        <family val="2"/>
        <scheme val="minor"/>
      </font>
      <numFmt numFmtId="0" formatCode="General"/>
    </dxf>
    <dxf>
      <font>
        <b val="0"/>
        <i val="0"/>
        <strike val="0"/>
        <condense val="0"/>
        <extend val="0"/>
        <outline val="0"/>
        <shadow val="0"/>
        <u val="none"/>
        <vertAlign val="baseline"/>
        <sz val="11"/>
        <color theme="1"/>
        <name val="Calibri"/>
        <family val="2"/>
        <scheme val="minor"/>
      </font>
      <numFmt numFmtId="0" formatCode="General"/>
    </dxf>
    <dxf>
      <numFmt numFmtId="0" formatCode="General"/>
    </dxf>
    <dxf>
      <font>
        <b val="0"/>
        <i val="0"/>
        <strike val="0"/>
        <condense val="0"/>
        <extend val="0"/>
        <outline val="0"/>
        <shadow val="0"/>
        <u val="none"/>
        <vertAlign val="baseline"/>
        <sz val="11"/>
        <color theme="1"/>
        <name val="Calibri"/>
        <family val="2"/>
        <scheme val="minor"/>
      </font>
    </dxf>
    <dxf>
      <font>
        <b val="0"/>
        <i val="0"/>
        <strike val="0"/>
        <condense val="0"/>
        <extend val="0"/>
        <outline val="0"/>
        <shadow val="0"/>
        <u val="none"/>
        <vertAlign val="baseline"/>
        <sz val="11"/>
        <color theme="1"/>
        <name val="Calibri"/>
        <family val="2"/>
        <scheme val="minor"/>
      </font>
    </dxf>
    <dxf>
      <font>
        <b val="0"/>
        <i val="0"/>
        <strike val="0"/>
        <condense val="0"/>
        <extend val="0"/>
        <outline val="0"/>
        <shadow val="0"/>
        <u val="none"/>
        <vertAlign val="baseline"/>
        <sz val="11"/>
        <color theme="1"/>
        <name val="Calibri"/>
        <family val="2"/>
        <scheme val="minor"/>
      </font>
      <numFmt numFmtId="34" formatCode="_-* #,##0.00\ &quot;€&quot;_-;\-* #,##0.00\ &quot;€&quot;_-;_-* &quot;-&quot;??\ &quot;€&quot;_-;_-@_-"/>
    </dxf>
    <dxf>
      <font>
        <b val="0"/>
        <i val="0"/>
        <strike val="0"/>
        <condense val="0"/>
        <extend val="0"/>
        <outline val="0"/>
        <shadow val="0"/>
        <u val="none"/>
        <vertAlign val="baseline"/>
        <sz val="11"/>
        <color theme="1"/>
        <name val="Calibri"/>
        <family val="2"/>
        <scheme val="minor"/>
      </font>
      <numFmt numFmtId="164" formatCode="#,##0.00\ &quot;€&quot;"/>
    </dxf>
    <dxf>
      <font>
        <b val="0"/>
        <i val="0"/>
        <strike val="0"/>
        <condense val="0"/>
        <extend val="0"/>
        <outline val="0"/>
        <shadow val="0"/>
        <u val="none"/>
        <vertAlign val="baseline"/>
        <sz val="11"/>
        <color theme="1"/>
        <name val="Calibri"/>
        <family val="2"/>
        <scheme val="minor"/>
      </font>
      <numFmt numFmtId="0" formatCode="General"/>
    </dxf>
    <dxf>
      <font>
        <b val="0"/>
        <i val="0"/>
        <strike val="0"/>
        <condense val="0"/>
        <extend val="0"/>
        <outline val="0"/>
        <shadow val="0"/>
        <u val="none"/>
        <vertAlign val="baseline"/>
        <sz val="11"/>
        <color theme="1"/>
        <name val="Calibri"/>
        <family val="2"/>
        <scheme val="minor"/>
      </font>
    </dxf>
    <dxf>
      <font>
        <b val="0"/>
        <i val="0"/>
        <strike val="0"/>
        <condense val="0"/>
        <extend val="0"/>
        <outline val="0"/>
        <shadow val="0"/>
        <u val="none"/>
        <vertAlign val="baseline"/>
        <sz val="11"/>
        <color theme="1"/>
        <name val="Calibri"/>
        <family val="2"/>
        <scheme val="minor"/>
      </font>
      <numFmt numFmtId="0" formatCode="General"/>
    </dxf>
    <dxf>
      <font>
        <b val="0"/>
        <i val="0"/>
        <strike val="0"/>
        <condense val="0"/>
        <extend val="0"/>
        <outline val="0"/>
        <shadow val="0"/>
        <u val="none"/>
        <vertAlign val="baseline"/>
        <sz val="11"/>
        <color theme="1"/>
        <name val="Calibri"/>
        <family val="2"/>
        <scheme val="minor"/>
      </font>
      <numFmt numFmtId="0" formatCode="General"/>
    </dxf>
    <dxf>
      <numFmt numFmtId="0" formatCode="General"/>
    </dxf>
    <dxf>
      <font>
        <b val="0"/>
        <i val="0"/>
        <strike val="0"/>
        <condense val="0"/>
        <extend val="0"/>
        <outline val="0"/>
        <shadow val="0"/>
        <u val="none"/>
        <vertAlign val="baseline"/>
        <sz val="11"/>
        <color theme="1"/>
        <name val="Calibri"/>
        <family val="2"/>
        <scheme val="minor"/>
      </font>
    </dxf>
    <dxf>
      <font>
        <b val="0"/>
        <i val="0"/>
        <strike val="0"/>
        <condense val="0"/>
        <extend val="0"/>
        <outline val="0"/>
        <shadow val="0"/>
        <u val="none"/>
        <vertAlign val="baseline"/>
        <sz val="11"/>
        <color theme="1"/>
        <name val="Calibri"/>
        <family val="2"/>
        <scheme val="minor"/>
      </font>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theme="9"/>
      </font>
      <fill>
        <patternFill>
          <bgColor theme="9"/>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theme="9"/>
      </font>
      <fill>
        <patternFill>
          <bgColor theme="9"/>
        </patternFill>
      </fill>
    </dxf>
    <dxf>
      <font>
        <color theme="9"/>
      </font>
      <fill>
        <patternFill>
          <bgColor theme="9"/>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b val="0"/>
        <i val="0"/>
        <strike val="0"/>
        <condense val="0"/>
        <extend val="0"/>
        <outline val="0"/>
        <shadow val="0"/>
        <u val="none"/>
        <vertAlign val="baseline"/>
        <sz val="11"/>
        <color theme="1"/>
        <name val="Calibri"/>
        <family val="2"/>
        <scheme val="minor"/>
      </font>
    </dxf>
    <dxf>
      <font>
        <b val="0"/>
        <i val="0"/>
        <strike val="0"/>
        <condense val="0"/>
        <extend val="0"/>
        <outline val="0"/>
        <shadow val="0"/>
        <u val="none"/>
        <vertAlign val="baseline"/>
        <sz val="11"/>
        <color theme="1"/>
        <name val="Calibri"/>
        <family val="2"/>
        <scheme val="minor"/>
      </font>
      <numFmt numFmtId="164" formatCode="#,##0.00\ &quot;€&quot;"/>
    </dxf>
    <dxf>
      <font>
        <b val="0"/>
        <i val="0"/>
        <strike val="0"/>
        <condense val="0"/>
        <extend val="0"/>
        <outline val="0"/>
        <shadow val="0"/>
        <u val="none"/>
        <vertAlign val="baseline"/>
        <sz val="11"/>
        <color theme="1"/>
        <name val="Calibri"/>
        <family val="2"/>
        <scheme val="minor"/>
      </font>
      <numFmt numFmtId="0" formatCode="General"/>
    </dxf>
    <dxf>
      <font>
        <b val="0"/>
        <i val="0"/>
        <strike val="0"/>
        <condense val="0"/>
        <extend val="0"/>
        <outline val="0"/>
        <shadow val="0"/>
        <u val="none"/>
        <vertAlign val="baseline"/>
        <sz val="11"/>
        <color theme="1"/>
        <name val="Calibri"/>
        <family val="2"/>
        <scheme val="minor"/>
      </font>
    </dxf>
    <dxf>
      <font>
        <b val="0"/>
        <i val="0"/>
        <strike val="0"/>
        <condense val="0"/>
        <extend val="0"/>
        <outline val="0"/>
        <shadow val="0"/>
        <u val="none"/>
        <vertAlign val="baseline"/>
        <sz val="11"/>
        <color theme="1"/>
        <name val="Calibri"/>
        <family val="2"/>
        <scheme val="minor"/>
      </font>
      <numFmt numFmtId="0" formatCode="General"/>
    </dxf>
    <dxf>
      <font>
        <b val="0"/>
        <i val="0"/>
        <strike val="0"/>
        <condense val="0"/>
        <extend val="0"/>
        <outline val="0"/>
        <shadow val="0"/>
        <u val="none"/>
        <vertAlign val="baseline"/>
        <sz val="11"/>
        <color theme="1"/>
        <name val="Calibri"/>
        <family val="2"/>
        <scheme val="minor"/>
      </font>
      <numFmt numFmtId="0" formatCode="General"/>
    </dxf>
    <dxf>
      <numFmt numFmtId="0" formatCode="General"/>
    </dxf>
    <dxf>
      <font>
        <b val="0"/>
        <i val="0"/>
        <strike val="0"/>
        <condense val="0"/>
        <extend val="0"/>
        <outline val="0"/>
        <shadow val="0"/>
        <u val="none"/>
        <vertAlign val="baseline"/>
        <sz val="11"/>
        <color theme="1"/>
        <name val="Calibri"/>
        <family val="2"/>
        <scheme val="minor"/>
      </font>
    </dxf>
    <dxf>
      <font>
        <b val="0"/>
        <i val="0"/>
        <strike val="0"/>
        <condense val="0"/>
        <extend val="0"/>
        <outline val="0"/>
        <shadow val="0"/>
        <u val="none"/>
        <vertAlign val="baseline"/>
        <sz val="11"/>
        <color theme="1"/>
        <name val="Calibri"/>
        <family val="2"/>
        <scheme val="minor"/>
      </font>
    </dxf>
    <dxf>
      <font>
        <b val="0"/>
        <i val="0"/>
        <strike val="0"/>
        <condense val="0"/>
        <extend val="0"/>
        <outline val="0"/>
        <shadow val="0"/>
        <u val="none"/>
        <vertAlign val="baseline"/>
        <sz val="11"/>
        <color theme="1"/>
        <name val="Calibri"/>
        <family val="2"/>
        <scheme val="minor"/>
      </font>
    </dxf>
    <dxf>
      <font>
        <b val="0"/>
        <i val="0"/>
        <strike val="0"/>
        <condense val="0"/>
        <extend val="0"/>
        <outline val="0"/>
        <shadow val="0"/>
        <u val="none"/>
        <vertAlign val="baseline"/>
        <sz val="11"/>
        <color theme="1"/>
        <name val="Calibri"/>
        <family val="2"/>
        <scheme val="minor"/>
      </font>
      <numFmt numFmtId="164" formatCode="#,##0.00\ &quot;€&quot;"/>
    </dxf>
    <dxf>
      <font>
        <b val="0"/>
        <i val="0"/>
        <strike val="0"/>
        <condense val="0"/>
        <extend val="0"/>
        <outline val="0"/>
        <shadow val="0"/>
        <u val="none"/>
        <vertAlign val="baseline"/>
        <sz val="11"/>
        <color theme="1"/>
        <name val="Calibri"/>
        <family val="2"/>
        <scheme val="minor"/>
      </font>
      <numFmt numFmtId="0" formatCode="General"/>
    </dxf>
    <dxf>
      <font>
        <b val="0"/>
        <i val="0"/>
        <strike val="0"/>
        <condense val="0"/>
        <extend val="0"/>
        <outline val="0"/>
        <shadow val="0"/>
        <u val="none"/>
        <vertAlign val="baseline"/>
        <sz val="11"/>
        <color theme="1"/>
        <name val="Calibri"/>
        <family val="2"/>
        <scheme val="minor"/>
      </font>
    </dxf>
    <dxf>
      <font>
        <b val="0"/>
        <i val="0"/>
        <strike val="0"/>
        <condense val="0"/>
        <extend val="0"/>
        <outline val="0"/>
        <shadow val="0"/>
        <u val="none"/>
        <vertAlign val="baseline"/>
        <sz val="11"/>
        <color theme="1"/>
        <name val="Calibri"/>
        <family val="2"/>
        <scheme val="minor"/>
      </font>
      <numFmt numFmtId="0" formatCode="General"/>
    </dxf>
    <dxf>
      <font>
        <b val="0"/>
        <i val="0"/>
        <strike val="0"/>
        <condense val="0"/>
        <extend val="0"/>
        <outline val="0"/>
        <shadow val="0"/>
        <u val="none"/>
        <vertAlign val="baseline"/>
        <sz val="11"/>
        <color theme="1"/>
        <name val="Calibri"/>
        <family val="2"/>
        <scheme val="minor"/>
      </font>
      <numFmt numFmtId="0" formatCode="General"/>
    </dxf>
    <dxf>
      <numFmt numFmtId="0" formatCode="General"/>
    </dxf>
    <dxf>
      <font>
        <b val="0"/>
        <i val="0"/>
        <strike val="0"/>
        <condense val="0"/>
        <extend val="0"/>
        <outline val="0"/>
        <shadow val="0"/>
        <u val="none"/>
        <vertAlign val="baseline"/>
        <sz val="11"/>
        <color theme="1"/>
        <name val="Calibri"/>
        <family val="2"/>
        <scheme val="minor"/>
      </font>
    </dxf>
    <dxf>
      <font>
        <b val="0"/>
        <i val="0"/>
        <strike val="0"/>
        <condense val="0"/>
        <extend val="0"/>
        <outline val="0"/>
        <shadow val="0"/>
        <u val="none"/>
        <vertAlign val="baseline"/>
        <sz val="11"/>
        <color theme="1"/>
        <name val="Calibri"/>
        <family val="2"/>
        <scheme val="minor"/>
      </font>
    </dxf>
    <dxf>
      <font>
        <b val="0"/>
        <i val="0"/>
        <strike val="0"/>
        <condense val="0"/>
        <extend val="0"/>
        <outline val="0"/>
        <shadow val="0"/>
        <u val="none"/>
        <vertAlign val="baseline"/>
        <sz val="11"/>
        <color theme="1"/>
        <name val="Calibri"/>
        <family val="2"/>
        <scheme val="minor"/>
      </font>
      <numFmt numFmtId="34" formatCode="_-* #,##0.00\ &quot;€&quot;_-;\-* #,##0.00\ &quot;€&quot;_-;_-* &quot;-&quot;??\ &quot;€&quot;_-;_-@_-"/>
    </dxf>
    <dxf>
      <font>
        <b val="0"/>
        <i val="0"/>
        <strike val="0"/>
        <condense val="0"/>
        <extend val="0"/>
        <outline val="0"/>
        <shadow val="0"/>
        <u val="none"/>
        <vertAlign val="baseline"/>
        <sz val="11"/>
        <color theme="1"/>
        <name val="Calibri"/>
        <family val="2"/>
        <scheme val="minor"/>
      </font>
      <numFmt numFmtId="164" formatCode="#,##0.00\ &quot;€&quot;"/>
    </dxf>
    <dxf>
      <font>
        <b val="0"/>
        <i val="0"/>
        <strike val="0"/>
        <condense val="0"/>
        <extend val="0"/>
        <outline val="0"/>
        <shadow val="0"/>
        <u val="none"/>
        <vertAlign val="baseline"/>
        <sz val="11"/>
        <color theme="1"/>
        <name val="Calibri"/>
        <family val="2"/>
        <scheme val="minor"/>
      </font>
      <numFmt numFmtId="0" formatCode="General"/>
    </dxf>
    <dxf>
      <font>
        <b val="0"/>
        <i val="0"/>
        <strike val="0"/>
        <condense val="0"/>
        <extend val="0"/>
        <outline val="0"/>
        <shadow val="0"/>
        <u val="none"/>
        <vertAlign val="baseline"/>
        <sz val="11"/>
        <color theme="1"/>
        <name val="Calibri"/>
        <family val="2"/>
        <scheme val="minor"/>
      </font>
    </dxf>
    <dxf>
      <font>
        <b val="0"/>
        <i val="0"/>
        <strike val="0"/>
        <condense val="0"/>
        <extend val="0"/>
        <outline val="0"/>
        <shadow val="0"/>
        <u val="none"/>
        <vertAlign val="baseline"/>
        <sz val="11"/>
        <color theme="1"/>
        <name val="Calibri"/>
        <family val="2"/>
        <scheme val="minor"/>
      </font>
      <numFmt numFmtId="0" formatCode="General"/>
    </dxf>
    <dxf>
      <font>
        <b val="0"/>
        <i val="0"/>
        <strike val="0"/>
        <condense val="0"/>
        <extend val="0"/>
        <outline val="0"/>
        <shadow val="0"/>
        <u val="none"/>
        <vertAlign val="baseline"/>
        <sz val="11"/>
        <color theme="1"/>
        <name val="Calibri"/>
        <family val="2"/>
        <scheme val="minor"/>
      </font>
      <numFmt numFmtId="0" formatCode="General"/>
    </dxf>
    <dxf>
      <numFmt numFmtId="0" formatCode="General"/>
    </dxf>
    <dxf>
      <font>
        <b val="0"/>
        <i val="0"/>
        <strike val="0"/>
        <condense val="0"/>
        <extend val="0"/>
        <outline val="0"/>
        <shadow val="0"/>
        <u val="none"/>
        <vertAlign val="baseline"/>
        <sz val="11"/>
        <color theme="1"/>
        <name val="Calibri"/>
        <family val="2"/>
        <scheme val="minor"/>
      </font>
    </dxf>
    <dxf>
      <font>
        <b val="0"/>
        <i val="0"/>
        <strike val="0"/>
        <condense val="0"/>
        <extend val="0"/>
        <outline val="0"/>
        <shadow val="0"/>
        <u val="none"/>
        <vertAlign val="baseline"/>
        <sz val="11"/>
        <color theme="1"/>
        <name val="Calibri"/>
        <family val="2"/>
        <scheme val="minor"/>
      </font>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theme="9"/>
      </font>
      <fill>
        <patternFill>
          <bgColor theme="9"/>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theme="9"/>
      </font>
      <fill>
        <patternFill>
          <bgColor theme="9"/>
        </patternFill>
      </fill>
    </dxf>
    <dxf>
      <font>
        <color theme="9"/>
      </font>
      <fill>
        <patternFill>
          <bgColor theme="9"/>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b val="0"/>
        <i val="0"/>
        <strike val="0"/>
        <condense val="0"/>
        <extend val="0"/>
        <outline val="0"/>
        <shadow val="0"/>
        <u val="none"/>
        <vertAlign val="baseline"/>
        <sz val="11"/>
        <color theme="1"/>
        <name val="Calibri"/>
        <family val="2"/>
        <scheme val="minor"/>
      </font>
    </dxf>
    <dxf>
      <font>
        <b val="0"/>
        <i val="0"/>
        <strike val="0"/>
        <condense val="0"/>
        <extend val="0"/>
        <outline val="0"/>
        <shadow val="0"/>
        <u val="none"/>
        <vertAlign val="baseline"/>
        <sz val="11"/>
        <color theme="1"/>
        <name val="Calibri"/>
        <family val="2"/>
        <scheme val="minor"/>
      </font>
      <numFmt numFmtId="164" formatCode="#,##0.00\ &quot;€&quot;"/>
    </dxf>
    <dxf>
      <font>
        <b val="0"/>
        <i val="0"/>
        <strike val="0"/>
        <condense val="0"/>
        <extend val="0"/>
        <outline val="0"/>
        <shadow val="0"/>
        <u val="none"/>
        <vertAlign val="baseline"/>
        <sz val="11"/>
        <color theme="1"/>
        <name val="Calibri"/>
        <family val="2"/>
        <scheme val="minor"/>
      </font>
      <numFmt numFmtId="0" formatCode="General"/>
    </dxf>
    <dxf>
      <font>
        <b val="0"/>
        <i val="0"/>
        <strike val="0"/>
        <condense val="0"/>
        <extend val="0"/>
        <outline val="0"/>
        <shadow val="0"/>
        <u val="none"/>
        <vertAlign val="baseline"/>
        <sz val="11"/>
        <color theme="1"/>
        <name val="Calibri"/>
        <family val="2"/>
        <scheme val="minor"/>
      </font>
    </dxf>
    <dxf>
      <font>
        <b val="0"/>
        <i val="0"/>
        <strike val="0"/>
        <condense val="0"/>
        <extend val="0"/>
        <outline val="0"/>
        <shadow val="0"/>
        <u val="none"/>
        <vertAlign val="baseline"/>
        <sz val="11"/>
        <color theme="1"/>
        <name val="Calibri"/>
        <family val="2"/>
        <scheme val="minor"/>
      </font>
      <numFmt numFmtId="0" formatCode="General"/>
    </dxf>
    <dxf>
      <font>
        <b val="0"/>
        <i val="0"/>
        <strike val="0"/>
        <condense val="0"/>
        <extend val="0"/>
        <outline val="0"/>
        <shadow val="0"/>
        <u val="none"/>
        <vertAlign val="baseline"/>
        <sz val="11"/>
        <color theme="1"/>
        <name val="Calibri"/>
        <family val="2"/>
        <scheme val="minor"/>
      </font>
      <numFmt numFmtId="0" formatCode="General"/>
    </dxf>
    <dxf>
      <numFmt numFmtId="0" formatCode="General"/>
    </dxf>
    <dxf>
      <font>
        <b val="0"/>
        <i val="0"/>
        <strike val="0"/>
        <condense val="0"/>
        <extend val="0"/>
        <outline val="0"/>
        <shadow val="0"/>
        <u val="none"/>
        <vertAlign val="baseline"/>
        <sz val="11"/>
        <color theme="1"/>
        <name val="Calibri"/>
        <family val="2"/>
        <scheme val="minor"/>
      </font>
    </dxf>
    <dxf>
      <font>
        <b val="0"/>
        <i val="0"/>
        <strike val="0"/>
        <condense val="0"/>
        <extend val="0"/>
        <outline val="0"/>
        <shadow val="0"/>
        <u val="none"/>
        <vertAlign val="baseline"/>
        <sz val="11"/>
        <color theme="1"/>
        <name val="Calibri"/>
        <family val="2"/>
        <scheme val="minor"/>
      </font>
    </dxf>
    <dxf>
      <font>
        <b val="0"/>
        <i val="0"/>
        <strike val="0"/>
        <condense val="0"/>
        <extend val="0"/>
        <outline val="0"/>
        <shadow val="0"/>
        <u val="none"/>
        <vertAlign val="baseline"/>
        <sz val="11"/>
        <color theme="1"/>
        <name val="Calibri"/>
        <family val="2"/>
        <scheme val="minor"/>
      </font>
    </dxf>
    <dxf>
      <font>
        <b val="0"/>
        <i val="0"/>
        <strike val="0"/>
        <condense val="0"/>
        <extend val="0"/>
        <outline val="0"/>
        <shadow val="0"/>
        <u val="none"/>
        <vertAlign val="baseline"/>
        <sz val="11"/>
        <color theme="1"/>
        <name val="Calibri"/>
        <family val="2"/>
        <scheme val="minor"/>
      </font>
      <numFmt numFmtId="164" formatCode="#,##0.00\ &quot;€&quot;"/>
    </dxf>
    <dxf>
      <font>
        <b val="0"/>
        <i val="0"/>
        <strike val="0"/>
        <condense val="0"/>
        <extend val="0"/>
        <outline val="0"/>
        <shadow val="0"/>
        <u val="none"/>
        <vertAlign val="baseline"/>
        <sz val="11"/>
        <color theme="1"/>
        <name val="Calibri"/>
        <family val="2"/>
        <scheme val="minor"/>
      </font>
      <numFmt numFmtId="0" formatCode="General"/>
    </dxf>
    <dxf>
      <font>
        <b val="0"/>
        <i val="0"/>
        <strike val="0"/>
        <condense val="0"/>
        <extend val="0"/>
        <outline val="0"/>
        <shadow val="0"/>
        <u val="none"/>
        <vertAlign val="baseline"/>
        <sz val="11"/>
        <color theme="1"/>
        <name val="Calibri"/>
        <family val="2"/>
        <scheme val="minor"/>
      </font>
    </dxf>
    <dxf>
      <font>
        <b val="0"/>
        <i val="0"/>
        <strike val="0"/>
        <condense val="0"/>
        <extend val="0"/>
        <outline val="0"/>
        <shadow val="0"/>
        <u val="none"/>
        <vertAlign val="baseline"/>
        <sz val="11"/>
        <color theme="1"/>
        <name val="Calibri"/>
        <family val="2"/>
        <scheme val="minor"/>
      </font>
      <numFmt numFmtId="0" formatCode="General"/>
    </dxf>
    <dxf>
      <font>
        <b val="0"/>
        <i val="0"/>
        <strike val="0"/>
        <condense val="0"/>
        <extend val="0"/>
        <outline val="0"/>
        <shadow val="0"/>
        <u val="none"/>
        <vertAlign val="baseline"/>
        <sz val="11"/>
        <color theme="1"/>
        <name val="Calibri"/>
        <family val="2"/>
        <scheme val="minor"/>
      </font>
      <numFmt numFmtId="0" formatCode="General"/>
    </dxf>
    <dxf>
      <numFmt numFmtId="0" formatCode="General"/>
    </dxf>
    <dxf>
      <font>
        <b val="0"/>
        <i val="0"/>
        <strike val="0"/>
        <condense val="0"/>
        <extend val="0"/>
        <outline val="0"/>
        <shadow val="0"/>
        <u val="none"/>
        <vertAlign val="baseline"/>
        <sz val="11"/>
        <color theme="1"/>
        <name val="Calibri"/>
        <family val="2"/>
        <scheme val="minor"/>
      </font>
    </dxf>
    <dxf>
      <font>
        <b val="0"/>
        <i val="0"/>
        <strike val="0"/>
        <condense val="0"/>
        <extend val="0"/>
        <outline val="0"/>
        <shadow val="0"/>
        <u val="none"/>
        <vertAlign val="baseline"/>
        <sz val="11"/>
        <color theme="1"/>
        <name val="Calibri"/>
        <family val="2"/>
        <scheme val="minor"/>
      </font>
    </dxf>
    <dxf>
      <font>
        <b val="0"/>
        <i val="0"/>
        <strike val="0"/>
        <condense val="0"/>
        <extend val="0"/>
        <outline val="0"/>
        <shadow val="0"/>
        <u val="none"/>
        <vertAlign val="baseline"/>
        <sz val="11"/>
        <color theme="1"/>
        <name val="Calibri"/>
        <family val="2"/>
        <scheme val="minor"/>
      </font>
      <numFmt numFmtId="34" formatCode="_-* #,##0.00\ &quot;€&quot;_-;\-* #,##0.00\ &quot;€&quot;_-;_-* &quot;-&quot;??\ &quot;€&quot;_-;_-@_-"/>
    </dxf>
    <dxf>
      <font>
        <b val="0"/>
        <i val="0"/>
        <strike val="0"/>
        <condense val="0"/>
        <extend val="0"/>
        <outline val="0"/>
        <shadow val="0"/>
        <u val="none"/>
        <vertAlign val="baseline"/>
        <sz val="11"/>
        <color theme="1"/>
        <name val="Calibri"/>
        <family val="2"/>
        <scheme val="minor"/>
      </font>
      <numFmt numFmtId="164" formatCode="#,##0.00\ &quot;€&quot;"/>
    </dxf>
    <dxf>
      <font>
        <b val="0"/>
        <i val="0"/>
        <strike val="0"/>
        <condense val="0"/>
        <extend val="0"/>
        <outline val="0"/>
        <shadow val="0"/>
        <u val="none"/>
        <vertAlign val="baseline"/>
        <sz val="11"/>
        <color theme="1"/>
        <name val="Calibri"/>
        <family val="2"/>
        <scheme val="minor"/>
      </font>
      <numFmt numFmtId="0" formatCode="General"/>
    </dxf>
    <dxf>
      <font>
        <b val="0"/>
        <i val="0"/>
        <strike val="0"/>
        <condense val="0"/>
        <extend val="0"/>
        <outline val="0"/>
        <shadow val="0"/>
        <u val="none"/>
        <vertAlign val="baseline"/>
        <sz val="11"/>
        <color theme="1"/>
        <name val="Calibri"/>
        <family val="2"/>
        <scheme val="minor"/>
      </font>
    </dxf>
    <dxf>
      <font>
        <b val="0"/>
        <i val="0"/>
        <strike val="0"/>
        <condense val="0"/>
        <extend val="0"/>
        <outline val="0"/>
        <shadow val="0"/>
        <u val="none"/>
        <vertAlign val="baseline"/>
        <sz val="11"/>
        <color theme="1"/>
        <name val="Calibri"/>
        <family val="2"/>
        <scheme val="minor"/>
      </font>
      <numFmt numFmtId="0" formatCode="General"/>
    </dxf>
    <dxf>
      <font>
        <b val="0"/>
        <i val="0"/>
        <strike val="0"/>
        <condense val="0"/>
        <extend val="0"/>
        <outline val="0"/>
        <shadow val="0"/>
        <u val="none"/>
        <vertAlign val="baseline"/>
        <sz val="11"/>
        <color theme="1"/>
        <name val="Calibri"/>
        <family val="2"/>
        <scheme val="minor"/>
      </font>
      <numFmt numFmtId="0" formatCode="General"/>
    </dxf>
    <dxf>
      <numFmt numFmtId="0" formatCode="General"/>
    </dxf>
    <dxf>
      <font>
        <b val="0"/>
        <i val="0"/>
        <strike val="0"/>
        <condense val="0"/>
        <extend val="0"/>
        <outline val="0"/>
        <shadow val="0"/>
        <u val="none"/>
        <vertAlign val="baseline"/>
        <sz val="11"/>
        <color theme="1"/>
        <name val="Calibri"/>
        <family val="2"/>
        <scheme val="minor"/>
      </font>
    </dxf>
    <dxf>
      <font>
        <b val="0"/>
        <i val="0"/>
        <strike val="0"/>
        <condense val="0"/>
        <extend val="0"/>
        <outline val="0"/>
        <shadow val="0"/>
        <u val="none"/>
        <vertAlign val="baseline"/>
        <sz val="11"/>
        <color theme="1"/>
        <name val="Calibri"/>
        <family val="2"/>
        <scheme val="minor"/>
      </font>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theme="9"/>
      </font>
      <fill>
        <patternFill>
          <bgColor theme="9"/>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theme="9"/>
      </font>
      <fill>
        <patternFill>
          <bgColor theme="9"/>
        </patternFill>
      </fill>
    </dxf>
    <dxf>
      <font>
        <color theme="9"/>
      </font>
      <fill>
        <patternFill>
          <bgColor theme="9"/>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b val="0"/>
        <i val="0"/>
        <strike val="0"/>
        <condense val="0"/>
        <extend val="0"/>
        <outline val="0"/>
        <shadow val="0"/>
        <u val="none"/>
        <vertAlign val="baseline"/>
        <sz val="11"/>
        <color theme="1"/>
        <name val="Calibri"/>
        <family val="2"/>
        <scheme val="minor"/>
      </font>
    </dxf>
    <dxf>
      <font>
        <b val="0"/>
        <i val="0"/>
        <strike val="0"/>
        <condense val="0"/>
        <extend val="0"/>
        <outline val="0"/>
        <shadow val="0"/>
        <u val="none"/>
        <vertAlign val="baseline"/>
        <sz val="11"/>
        <color theme="1"/>
        <name val="Calibri"/>
        <family val="2"/>
        <scheme val="minor"/>
      </font>
      <numFmt numFmtId="164" formatCode="#,##0.00\ &quot;€&quot;"/>
    </dxf>
    <dxf>
      <font>
        <b val="0"/>
        <i val="0"/>
        <strike val="0"/>
        <condense val="0"/>
        <extend val="0"/>
        <outline val="0"/>
        <shadow val="0"/>
        <u val="none"/>
        <vertAlign val="baseline"/>
        <sz val="11"/>
        <color theme="1"/>
        <name val="Calibri"/>
        <family val="2"/>
        <scheme val="minor"/>
      </font>
      <numFmt numFmtId="0" formatCode="General"/>
    </dxf>
    <dxf>
      <font>
        <b val="0"/>
        <i val="0"/>
        <strike val="0"/>
        <condense val="0"/>
        <extend val="0"/>
        <outline val="0"/>
        <shadow val="0"/>
        <u val="none"/>
        <vertAlign val="baseline"/>
        <sz val="11"/>
        <color theme="1"/>
        <name val="Calibri"/>
        <family val="2"/>
        <scheme val="minor"/>
      </font>
    </dxf>
    <dxf>
      <font>
        <b val="0"/>
        <i val="0"/>
        <strike val="0"/>
        <condense val="0"/>
        <extend val="0"/>
        <outline val="0"/>
        <shadow val="0"/>
        <u val="none"/>
        <vertAlign val="baseline"/>
        <sz val="11"/>
        <color theme="1"/>
        <name val="Calibri"/>
        <family val="2"/>
        <scheme val="minor"/>
      </font>
      <numFmt numFmtId="0" formatCode="General"/>
    </dxf>
    <dxf>
      <font>
        <b val="0"/>
        <i val="0"/>
        <strike val="0"/>
        <condense val="0"/>
        <extend val="0"/>
        <outline val="0"/>
        <shadow val="0"/>
        <u val="none"/>
        <vertAlign val="baseline"/>
        <sz val="11"/>
        <color theme="1"/>
        <name val="Calibri"/>
        <family val="2"/>
        <scheme val="minor"/>
      </font>
      <numFmt numFmtId="0" formatCode="General"/>
    </dxf>
    <dxf>
      <numFmt numFmtId="0" formatCode="General"/>
    </dxf>
    <dxf>
      <font>
        <b val="0"/>
        <i val="0"/>
        <strike val="0"/>
        <condense val="0"/>
        <extend val="0"/>
        <outline val="0"/>
        <shadow val="0"/>
        <u val="none"/>
        <vertAlign val="baseline"/>
        <sz val="11"/>
        <color theme="1"/>
        <name val="Calibri"/>
        <family val="2"/>
        <scheme val="minor"/>
      </font>
    </dxf>
    <dxf>
      <font>
        <b val="0"/>
        <i val="0"/>
        <strike val="0"/>
        <condense val="0"/>
        <extend val="0"/>
        <outline val="0"/>
        <shadow val="0"/>
        <u val="none"/>
        <vertAlign val="baseline"/>
        <sz val="11"/>
        <color theme="1"/>
        <name val="Calibri"/>
        <family val="2"/>
        <scheme val="minor"/>
      </font>
    </dxf>
    <dxf>
      <font>
        <b val="0"/>
        <i val="0"/>
        <strike val="0"/>
        <condense val="0"/>
        <extend val="0"/>
        <outline val="0"/>
        <shadow val="0"/>
        <u val="none"/>
        <vertAlign val="baseline"/>
        <sz val="11"/>
        <color theme="1"/>
        <name val="Calibri"/>
        <family val="2"/>
        <scheme val="minor"/>
      </font>
    </dxf>
    <dxf>
      <font>
        <b val="0"/>
        <i val="0"/>
        <strike val="0"/>
        <condense val="0"/>
        <extend val="0"/>
        <outline val="0"/>
        <shadow val="0"/>
        <u val="none"/>
        <vertAlign val="baseline"/>
        <sz val="11"/>
        <color theme="1"/>
        <name val="Calibri"/>
        <family val="2"/>
        <scheme val="minor"/>
      </font>
      <numFmt numFmtId="164" formatCode="#,##0.00\ &quot;€&quot;"/>
    </dxf>
    <dxf>
      <font>
        <b val="0"/>
        <i val="0"/>
        <strike val="0"/>
        <condense val="0"/>
        <extend val="0"/>
        <outline val="0"/>
        <shadow val="0"/>
        <u val="none"/>
        <vertAlign val="baseline"/>
        <sz val="11"/>
        <color theme="1"/>
        <name val="Calibri"/>
        <family val="2"/>
        <scheme val="minor"/>
      </font>
      <numFmt numFmtId="0" formatCode="General"/>
    </dxf>
    <dxf>
      <font>
        <b val="0"/>
        <i val="0"/>
        <strike val="0"/>
        <condense val="0"/>
        <extend val="0"/>
        <outline val="0"/>
        <shadow val="0"/>
        <u val="none"/>
        <vertAlign val="baseline"/>
        <sz val="11"/>
        <color theme="1"/>
        <name val="Calibri"/>
        <family val="2"/>
        <scheme val="minor"/>
      </font>
    </dxf>
    <dxf>
      <font>
        <b val="0"/>
        <i val="0"/>
        <strike val="0"/>
        <condense val="0"/>
        <extend val="0"/>
        <outline val="0"/>
        <shadow val="0"/>
        <u val="none"/>
        <vertAlign val="baseline"/>
        <sz val="11"/>
        <color theme="1"/>
        <name val="Calibri"/>
        <family val="2"/>
        <scheme val="minor"/>
      </font>
      <numFmt numFmtId="0" formatCode="General"/>
    </dxf>
    <dxf>
      <font>
        <b val="0"/>
        <i val="0"/>
        <strike val="0"/>
        <condense val="0"/>
        <extend val="0"/>
        <outline val="0"/>
        <shadow val="0"/>
        <u val="none"/>
        <vertAlign val="baseline"/>
        <sz val="11"/>
        <color theme="1"/>
        <name val="Calibri"/>
        <family val="2"/>
        <scheme val="minor"/>
      </font>
      <numFmt numFmtId="0" formatCode="General"/>
    </dxf>
    <dxf>
      <numFmt numFmtId="0" formatCode="General"/>
    </dxf>
    <dxf>
      <font>
        <b val="0"/>
        <i val="0"/>
        <strike val="0"/>
        <condense val="0"/>
        <extend val="0"/>
        <outline val="0"/>
        <shadow val="0"/>
        <u val="none"/>
        <vertAlign val="baseline"/>
        <sz val="11"/>
        <color theme="1"/>
        <name val="Calibri"/>
        <family val="2"/>
        <scheme val="minor"/>
      </font>
    </dxf>
    <dxf>
      <font>
        <b val="0"/>
        <i val="0"/>
        <strike val="0"/>
        <condense val="0"/>
        <extend val="0"/>
        <outline val="0"/>
        <shadow val="0"/>
        <u val="none"/>
        <vertAlign val="baseline"/>
        <sz val="11"/>
        <color theme="1"/>
        <name val="Calibri"/>
        <family val="2"/>
        <scheme val="minor"/>
      </font>
    </dxf>
    <dxf>
      <font>
        <b val="0"/>
        <i val="0"/>
        <strike val="0"/>
        <condense val="0"/>
        <extend val="0"/>
        <outline val="0"/>
        <shadow val="0"/>
        <u val="none"/>
        <vertAlign val="baseline"/>
        <sz val="11"/>
        <color theme="1"/>
        <name val="Calibri"/>
        <family val="2"/>
        <scheme val="minor"/>
      </font>
      <numFmt numFmtId="34" formatCode="_-* #,##0.00\ &quot;€&quot;_-;\-* #,##0.00\ &quot;€&quot;_-;_-* &quot;-&quot;??\ &quot;€&quot;_-;_-@_-"/>
    </dxf>
    <dxf>
      <font>
        <b val="0"/>
        <i val="0"/>
        <strike val="0"/>
        <condense val="0"/>
        <extend val="0"/>
        <outline val="0"/>
        <shadow val="0"/>
        <u val="none"/>
        <vertAlign val="baseline"/>
        <sz val="11"/>
        <color theme="1"/>
        <name val="Calibri"/>
        <family val="2"/>
        <scheme val="minor"/>
      </font>
      <numFmt numFmtId="164" formatCode="#,##0.00\ &quot;€&quot;"/>
    </dxf>
    <dxf>
      <font>
        <b val="0"/>
        <i val="0"/>
        <strike val="0"/>
        <condense val="0"/>
        <extend val="0"/>
        <outline val="0"/>
        <shadow val="0"/>
        <u val="none"/>
        <vertAlign val="baseline"/>
        <sz val="11"/>
        <color theme="1"/>
        <name val="Calibri"/>
        <family val="2"/>
        <scheme val="minor"/>
      </font>
      <numFmt numFmtId="0" formatCode="General"/>
    </dxf>
    <dxf>
      <font>
        <b val="0"/>
        <i val="0"/>
        <strike val="0"/>
        <condense val="0"/>
        <extend val="0"/>
        <outline val="0"/>
        <shadow val="0"/>
        <u val="none"/>
        <vertAlign val="baseline"/>
        <sz val="11"/>
        <color theme="1"/>
        <name val="Calibri"/>
        <family val="2"/>
        <scheme val="minor"/>
      </font>
    </dxf>
    <dxf>
      <font>
        <b val="0"/>
        <i val="0"/>
        <strike val="0"/>
        <condense val="0"/>
        <extend val="0"/>
        <outline val="0"/>
        <shadow val="0"/>
        <u val="none"/>
        <vertAlign val="baseline"/>
        <sz val="11"/>
        <color theme="1"/>
        <name val="Calibri"/>
        <family val="2"/>
        <scheme val="minor"/>
      </font>
      <numFmt numFmtId="0" formatCode="General"/>
    </dxf>
    <dxf>
      <font>
        <b val="0"/>
        <i val="0"/>
        <strike val="0"/>
        <condense val="0"/>
        <extend val="0"/>
        <outline val="0"/>
        <shadow val="0"/>
        <u val="none"/>
        <vertAlign val="baseline"/>
        <sz val="11"/>
        <color theme="1"/>
        <name val="Calibri"/>
        <family val="2"/>
        <scheme val="minor"/>
      </font>
      <numFmt numFmtId="0" formatCode="General"/>
    </dxf>
    <dxf>
      <numFmt numFmtId="0" formatCode="General"/>
    </dxf>
    <dxf>
      <font>
        <b val="0"/>
        <i val="0"/>
        <strike val="0"/>
        <condense val="0"/>
        <extend val="0"/>
        <outline val="0"/>
        <shadow val="0"/>
        <u val="none"/>
        <vertAlign val="baseline"/>
        <sz val="11"/>
        <color theme="1"/>
        <name val="Calibri"/>
        <family val="2"/>
        <scheme val="minor"/>
      </font>
    </dxf>
    <dxf>
      <font>
        <b val="0"/>
        <i val="0"/>
        <strike val="0"/>
        <condense val="0"/>
        <extend val="0"/>
        <outline val="0"/>
        <shadow val="0"/>
        <u val="none"/>
        <vertAlign val="baseline"/>
        <sz val="11"/>
        <color theme="1"/>
        <name val="Calibri"/>
        <family val="2"/>
        <scheme val="minor"/>
      </font>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theme="9"/>
      </font>
      <fill>
        <patternFill>
          <bgColor theme="9"/>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theme="9"/>
      </font>
      <fill>
        <patternFill>
          <bgColor theme="9"/>
        </patternFill>
      </fill>
    </dxf>
    <dxf>
      <font>
        <color theme="9"/>
      </font>
      <fill>
        <patternFill>
          <bgColor theme="9"/>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b val="0"/>
        <i val="0"/>
        <strike val="0"/>
        <condense val="0"/>
        <extend val="0"/>
        <outline val="0"/>
        <shadow val="0"/>
        <u val="none"/>
        <vertAlign val="baseline"/>
        <sz val="11"/>
        <color theme="1"/>
        <name val="Calibri"/>
        <family val="2"/>
        <scheme val="minor"/>
      </font>
    </dxf>
    <dxf>
      <font>
        <b val="0"/>
        <i val="0"/>
        <strike val="0"/>
        <condense val="0"/>
        <extend val="0"/>
        <outline val="0"/>
        <shadow val="0"/>
        <u val="none"/>
        <vertAlign val="baseline"/>
        <sz val="11"/>
        <color theme="1"/>
        <name val="Calibri"/>
        <family val="2"/>
        <scheme val="minor"/>
      </font>
      <numFmt numFmtId="164" formatCode="#,##0.00\ &quot;€&quot;"/>
    </dxf>
    <dxf>
      <font>
        <b val="0"/>
        <i val="0"/>
        <strike val="0"/>
        <condense val="0"/>
        <extend val="0"/>
        <outline val="0"/>
        <shadow val="0"/>
        <u val="none"/>
        <vertAlign val="baseline"/>
        <sz val="11"/>
        <color theme="1"/>
        <name val="Calibri"/>
        <family val="2"/>
        <scheme val="minor"/>
      </font>
      <numFmt numFmtId="0" formatCode="General"/>
    </dxf>
    <dxf>
      <font>
        <b val="0"/>
        <i val="0"/>
        <strike val="0"/>
        <condense val="0"/>
        <extend val="0"/>
        <outline val="0"/>
        <shadow val="0"/>
        <u val="none"/>
        <vertAlign val="baseline"/>
        <sz val="11"/>
        <color theme="1"/>
        <name val="Calibri"/>
        <family val="2"/>
        <scheme val="minor"/>
      </font>
    </dxf>
    <dxf>
      <font>
        <b val="0"/>
        <i val="0"/>
        <strike val="0"/>
        <condense val="0"/>
        <extend val="0"/>
        <outline val="0"/>
        <shadow val="0"/>
        <u val="none"/>
        <vertAlign val="baseline"/>
        <sz val="11"/>
        <color theme="1"/>
        <name val="Calibri"/>
        <family val="2"/>
        <scheme val="minor"/>
      </font>
      <numFmt numFmtId="0" formatCode="General"/>
    </dxf>
    <dxf>
      <font>
        <b val="0"/>
        <i val="0"/>
        <strike val="0"/>
        <condense val="0"/>
        <extend val="0"/>
        <outline val="0"/>
        <shadow val="0"/>
        <u val="none"/>
        <vertAlign val="baseline"/>
        <sz val="11"/>
        <color theme="1"/>
        <name val="Calibri"/>
        <family val="2"/>
        <scheme val="minor"/>
      </font>
      <numFmt numFmtId="0" formatCode="General"/>
    </dxf>
    <dxf>
      <numFmt numFmtId="0" formatCode="General"/>
    </dxf>
    <dxf>
      <font>
        <b val="0"/>
        <i val="0"/>
        <strike val="0"/>
        <condense val="0"/>
        <extend val="0"/>
        <outline val="0"/>
        <shadow val="0"/>
        <u val="none"/>
        <vertAlign val="baseline"/>
        <sz val="11"/>
        <color theme="1"/>
        <name val="Calibri"/>
        <family val="2"/>
        <scheme val="minor"/>
      </font>
    </dxf>
    <dxf>
      <font>
        <b val="0"/>
        <i val="0"/>
        <strike val="0"/>
        <condense val="0"/>
        <extend val="0"/>
        <outline val="0"/>
        <shadow val="0"/>
        <u val="none"/>
        <vertAlign val="baseline"/>
        <sz val="11"/>
        <color theme="1"/>
        <name val="Calibri"/>
        <family val="2"/>
        <scheme val="minor"/>
      </font>
    </dxf>
    <dxf>
      <font>
        <b val="0"/>
        <i val="0"/>
        <strike val="0"/>
        <condense val="0"/>
        <extend val="0"/>
        <outline val="0"/>
        <shadow val="0"/>
        <u val="none"/>
        <vertAlign val="baseline"/>
        <sz val="11"/>
        <color theme="1"/>
        <name val="Calibri"/>
        <family val="2"/>
        <scheme val="minor"/>
      </font>
    </dxf>
    <dxf>
      <font>
        <b val="0"/>
        <i val="0"/>
        <strike val="0"/>
        <condense val="0"/>
        <extend val="0"/>
        <outline val="0"/>
        <shadow val="0"/>
        <u val="none"/>
        <vertAlign val="baseline"/>
        <sz val="11"/>
        <color theme="1"/>
        <name val="Calibri"/>
        <family val="2"/>
        <scheme val="minor"/>
      </font>
      <numFmt numFmtId="164" formatCode="#,##0.00\ &quot;€&quot;"/>
    </dxf>
    <dxf>
      <font>
        <b val="0"/>
        <i val="0"/>
        <strike val="0"/>
        <condense val="0"/>
        <extend val="0"/>
        <outline val="0"/>
        <shadow val="0"/>
        <u val="none"/>
        <vertAlign val="baseline"/>
        <sz val="11"/>
        <color theme="1"/>
        <name val="Calibri"/>
        <family val="2"/>
        <scheme val="minor"/>
      </font>
      <numFmt numFmtId="0" formatCode="General"/>
    </dxf>
    <dxf>
      <font>
        <b val="0"/>
        <i val="0"/>
        <strike val="0"/>
        <condense val="0"/>
        <extend val="0"/>
        <outline val="0"/>
        <shadow val="0"/>
        <u val="none"/>
        <vertAlign val="baseline"/>
        <sz val="11"/>
        <color theme="1"/>
        <name val="Calibri"/>
        <family val="2"/>
        <scheme val="minor"/>
      </font>
    </dxf>
    <dxf>
      <font>
        <b val="0"/>
        <i val="0"/>
        <strike val="0"/>
        <condense val="0"/>
        <extend val="0"/>
        <outline val="0"/>
        <shadow val="0"/>
        <u val="none"/>
        <vertAlign val="baseline"/>
        <sz val="11"/>
        <color theme="1"/>
        <name val="Calibri"/>
        <family val="2"/>
        <scheme val="minor"/>
      </font>
      <numFmt numFmtId="0" formatCode="General"/>
    </dxf>
    <dxf>
      <font>
        <b val="0"/>
        <i val="0"/>
        <strike val="0"/>
        <condense val="0"/>
        <extend val="0"/>
        <outline val="0"/>
        <shadow val="0"/>
        <u val="none"/>
        <vertAlign val="baseline"/>
        <sz val="11"/>
        <color theme="1"/>
        <name val="Calibri"/>
        <family val="2"/>
        <scheme val="minor"/>
      </font>
      <numFmt numFmtId="0" formatCode="General"/>
    </dxf>
    <dxf>
      <numFmt numFmtId="0" formatCode="General"/>
    </dxf>
    <dxf>
      <font>
        <b val="0"/>
        <i val="0"/>
        <strike val="0"/>
        <condense val="0"/>
        <extend val="0"/>
        <outline val="0"/>
        <shadow val="0"/>
        <u val="none"/>
        <vertAlign val="baseline"/>
        <sz val="11"/>
        <color theme="1"/>
        <name val="Calibri"/>
        <family val="2"/>
        <scheme val="minor"/>
      </font>
    </dxf>
    <dxf>
      <font>
        <b val="0"/>
        <i val="0"/>
        <strike val="0"/>
        <condense val="0"/>
        <extend val="0"/>
        <outline val="0"/>
        <shadow val="0"/>
        <u val="none"/>
        <vertAlign val="baseline"/>
        <sz val="11"/>
        <color theme="1"/>
        <name val="Calibri"/>
        <family val="2"/>
        <scheme val="minor"/>
      </font>
    </dxf>
    <dxf>
      <font>
        <b val="0"/>
        <i val="0"/>
        <strike val="0"/>
        <condense val="0"/>
        <extend val="0"/>
        <outline val="0"/>
        <shadow val="0"/>
        <u val="none"/>
        <vertAlign val="baseline"/>
        <sz val="11"/>
        <color theme="1"/>
        <name val="Calibri"/>
        <family val="2"/>
        <scheme val="minor"/>
      </font>
      <numFmt numFmtId="34" formatCode="_-* #,##0.00\ &quot;€&quot;_-;\-* #,##0.00\ &quot;€&quot;_-;_-* &quot;-&quot;??\ &quot;€&quot;_-;_-@_-"/>
    </dxf>
    <dxf>
      <font>
        <b val="0"/>
        <i val="0"/>
        <strike val="0"/>
        <condense val="0"/>
        <extend val="0"/>
        <outline val="0"/>
        <shadow val="0"/>
        <u val="none"/>
        <vertAlign val="baseline"/>
        <sz val="11"/>
        <color theme="1"/>
        <name val="Calibri"/>
        <family val="2"/>
        <scheme val="minor"/>
      </font>
      <numFmt numFmtId="164" formatCode="#,##0.00\ &quot;€&quot;"/>
    </dxf>
    <dxf>
      <font>
        <b val="0"/>
        <i val="0"/>
        <strike val="0"/>
        <condense val="0"/>
        <extend val="0"/>
        <outline val="0"/>
        <shadow val="0"/>
        <u val="none"/>
        <vertAlign val="baseline"/>
        <sz val="11"/>
        <color theme="1"/>
        <name val="Calibri"/>
        <family val="2"/>
        <scheme val="minor"/>
      </font>
      <numFmt numFmtId="0" formatCode="General"/>
    </dxf>
    <dxf>
      <font>
        <b val="0"/>
        <i val="0"/>
        <strike val="0"/>
        <condense val="0"/>
        <extend val="0"/>
        <outline val="0"/>
        <shadow val="0"/>
        <u val="none"/>
        <vertAlign val="baseline"/>
        <sz val="11"/>
        <color theme="1"/>
        <name val="Calibri"/>
        <family val="2"/>
        <scheme val="minor"/>
      </font>
    </dxf>
    <dxf>
      <font>
        <b val="0"/>
        <i val="0"/>
        <strike val="0"/>
        <condense val="0"/>
        <extend val="0"/>
        <outline val="0"/>
        <shadow val="0"/>
        <u val="none"/>
        <vertAlign val="baseline"/>
        <sz val="11"/>
        <color theme="1"/>
        <name val="Calibri"/>
        <family val="2"/>
        <scheme val="minor"/>
      </font>
      <numFmt numFmtId="0" formatCode="General"/>
    </dxf>
    <dxf>
      <font>
        <b val="0"/>
        <i val="0"/>
        <strike val="0"/>
        <condense val="0"/>
        <extend val="0"/>
        <outline val="0"/>
        <shadow val="0"/>
        <u val="none"/>
        <vertAlign val="baseline"/>
        <sz val="11"/>
        <color theme="1"/>
        <name val="Calibri"/>
        <family val="2"/>
        <scheme val="minor"/>
      </font>
      <numFmt numFmtId="0" formatCode="General"/>
    </dxf>
    <dxf>
      <numFmt numFmtId="0" formatCode="General"/>
    </dxf>
    <dxf>
      <font>
        <b val="0"/>
        <i val="0"/>
        <strike val="0"/>
        <condense val="0"/>
        <extend val="0"/>
        <outline val="0"/>
        <shadow val="0"/>
        <u val="none"/>
        <vertAlign val="baseline"/>
        <sz val="11"/>
        <color theme="1"/>
        <name val="Calibri"/>
        <family val="2"/>
        <scheme val="minor"/>
      </font>
    </dxf>
    <dxf>
      <font>
        <b val="0"/>
        <i val="0"/>
        <strike val="0"/>
        <condense val="0"/>
        <extend val="0"/>
        <outline val="0"/>
        <shadow val="0"/>
        <u val="none"/>
        <vertAlign val="baseline"/>
        <sz val="11"/>
        <color theme="1"/>
        <name val="Calibri"/>
        <family val="2"/>
        <scheme val="minor"/>
      </font>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theme="9"/>
      </font>
      <fill>
        <patternFill>
          <bgColor theme="9"/>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theme="9"/>
      </font>
      <fill>
        <patternFill>
          <bgColor theme="9"/>
        </patternFill>
      </fill>
    </dxf>
    <dxf>
      <font>
        <color theme="9"/>
      </font>
      <fill>
        <patternFill>
          <bgColor theme="9"/>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b val="0"/>
        <i val="0"/>
        <strike val="0"/>
        <condense val="0"/>
        <extend val="0"/>
        <outline val="0"/>
        <shadow val="0"/>
        <u val="none"/>
        <vertAlign val="baseline"/>
        <sz val="11"/>
        <color theme="1"/>
        <name val="Calibri"/>
        <family val="2"/>
        <scheme val="minor"/>
      </font>
    </dxf>
    <dxf>
      <font>
        <b val="0"/>
        <i val="0"/>
        <strike val="0"/>
        <condense val="0"/>
        <extend val="0"/>
        <outline val="0"/>
        <shadow val="0"/>
        <u val="none"/>
        <vertAlign val="baseline"/>
        <sz val="11"/>
        <color theme="1"/>
        <name val="Calibri"/>
        <family val="2"/>
        <scheme val="minor"/>
      </font>
      <numFmt numFmtId="164" formatCode="#,##0.00\ &quot;€&quot;"/>
    </dxf>
    <dxf>
      <font>
        <b val="0"/>
        <i val="0"/>
        <strike val="0"/>
        <condense val="0"/>
        <extend val="0"/>
        <outline val="0"/>
        <shadow val="0"/>
        <u val="none"/>
        <vertAlign val="baseline"/>
        <sz val="11"/>
        <color theme="1"/>
        <name val="Calibri"/>
        <family val="2"/>
        <scheme val="minor"/>
      </font>
      <numFmt numFmtId="0" formatCode="General"/>
    </dxf>
    <dxf>
      <font>
        <b val="0"/>
        <i val="0"/>
        <strike val="0"/>
        <condense val="0"/>
        <extend val="0"/>
        <outline val="0"/>
        <shadow val="0"/>
        <u val="none"/>
        <vertAlign val="baseline"/>
        <sz val="11"/>
        <color theme="1"/>
        <name val="Calibri"/>
        <family val="2"/>
        <scheme val="minor"/>
      </font>
    </dxf>
    <dxf>
      <font>
        <b val="0"/>
        <i val="0"/>
        <strike val="0"/>
        <condense val="0"/>
        <extend val="0"/>
        <outline val="0"/>
        <shadow val="0"/>
        <u val="none"/>
        <vertAlign val="baseline"/>
        <sz val="11"/>
        <color theme="1"/>
        <name val="Calibri"/>
        <family val="2"/>
        <scheme val="minor"/>
      </font>
      <numFmt numFmtId="0" formatCode="General"/>
    </dxf>
    <dxf>
      <font>
        <b val="0"/>
        <i val="0"/>
        <strike val="0"/>
        <condense val="0"/>
        <extend val="0"/>
        <outline val="0"/>
        <shadow val="0"/>
        <u val="none"/>
        <vertAlign val="baseline"/>
        <sz val="11"/>
        <color theme="1"/>
        <name val="Calibri"/>
        <family val="2"/>
        <scheme val="minor"/>
      </font>
      <numFmt numFmtId="0" formatCode="General"/>
    </dxf>
    <dxf>
      <numFmt numFmtId="0" formatCode="General"/>
    </dxf>
    <dxf>
      <font>
        <b val="0"/>
        <i val="0"/>
        <strike val="0"/>
        <condense val="0"/>
        <extend val="0"/>
        <outline val="0"/>
        <shadow val="0"/>
        <u val="none"/>
        <vertAlign val="baseline"/>
        <sz val="11"/>
        <color theme="1"/>
        <name val="Calibri"/>
        <family val="2"/>
        <scheme val="minor"/>
      </font>
    </dxf>
    <dxf>
      <font>
        <b val="0"/>
        <i val="0"/>
        <strike val="0"/>
        <condense val="0"/>
        <extend val="0"/>
        <outline val="0"/>
        <shadow val="0"/>
        <u val="none"/>
        <vertAlign val="baseline"/>
        <sz val="11"/>
        <color theme="1"/>
        <name val="Calibri"/>
        <family val="2"/>
        <scheme val="minor"/>
      </font>
    </dxf>
    <dxf>
      <font>
        <b val="0"/>
        <i val="0"/>
        <strike val="0"/>
        <condense val="0"/>
        <extend val="0"/>
        <outline val="0"/>
        <shadow val="0"/>
        <u val="none"/>
        <vertAlign val="baseline"/>
        <sz val="11"/>
        <color theme="1"/>
        <name val="Calibri"/>
        <family val="2"/>
        <scheme val="minor"/>
      </font>
    </dxf>
    <dxf>
      <font>
        <b val="0"/>
        <i val="0"/>
        <strike val="0"/>
        <condense val="0"/>
        <extend val="0"/>
        <outline val="0"/>
        <shadow val="0"/>
        <u val="none"/>
        <vertAlign val="baseline"/>
        <sz val="11"/>
        <color theme="1"/>
        <name val="Calibri"/>
        <family val="2"/>
        <scheme val="minor"/>
      </font>
      <numFmt numFmtId="164" formatCode="#,##0.00\ &quot;€&quot;"/>
    </dxf>
    <dxf>
      <font>
        <b val="0"/>
        <i val="0"/>
        <strike val="0"/>
        <condense val="0"/>
        <extend val="0"/>
        <outline val="0"/>
        <shadow val="0"/>
        <u val="none"/>
        <vertAlign val="baseline"/>
        <sz val="11"/>
        <color theme="1"/>
        <name val="Calibri"/>
        <family val="2"/>
        <scheme val="minor"/>
      </font>
      <numFmt numFmtId="0" formatCode="General"/>
    </dxf>
    <dxf>
      <font>
        <b val="0"/>
        <i val="0"/>
        <strike val="0"/>
        <condense val="0"/>
        <extend val="0"/>
        <outline val="0"/>
        <shadow val="0"/>
        <u val="none"/>
        <vertAlign val="baseline"/>
        <sz val="11"/>
        <color theme="1"/>
        <name val="Calibri"/>
        <family val="2"/>
        <scheme val="minor"/>
      </font>
    </dxf>
    <dxf>
      <font>
        <b val="0"/>
        <i val="0"/>
        <strike val="0"/>
        <condense val="0"/>
        <extend val="0"/>
        <outline val="0"/>
        <shadow val="0"/>
        <u val="none"/>
        <vertAlign val="baseline"/>
        <sz val="11"/>
        <color theme="1"/>
        <name val="Calibri"/>
        <family val="2"/>
        <scheme val="minor"/>
      </font>
      <numFmt numFmtId="0" formatCode="General"/>
    </dxf>
    <dxf>
      <font>
        <b val="0"/>
        <i val="0"/>
        <strike val="0"/>
        <condense val="0"/>
        <extend val="0"/>
        <outline val="0"/>
        <shadow val="0"/>
        <u val="none"/>
        <vertAlign val="baseline"/>
        <sz val="11"/>
        <color theme="1"/>
        <name val="Calibri"/>
        <family val="2"/>
        <scheme val="minor"/>
      </font>
      <numFmt numFmtId="0" formatCode="General"/>
    </dxf>
    <dxf>
      <numFmt numFmtId="0" formatCode="General"/>
    </dxf>
    <dxf>
      <font>
        <b val="0"/>
        <i val="0"/>
        <strike val="0"/>
        <condense val="0"/>
        <extend val="0"/>
        <outline val="0"/>
        <shadow val="0"/>
        <u val="none"/>
        <vertAlign val="baseline"/>
        <sz val="11"/>
        <color theme="1"/>
        <name val="Calibri"/>
        <family val="2"/>
        <scheme val="minor"/>
      </font>
    </dxf>
    <dxf>
      <font>
        <b val="0"/>
        <i val="0"/>
        <strike val="0"/>
        <condense val="0"/>
        <extend val="0"/>
        <outline val="0"/>
        <shadow val="0"/>
        <u val="none"/>
        <vertAlign val="baseline"/>
        <sz val="11"/>
        <color theme="1"/>
        <name val="Calibri"/>
        <family val="2"/>
        <scheme val="minor"/>
      </font>
    </dxf>
    <dxf>
      <font>
        <b val="0"/>
        <i val="0"/>
        <strike val="0"/>
        <condense val="0"/>
        <extend val="0"/>
        <outline val="0"/>
        <shadow val="0"/>
        <u val="none"/>
        <vertAlign val="baseline"/>
        <sz val="11"/>
        <color theme="1"/>
        <name val="Calibri"/>
        <family val="2"/>
        <scheme val="minor"/>
      </font>
      <numFmt numFmtId="34" formatCode="_-* #,##0.00\ &quot;€&quot;_-;\-* #,##0.00\ &quot;€&quot;_-;_-* &quot;-&quot;??\ &quot;€&quot;_-;_-@_-"/>
    </dxf>
    <dxf>
      <font>
        <b val="0"/>
        <i val="0"/>
        <strike val="0"/>
        <condense val="0"/>
        <extend val="0"/>
        <outline val="0"/>
        <shadow val="0"/>
        <u val="none"/>
        <vertAlign val="baseline"/>
        <sz val="11"/>
        <color theme="1"/>
        <name val="Calibri"/>
        <family val="2"/>
        <scheme val="minor"/>
      </font>
      <numFmt numFmtId="164" formatCode="#,##0.00\ &quot;€&quot;"/>
    </dxf>
    <dxf>
      <font>
        <b val="0"/>
        <i val="0"/>
        <strike val="0"/>
        <condense val="0"/>
        <extend val="0"/>
        <outline val="0"/>
        <shadow val="0"/>
        <u val="none"/>
        <vertAlign val="baseline"/>
        <sz val="11"/>
        <color theme="1"/>
        <name val="Calibri"/>
        <family val="2"/>
        <scheme val="minor"/>
      </font>
      <numFmt numFmtId="0" formatCode="General"/>
    </dxf>
    <dxf>
      <font>
        <b val="0"/>
        <i val="0"/>
        <strike val="0"/>
        <condense val="0"/>
        <extend val="0"/>
        <outline val="0"/>
        <shadow val="0"/>
        <u val="none"/>
        <vertAlign val="baseline"/>
        <sz val="11"/>
        <color theme="1"/>
        <name val="Calibri"/>
        <family val="2"/>
        <scheme val="minor"/>
      </font>
    </dxf>
    <dxf>
      <font>
        <b val="0"/>
        <i val="0"/>
        <strike val="0"/>
        <condense val="0"/>
        <extend val="0"/>
        <outline val="0"/>
        <shadow val="0"/>
        <u val="none"/>
        <vertAlign val="baseline"/>
        <sz val="11"/>
        <color theme="1"/>
        <name val="Calibri"/>
        <family val="2"/>
        <scheme val="minor"/>
      </font>
      <numFmt numFmtId="0" formatCode="General"/>
    </dxf>
    <dxf>
      <font>
        <b val="0"/>
        <i val="0"/>
        <strike val="0"/>
        <condense val="0"/>
        <extend val="0"/>
        <outline val="0"/>
        <shadow val="0"/>
        <u val="none"/>
        <vertAlign val="baseline"/>
        <sz val="11"/>
        <color theme="1"/>
        <name val="Calibri"/>
        <family val="2"/>
        <scheme val="minor"/>
      </font>
      <numFmt numFmtId="0" formatCode="General"/>
    </dxf>
    <dxf>
      <numFmt numFmtId="0" formatCode="General"/>
    </dxf>
    <dxf>
      <font>
        <b val="0"/>
        <i val="0"/>
        <strike val="0"/>
        <condense val="0"/>
        <extend val="0"/>
        <outline val="0"/>
        <shadow val="0"/>
        <u val="none"/>
        <vertAlign val="baseline"/>
        <sz val="11"/>
        <color theme="1"/>
        <name val="Calibri"/>
        <family val="2"/>
        <scheme val="minor"/>
      </font>
    </dxf>
    <dxf>
      <font>
        <b val="0"/>
        <i val="0"/>
        <strike val="0"/>
        <condense val="0"/>
        <extend val="0"/>
        <outline val="0"/>
        <shadow val="0"/>
        <u val="none"/>
        <vertAlign val="baseline"/>
        <sz val="11"/>
        <color theme="1"/>
        <name val="Calibri"/>
        <family val="2"/>
        <scheme val="minor"/>
      </font>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theme="9"/>
      </font>
      <fill>
        <patternFill>
          <bgColor theme="9"/>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theme="9"/>
      </font>
      <fill>
        <patternFill>
          <bgColor theme="9"/>
        </patternFill>
      </fill>
    </dxf>
    <dxf>
      <font>
        <color theme="9"/>
      </font>
      <fill>
        <patternFill>
          <bgColor theme="9"/>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b val="0"/>
        <i val="0"/>
        <strike val="0"/>
        <condense val="0"/>
        <extend val="0"/>
        <outline val="0"/>
        <shadow val="0"/>
        <u val="none"/>
        <vertAlign val="baseline"/>
        <sz val="11"/>
        <color theme="1"/>
        <name val="Calibri"/>
        <family val="2"/>
        <scheme val="minor"/>
      </font>
    </dxf>
    <dxf>
      <font>
        <b val="0"/>
        <i val="0"/>
        <strike val="0"/>
        <condense val="0"/>
        <extend val="0"/>
        <outline val="0"/>
        <shadow val="0"/>
        <u val="none"/>
        <vertAlign val="baseline"/>
        <sz val="11"/>
        <color theme="1"/>
        <name val="Calibri"/>
        <family val="2"/>
        <scheme val="minor"/>
      </font>
      <numFmt numFmtId="164" formatCode="#,##0.00\ &quot;€&quot;"/>
    </dxf>
    <dxf>
      <font>
        <b val="0"/>
        <i val="0"/>
        <strike val="0"/>
        <condense val="0"/>
        <extend val="0"/>
        <outline val="0"/>
        <shadow val="0"/>
        <u val="none"/>
        <vertAlign val="baseline"/>
        <sz val="11"/>
        <color theme="1"/>
        <name val="Calibri"/>
        <family val="2"/>
        <scheme val="minor"/>
      </font>
      <numFmt numFmtId="0" formatCode="General"/>
    </dxf>
    <dxf>
      <font>
        <b val="0"/>
        <i val="0"/>
        <strike val="0"/>
        <condense val="0"/>
        <extend val="0"/>
        <outline val="0"/>
        <shadow val="0"/>
        <u val="none"/>
        <vertAlign val="baseline"/>
        <sz val="11"/>
        <color theme="1"/>
        <name val="Calibri"/>
        <family val="2"/>
        <scheme val="minor"/>
      </font>
    </dxf>
    <dxf>
      <font>
        <b val="0"/>
        <i val="0"/>
        <strike val="0"/>
        <condense val="0"/>
        <extend val="0"/>
        <outline val="0"/>
        <shadow val="0"/>
        <u val="none"/>
        <vertAlign val="baseline"/>
        <sz val="11"/>
        <color theme="1"/>
        <name val="Calibri"/>
        <family val="2"/>
        <scheme val="minor"/>
      </font>
      <numFmt numFmtId="0" formatCode="General"/>
    </dxf>
    <dxf>
      <font>
        <b val="0"/>
        <i val="0"/>
        <strike val="0"/>
        <condense val="0"/>
        <extend val="0"/>
        <outline val="0"/>
        <shadow val="0"/>
        <u val="none"/>
        <vertAlign val="baseline"/>
        <sz val="11"/>
        <color theme="1"/>
        <name val="Calibri"/>
        <family val="2"/>
        <scheme val="minor"/>
      </font>
      <numFmt numFmtId="0" formatCode="General"/>
    </dxf>
    <dxf>
      <numFmt numFmtId="0" formatCode="General"/>
    </dxf>
    <dxf>
      <font>
        <b val="0"/>
        <i val="0"/>
        <strike val="0"/>
        <condense val="0"/>
        <extend val="0"/>
        <outline val="0"/>
        <shadow val="0"/>
        <u val="none"/>
        <vertAlign val="baseline"/>
        <sz val="11"/>
        <color theme="1"/>
        <name val="Calibri"/>
        <family val="2"/>
        <scheme val="minor"/>
      </font>
    </dxf>
    <dxf>
      <font>
        <b val="0"/>
        <i val="0"/>
        <strike val="0"/>
        <condense val="0"/>
        <extend val="0"/>
        <outline val="0"/>
        <shadow val="0"/>
        <u val="none"/>
        <vertAlign val="baseline"/>
        <sz val="11"/>
        <color theme="1"/>
        <name val="Calibri"/>
        <family val="2"/>
        <scheme val="minor"/>
      </font>
    </dxf>
    <dxf>
      <font>
        <b val="0"/>
        <i val="0"/>
        <strike val="0"/>
        <condense val="0"/>
        <extend val="0"/>
        <outline val="0"/>
        <shadow val="0"/>
        <u val="none"/>
        <vertAlign val="baseline"/>
        <sz val="11"/>
        <color theme="1"/>
        <name val="Calibri"/>
        <family val="2"/>
        <scheme val="minor"/>
      </font>
    </dxf>
    <dxf>
      <font>
        <b val="0"/>
        <i val="0"/>
        <strike val="0"/>
        <condense val="0"/>
        <extend val="0"/>
        <outline val="0"/>
        <shadow val="0"/>
        <u val="none"/>
        <vertAlign val="baseline"/>
        <sz val="11"/>
        <color theme="1"/>
        <name val="Calibri"/>
        <family val="2"/>
        <scheme val="minor"/>
      </font>
      <numFmt numFmtId="164" formatCode="#,##0.00\ &quot;€&quot;"/>
    </dxf>
    <dxf>
      <font>
        <b val="0"/>
        <i val="0"/>
        <strike val="0"/>
        <condense val="0"/>
        <extend val="0"/>
        <outline val="0"/>
        <shadow val="0"/>
        <u val="none"/>
        <vertAlign val="baseline"/>
        <sz val="11"/>
        <color theme="1"/>
        <name val="Calibri"/>
        <family val="2"/>
        <scheme val="minor"/>
      </font>
      <numFmt numFmtId="0" formatCode="General"/>
    </dxf>
    <dxf>
      <font>
        <b val="0"/>
        <i val="0"/>
        <strike val="0"/>
        <condense val="0"/>
        <extend val="0"/>
        <outline val="0"/>
        <shadow val="0"/>
        <u val="none"/>
        <vertAlign val="baseline"/>
        <sz val="11"/>
        <color theme="1"/>
        <name val="Calibri"/>
        <family val="2"/>
        <scheme val="minor"/>
      </font>
    </dxf>
    <dxf>
      <font>
        <b val="0"/>
        <i val="0"/>
        <strike val="0"/>
        <condense val="0"/>
        <extend val="0"/>
        <outline val="0"/>
        <shadow val="0"/>
        <u val="none"/>
        <vertAlign val="baseline"/>
        <sz val="11"/>
        <color theme="1"/>
        <name val="Calibri"/>
        <family val="2"/>
        <scheme val="minor"/>
      </font>
      <numFmt numFmtId="0" formatCode="General"/>
    </dxf>
    <dxf>
      <font>
        <b val="0"/>
        <i val="0"/>
        <strike val="0"/>
        <condense val="0"/>
        <extend val="0"/>
        <outline val="0"/>
        <shadow val="0"/>
        <u val="none"/>
        <vertAlign val="baseline"/>
        <sz val="11"/>
        <color theme="1"/>
        <name val="Calibri"/>
        <family val="2"/>
        <scheme val="minor"/>
      </font>
      <numFmt numFmtId="0" formatCode="General"/>
    </dxf>
    <dxf>
      <numFmt numFmtId="0" formatCode="General"/>
    </dxf>
    <dxf>
      <font>
        <b val="0"/>
        <i val="0"/>
        <strike val="0"/>
        <condense val="0"/>
        <extend val="0"/>
        <outline val="0"/>
        <shadow val="0"/>
        <u val="none"/>
        <vertAlign val="baseline"/>
        <sz val="11"/>
        <color theme="1"/>
        <name val="Calibri"/>
        <family val="2"/>
        <scheme val="minor"/>
      </font>
    </dxf>
    <dxf>
      <font>
        <b val="0"/>
        <i val="0"/>
        <strike val="0"/>
        <condense val="0"/>
        <extend val="0"/>
        <outline val="0"/>
        <shadow val="0"/>
        <u val="none"/>
        <vertAlign val="baseline"/>
        <sz val="11"/>
        <color theme="1"/>
        <name val="Calibri"/>
        <family val="2"/>
        <scheme val="minor"/>
      </font>
    </dxf>
    <dxf>
      <font>
        <b val="0"/>
        <i val="0"/>
        <strike val="0"/>
        <condense val="0"/>
        <extend val="0"/>
        <outline val="0"/>
        <shadow val="0"/>
        <u val="none"/>
        <vertAlign val="baseline"/>
        <sz val="11"/>
        <color theme="1"/>
        <name val="Calibri"/>
        <family val="2"/>
        <scheme val="minor"/>
      </font>
      <numFmt numFmtId="34" formatCode="_-* #,##0.00\ &quot;€&quot;_-;\-* #,##0.00\ &quot;€&quot;_-;_-* &quot;-&quot;??\ &quot;€&quot;_-;_-@_-"/>
    </dxf>
    <dxf>
      <font>
        <b val="0"/>
        <i val="0"/>
        <strike val="0"/>
        <condense val="0"/>
        <extend val="0"/>
        <outline val="0"/>
        <shadow val="0"/>
        <u val="none"/>
        <vertAlign val="baseline"/>
        <sz val="11"/>
        <color theme="1"/>
        <name val="Calibri"/>
        <family val="2"/>
        <scheme val="minor"/>
      </font>
      <numFmt numFmtId="164" formatCode="#,##0.00\ &quot;€&quot;"/>
    </dxf>
    <dxf>
      <font>
        <b val="0"/>
        <i val="0"/>
        <strike val="0"/>
        <condense val="0"/>
        <extend val="0"/>
        <outline val="0"/>
        <shadow val="0"/>
        <u val="none"/>
        <vertAlign val="baseline"/>
        <sz val="11"/>
        <color theme="1"/>
        <name val="Calibri"/>
        <family val="2"/>
        <scheme val="minor"/>
      </font>
      <numFmt numFmtId="0" formatCode="General"/>
    </dxf>
    <dxf>
      <font>
        <b val="0"/>
        <i val="0"/>
        <strike val="0"/>
        <condense val="0"/>
        <extend val="0"/>
        <outline val="0"/>
        <shadow val="0"/>
        <u val="none"/>
        <vertAlign val="baseline"/>
        <sz val="11"/>
        <color theme="1"/>
        <name val="Calibri"/>
        <family val="2"/>
        <scheme val="minor"/>
      </font>
    </dxf>
    <dxf>
      <font>
        <b val="0"/>
        <i val="0"/>
        <strike val="0"/>
        <condense val="0"/>
        <extend val="0"/>
        <outline val="0"/>
        <shadow val="0"/>
        <u val="none"/>
        <vertAlign val="baseline"/>
        <sz val="11"/>
        <color theme="1"/>
        <name val="Calibri"/>
        <family val="2"/>
        <scheme val="minor"/>
      </font>
      <numFmt numFmtId="0" formatCode="General"/>
    </dxf>
    <dxf>
      <font>
        <b val="0"/>
        <i val="0"/>
        <strike val="0"/>
        <condense val="0"/>
        <extend val="0"/>
        <outline val="0"/>
        <shadow val="0"/>
        <u val="none"/>
        <vertAlign val="baseline"/>
        <sz val="11"/>
        <color theme="1"/>
        <name val="Calibri"/>
        <family val="2"/>
        <scheme val="minor"/>
      </font>
      <numFmt numFmtId="0" formatCode="General"/>
    </dxf>
    <dxf>
      <numFmt numFmtId="0" formatCode="General"/>
    </dxf>
    <dxf>
      <font>
        <b val="0"/>
        <i val="0"/>
        <strike val="0"/>
        <condense val="0"/>
        <extend val="0"/>
        <outline val="0"/>
        <shadow val="0"/>
        <u val="none"/>
        <vertAlign val="baseline"/>
        <sz val="11"/>
        <color theme="1"/>
        <name val="Calibri"/>
        <family val="2"/>
        <scheme val="minor"/>
      </font>
    </dxf>
    <dxf>
      <font>
        <b val="0"/>
        <i val="0"/>
        <strike val="0"/>
        <condense val="0"/>
        <extend val="0"/>
        <outline val="0"/>
        <shadow val="0"/>
        <u val="none"/>
        <vertAlign val="baseline"/>
        <sz val="11"/>
        <color theme="1"/>
        <name val="Calibri"/>
        <family val="2"/>
        <scheme val="minor"/>
      </font>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theme="9"/>
      </font>
      <fill>
        <patternFill>
          <bgColor theme="9"/>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theme="9"/>
      </font>
      <fill>
        <patternFill>
          <bgColor theme="9"/>
        </patternFill>
      </fill>
    </dxf>
    <dxf>
      <font>
        <color theme="9"/>
      </font>
      <fill>
        <patternFill>
          <bgColor theme="9"/>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b val="0"/>
        <i val="0"/>
        <strike val="0"/>
        <condense val="0"/>
        <extend val="0"/>
        <outline val="0"/>
        <shadow val="0"/>
        <u val="none"/>
        <vertAlign val="baseline"/>
        <sz val="11"/>
        <color theme="1"/>
        <name val="Calibri"/>
        <family val="2"/>
        <scheme val="minor"/>
      </font>
    </dxf>
    <dxf>
      <font>
        <b val="0"/>
        <i val="0"/>
        <strike val="0"/>
        <condense val="0"/>
        <extend val="0"/>
        <outline val="0"/>
        <shadow val="0"/>
        <u val="none"/>
        <vertAlign val="baseline"/>
        <sz val="11"/>
        <color theme="1"/>
        <name val="Calibri"/>
        <family val="2"/>
        <scheme val="minor"/>
      </font>
      <numFmt numFmtId="164" formatCode="#,##0.00\ &quot;€&quot;"/>
    </dxf>
    <dxf>
      <font>
        <b val="0"/>
        <i val="0"/>
        <strike val="0"/>
        <condense val="0"/>
        <extend val="0"/>
        <outline val="0"/>
        <shadow val="0"/>
        <u val="none"/>
        <vertAlign val="baseline"/>
        <sz val="11"/>
        <color theme="1"/>
        <name val="Calibri"/>
        <family val="2"/>
        <scheme val="minor"/>
      </font>
      <numFmt numFmtId="0" formatCode="General"/>
    </dxf>
    <dxf>
      <font>
        <b val="0"/>
        <i val="0"/>
        <strike val="0"/>
        <condense val="0"/>
        <extend val="0"/>
        <outline val="0"/>
        <shadow val="0"/>
        <u val="none"/>
        <vertAlign val="baseline"/>
        <sz val="11"/>
        <color theme="1"/>
        <name val="Calibri"/>
        <family val="2"/>
        <scheme val="minor"/>
      </font>
    </dxf>
    <dxf>
      <font>
        <b val="0"/>
        <i val="0"/>
        <strike val="0"/>
        <condense val="0"/>
        <extend val="0"/>
        <outline val="0"/>
        <shadow val="0"/>
        <u val="none"/>
        <vertAlign val="baseline"/>
        <sz val="11"/>
        <color theme="1"/>
        <name val="Calibri"/>
        <family val="2"/>
        <scheme val="minor"/>
      </font>
      <numFmt numFmtId="0" formatCode="General"/>
    </dxf>
    <dxf>
      <font>
        <b val="0"/>
        <i val="0"/>
        <strike val="0"/>
        <condense val="0"/>
        <extend val="0"/>
        <outline val="0"/>
        <shadow val="0"/>
        <u val="none"/>
        <vertAlign val="baseline"/>
        <sz val="11"/>
        <color theme="1"/>
        <name val="Calibri"/>
        <family val="2"/>
        <scheme val="minor"/>
      </font>
      <numFmt numFmtId="0" formatCode="General"/>
    </dxf>
    <dxf>
      <numFmt numFmtId="0" formatCode="General"/>
    </dxf>
    <dxf>
      <font>
        <b val="0"/>
        <i val="0"/>
        <strike val="0"/>
        <condense val="0"/>
        <extend val="0"/>
        <outline val="0"/>
        <shadow val="0"/>
        <u val="none"/>
        <vertAlign val="baseline"/>
        <sz val="11"/>
        <color theme="1"/>
        <name val="Calibri"/>
        <family val="2"/>
        <scheme val="minor"/>
      </font>
    </dxf>
    <dxf>
      <font>
        <b val="0"/>
        <i val="0"/>
        <strike val="0"/>
        <condense val="0"/>
        <extend val="0"/>
        <outline val="0"/>
        <shadow val="0"/>
        <u val="none"/>
        <vertAlign val="baseline"/>
        <sz val="11"/>
        <color theme="1"/>
        <name val="Calibri"/>
        <family val="2"/>
        <scheme val="minor"/>
      </font>
    </dxf>
    <dxf>
      <font>
        <b val="0"/>
        <i val="0"/>
        <strike val="0"/>
        <condense val="0"/>
        <extend val="0"/>
        <outline val="0"/>
        <shadow val="0"/>
        <u val="none"/>
        <vertAlign val="baseline"/>
        <sz val="11"/>
        <color theme="1"/>
        <name val="Calibri"/>
        <family val="2"/>
        <scheme val="minor"/>
      </font>
    </dxf>
    <dxf>
      <font>
        <b val="0"/>
        <i val="0"/>
        <strike val="0"/>
        <condense val="0"/>
        <extend val="0"/>
        <outline val="0"/>
        <shadow val="0"/>
        <u val="none"/>
        <vertAlign val="baseline"/>
        <sz val="11"/>
        <color theme="1"/>
        <name val="Calibri"/>
        <family val="2"/>
        <scheme val="minor"/>
      </font>
      <numFmt numFmtId="164" formatCode="#,##0.00\ &quot;€&quot;"/>
    </dxf>
    <dxf>
      <font>
        <b val="0"/>
        <i val="0"/>
        <strike val="0"/>
        <condense val="0"/>
        <extend val="0"/>
        <outline val="0"/>
        <shadow val="0"/>
        <u val="none"/>
        <vertAlign val="baseline"/>
        <sz val="11"/>
        <color theme="1"/>
        <name val="Calibri"/>
        <family val="2"/>
        <scheme val="minor"/>
      </font>
      <numFmt numFmtId="0" formatCode="General"/>
    </dxf>
    <dxf>
      <font>
        <b val="0"/>
        <i val="0"/>
        <strike val="0"/>
        <condense val="0"/>
        <extend val="0"/>
        <outline val="0"/>
        <shadow val="0"/>
        <u val="none"/>
        <vertAlign val="baseline"/>
        <sz val="11"/>
        <color theme="1"/>
        <name val="Calibri"/>
        <family val="2"/>
        <scheme val="minor"/>
      </font>
    </dxf>
    <dxf>
      <font>
        <b val="0"/>
        <i val="0"/>
        <strike val="0"/>
        <condense val="0"/>
        <extend val="0"/>
        <outline val="0"/>
        <shadow val="0"/>
        <u val="none"/>
        <vertAlign val="baseline"/>
        <sz val="11"/>
        <color theme="1"/>
        <name val="Calibri"/>
        <family val="2"/>
        <scheme val="minor"/>
      </font>
      <numFmt numFmtId="0" formatCode="General"/>
    </dxf>
    <dxf>
      <font>
        <b val="0"/>
        <i val="0"/>
        <strike val="0"/>
        <condense val="0"/>
        <extend val="0"/>
        <outline val="0"/>
        <shadow val="0"/>
        <u val="none"/>
        <vertAlign val="baseline"/>
        <sz val="11"/>
        <color theme="1"/>
        <name val="Calibri"/>
        <family val="2"/>
        <scheme val="minor"/>
      </font>
      <numFmt numFmtId="0" formatCode="General"/>
    </dxf>
    <dxf>
      <numFmt numFmtId="0" formatCode="General"/>
    </dxf>
    <dxf>
      <font>
        <b val="0"/>
        <i val="0"/>
        <strike val="0"/>
        <condense val="0"/>
        <extend val="0"/>
        <outline val="0"/>
        <shadow val="0"/>
        <u val="none"/>
        <vertAlign val="baseline"/>
        <sz val="11"/>
        <color theme="1"/>
        <name val="Calibri"/>
        <family val="2"/>
        <scheme val="minor"/>
      </font>
    </dxf>
    <dxf>
      <font>
        <b val="0"/>
        <i val="0"/>
        <strike val="0"/>
        <condense val="0"/>
        <extend val="0"/>
        <outline val="0"/>
        <shadow val="0"/>
        <u val="none"/>
        <vertAlign val="baseline"/>
        <sz val="11"/>
        <color theme="1"/>
        <name val="Calibri"/>
        <family val="2"/>
        <scheme val="minor"/>
      </font>
    </dxf>
    <dxf>
      <font>
        <b val="0"/>
        <i val="0"/>
        <strike val="0"/>
        <condense val="0"/>
        <extend val="0"/>
        <outline val="0"/>
        <shadow val="0"/>
        <u val="none"/>
        <vertAlign val="baseline"/>
        <sz val="11"/>
        <color theme="1"/>
        <name val="Calibri"/>
        <family val="2"/>
        <scheme val="minor"/>
      </font>
      <numFmt numFmtId="34" formatCode="_-* #,##0.00\ &quot;€&quot;_-;\-* #,##0.00\ &quot;€&quot;_-;_-* &quot;-&quot;??\ &quot;€&quot;_-;_-@_-"/>
    </dxf>
    <dxf>
      <font>
        <b val="0"/>
        <i val="0"/>
        <strike val="0"/>
        <condense val="0"/>
        <extend val="0"/>
        <outline val="0"/>
        <shadow val="0"/>
        <u val="none"/>
        <vertAlign val="baseline"/>
        <sz val="11"/>
        <color theme="1"/>
        <name val="Calibri"/>
        <family val="2"/>
        <scheme val="minor"/>
      </font>
      <numFmt numFmtId="164" formatCode="#,##0.00\ &quot;€&quot;"/>
    </dxf>
    <dxf>
      <font>
        <b val="0"/>
        <i val="0"/>
        <strike val="0"/>
        <condense val="0"/>
        <extend val="0"/>
        <outline val="0"/>
        <shadow val="0"/>
        <u val="none"/>
        <vertAlign val="baseline"/>
        <sz val="11"/>
        <color theme="1"/>
        <name val="Calibri"/>
        <family val="2"/>
        <scheme val="minor"/>
      </font>
      <numFmt numFmtId="0" formatCode="General"/>
    </dxf>
    <dxf>
      <font>
        <b val="0"/>
        <i val="0"/>
        <strike val="0"/>
        <condense val="0"/>
        <extend val="0"/>
        <outline val="0"/>
        <shadow val="0"/>
        <u val="none"/>
        <vertAlign val="baseline"/>
        <sz val="11"/>
        <color theme="1"/>
        <name val="Calibri"/>
        <family val="2"/>
        <scheme val="minor"/>
      </font>
    </dxf>
    <dxf>
      <font>
        <b val="0"/>
        <i val="0"/>
        <strike val="0"/>
        <condense val="0"/>
        <extend val="0"/>
        <outline val="0"/>
        <shadow val="0"/>
        <u val="none"/>
        <vertAlign val="baseline"/>
        <sz val="11"/>
        <color theme="1"/>
        <name val="Calibri"/>
        <family val="2"/>
        <scheme val="minor"/>
      </font>
      <numFmt numFmtId="0" formatCode="General"/>
    </dxf>
    <dxf>
      <font>
        <b val="0"/>
        <i val="0"/>
        <strike val="0"/>
        <condense val="0"/>
        <extend val="0"/>
        <outline val="0"/>
        <shadow val="0"/>
        <u val="none"/>
        <vertAlign val="baseline"/>
        <sz val="11"/>
        <color theme="1"/>
        <name val="Calibri"/>
        <family val="2"/>
        <scheme val="minor"/>
      </font>
      <numFmt numFmtId="0" formatCode="General"/>
    </dxf>
    <dxf>
      <numFmt numFmtId="0" formatCode="General"/>
    </dxf>
    <dxf>
      <font>
        <b val="0"/>
        <i val="0"/>
        <strike val="0"/>
        <condense val="0"/>
        <extend val="0"/>
        <outline val="0"/>
        <shadow val="0"/>
        <u val="none"/>
        <vertAlign val="baseline"/>
        <sz val="11"/>
        <color theme="1"/>
        <name val="Calibri"/>
        <family val="2"/>
        <scheme val="minor"/>
      </font>
    </dxf>
    <dxf>
      <font>
        <b val="0"/>
        <i val="0"/>
        <strike val="0"/>
        <condense val="0"/>
        <extend val="0"/>
        <outline val="0"/>
        <shadow val="0"/>
        <u val="none"/>
        <vertAlign val="baseline"/>
        <sz val="11"/>
        <color theme="1"/>
        <name val="Calibri"/>
        <family val="2"/>
        <scheme val="minor"/>
      </font>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theme="9"/>
      </font>
      <fill>
        <patternFill>
          <bgColor theme="9"/>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theme="9"/>
      </font>
      <fill>
        <patternFill>
          <bgColor theme="9"/>
        </patternFill>
      </fill>
    </dxf>
    <dxf>
      <font>
        <color theme="9"/>
      </font>
      <fill>
        <patternFill>
          <bgColor theme="9"/>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b val="0"/>
        <i val="0"/>
        <strike val="0"/>
        <condense val="0"/>
        <extend val="0"/>
        <outline val="0"/>
        <shadow val="0"/>
        <u val="none"/>
        <vertAlign val="baseline"/>
        <sz val="11"/>
        <color theme="1"/>
        <name val="Calibri"/>
        <family val="2"/>
        <scheme val="minor"/>
      </font>
    </dxf>
    <dxf>
      <font>
        <b val="0"/>
        <i val="0"/>
        <strike val="0"/>
        <condense val="0"/>
        <extend val="0"/>
        <outline val="0"/>
        <shadow val="0"/>
        <u val="none"/>
        <vertAlign val="baseline"/>
        <sz val="11"/>
        <color theme="1"/>
        <name val="Calibri"/>
        <family val="2"/>
        <scheme val="minor"/>
      </font>
      <numFmt numFmtId="164" formatCode="#,##0.00\ &quot;€&quot;"/>
    </dxf>
    <dxf>
      <font>
        <b val="0"/>
        <i val="0"/>
        <strike val="0"/>
        <condense val="0"/>
        <extend val="0"/>
        <outline val="0"/>
        <shadow val="0"/>
        <u val="none"/>
        <vertAlign val="baseline"/>
        <sz val="11"/>
        <color theme="1"/>
        <name val="Calibri"/>
        <family val="2"/>
        <scheme val="minor"/>
      </font>
      <numFmt numFmtId="0" formatCode="General"/>
    </dxf>
    <dxf>
      <font>
        <b val="0"/>
        <i val="0"/>
        <strike val="0"/>
        <condense val="0"/>
        <extend val="0"/>
        <outline val="0"/>
        <shadow val="0"/>
        <u val="none"/>
        <vertAlign val="baseline"/>
        <sz val="11"/>
        <color theme="1"/>
        <name val="Calibri"/>
        <family val="2"/>
        <scheme val="minor"/>
      </font>
    </dxf>
    <dxf>
      <font>
        <b val="0"/>
        <i val="0"/>
        <strike val="0"/>
        <condense val="0"/>
        <extend val="0"/>
        <outline val="0"/>
        <shadow val="0"/>
        <u val="none"/>
        <vertAlign val="baseline"/>
        <sz val="11"/>
        <color theme="1"/>
        <name val="Calibri"/>
        <family val="2"/>
        <scheme val="minor"/>
      </font>
      <numFmt numFmtId="0" formatCode="General"/>
    </dxf>
    <dxf>
      <font>
        <b val="0"/>
        <i val="0"/>
        <strike val="0"/>
        <condense val="0"/>
        <extend val="0"/>
        <outline val="0"/>
        <shadow val="0"/>
        <u val="none"/>
        <vertAlign val="baseline"/>
        <sz val="11"/>
        <color theme="1"/>
        <name val="Calibri"/>
        <family val="2"/>
        <scheme val="minor"/>
      </font>
      <numFmt numFmtId="0" formatCode="General"/>
    </dxf>
    <dxf>
      <numFmt numFmtId="0" formatCode="General"/>
    </dxf>
    <dxf>
      <font>
        <b val="0"/>
        <i val="0"/>
        <strike val="0"/>
        <condense val="0"/>
        <extend val="0"/>
        <outline val="0"/>
        <shadow val="0"/>
        <u val="none"/>
        <vertAlign val="baseline"/>
        <sz val="11"/>
        <color theme="1"/>
        <name val="Calibri"/>
        <family val="2"/>
        <scheme val="minor"/>
      </font>
    </dxf>
    <dxf>
      <font>
        <b val="0"/>
        <i val="0"/>
        <strike val="0"/>
        <condense val="0"/>
        <extend val="0"/>
        <outline val="0"/>
        <shadow val="0"/>
        <u val="none"/>
        <vertAlign val="baseline"/>
        <sz val="11"/>
        <color theme="1"/>
        <name val="Calibri"/>
        <family val="2"/>
        <scheme val="minor"/>
      </font>
    </dxf>
    <dxf>
      <font>
        <b val="0"/>
        <i val="0"/>
        <strike val="0"/>
        <condense val="0"/>
        <extend val="0"/>
        <outline val="0"/>
        <shadow val="0"/>
        <u val="none"/>
        <vertAlign val="baseline"/>
        <sz val="11"/>
        <color theme="1"/>
        <name val="Calibri"/>
        <family val="2"/>
        <scheme val="minor"/>
      </font>
    </dxf>
    <dxf>
      <font>
        <b val="0"/>
        <i val="0"/>
        <strike val="0"/>
        <condense val="0"/>
        <extend val="0"/>
        <outline val="0"/>
        <shadow val="0"/>
        <u val="none"/>
        <vertAlign val="baseline"/>
        <sz val="11"/>
        <color theme="1"/>
        <name val="Calibri"/>
        <family val="2"/>
        <scheme val="minor"/>
      </font>
      <numFmt numFmtId="164" formatCode="#,##0.00\ &quot;€&quot;"/>
    </dxf>
    <dxf>
      <font>
        <b val="0"/>
        <i val="0"/>
        <strike val="0"/>
        <condense val="0"/>
        <extend val="0"/>
        <outline val="0"/>
        <shadow val="0"/>
        <u val="none"/>
        <vertAlign val="baseline"/>
        <sz val="11"/>
        <color theme="1"/>
        <name val="Calibri"/>
        <family val="2"/>
        <scheme val="minor"/>
      </font>
      <numFmt numFmtId="0" formatCode="General"/>
    </dxf>
    <dxf>
      <font>
        <b val="0"/>
        <i val="0"/>
        <strike val="0"/>
        <condense val="0"/>
        <extend val="0"/>
        <outline val="0"/>
        <shadow val="0"/>
        <u val="none"/>
        <vertAlign val="baseline"/>
        <sz val="11"/>
        <color theme="1"/>
        <name val="Calibri"/>
        <family val="2"/>
        <scheme val="minor"/>
      </font>
    </dxf>
    <dxf>
      <font>
        <b val="0"/>
        <i val="0"/>
        <strike val="0"/>
        <condense val="0"/>
        <extend val="0"/>
        <outline val="0"/>
        <shadow val="0"/>
        <u val="none"/>
        <vertAlign val="baseline"/>
        <sz val="11"/>
        <color theme="1"/>
        <name val="Calibri"/>
        <family val="2"/>
        <scheme val="minor"/>
      </font>
      <numFmt numFmtId="0" formatCode="General"/>
    </dxf>
    <dxf>
      <font>
        <b val="0"/>
        <i val="0"/>
        <strike val="0"/>
        <condense val="0"/>
        <extend val="0"/>
        <outline val="0"/>
        <shadow val="0"/>
        <u val="none"/>
        <vertAlign val="baseline"/>
        <sz val="11"/>
        <color theme="1"/>
        <name val="Calibri"/>
        <family val="2"/>
        <scheme val="minor"/>
      </font>
      <numFmt numFmtId="0" formatCode="General"/>
    </dxf>
    <dxf>
      <numFmt numFmtId="0" formatCode="General"/>
    </dxf>
    <dxf>
      <font>
        <b val="0"/>
        <i val="0"/>
        <strike val="0"/>
        <condense val="0"/>
        <extend val="0"/>
        <outline val="0"/>
        <shadow val="0"/>
        <u val="none"/>
        <vertAlign val="baseline"/>
        <sz val="11"/>
        <color theme="1"/>
        <name val="Calibri"/>
        <family val="2"/>
        <scheme val="minor"/>
      </font>
    </dxf>
    <dxf>
      <font>
        <b val="0"/>
        <i val="0"/>
        <strike val="0"/>
        <condense val="0"/>
        <extend val="0"/>
        <outline val="0"/>
        <shadow val="0"/>
        <u val="none"/>
        <vertAlign val="baseline"/>
        <sz val="11"/>
        <color theme="1"/>
        <name val="Calibri"/>
        <family val="2"/>
        <scheme val="minor"/>
      </font>
    </dxf>
    <dxf>
      <font>
        <b val="0"/>
        <i val="0"/>
        <strike val="0"/>
        <condense val="0"/>
        <extend val="0"/>
        <outline val="0"/>
        <shadow val="0"/>
        <u val="none"/>
        <vertAlign val="baseline"/>
        <sz val="11"/>
        <color theme="1"/>
        <name val="Calibri"/>
        <family val="2"/>
        <scheme val="minor"/>
      </font>
      <numFmt numFmtId="34" formatCode="_-* #,##0.00\ &quot;€&quot;_-;\-* #,##0.00\ &quot;€&quot;_-;_-* &quot;-&quot;??\ &quot;€&quot;_-;_-@_-"/>
    </dxf>
    <dxf>
      <font>
        <b val="0"/>
        <i val="0"/>
        <strike val="0"/>
        <condense val="0"/>
        <extend val="0"/>
        <outline val="0"/>
        <shadow val="0"/>
        <u val="none"/>
        <vertAlign val="baseline"/>
        <sz val="11"/>
        <color theme="1"/>
        <name val="Calibri"/>
        <family val="2"/>
        <scheme val="minor"/>
      </font>
      <numFmt numFmtId="164" formatCode="#,##0.00\ &quot;€&quot;"/>
    </dxf>
    <dxf>
      <font>
        <b val="0"/>
        <i val="0"/>
        <strike val="0"/>
        <condense val="0"/>
        <extend val="0"/>
        <outline val="0"/>
        <shadow val="0"/>
        <u val="none"/>
        <vertAlign val="baseline"/>
        <sz val="11"/>
        <color theme="1"/>
        <name val="Calibri"/>
        <family val="2"/>
        <scheme val="minor"/>
      </font>
      <numFmt numFmtId="0" formatCode="General"/>
    </dxf>
    <dxf>
      <font>
        <b val="0"/>
        <i val="0"/>
        <strike val="0"/>
        <condense val="0"/>
        <extend val="0"/>
        <outline val="0"/>
        <shadow val="0"/>
        <u val="none"/>
        <vertAlign val="baseline"/>
        <sz val="11"/>
        <color theme="1"/>
        <name val="Calibri"/>
        <family val="2"/>
        <scheme val="minor"/>
      </font>
    </dxf>
    <dxf>
      <font>
        <b val="0"/>
        <i val="0"/>
        <strike val="0"/>
        <condense val="0"/>
        <extend val="0"/>
        <outline val="0"/>
        <shadow val="0"/>
        <u val="none"/>
        <vertAlign val="baseline"/>
        <sz val="11"/>
        <color theme="1"/>
        <name val="Calibri"/>
        <family val="2"/>
        <scheme val="minor"/>
      </font>
      <numFmt numFmtId="0" formatCode="General"/>
    </dxf>
    <dxf>
      <font>
        <b val="0"/>
        <i val="0"/>
        <strike val="0"/>
        <condense val="0"/>
        <extend val="0"/>
        <outline val="0"/>
        <shadow val="0"/>
        <u val="none"/>
        <vertAlign val="baseline"/>
        <sz val="11"/>
        <color theme="1"/>
        <name val="Calibri"/>
        <family val="2"/>
        <scheme val="minor"/>
      </font>
      <numFmt numFmtId="0" formatCode="General"/>
    </dxf>
    <dxf>
      <numFmt numFmtId="0" formatCode="General"/>
    </dxf>
    <dxf>
      <font>
        <b val="0"/>
        <i val="0"/>
        <strike val="0"/>
        <condense val="0"/>
        <extend val="0"/>
        <outline val="0"/>
        <shadow val="0"/>
        <u val="none"/>
        <vertAlign val="baseline"/>
        <sz val="11"/>
        <color theme="1"/>
        <name val="Calibri"/>
        <family val="2"/>
        <scheme val="minor"/>
      </font>
    </dxf>
    <dxf>
      <font>
        <b val="0"/>
        <i val="0"/>
        <strike val="0"/>
        <condense val="0"/>
        <extend val="0"/>
        <outline val="0"/>
        <shadow val="0"/>
        <u val="none"/>
        <vertAlign val="baseline"/>
        <sz val="11"/>
        <color theme="1"/>
        <name val="Calibri"/>
        <family val="2"/>
        <scheme val="minor"/>
      </font>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theme="9"/>
      </font>
      <fill>
        <patternFill>
          <bgColor theme="9"/>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theme="9"/>
      </font>
      <fill>
        <patternFill>
          <bgColor theme="9"/>
        </patternFill>
      </fill>
    </dxf>
    <dxf>
      <font>
        <color theme="9"/>
      </font>
      <fill>
        <patternFill>
          <bgColor theme="9"/>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numFmt numFmtId="0" formatCode="General"/>
    </dxf>
    <dxf>
      <numFmt numFmtId="0" formatCode="General"/>
    </dxf>
    <dxf>
      <numFmt numFmtId="0" formatCode="General"/>
    </dxf>
    <dxf>
      <numFmt numFmtId="0" formatCode="General"/>
    </dxf>
    <dxf>
      <font>
        <color rgb="FF9C0006"/>
      </font>
      <fill>
        <patternFill>
          <bgColor rgb="FFFFC7CE"/>
        </patternFill>
      </fill>
    </dxf>
  </dxfs>
  <tableStyles count="1" defaultTableStyle="TableStyleMedium2" defaultPivotStyle="PivotStyleLight16">
    <tableStyle name="Style de tableau 1" pivot="0" count="0" xr9:uid="{0BF74579-E294-4AD4-B4EC-47719D1934CA}"/>
  </tableStyle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worksheet" Target="worksheets/sheet26.xml"/><Relationship Id="rId3" Type="http://schemas.openxmlformats.org/officeDocument/2006/relationships/worksheet" Target="worksheets/sheet3.xml"/><Relationship Id="rId21" Type="http://schemas.openxmlformats.org/officeDocument/2006/relationships/worksheet" Target="worksheets/sheet21.xml"/><Relationship Id="rId34" Type="http://schemas.openxmlformats.org/officeDocument/2006/relationships/styles" Target="styles.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33" Type="http://schemas.openxmlformats.org/officeDocument/2006/relationships/theme" Target="theme/theme1.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29" Type="http://schemas.openxmlformats.org/officeDocument/2006/relationships/worksheet" Target="worksheets/sheet29.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worksheet" Target="worksheets/sheet24.xml"/><Relationship Id="rId32" Type="http://schemas.openxmlformats.org/officeDocument/2006/relationships/worksheet" Target="worksheets/sheet32.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worksheet" Target="worksheets/sheet28.xml"/><Relationship Id="rId36" Type="http://schemas.openxmlformats.org/officeDocument/2006/relationships/calcChain" Target="calcChain.xml"/><Relationship Id="rId10" Type="http://schemas.openxmlformats.org/officeDocument/2006/relationships/worksheet" Target="worksheets/sheet10.xml"/><Relationship Id="rId19" Type="http://schemas.openxmlformats.org/officeDocument/2006/relationships/worksheet" Target="worksheets/sheet19.xml"/><Relationship Id="rId31" Type="http://schemas.openxmlformats.org/officeDocument/2006/relationships/worksheet" Target="worksheets/sheet31.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worksheet" Target="worksheets/sheet27.xml"/><Relationship Id="rId30" Type="http://schemas.openxmlformats.org/officeDocument/2006/relationships/worksheet" Target="worksheets/sheet30.xml"/><Relationship Id="rId35" Type="http://schemas.openxmlformats.org/officeDocument/2006/relationships/sharedStrings" Target="sharedStrings.xml"/><Relationship Id="rId8" Type="http://schemas.openxmlformats.org/officeDocument/2006/relationships/worksheet" Target="worksheets/sheet8.xml"/></Relationships>
</file>

<file path=xl/drawings/drawing1.xml><?xml version="1.0" encoding="utf-8"?>
<xdr:wsDr xmlns:xdr="http://schemas.openxmlformats.org/drawingml/2006/spreadsheetDrawing" xmlns:a="http://schemas.openxmlformats.org/drawingml/2006/main">
  <xdr:twoCellAnchor>
    <xdr:from>
      <xdr:col>1</xdr:col>
      <xdr:colOff>85725</xdr:colOff>
      <xdr:row>1</xdr:row>
      <xdr:rowOff>85725</xdr:rowOff>
    </xdr:from>
    <xdr:to>
      <xdr:col>7</xdr:col>
      <xdr:colOff>628650</xdr:colOff>
      <xdr:row>26</xdr:row>
      <xdr:rowOff>123825</xdr:rowOff>
    </xdr:to>
    <xdr:sp macro="" textlink="">
      <xdr:nvSpPr>
        <xdr:cNvPr id="2" name="ZoneTexte 1">
          <a:extLst>
            <a:ext uri="{FF2B5EF4-FFF2-40B4-BE49-F238E27FC236}">
              <a16:creationId xmlns:a16="http://schemas.microsoft.com/office/drawing/2014/main" id="{848F1EC3-124A-4F15-8E8B-51AEE0F04DD2}"/>
            </a:ext>
          </a:extLst>
        </xdr:cNvPr>
        <xdr:cNvSpPr txBox="1"/>
      </xdr:nvSpPr>
      <xdr:spPr>
        <a:xfrm>
          <a:off x="847725" y="276225"/>
          <a:ext cx="5114925" cy="4800600"/>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fr-FR" sz="1100" i="1"/>
            <a:t>Ce tableur</a:t>
          </a:r>
          <a:r>
            <a:rPr lang="fr-FR" sz="1100" i="1" baseline="0"/>
            <a:t> permet de connaitre l'inventaire général des stocks. Il permet aussi de creer les malles en fonction du matériel déjà present dans la malle ainsi que de connaitre le nouveau coût de chaque secteur.</a:t>
          </a:r>
        </a:p>
        <a:p>
          <a:r>
            <a:rPr lang="fr-FR" sz="1100" i="1"/>
            <a:t>Les feuilles excel sont réparties</a:t>
          </a:r>
          <a:r>
            <a:rPr lang="fr-FR" sz="1100" i="1" baseline="0"/>
            <a:t> en 3 parties:</a:t>
          </a:r>
        </a:p>
        <a:p>
          <a:r>
            <a:rPr lang="fr-FR" sz="1100" i="1" baseline="0"/>
            <a:t>- La consigne</a:t>
          </a:r>
        </a:p>
        <a:p>
          <a:r>
            <a:rPr lang="fr-FR" sz="1100" i="1" baseline="0"/>
            <a:t>- Les trois types d'inventaires</a:t>
          </a:r>
        </a:p>
        <a:p>
          <a:r>
            <a:rPr lang="fr-FR" sz="1100" i="1" baseline="0"/>
            <a:t>- Les differents secteurs et leurs malles.</a:t>
          </a:r>
        </a:p>
        <a:p>
          <a:endParaRPr lang="fr-FR" sz="1100" i="1" baseline="0"/>
        </a:p>
        <a:p>
          <a:r>
            <a:rPr lang="fr-FR" sz="1100" b="1" i="0" u="sng" baseline="0"/>
            <a:t>Les inventaire:</a:t>
          </a:r>
        </a:p>
        <a:p>
          <a:endParaRPr lang="fr-FR" sz="1100" b="0" i="1" baseline="0"/>
        </a:p>
        <a:p>
          <a:r>
            <a:rPr lang="fr-FR" sz="1100" b="0" i="0" baseline="0"/>
            <a:t>Le premier corresponds à l'inventaire du matériel. </a:t>
          </a:r>
        </a:p>
        <a:p>
          <a:r>
            <a:rPr lang="fr-FR" sz="1100" b="0" i="0" baseline="0"/>
            <a:t>- La quantité </a:t>
          </a:r>
          <a:r>
            <a:rPr lang="fr-FR" sz="1100" b="1" i="0" baseline="0"/>
            <a:t>N-1 </a:t>
          </a:r>
          <a:r>
            <a:rPr lang="fr-FR" sz="1100" b="0" i="0" baseline="0"/>
            <a:t>correspond à la quantité du matériel dans les années précédentes ; La quantité</a:t>
          </a:r>
          <a:r>
            <a:rPr lang="fr-FR" sz="1100" b="1" i="0" baseline="0"/>
            <a:t> N </a:t>
          </a:r>
          <a:r>
            <a:rPr lang="fr-FR" sz="1100" b="0" i="0" baseline="0"/>
            <a:t>correspond aux fournitures acheté pendant l'année en cours.</a:t>
          </a:r>
        </a:p>
        <a:p>
          <a:r>
            <a:rPr lang="fr-FR" sz="1100" b="0" i="0" baseline="0"/>
            <a:t>- La colonnes prêté correspond au total de ce matériel prêté aux autres orga, elle influence sur la quantité disponible.</a:t>
          </a:r>
        </a:p>
        <a:p>
          <a:r>
            <a:rPr lang="fr-FR" sz="1100" b="0" i="0" baseline="0"/>
            <a:t>- La quantité disponible represente la quantité du matériel dans les stocks (les malles ne font pas partie du stock)</a:t>
          </a:r>
        </a:p>
        <a:p>
          <a:r>
            <a:rPr lang="fr-FR" sz="1100" b="0" i="0" baseline="0"/>
            <a:t>- Le demande total est la somme des demande du matériel dans tout les secteurs.</a:t>
          </a:r>
        </a:p>
        <a:p>
          <a:r>
            <a:rPr lang="fr-FR" sz="1100" b="0" i="0" baseline="0"/>
            <a:t>- La quantité à acheter est le résultat des demandes - la quantité dispo</a:t>
          </a:r>
        </a:p>
        <a:p>
          <a:endParaRPr lang="fr-FR" sz="1100" b="0" i="0" baseline="0"/>
        </a:p>
        <a:p>
          <a:r>
            <a:rPr lang="fr-FR" sz="1100" b="0" i="0" baseline="0"/>
            <a:t>Pour les deux autres inventaires, cablage et mobilier, une colonne "emprunté" a été créé</a:t>
          </a:r>
        </a:p>
        <a:p>
          <a:r>
            <a:rPr lang="fr-FR" sz="1100" b="0" i="0" baseline="0"/>
            <a:t>Afin de savoir d'ou elles viennent, il est possible de laisser un commentaire (clic droit sur le matériel, ajouter un commentaire. Pour le voir, il suffit juste de se placer sur la cellule</a:t>
          </a:r>
        </a:p>
        <a:p>
          <a:endParaRPr lang="fr-FR" sz="1100" b="1" i="0" baseline="0"/>
        </a:p>
        <a:p>
          <a:endParaRPr lang="fr-FR" sz="1100" b="0" i="0" baseline="0"/>
        </a:p>
      </xdr:txBody>
    </xdr:sp>
    <xdr:clientData/>
  </xdr:twoCellAnchor>
</xdr:wsDr>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691273A7-746E-4BE2-889B-F7DEFC239F9F}" name="Tableau1" displayName="Tableau1" ref="B3:H196" totalsRowCount="1">
  <autoFilter ref="B3:H195" xr:uid="{A1E8BA5F-D87E-438D-A7EE-4C50318B7DE2}"/>
  <sortState ref="B4:H195">
    <sortCondition ref="B3:B195"/>
  </sortState>
  <tableColumns count="7">
    <tableColumn id="1" xr3:uid="{80EACB07-F37D-4895-8E90-E880A21C091C}" name="Inventaire général Matériel" totalsRowLabel="Total"/>
    <tableColumn id="2" xr3:uid="{F4303AD8-8D25-4B8C-95C8-340E3F84EFA0}" name="Quantité N-1" totalsRowFunction="custom">
      <totalsRowFormula>SUM(Tableau1[Quantité N-1])</totalsRowFormula>
    </tableColumn>
    <tableColumn id="5" xr3:uid="{DCAB1474-EAAF-4ED2-A1A4-6DA50C4FE30D}" name="Quantité N"/>
    <tableColumn id="4" xr3:uid="{9DA0ADFB-F959-4E23-8606-CEFDBD142E99}" name="Prêté"/>
    <tableColumn id="3" xr3:uid="{C5470340-FF8E-4353-9E90-C4C9DD53CF10}" name="Spare" dataDxfId="1056">
      <calculatedColumnFormula>Tableau1[[#This Row],[Quantité N-1]]+Tableau1[[#This Row],[Quantité N]]-Tableau1[[#This Row],[Prêté]]</calculatedColumnFormula>
    </tableColumn>
    <tableColumn id="6" xr3:uid="{0DC0AB17-AA70-4FEA-B7CE-840BEEA0BDD5}" name="Demande total" dataDxfId="1055"/>
    <tableColumn id="7" xr3:uid="{FD249697-4F95-4C41-9C0A-EBE88C549B66}" name="Manque" dataDxfId="1054">
      <calculatedColumnFormula>Tableau1[[#This Row],[Demande total]]-Tableau1[[#This Row],[Spare]]</calculatedColumnFormula>
    </tableColumn>
  </tableColumns>
  <tableStyleInfo name="TableStyleMedium8" showFirstColumn="0" showLastColumn="0" showRowStripes="1" showColumnStripes="0"/>
</table>
</file>

<file path=xl/tables/table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 xr:uid="{83FE4D9E-78D1-4CE8-AB55-1944AD7D33F1}" name="Tableau13" displayName="Tableau13" ref="B3:I12" totalsRowCount="1">
  <autoFilter ref="B3:I11" xr:uid="{28E7B04E-F9DC-43EF-AC8E-7B96BB75843C}"/>
  <sortState ref="B4:I11">
    <sortCondition ref="B3:B11"/>
  </sortState>
  <tableColumns count="8">
    <tableColumn id="1" xr3:uid="{138DA510-487D-4405-B79D-2781AEFEBF55}" name="Inventaire général Cablage" totalsRowLabel="Total"/>
    <tableColumn id="6" xr3:uid="{1438CB10-864A-48C4-BFF2-14FC62608609}" name="Quantité N-1"/>
    <tableColumn id="2" xr3:uid="{ECB5C12A-29EB-4CF6-9A59-FE07ACFE0B98}" name="Quantité N"/>
    <tableColumn id="4" xr3:uid="{109E6FC8-077A-438F-887B-DA3815F63382}" name="Prêté"/>
    <tableColumn id="7" xr3:uid="{23556ECB-ECF4-44F7-8EF6-5CDB9CEDDB9A}" name="Emprunté"/>
    <tableColumn id="3" xr3:uid="{7CBBD851-3020-4D8A-9594-7525E1BEE2F1}" name="Spare"/>
    <tableColumn id="5" xr3:uid="{18D7CF4A-61A2-478B-A1DF-A3589B3D995B}" name="Demande total"/>
    <tableColumn id="8" xr3:uid="{3E20C822-140B-4C50-81CC-70F49D361F02}" name="Manque" dataDxfId="1053">
      <calculatedColumnFormula>Tableau13[[#This Row],[Demande total]]-Tableau13[[#This Row],[Spare]]</calculatedColumnFormula>
    </tableColumn>
  </tableColumns>
  <tableStyleInfo name="TableStyleMedium8" showFirstColumn="0" showLastColumn="0" showRowStripes="1" showColumnStripes="0"/>
</table>
</file>

<file path=xl/tables/table3.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3" xr:uid="{D27BE708-DB20-4F94-8169-3888D4C1797D}" name="Tableau134" displayName="Tableau134" ref="B3:I13" totalsRowCount="1">
  <autoFilter ref="B3:I12" xr:uid="{866639E4-9F63-495F-A1F8-32FDE5D2906C}"/>
  <sortState ref="B4:I12">
    <sortCondition ref="B3:B12"/>
  </sortState>
  <tableColumns count="8">
    <tableColumn id="1" xr3:uid="{F00BF7A2-2FCE-4379-8216-358F17916A58}" name="Inventaire général Mobilier" totalsRowLabel="Total"/>
    <tableColumn id="6" xr3:uid="{B4DCCF6B-AEE3-4F37-8BA2-E6D98BF44090}" name="Quantité N-1"/>
    <tableColumn id="2" xr3:uid="{0C5EB522-4B72-4D3F-A0D3-39EB2601019F}" name="Quantité N"/>
    <tableColumn id="4" xr3:uid="{87976110-C0D6-40C0-8D62-3F6180A6FF04}" name="Prêté"/>
    <tableColumn id="7" xr3:uid="{61498863-9B4B-40A5-8BE0-5855474249A4}" name="Emprunté"/>
    <tableColumn id="3" xr3:uid="{A5AAFD0F-7A23-4A41-8589-6AECB9E3CBBC}" name="Disponible"/>
    <tableColumn id="5" xr3:uid="{E28C76BE-93B9-45C1-832E-858E6D40DBB2}" name="Demande total"/>
    <tableColumn id="8" xr3:uid="{0DF7CF8A-748A-433E-B516-11EC17215D65}" name="Quantité à acheter"/>
  </tableColumns>
  <tableStyleInfo name="TableStyleMedium8" showFirstColumn="0" showLastColumn="0" showRowStripes="1" showColumnStripes="0"/>
</table>
</file>

<file path=xl/tables/table4.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47" xr:uid="{DD6E8788-1067-4FAF-B5D5-A1E6EC445E74}" name="Tableau92218248" displayName="Tableau92218248" ref="B2:H16" totalsRowCount="1" headerRowDxfId="1040" dataDxfId="1039" headerRowCellStyle="Monétaire" dataCellStyle="Monétaire">
  <autoFilter ref="B2:H15" xr:uid="{74077DBF-1374-41F8-BADF-A780574F6264}"/>
  <tableColumns count="7">
    <tableColumn id="1" xr3:uid="{EB220D1A-7FC9-44E9-8948-5B14BFE1E3EC}" name="Matériel" totalsRowLabel="Total"/>
    <tableColumn id="2" xr3:uid="{9E568D7E-59E2-4B38-A634-6C951D7B6F26}" name="Présente dans la malle" totalsRowFunction="custom">
      <totalsRowFormula>SUM(Tableau92218248[Présente dans la malle])</totalsRowFormula>
    </tableColumn>
    <tableColumn id="3" xr3:uid="{3DB4D3E0-40D4-4C02-9650-560E685AE663}" name="Demande" totalsRowFunction="custom">
      <totalsRowFormula>SUM(Tableau92218248[Demande])</totalsRowFormula>
    </tableColumn>
    <tableColumn id="4" xr3:uid="{F73D0578-F03A-4FE6-AD0B-39ACD5923652}" name="Manque" totalsRowFunction="custom" dataDxfId="1038">
      <calculatedColumnFormula>Tableau92218248[[#This Row],[Demande]]-Tableau92218248[[#This Row],[Présente dans la malle]]</calculatedColumnFormula>
      <totalsRowFormula>SUM(Tableau92218248[Manque])</totalsRowFormula>
    </tableColumn>
    <tableColumn id="5" xr3:uid="{4380A421-09D1-4C07-9A77-B235CDF87CCA}" name="Quantités acheté rajouté" totalsRowFunction="custom" dataDxfId="1037" totalsRowDxfId="1036" dataCellStyle="Monétaire">
      <totalsRowFormula>SUM(Tableau92218248[Quantités acheté rajouté])</totalsRowFormula>
    </tableColumn>
    <tableColumn id="6" xr3:uid="{67878930-C427-40AB-99B9-CB6002184CE1}" name="CU du matos rajouté acheté" dataDxfId="1035" totalsRowDxfId="1034" dataCellStyle="Monétaire"/>
    <tableColumn id="7" xr3:uid="{B68B3FBF-1BC9-4DDA-955D-B2DCAABA1A68}" name="CT" totalsRowFunction="custom" dataDxfId="1033" totalsRowDxfId="1032" dataCellStyle="Monétaire">
      <calculatedColumnFormula>Tableau92218248[[#This Row],[Quantités acheté rajouté]]*Tableau92218248[[#This Row],[CU du matos rajouté acheté]]</calculatedColumnFormula>
      <totalsRowFormula>SUM(Tableau92218248[CT])</totalsRowFormula>
    </tableColumn>
  </tableColumns>
  <tableStyleInfo name="TableStyleMedium8" showFirstColumn="1" showLastColumn="0" showRowStripes="1" showColumnStripes="0"/>
</table>
</file>

<file path=xl/tables/table5.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48" xr:uid="{6558F753-6EF0-478A-A2CF-900107AF7E6E}" name="Tableau9296219249" displayName="Tableau9296219249" ref="B19:H33" totalsRowCount="1" headerRowDxfId="1031" dataDxfId="1030" headerRowCellStyle="Monétaire" dataCellStyle="Monétaire">
  <autoFilter ref="B19:H32" xr:uid="{6CFDDC08-B6A1-40D6-8774-4648B9596602}"/>
  <tableColumns count="7">
    <tableColumn id="1" xr3:uid="{1EA31DDA-E4C3-4F4D-A1AD-E91F25119561}" name="Cablage" totalsRowLabel="Total"/>
    <tableColumn id="2" xr3:uid="{3A226D33-7185-4B16-ABE1-7D0DF12A5730}" name="Présente dans la malle" totalsRowFunction="custom">
      <totalsRowFormula>SUM(Tableau9296219249[Présente dans la malle])</totalsRowFormula>
    </tableColumn>
    <tableColumn id="3" xr3:uid="{A7AB8E00-F17E-46FF-89B0-DACD4BDC51AA}" name="Demande" totalsRowFunction="custom">
      <totalsRowFormula>SUM(Tableau9296219249[Demande])</totalsRowFormula>
    </tableColumn>
    <tableColumn id="4" xr3:uid="{43AFEC85-8071-4910-8BBF-C9958D69AD7B}" name="Manque" totalsRowFunction="custom" dataDxfId="1029">
      <calculatedColumnFormula>Tableau9296219249[[#This Row],[Demande]]-Tableau9296219249[[#This Row],[Présente dans la malle]]</calculatedColumnFormula>
      <totalsRowFormula>SUM(Tableau9296219249[Manque])</totalsRowFormula>
    </tableColumn>
    <tableColumn id="5" xr3:uid="{EE1378D2-824C-4433-9D0C-7C8B65D4B8AD}" name="Quantités acheté rajouté" totalsRowFunction="custom" dataDxfId="1028" totalsRowDxfId="1027" dataCellStyle="Monétaire">
      <totalsRowFormula>SUM(Tableau9296219249[Quantités acheté rajouté])</totalsRowFormula>
    </tableColumn>
    <tableColumn id="6" xr3:uid="{3AAD09E5-9BFF-4C91-94EE-0D0A6C14CAD1}" name="CU du matos rajouté acheté" dataDxfId="1026" totalsRowDxfId="1025" dataCellStyle="Monétaire"/>
    <tableColumn id="7" xr3:uid="{CF4D7F72-99FE-4FD8-B7A5-AD5C541202E0}" name="CT" totalsRowFunction="custom" dataDxfId="1024" totalsRowDxfId="1023" dataCellStyle="Monétaire" totalsRowCellStyle="Monétaire">
      <calculatedColumnFormula>Tableau9296219249[[#This Row],[Quantités acheté rajouté]]*Tableau9296219249[[#This Row],[CU du matos rajouté acheté]]</calculatedColumnFormula>
      <totalsRowFormula>SUM(Tableau9296219249[CT])</totalsRowFormula>
    </tableColumn>
  </tableColumns>
  <tableStyleInfo name="TableStyleMedium8" showFirstColumn="1" showLastColumn="0" showRowStripes="1" showColumnStripes="0"/>
</table>
</file>

<file path=xl/tables/table6.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49" xr:uid="{06C71FEA-E5D1-442B-8A35-88322B031CBE}" name="Tableau9297220250" displayName="Tableau9297220250" ref="B36:H50" totalsRowCount="1" headerRowDxfId="1022" dataDxfId="1021" headerRowCellStyle="Monétaire" dataCellStyle="Monétaire">
  <autoFilter ref="B36:H49" xr:uid="{71826AD4-8844-4319-B7B8-023079377FE1}"/>
  <tableColumns count="7">
    <tableColumn id="1" xr3:uid="{CF179CAA-CE5D-447F-BCDD-B8F3B105C2A1}" name="Mobilier" totalsRowLabel="Total"/>
    <tableColumn id="2" xr3:uid="{89F27998-259C-4B8B-AA7C-60BA94003216}" name="Présente dans la malle" totalsRowFunction="custom">
      <totalsRowFormula>SUM(Tableau9297220250[Présente dans la malle])</totalsRowFormula>
    </tableColumn>
    <tableColumn id="3" xr3:uid="{C047AC64-5DAC-41A0-B260-F1A9EEDDE147}" name="Demande" totalsRowFunction="custom">
      <totalsRowFormula>SUM(Tableau9297220250[Demande])</totalsRowFormula>
    </tableColumn>
    <tableColumn id="4" xr3:uid="{CFD55B81-A103-4356-B634-986EDA9FFAB6}" name="Manque" totalsRowFunction="custom" dataDxfId="1020">
      <calculatedColumnFormula>Tableau9297220250[[#This Row],[Demande]]-Tableau9297220250[[#This Row],[Présente dans la malle]]</calculatedColumnFormula>
      <totalsRowFormula>SUM(Tableau9297220250[Manque])</totalsRowFormula>
    </tableColumn>
    <tableColumn id="5" xr3:uid="{55316A3D-DC25-412C-9696-738984D2B2ED}" name="Quantités acheté rajouté" totalsRowFunction="custom" dataDxfId="1019" totalsRowDxfId="1018" dataCellStyle="Monétaire">
      <totalsRowFormula>SUM(Tableau9297220250[Quantités acheté rajouté])</totalsRowFormula>
    </tableColumn>
    <tableColumn id="6" xr3:uid="{AA723076-B4E2-4FAF-A5D8-D7CD19016D04}" name="CU du matos rajouté acheté" dataDxfId="1017" totalsRowDxfId="1016" dataCellStyle="Monétaire"/>
    <tableColumn id="7" xr3:uid="{8BCBF522-EC2E-4711-A5B0-40043E9B316F}" name="CT" totalsRowFunction="custom" dataDxfId="1015" totalsRowDxfId="1014" dataCellStyle="Monétaire" totalsRowCellStyle="Monétaire">
      <calculatedColumnFormula>Tableau9297220250[[#This Row],[Quantités acheté rajouté]]*Tableau9297220250[[#This Row],[CU du matos rajouté acheté]]</calculatedColumnFormula>
      <totalsRowFormula>SUM(Tableau9297220250[CT])</totalsRowFormula>
    </tableColumn>
  </tableColumns>
  <tableStyleInfo name="TableStyleMedium8" showFirstColumn="1" showLastColumn="0" showRowStripes="1" showColumnStripes="0"/>
</table>
</file>

<file path=xl/tables/table7.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38" xr:uid="{8570AFEB-29A5-4C72-B761-2211CE111B3F}" name="Tableau92218239" displayName="Tableau92218239" ref="B2:H23" totalsRowCount="1" headerRowDxfId="1001" dataDxfId="1000" headerRowCellStyle="Monétaire" dataCellStyle="Monétaire">
  <autoFilter ref="B2:H22" xr:uid="{DE6226D0-00CE-4F6E-B189-23258DE67FDD}"/>
  <tableColumns count="7">
    <tableColumn id="1" xr3:uid="{B2374FD9-899C-468D-8A25-CED3916E81B8}" name="Matériel" totalsRowLabel="Total"/>
    <tableColumn id="2" xr3:uid="{9CBEF155-4A45-41C3-985B-71021E263171}" name="Présente dans la malle"/>
    <tableColumn id="3" xr3:uid="{B185F1EF-948C-47B3-AD4D-B66584DBFE44}" name="Demande" totalsRowFunction="custom">
      <totalsRowFormula>SUM(Tableau92218239[Demande])</totalsRowFormula>
    </tableColumn>
    <tableColumn id="4" xr3:uid="{507E7909-F483-4526-8CBE-4B12611CA7B0}" name="Manque" totalsRowFunction="custom" dataDxfId="999">
      <calculatedColumnFormula>Tableau92218239[[#This Row],[Demande]]-Tableau92218239[[#This Row],[Présente dans la malle]]</calculatedColumnFormula>
      <totalsRowFormula>SUM(Tableau92218239[Manque])</totalsRowFormula>
    </tableColumn>
    <tableColumn id="5" xr3:uid="{A4A3295D-2B1E-4943-9E21-5984E8C3EA4B}" name="Quantités acheté rajouté" totalsRowFunction="custom" dataDxfId="998" totalsRowDxfId="997" dataCellStyle="Monétaire">
      <totalsRowFormula>SUM(Tableau92218239[Quantités acheté rajouté])</totalsRowFormula>
    </tableColumn>
    <tableColumn id="6" xr3:uid="{8B0E136B-FDD3-468B-9845-F524F610B205}" name="CU du matos rajouté acheté" dataDxfId="996" totalsRowDxfId="995" dataCellStyle="Monétaire"/>
    <tableColumn id="7" xr3:uid="{6CE87685-EB4A-47A9-8520-A91B1F9924D1}" name="CT" totalsRowFunction="custom" dataDxfId="994" totalsRowDxfId="993" dataCellStyle="Monétaire">
      <calculatedColumnFormula>Tableau92218239[[#This Row],[Quantités acheté rajouté]]*Tableau92218239[[#This Row],[CU du matos rajouté acheté]]</calculatedColumnFormula>
      <totalsRowFormula>SUM(Tableau92218239[CT])</totalsRowFormula>
    </tableColumn>
  </tableColumns>
  <tableStyleInfo name="TableStyleMedium8" showFirstColumn="1" showLastColumn="0" showRowStripes="1" showColumnStripes="0"/>
</table>
</file>

<file path=xl/tables/table8.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39" xr:uid="{E32DDD20-B3F1-45A4-AD52-2A85D9E0CC06}" name="Tableau9296219240" displayName="Tableau9296219240" ref="B26:H40" totalsRowCount="1" headerRowDxfId="992" dataDxfId="991" headerRowCellStyle="Monétaire" dataCellStyle="Monétaire">
  <autoFilter ref="B26:H39" xr:uid="{76C09A9A-4B05-462D-AEE3-39479777805C}"/>
  <tableColumns count="7">
    <tableColumn id="1" xr3:uid="{5F97CDD5-AD9C-4AB8-B742-5F957FFE5E5F}" name="Cablage" totalsRowLabel="Total"/>
    <tableColumn id="2" xr3:uid="{B31F269D-FED5-4864-9479-CB1F838EA4DC}" name="Présente dans la malle" totalsRowFunction="custom">
      <totalsRowFormula>SUM(Tableau9296219240[Présente dans la malle])</totalsRowFormula>
    </tableColumn>
    <tableColumn id="3" xr3:uid="{DA2F8443-2384-4F1C-BCE6-FA0E18B7FE41}" name="Demande" totalsRowFunction="custom">
      <totalsRowFormula>SUM(Tableau9296219240[Demande])</totalsRowFormula>
    </tableColumn>
    <tableColumn id="4" xr3:uid="{354E7CDA-AD49-4591-8004-2F905D74FC72}" name="Manque" totalsRowFunction="custom" dataDxfId="990">
      <calculatedColumnFormula>Tableau9296219240[[#This Row],[Demande]]-Tableau9296219240[[#This Row],[Présente dans la malle]]</calculatedColumnFormula>
      <totalsRowFormula>SUM(Tableau9296219240[Manque])</totalsRowFormula>
    </tableColumn>
    <tableColumn id="5" xr3:uid="{BD068FFC-A2B1-46CB-A876-EFA18C73F144}" name="Quantités acheté rajouté" totalsRowFunction="custom" dataDxfId="989" totalsRowDxfId="988" dataCellStyle="Monétaire">
      <totalsRowFormula>SUM(Tableau9296219240[Quantités acheté rajouté])</totalsRowFormula>
    </tableColumn>
    <tableColumn id="6" xr3:uid="{6793141C-9A9A-4B88-B46A-42ADD585FBBB}" name="CU du matos rajouté acheté" dataDxfId="987" totalsRowDxfId="986" dataCellStyle="Monétaire"/>
    <tableColumn id="7" xr3:uid="{059A825B-A97B-4C7A-A826-12D18E164870}" name="CT" totalsRowFunction="custom" dataDxfId="985" totalsRowDxfId="984" dataCellStyle="Monétaire" totalsRowCellStyle="Monétaire">
      <calculatedColumnFormula>Tableau9296219240[[#This Row],[Quantités acheté rajouté]]*Tableau9296219240[[#This Row],[CU du matos rajouté acheté]]</calculatedColumnFormula>
      <totalsRowFormula>SUM(Tableau9296219240[CT])</totalsRowFormula>
    </tableColumn>
  </tableColumns>
  <tableStyleInfo name="TableStyleMedium8" showFirstColumn="1" showLastColumn="0" showRowStripes="1" showColumnStripes="0"/>
</table>
</file>

<file path=xl/tables/table9.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40" xr:uid="{9FB37090-86EB-4AB4-8F13-7E860D8A23FC}" name="Tableau9297220241" displayName="Tableau9297220241" ref="B43:H57" totalsRowCount="1" headerRowDxfId="983" dataDxfId="982" headerRowCellStyle="Monétaire" dataCellStyle="Monétaire">
  <autoFilter ref="B43:H56" xr:uid="{3F8F95A3-499C-483B-818A-F38044C247ED}"/>
  <tableColumns count="7">
    <tableColumn id="1" xr3:uid="{B464D5C8-9726-46F8-A9E1-463FFD2DC470}" name="Mobilier" totalsRowLabel="Total"/>
    <tableColumn id="2" xr3:uid="{F8360A4D-8EE9-4B51-AA46-A5F4AB1EE6E5}" name="Présente dans la malle" totalsRowFunction="custom">
      <totalsRowFormula>SUM(Tableau9297220241[Présente dans la malle])</totalsRowFormula>
    </tableColumn>
    <tableColumn id="3" xr3:uid="{C54B9041-83C3-4702-B5E4-6252A69DAB67}" name="Demande" totalsRowFunction="custom">
      <totalsRowFormula>SUM(Tableau9297220241[Demande])</totalsRowFormula>
    </tableColumn>
    <tableColumn id="4" xr3:uid="{78F99CE1-FDC7-4305-B16C-BC129FF6BE8C}" name="Manque" totalsRowFunction="custom" dataDxfId="981">
      <calculatedColumnFormula>Tableau9297220241[[#This Row],[Demande]]-Tableau9297220241[[#This Row],[Présente dans la malle]]</calculatedColumnFormula>
      <totalsRowFormula>SUM(Tableau9297220241[Manque])</totalsRowFormula>
    </tableColumn>
    <tableColumn id="5" xr3:uid="{D33E803F-683F-4DEA-8BAE-E03BB44D9EB1}" name="Quantités acheté rajouté" totalsRowFunction="custom" dataDxfId="980" totalsRowDxfId="979" dataCellStyle="Monétaire">
      <totalsRowFormula>SUM(Tableau9297220241[Quantités acheté rajouté])</totalsRowFormula>
    </tableColumn>
    <tableColumn id="6" xr3:uid="{6C43B01B-FBD8-49F8-8C07-D6EDAA055C0D}" name="CU du matos rajouté acheté" dataDxfId="978" totalsRowDxfId="977" dataCellStyle="Monétaire"/>
    <tableColumn id="7" xr3:uid="{2ADD3D08-5655-41E7-88A3-B90B1AF2206B}" name="CT" totalsRowFunction="custom" dataDxfId="976" totalsRowDxfId="975" dataCellStyle="Monétaire" totalsRowCellStyle="Monétaire">
      <calculatedColumnFormula>Tableau9297220241[[#This Row],[Quantités acheté rajouté]]*Tableau9297220241[[#This Row],[CU du matos rajouté acheté]]</calculatedColumnFormula>
      <totalsRowFormula>SUM(Tableau9297220241[CT])</totalsRowFormula>
    </tableColumn>
  </tableColumns>
  <tableStyleInfo name="TableStyleMedium8" showFirstColumn="1" showLastColumn="0" showRowStripes="1" showColumnStripes="0"/>
</table>
</file>

<file path=xl/tables/table10.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35" xr:uid="{E32125CE-34DB-4F0E-ABDA-A95A264CB2FF}" name="Tableau92218236" displayName="Tableau92218236" ref="B2:H27" totalsRowCount="1" headerRowDxfId="962" dataDxfId="961" headerRowCellStyle="Monétaire" dataCellStyle="Monétaire">
  <autoFilter ref="B2:H26" xr:uid="{715DA27A-4357-4322-8231-E11EC69F51F6}"/>
  <tableColumns count="7">
    <tableColumn id="1" xr3:uid="{ACCC89FE-A8BC-432C-B6E3-1BCEDB7F90C5}" name="Matériel" totalsRowLabel="Total"/>
    <tableColumn id="2" xr3:uid="{4B847595-6257-4123-AEFF-B10C12DC1E88}" name="Présente dans la malle" totalsRowFunction="custom">
      <totalsRowFormula>SUM(Tableau92218236[Présente dans la malle])</totalsRowFormula>
    </tableColumn>
    <tableColumn id="3" xr3:uid="{08FA3217-2E05-4635-AF97-DFF233E2BC54}" name="Demande" totalsRowFunction="custom">
      <totalsRowFormula>SUM(Tableau92218236[Demande])</totalsRowFormula>
    </tableColumn>
    <tableColumn id="4" xr3:uid="{64CB89B0-89C4-4292-B232-AB9D147E876E}" name="Manque" totalsRowFunction="custom" dataDxfId="960">
      <calculatedColumnFormula>Tableau92218236[[#This Row],[Demande]]-Tableau92218236[[#This Row],[Présente dans la malle]]</calculatedColumnFormula>
      <totalsRowFormula>SUM(Tableau92218236[Manque])</totalsRowFormula>
    </tableColumn>
    <tableColumn id="5" xr3:uid="{DC3325B8-26B6-4826-A623-C1AD6277A952}" name="Quantités acheté rajouté" totalsRowFunction="custom" dataDxfId="959" totalsRowDxfId="958" dataCellStyle="Monétaire">
      <totalsRowFormula>SUM(Tableau92218236[Quantités acheté rajouté])</totalsRowFormula>
    </tableColumn>
    <tableColumn id="6" xr3:uid="{0C54FA9F-D03F-4B00-9AF4-AC248D4725B5}" name="CU du matos rajouté acheté" dataDxfId="957" totalsRowDxfId="956" dataCellStyle="Monétaire"/>
    <tableColumn id="7" xr3:uid="{1F131901-4902-420D-BFC1-30BB6372D647}" name="CT" totalsRowFunction="custom" dataDxfId="955" totalsRowDxfId="954" dataCellStyle="Monétaire">
      <calculatedColumnFormula>Tableau92218236[[#This Row],[Quantités acheté rajouté]]*Tableau92218236[[#This Row],[CU du matos rajouté acheté]]</calculatedColumnFormula>
      <totalsRowFormula>SUM(Tableau92218236[CT])</totalsRowFormula>
    </tableColumn>
  </tableColumns>
  <tableStyleInfo name="TableStyleMedium8" showFirstColumn="1" showLastColumn="0" showRowStripes="1" showColumnStripes="0"/>
</table>
</file>

<file path=xl/tables/table1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36" xr:uid="{0E05E0A0-FFDA-4FE8-9B6F-7E1A77BDF88E}" name="Tableau9296219237" displayName="Tableau9296219237" ref="B30:H44" totalsRowCount="1" headerRowDxfId="953" dataDxfId="952" headerRowCellStyle="Monétaire" dataCellStyle="Monétaire">
  <autoFilter ref="B30:H43" xr:uid="{F356977E-1337-404D-BE5B-619B24DA67BA}"/>
  <tableColumns count="7">
    <tableColumn id="1" xr3:uid="{32A8AA69-6073-472E-8BEB-517B631EB605}" name="Cablage" totalsRowLabel="Total"/>
    <tableColumn id="2" xr3:uid="{9D35880A-5C48-4233-9951-36FA49C2DF6D}" name="Présente dans la malle" totalsRowFunction="custom">
      <totalsRowFormula>SUM(Tableau9296219237[Présente dans la malle])</totalsRowFormula>
    </tableColumn>
    <tableColumn id="3" xr3:uid="{2E38DA7A-B69B-48B2-8191-7642E34A5690}" name="Demande" totalsRowFunction="custom">
      <totalsRowFormula>SUM(Tableau9296219237[Demande])</totalsRowFormula>
    </tableColumn>
    <tableColumn id="4" xr3:uid="{FE722019-6C73-43D0-B52F-DB209C8B26BA}" name="Manque" totalsRowFunction="custom" dataDxfId="951">
      <calculatedColumnFormula>Tableau9296219237[[#This Row],[Demande]]-Tableau9296219237[[#This Row],[Présente dans la malle]]</calculatedColumnFormula>
      <totalsRowFormula>SUM(Tableau9296219237[Manque])</totalsRowFormula>
    </tableColumn>
    <tableColumn id="5" xr3:uid="{EC93C9CB-CAE5-4D7B-8DE4-DF90344279A9}" name="Quantités acheté rajouté" totalsRowFunction="custom" dataDxfId="950" totalsRowDxfId="949" dataCellStyle="Monétaire">
      <totalsRowFormula>SUM(Tableau9296219237[Quantités acheté rajouté])</totalsRowFormula>
    </tableColumn>
    <tableColumn id="6" xr3:uid="{719504C9-6825-48CB-A587-C4EA5364D55A}" name="CU du matos rajouté acheté" dataDxfId="948" totalsRowDxfId="947" dataCellStyle="Monétaire"/>
    <tableColumn id="7" xr3:uid="{492356B4-BE49-4047-9539-D1BBCDB88A49}" name="CT" totalsRowFunction="custom" dataDxfId="946" totalsRowDxfId="945" dataCellStyle="Monétaire" totalsRowCellStyle="Monétaire">
      <calculatedColumnFormula>Tableau9296219237[[#This Row],[Quantités acheté rajouté]]*Tableau9296219237[[#This Row],[CU du matos rajouté acheté]]</calculatedColumnFormula>
      <totalsRowFormula>SUM(Tableau9296219237[CT])</totalsRowFormula>
    </tableColumn>
  </tableColumns>
  <tableStyleInfo name="TableStyleMedium8" showFirstColumn="1" showLastColumn="0" showRowStripes="1" showColumnStripes="0"/>
</table>
</file>

<file path=xl/tables/table1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37" xr:uid="{086CC7F4-58DA-4DC4-814A-74A177B98FD3}" name="Tableau9297220238" displayName="Tableau9297220238" ref="B47:H61" totalsRowCount="1" headerRowDxfId="944" dataDxfId="943" headerRowCellStyle="Monétaire" dataCellStyle="Monétaire">
  <autoFilter ref="B47:H60" xr:uid="{D2538BB6-54A3-489E-9867-6095693B2C04}"/>
  <tableColumns count="7">
    <tableColumn id="1" xr3:uid="{EB8D93F8-4728-47EB-AB3B-7C475124C800}" name="Mobilier" totalsRowLabel="Total"/>
    <tableColumn id="2" xr3:uid="{C899D556-F147-4113-8165-1622B03C7B1A}" name="Présente dans la malle" totalsRowFunction="custom">
      <totalsRowFormula>SUM(Tableau9297220238[Présente dans la malle])</totalsRowFormula>
    </tableColumn>
    <tableColumn id="3" xr3:uid="{9BBE27F5-356A-4471-90FF-8AF085017986}" name="Demande" totalsRowFunction="custom">
      <totalsRowFormula>SUM(Tableau9297220238[Demande])</totalsRowFormula>
    </tableColumn>
    <tableColumn id="4" xr3:uid="{EC44E2FB-0199-456B-86E7-ED3E3FB4415F}" name="Manque" totalsRowFunction="custom" dataDxfId="942">
      <calculatedColumnFormula>Tableau9297220238[[#This Row],[Demande]]-Tableau9297220238[[#This Row],[Présente dans la malle]]</calculatedColumnFormula>
      <totalsRowFormula>SUM(Tableau9297220238[Manque])</totalsRowFormula>
    </tableColumn>
    <tableColumn id="5" xr3:uid="{7CDDF59E-A71E-41CB-A0F9-75F29ACC3C6A}" name="Quantités acheté rajouté" totalsRowFunction="custom" dataDxfId="941" totalsRowDxfId="940" dataCellStyle="Monétaire">
      <totalsRowFormula>SUM(Tableau9297220238[Quantités acheté rajouté])</totalsRowFormula>
    </tableColumn>
    <tableColumn id="6" xr3:uid="{0FE5FF36-95A1-49E5-8B84-298F93F89EDC}" name="CU du matos rajouté acheté" dataDxfId="939" totalsRowDxfId="938" dataCellStyle="Monétaire"/>
    <tableColumn id="7" xr3:uid="{1EA98791-7C0D-4DCF-A8DC-9BF3B65612DD}" name="CT" totalsRowFunction="custom" dataDxfId="937" totalsRowDxfId="936" dataCellStyle="Monétaire" totalsRowCellStyle="Monétaire">
      <calculatedColumnFormula>Tableau9297220238[[#This Row],[Quantités acheté rajouté]]*Tableau9297220238[[#This Row],[CU du matos rajouté acheté]]</calculatedColumnFormula>
      <totalsRowFormula>SUM(Tableau9297220238[CT])</totalsRowFormula>
    </tableColumn>
  </tableColumns>
  <tableStyleInfo name="TableStyleMedium8" showFirstColumn="1" showLastColumn="0" showRowStripes="1" showColumnStripes="0"/>
</table>
</file>

<file path=xl/tables/table13.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11" xr:uid="{01ACD4FD-5182-4D21-B247-C3CFD32684A5}" name="Tableau92212" displayName="Tableau92212" ref="B2:H16" totalsRowCount="1" headerRowDxfId="923" dataDxfId="922" headerRowCellStyle="Monétaire" dataCellStyle="Monétaire">
  <autoFilter ref="B2:H15" xr:uid="{3784CD7F-349B-48AF-8CC2-ED9E38B2EC3D}"/>
  <tableColumns count="7">
    <tableColumn id="1" xr3:uid="{C64B07A0-0C52-4653-90D8-541ABE4C201C}" name="Matériel" totalsRowLabel="Total"/>
    <tableColumn id="2" xr3:uid="{3651FDE5-DDAC-4D7A-A98E-3923C3F02AB1}" name="Présente dans la malle" totalsRowFunction="custom">
      <totalsRowFormula>SUM(Tableau92212[Présente dans la malle])</totalsRowFormula>
    </tableColumn>
    <tableColumn id="3" xr3:uid="{2EE0C7D3-6B29-4A98-9E03-DC4AE729416A}" name="Demande" totalsRowFunction="custom">
      <totalsRowFormula>SUM(Tableau92212[Demande])</totalsRowFormula>
    </tableColumn>
    <tableColumn id="4" xr3:uid="{00BB1EAE-D8B4-43FA-8324-7E45733B6066}" name="Manque" totalsRowFunction="custom" dataDxfId="921">
      <calculatedColumnFormula>Tableau92212[[#This Row],[Demande]]-Tableau92212[[#This Row],[Présente dans la malle]]</calculatedColumnFormula>
      <totalsRowFormula>SUM(Tableau92212[Manque])</totalsRowFormula>
    </tableColumn>
    <tableColumn id="5" xr3:uid="{42CEEF5B-8FA8-495A-AC7C-657C3E395793}" name="Quantités acheté rajouté" totalsRowFunction="custom" dataDxfId="920" totalsRowDxfId="919" dataCellStyle="Monétaire">
      <totalsRowFormula>SUM(Tableau92212[Quantités acheté rajouté])</totalsRowFormula>
    </tableColumn>
    <tableColumn id="6" xr3:uid="{0B8EAAC3-C9D5-4CC4-B308-C108F5EF7DA9}" name="CU du matos rajouté acheté" dataDxfId="918" totalsRowDxfId="917" dataCellStyle="Monétaire"/>
    <tableColumn id="7" xr3:uid="{3EA5EB5A-C632-4703-B527-7EDECE867974}" name="CT" totalsRowFunction="custom" dataDxfId="916" totalsRowDxfId="915" dataCellStyle="Monétaire">
      <calculatedColumnFormula>Tableau92212[[#This Row],[Quantités acheté rajouté]]*Tableau92212[[#This Row],[CU du matos rajouté acheté]]</calculatedColumnFormula>
      <totalsRowFormula>SUM(Tableau92212[CT])</totalsRowFormula>
    </tableColumn>
  </tableColumns>
  <tableStyleInfo name="TableStyleMedium8" showFirstColumn="1" showLastColumn="0" showRowStripes="1" showColumnStripes="0"/>
</table>
</file>

<file path=xl/tables/table14.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12" xr:uid="{4661EDA5-0BC2-4E84-ACD2-003911894CF3}" name="Tableau9296213" displayName="Tableau9296213" ref="B19:H33" totalsRowCount="1" headerRowDxfId="914" dataDxfId="913" headerRowCellStyle="Monétaire" dataCellStyle="Monétaire">
  <autoFilter ref="B19:H32" xr:uid="{445C9142-D1AE-49C3-A539-551F8C79A943}"/>
  <tableColumns count="7">
    <tableColumn id="1" xr3:uid="{0BA3F4BD-5E62-42FF-833D-11F69A14CC40}" name="Cablage" totalsRowLabel="Total"/>
    <tableColumn id="2" xr3:uid="{85BAAF00-86E5-48EB-8B13-5A30F1D55B6F}" name="Présente dans la malle" totalsRowFunction="custom">
      <totalsRowFormula>SUM(Tableau9296213[Présente dans la malle])</totalsRowFormula>
    </tableColumn>
    <tableColumn id="3" xr3:uid="{016C27D8-4DCB-4109-A6C7-23B12DC43C4F}" name="Demande" totalsRowFunction="custom">
      <totalsRowFormula>SUM(Tableau9296213[Demande])</totalsRowFormula>
    </tableColumn>
    <tableColumn id="4" xr3:uid="{6D1324BC-B5A0-46AA-BFB5-198F41F9F303}" name="Manque" totalsRowFunction="custom" dataDxfId="912">
      <calculatedColumnFormula>Tableau9296213[[#This Row],[Demande]]-Tableau9296213[[#This Row],[Présente dans la malle]]</calculatedColumnFormula>
      <totalsRowFormula>SUM(Tableau9296213[Manque])</totalsRowFormula>
    </tableColumn>
    <tableColumn id="5" xr3:uid="{BA10B24E-CC81-406D-95D1-13CEF654AEE6}" name="Quantités acheté rajouté" totalsRowFunction="custom" dataDxfId="911" totalsRowDxfId="910" dataCellStyle="Monétaire">
      <totalsRowFormula>SUM(Tableau9296213[Quantités acheté rajouté])</totalsRowFormula>
    </tableColumn>
    <tableColumn id="6" xr3:uid="{56F57E35-278D-461A-9C6C-FBD6D5303FCC}" name="CU du matos rajouté acheté" dataDxfId="909" totalsRowDxfId="908" dataCellStyle="Monétaire"/>
    <tableColumn id="7" xr3:uid="{6859D7FA-7B7F-471B-9B4F-95B4ADD18E8F}" name="CT" totalsRowFunction="custom" dataDxfId="907" totalsRowDxfId="906" dataCellStyle="Monétaire" totalsRowCellStyle="Monétaire">
      <calculatedColumnFormula>Tableau9296213[[#This Row],[Quantités acheté rajouté]]*Tableau9296213[[#This Row],[CU du matos rajouté acheté]]</calculatedColumnFormula>
      <totalsRowFormula>SUM(Tableau9296213[CT])</totalsRowFormula>
    </tableColumn>
  </tableColumns>
  <tableStyleInfo name="TableStyleMedium8" showFirstColumn="1" showLastColumn="0" showRowStripes="1" showColumnStripes="0"/>
</table>
</file>

<file path=xl/tables/table15.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13" xr:uid="{B0536AF4-2E13-4708-BAF9-89D209C7FA47}" name="Tableau9297214" displayName="Tableau9297214" ref="B36:H50" totalsRowCount="1" headerRowDxfId="905" dataDxfId="904" headerRowCellStyle="Monétaire" dataCellStyle="Monétaire">
  <autoFilter ref="B36:H49" xr:uid="{90FF629C-E5CD-420A-AC66-A192B9D8E6B7}"/>
  <tableColumns count="7">
    <tableColumn id="1" xr3:uid="{80F33379-A737-4AF4-80CF-2DD9BFD68578}" name="Mobilier" totalsRowLabel="Total"/>
    <tableColumn id="2" xr3:uid="{CED88570-47BC-4D2C-801A-91224D0E1A20}" name="Présente dans la malle" totalsRowFunction="custom">
      <totalsRowFormula>SUM(Tableau9297214[Présente dans la malle])</totalsRowFormula>
    </tableColumn>
    <tableColumn id="3" xr3:uid="{66BEBD01-C525-4A21-AC78-8C6C0764588A}" name="Demande" totalsRowFunction="custom">
      <totalsRowFormula>SUM(Tableau9297214[Demande])</totalsRowFormula>
    </tableColumn>
    <tableColumn id="4" xr3:uid="{91FBF3A3-BDB7-44C3-B9D6-E9571F37FA55}" name="Manque" totalsRowFunction="custom" dataDxfId="903">
      <calculatedColumnFormula>Tableau9297214[[#This Row],[Demande]]-Tableau9297214[[#This Row],[Présente dans la malle]]</calculatedColumnFormula>
      <totalsRowFormula>SUM(Tableau9297214[Manque])</totalsRowFormula>
    </tableColumn>
    <tableColumn id="5" xr3:uid="{6E4EDFC7-F72A-4810-B25D-870AEFAC8113}" name="Quantités acheté rajouté" totalsRowFunction="custom" dataDxfId="902" totalsRowDxfId="901" dataCellStyle="Monétaire">
      <totalsRowFormula>SUM(Tableau9297214[Quantités acheté rajouté])</totalsRowFormula>
    </tableColumn>
    <tableColumn id="6" xr3:uid="{7CD72650-E3EE-430F-A33D-10E0E805014A}" name="CU du matos rajouté acheté" dataDxfId="900" totalsRowDxfId="899" dataCellStyle="Monétaire"/>
    <tableColumn id="7" xr3:uid="{848D3021-FE5C-4A67-A7A0-7B33A294D415}" name="CT" totalsRowFunction="custom" dataDxfId="898" totalsRowDxfId="897" dataCellStyle="Monétaire" totalsRowCellStyle="Monétaire">
      <calculatedColumnFormula>Tableau9297214[[#This Row],[Quantités acheté rajouté]]*Tableau9297214[[#This Row],[CU du matos rajouté acheté]]</calculatedColumnFormula>
      <totalsRowFormula>SUM(Tableau9297214[CT])</totalsRowFormula>
    </tableColumn>
  </tableColumns>
  <tableStyleInfo name="TableStyleMedium8" showFirstColumn="1" showLastColumn="0" showRowStripes="1" showColumnStripes="0"/>
</table>
</file>

<file path=xl/tables/table16.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29" xr:uid="{E5AEE2C0-3E1F-48D9-B67B-3396744AD9D3}" name="Tableau92218230" displayName="Tableau92218230" ref="B2:H16" totalsRowCount="1" headerRowDxfId="884" dataDxfId="883" headerRowCellStyle="Monétaire" dataCellStyle="Monétaire">
  <autoFilter ref="B2:H15" xr:uid="{170392E2-84DB-4A1F-AE26-B907D3239D62}"/>
  <tableColumns count="7">
    <tableColumn id="1" xr3:uid="{D7C05A41-8480-48B1-9D06-0E03B90E9792}" name="Matériel" totalsRowLabel="Total"/>
    <tableColumn id="2" xr3:uid="{4164EE69-7D5E-44AC-ADBB-943F34BA40AD}" name="Présente dans la malle" totalsRowFunction="custom">
      <totalsRowFormula>SUM(Tableau92218230[Présente dans la malle])</totalsRowFormula>
    </tableColumn>
    <tableColumn id="3" xr3:uid="{1AE5B9C9-D9D9-412F-BB8A-D54D74067BD2}" name="Demande" totalsRowFunction="custom">
      <totalsRowFormula>SUM(Tableau92218230[Demande])</totalsRowFormula>
    </tableColumn>
    <tableColumn id="4" xr3:uid="{F1FFD082-8A2F-450C-9529-769E05781532}" name="Manque" totalsRowFunction="custom" dataDxfId="882">
      <calculatedColumnFormula>Tableau92218230[[#This Row],[Demande]]-Tableau92218230[[#This Row],[Présente dans la malle]]</calculatedColumnFormula>
      <totalsRowFormula>SUM(Tableau92218230[Manque])</totalsRowFormula>
    </tableColumn>
    <tableColumn id="5" xr3:uid="{DCEFD2F7-DB78-428F-BA11-9840A1098FC8}" name="Quantités acheté rajouté" totalsRowFunction="custom" dataDxfId="881" totalsRowDxfId="880" dataCellStyle="Monétaire">
      <totalsRowFormula>SUM(Tableau92218230[Quantités acheté rajouté])</totalsRowFormula>
    </tableColumn>
    <tableColumn id="6" xr3:uid="{E640DCAC-48A6-4FEF-80AB-49F80C48D679}" name="CU du matos rajouté acheté" dataDxfId="879" totalsRowDxfId="878" dataCellStyle="Monétaire"/>
    <tableColumn id="7" xr3:uid="{6701FA68-BCBD-4E14-922C-80A3EB29DD0B}" name="CT" totalsRowFunction="custom" dataDxfId="877" totalsRowDxfId="876" dataCellStyle="Monétaire">
      <calculatedColumnFormula>Tableau92218230[[#This Row],[Quantités acheté rajouté]]*Tableau92218230[[#This Row],[CU du matos rajouté acheté]]</calculatedColumnFormula>
      <totalsRowFormula>SUM(Tableau92218230[CT])</totalsRowFormula>
    </tableColumn>
  </tableColumns>
  <tableStyleInfo name="TableStyleMedium8" showFirstColumn="1" showLastColumn="0" showRowStripes="1" showColumnStripes="0"/>
</table>
</file>

<file path=xl/tables/table17.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30" xr:uid="{3325F840-804F-48CF-8274-1437381D3634}" name="Tableau9296219231" displayName="Tableau9296219231" ref="B19:H33" totalsRowCount="1" headerRowDxfId="875" dataDxfId="874" headerRowCellStyle="Monétaire" dataCellStyle="Monétaire">
  <autoFilter ref="B19:H32" xr:uid="{F6BBB400-D92F-4BBE-A067-45B3465C0B2F}"/>
  <tableColumns count="7">
    <tableColumn id="1" xr3:uid="{22EEB8D5-F3D1-494A-BD44-3CC5520A70B5}" name="Cablage" totalsRowLabel="Total"/>
    <tableColumn id="2" xr3:uid="{E0034550-C25D-4C32-B337-EF9A489FB666}" name="Présente dans la malle" totalsRowFunction="custom">
      <totalsRowFormula>SUM(Tableau9296219231[Présente dans la malle])</totalsRowFormula>
    </tableColumn>
    <tableColumn id="3" xr3:uid="{0FF057DB-2D98-4638-919F-C6A34FBB889A}" name="Demande" totalsRowFunction="custom">
      <totalsRowFormula>SUM(Tableau9296219231[Demande])</totalsRowFormula>
    </tableColumn>
    <tableColumn id="4" xr3:uid="{3BB9A9FC-14C1-492F-8E43-846E7FA23B83}" name="Manque" totalsRowFunction="custom" dataDxfId="873">
      <calculatedColumnFormula>Tableau9296219231[[#This Row],[Demande]]-Tableau9296219231[[#This Row],[Présente dans la malle]]</calculatedColumnFormula>
      <totalsRowFormula>SUM(Tableau9296219231[Manque])</totalsRowFormula>
    </tableColumn>
    <tableColumn id="5" xr3:uid="{2D0B5C86-F84B-4C2E-A49F-5AB68CA8FE12}" name="Quantités acheté rajouté" totalsRowFunction="custom" dataDxfId="872" totalsRowDxfId="871" dataCellStyle="Monétaire">
      <totalsRowFormula>SUM(Tableau9296219231[Quantités acheté rajouté])</totalsRowFormula>
    </tableColumn>
    <tableColumn id="6" xr3:uid="{B86124F9-F4C4-4AEC-A657-FB11503187DB}" name="CU du matos rajouté acheté" dataDxfId="870" totalsRowDxfId="869" dataCellStyle="Monétaire"/>
    <tableColumn id="7" xr3:uid="{59057CB8-C9C0-4987-BB31-505FD9E9C5E6}" name="CT" totalsRowFunction="custom" dataDxfId="868" totalsRowDxfId="867" dataCellStyle="Monétaire" totalsRowCellStyle="Monétaire">
      <calculatedColumnFormula>Tableau9296219231[[#This Row],[Quantités acheté rajouté]]*Tableau9296219231[[#This Row],[CU du matos rajouté acheté]]</calculatedColumnFormula>
      <totalsRowFormula>SUM(Tableau9296219231[CT])</totalsRowFormula>
    </tableColumn>
  </tableColumns>
  <tableStyleInfo name="TableStyleMedium8" showFirstColumn="1" showLastColumn="0" showRowStripes="1" showColumnStripes="0"/>
</table>
</file>

<file path=xl/tables/table18.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31" xr:uid="{F3F4B685-9A53-4CFA-91BB-28442130B5B2}" name="Tableau9297220232" displayName="Tableau9297220232" ref="B36:H50" totalsRowCount="1" headerRowDxfId="866" dataDxfId="865" headerRowCellStyle="Monétaire" dataCellStyle="Monétaire">
  <autoFilter ref="B36:H49" xr:uid="{6ABE985E-5BC4-4EB2-BB9C-FC8A04AE8391}"/>
  <tableColumns count="7">
    <tableColumn id="1" xr3:uid="{99372830-9695-476C-9126-FD5BF5E512E4}" name="Mobilier" totalsRowLabel="Total"/>
    <tableColumn id="2" xr3:uid="{6E7DB847-34A8-4323-B03C-CF3DBE5BEF85}" name="Présente dans la malle" totalsRowFunction="custom">
      <totalsRowFormula>SUM(Tableau9297220232[Présente dans la malle])</totalsRowFormula>
    </tableColumn>
    <tableColumn id="3" xr3:uid="{3594B4B6-3FAF-4D44-A622-BDEAC0981955}" name="Demande" totalsRowFunction="custom">
      <totalsRowFormula>SUM(Tableau9297220232[Demande])</totalsRowFormula>
    </tableColumn>
    <tableColumn id="4" xr3:uid="{D3B1A4BE-2F33-40E0-99C0-6226EB96E092}" name="Manque" totalsRowFunction="custom" dataDxfId="864">
      <calculatedColumnFormula>Tableau9297220232[[#This Row],[Demande]]-Tableau9297220232[[#This Row],[Présente dans la malle]]</calculatedColumnFormula>
      <totalsRowFormula>SUM(Tableau9297220232[Manque])</totalsRowFormula>
    </tableColumn>
    <tableColumn id="5" xr3:uid="{4CB19314-F511-456E-926F-989BC31979DF}" name="Quantités acheté rajouté" totalsRowFunction="custom" dataDxfId="863" totalsRowDxfId="862" dataCellStyle="Monétaire">
      <totalsRowFormula>SUM(Tableau9297220232[Quantités acheté rajouté])</totalsRowFormula>
    </tableColumn>
    <tableColumn id="6" xr3:uid="{EE8C204E-68A2-4FDB-825C-26A81772A055}" name="CU du matos rajouté acheté" dataDxfId="861" totalsRowDxfId="860" dataCellStyle="Monétaire"/>
    <tableColumn id="7" xr3:uid="{60C23C10-41F0-4291-AF62-122AB1D128F0}" name="CT" totalsRowFunction="custom" dataDxfId="859" totalsRowDxfId="858" dataCellStyle="Monétaire" totalsRowCellStyle="Monétaire">
      <calculatedColumnFormula>Tableau9297220232[[#This Row],[Quantités acheté rajouté]]*Tableau9297220232[[#This Row],[CU du matos rajouté acheté]]</calculatedColumnFormula>
      <totalsRowFormula>SUM(Tableau9297220232[CT])</totalsRowFormula>
    </tableColumn>
  </tableColumns>
  <tableStyleInfo name="TableStyleMedium8" showFirstColumn="1" showLastColumn="0" showRowStripes="1" showColumnStripes="0"/>
</table>
</file>

<file path=xl/tables/table19.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32" xr:uid="{91010B1B-78B5-4045-BC0C-19AC8C10A86D}" name="Tableau92218233" displayName="Tableau92218233" ref="B2:H17" totalsRowCount="1" headerRowDxfId="845" dataDxfId="844" headerRowCellStyle="Monétaire" dataCellStyle="Monétaire">
  <autoFilter ref="B2:H16" xr:uid="{45858D7C-5A1F-4395-B419-8BED26835271}"/>
  <tableColumns count="7">
    <tableColumn id="1" xr3:uid="{012B7AFC-227A-4171-A7AA-9440A9D1CB22}" name="Matériel" totalsRowLabel="Total"/>
    <tableColumn id="2" xr3:uid="{C17834B1-2DD7-4BD4-AFEB-792B7715BA6F}" name="Présente dans la malle" totalsRowFunction="custom">
      <totalsRowFormula>SUM(Tableau92218233[Présente dans la malle])</totalsRowFormula>
    </tableColumn>
    <tableColumn id="3" xr3:uid="{92B79FA8-18BB-4BEE-B028-17BF4002C7BD}" name="Demande" totalsRowFunction="custom">
      <totalsRowFormula>SUM(Tableau92218233[Demande])</totalsRowFormula>
    </tableColumn>
    <tableColumn id="4" xr3:uid="{7F6B3DFD-18DA-4315-B355-A45242553334}" name="Manque" totalsRowFunction="custom" dataDxfId="843">
      <calculatedColumnFormula>Tableau92218233[[#This Row],[Demande]]-Tableau92218233[[#This Row],[Présente dans la malle]]</calculatedColumnFormula>
      <totalsRowFormula>SUM(Tableau92218233[Manque])</totalsRowFormula>
    </tableColumn>
    <tableColumn id="5" xr3:uid="{C74B1122-9B5C-494E-85B2-5374B68BEB1C}" name="Quantités acheté rajouté" totalsRowFunction="custom" dataDxfId="842" totalsRowDxfId="841" dataCellStyle="Monétaire">
      <totalsRowFormula>SUM(Tableau92218233[Quantités acheté rajouté])</totalsRowFormula>
    </tableColumn>
    <tableColumn id="6" xr3:uid="{8D263E3C-D9AB-4182-AF06-371B855F7E04}" name="CU du matos rajouté acheté" dataDxfId="840" totalsRowDxfId="839" dataCellStyle="Monétaire"/>
    <tableColumn id="7" xr3:uid="{63057EA0-6DE8-48A6-90DA-48D2ADA9E444}" name="CT" totalsRowFunction="custom" dataDxfId="838" totalsRowDxfId="837" dataCellStyle="Monétaire">
      <calculatedColumnFormula>Tableau92218233[[#This Row],[Quantités acheté rajouté]]*Tableau92218233[[#This Row],[CU du matos rajouté acheté]]</calculatedColumnFormula>
      <totalsRowFormula>SUM(Tableau92218233[CT])</totalsRowFormula>
    </tableColumn>
  </tableColumns>
  <tableStyleInfo name="TableStyleMedium8" showFirstColumn="1" showLastColumn="0" showRowStripes="1" showColumnStripes="0"/>
</table>
</file>

<file path=xl/tables/table20.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33" xr:uid="{8477CAEB-7E1B-4571-8994-49291C532E83}" name="Tableau9296219234" displayName="Tableau9296219234" ref="B20:H34" totalsRowCount="1" headerRowDxfId="836" dataDxfId="835" headerRowCellStyle="Monétaire" dataCellStyle="Monétaire">
  <autoFilter ref="B20:H33" xr:uid="{727488F9-DD19-4CD7-9306-79D7E45DAB68}"/>
  <tableColumns count="7">
    <tableColumn id="1" xr3:uid="{6A83DD58-EC8E-422B-98C8-8D47CB1DF0C7}" name="Cablage" totalsRowLabel="Total"/>
    <tableColumn id="2" xr3:uid="{C4F08058-CBD9-41AB-8645-E44B36A820FD}" name="Présente dans la malle" totalsRowFunction="custom">
      <totalsRowFormula>SUM(Tableau9296219234[Présente dans la malle])</totalsRowFormula>
    </tableColumn>
    <tableColumn id="3" xr3:uid="{FA738B3A-44ED-4A46-A777-A3660F2B6173}" name="Demande" totalsRowFunction="custom">
      <totalsRowFormula>SUM(Tableau9296219234[Demande])</totalsRowFormula>
    </tableColumn>
    <tableColumn id="4" xr3:uid="{94C75BEE-CB8F-4DF8-88D9-0D89477E1DAF}" name="Manque" totalsRowFunction="custom" dataDxfId="834">
      <calculatedColumnFormula>Tableau9296219234[[#This Row],[Demande]]-Tableau9296219234[[#This Row],[Présente dans la malle]]</calculatedColumnFormula>
      <totalsRowFormula>SUM(Tableau9296219234[Manque])</totalsRowFormula>
    </tableColumn>
    <tableColumn id="5" xr3:uid="{2830AF1B-882D-4176-A4A8-AF2634E6888D}" name="Quantités acheté rajouté" totalsRowFunction="custom" dataDxfId="833" totalsRowDxfId="832" dataCellStyle="Monétaire">
      <totalsRowFormula>SUM(Tableau9296219234[Quantités acheté rajouté])</totalsRowFormula>
    </tableColumn>
    <tableColumn id="6" xr3:uid="{3A43D9E4-F335-43CF-AB94-26EDBC72FCE5}" name="CU du matos rajouté acheté" dataDxfId="831" totalsRowDxfId="830" dataCellStyle="Monétaire"/>
    <tableColumn id="7" xr3:uid="{DBA5C4A1-AAE4-4751-8CCD-C52472D0F041}" name="CT" totalsRowFunction="custom" dataDxfId="829" totalsRowDxfId="828" dataCellStyle="Monétaire" totalsRowCellStyle="Monétaire">
      <calculatedColumnFormula>Tableau9296219234[[#This Row],[Quantités acheté rajouté]]*Tableau9296219234[[#This Row],[CU du matos rajouté acheté]]</calculatedColumnFormula>
      <totalsRowFormula>SUM(Tableau9296219234[CT])</totalsRowFormula>
    </tableColumn>
  </tableColumns>
  <tableStyleInfo name="TableStyleMedium8" showFirstColumn="1" showLastColumn="0" showRowStripes="1" showColumnStripes="0"/>
</table>
</file>

<file path=xl/tables/table2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34" xr:uid="{A4A0CFF7-C52E-4120-8B82-58806E844939}" name="Tableau9297220235" displayName="Tableau9297220235" ref="B37:H51" totalsRowCount="1" headerRowDxfId="827" dataDxfId="826" headerRowCellStyle="Monétaire" dataCellStyle="Monétaire">
  <autoFilter ref="B37:H50" xr:uid="{9F6316C5-26A9-4D32-87DE-A5703A547D4B}"/>
  <tableColumns count="7">
    <tableColumn id="1" xr3:uid="{5A8C3A8A-2FE3-4B50-8365-F4DA6AABED29}" name="Mobilier" totalsRowLabel="Total"/>
    <tableColumn id="2" xr3:uid="{599EE9D2-60DA-4B0F-ACE5-D8AAB2B27014}" name="Présente dans la malle" totalsRowFunction="custom">
      <totalsRowFormula>SUM(Tableau9297220235[Présente dans la malle])</totalsRowFormula>
    </tableColumn>
    <tableColumn id="3" xr3:uid="{F9528104-08BD-4443-82FA-15343C9AD6DE}" name="Demande" totalsRowFunction="custom">
      <totalsRowFormula>SUM(Tableau9297220235[Demande])</totalsRowFormula>
    </tableColumn>
    <tableColumn id="4" xr3:uid="{07BFF5ED-DBF9-4496-9DDF-E4B873F6B16E}" name="Manque" totalsRowFunction="custom" dataDxfId="825">
      <calculatedColumnFormula>Tableau9297220235[[#This Row],[Demande]]-Tableau9297220235[[#This Row],[Présente dans la malle]]</calculatedColumnFormula>
      <totalsRowFormula>SUM(Tableau9297220235[Manque])</totalsRowFormula>
    </tableColumn>
    <tableColumn id="5" xr3:uid="{04C00E1E-F4D5-4CA7-B66C-70755F762763}" name="Quantités acheté rajouté" totalsRowFunction="custom" dataDxfId="824" totalsRowDxfId="823" dataCellStyle="Monétaire">
      <totalsRowFormula>SUM(Tableau9297220235[Quantités acheté rajouté])</totalsRowFormula>
    </tableColumn>
    <tableColumn id="6" xr3:uid="{5D6257BD-ABB4-45FA-9057-B234A51D6886}" name="CU du matos rajouté acheté" dataDxfId="822" totalsRowDxfId="821" dataCellStyle="Monétaire"/>
    <tableColumn id="7" xr3:uid="{583FB155-4796-4676-8581-CAA057E767DB}" name="CT" totalsRowFunction="custom" dataDxfId="820" totalsRowDxfId="819" dataCellStyle="Monétaire" totalsRowCellStyle="Monétaire">
      <calculatedColumnFormula>Tableau9297220235[[#This Row],[Quantités acheté rajouté]]*Tableau9297220235[[#This Row],[CU du matos rajouté acheté]]</calculatedColumnFormula>
      <totalsRowFormula>SUM(Tableau9297220235[CT])</totalsRowFormula>
    </tableColumn>
  </tableColumns>
  <tableStyleInfo name="TableStyleMedium8" showFirstColumn="1" showLastColumn="0" showRowStripes="1" showColumnStripes="0"/>
</table>
</file>

<file path=xl/tables/table2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08" xr:uid="{6B7ED8AE-87A2-4065-9CB1-368A568B1157}" name="Tableau92209" displayName="Tableau92209" ref="B2:H26" totalsRowCount="1" headerRowDxfId="806" dataDxfId="805" headerRowCellStyle="Monétaire" dataCellStyle="Monétaire">
  <autoFilter ref="B2:H25" xr:uid="{E3A2F584-7431-4CBF-A05B-3E2564485F5B}"/>
  <tableColumns count="7">
    <tableColumn id="1" xr3:uid="{2C99CE34-00B1-4675-8BF2-CD741533C737}" name="Matériel" totalsRowLabel="Total"/>
    <tableColumn id="2" xr3:uid="{1E24462F-491A-4253-AEFF-61B3E680415A}" name="Présente dans la malle" totalsRowFunction="custom">
      <totalsRowFormula>SUM(Tableau92209[Présente dans la malle])</totalsRowFormula>
    </tableColumn>
    <tableColumn id="3" xr3:uid="{BD059A45-D524-46F1-85FA-AED6F03ADECA}" name="Demande" totalsRowFunction="custom">
      <totalsRowFormula>SUM(Tableau92209[Demande])</totalsRowFormula>
    </tableColumn>
    <tableColumn id="4" xr3:uid="{B7415E72-CB84-4D0C-B5A4-B9CBF524A8B9}" name="Manque" totalsRowFunction="custom" dataDxfId="804">
      <calculatedColumnFormula>Tableau92209[[#This Row],[Demande]]-Tableau92209[[#This Row],[Présente dans la malle]]</calculatedColumnFormula>
      <totalsRowFormula>SUM(Tableau92209[Manque])</totalsRowFormula>
    </tableColumn>
    <tableColumn id="5" xr3:uid="{72ACBD7A-CB69-492A-BB0A-52962151D65D}" name="Quantités acheté rajouté" totalsRowFunction="custom" dataDxfId="803" totalsRowDxfId="802" dataCellStyle="Monétaire">
      <totalsRowFormula>SUM(Tableau92209[Quantités acheté rajouté])</totalsRowFormula>
    </tableColumn>
    <tableColumn id="6" xr3:uid="{CA9B85BB-C9E4-481F-8F34-D0650B93BA32}" name="CU du matos rajouté acheté" dataDxfId="801" totalsRowDxfId="800" dataCellStyle="Monétaire"/>
    <tableColumn id="7" xr3:uid="{E86BAFA4-4568-469D-ACA0-01716B43CEE3}" name="CT" totalsRowFunction="custom" dataDxfId="799" totalsRowDxfId="798" dataCellStyle="Monétaire">
      <calculatedColumnFormula>Tableau92209[[#This Row],[Quantités acheté rajouté]]*Tableau92209[[#This Row],[CU du matos rajouté acheté]]</calculatedColumnFormula>
      <totalsRowFormula>SUM(Tableau92209[CT])</totalsRowFormula>
    </tableColumn>
  </tableColumns>
  <tableStyleInfo name="TableStyleMedium8" showFirstColumn="1" showLastColumn="0" showRowStripes="1" showColumnStripes="0"/>
</table>
</file>

<file path=xl/tables/table23.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09" xr:uid="{23E12EE5-80C5-449E-BCD2-CAF47FECD3BB}" name="Tableau9296210" displayName="Tableau9296210" ref="B29:H43" totalsRowCount="1" headerRowDxfId="797" dataDxfId="796" headerRowCellStyle="Monétaire" dataCellStyle="Monétaire">
  <autoFilter ref="B29:H42" xr:uid="{D04C2E58-70F4-4828-A076-6ACF28785672}"/>
  <tableColumns count="7">
    <tableColumn id="1" xr3:uid="{117D02F4-8825-4277-B3A4-166C6A39582E}" name="Cablage" totalsRowLabel="Total"/>
    <tableColumn id="2" xr3:uid="{BFA25974-0BEA-4352-B113-3942168ACCAD}" name="Présente dans la malle" totalsRowFunction="custom">
      <totalsRowFormula>SUM(Tableau9296210[Présente dans la malle])</totalsRowFormula>
    </tableColumn>
    <tableColumn id="3" xr3:uid="{D41ED6B2-7302-428C-8672-40FEA3B017B4}" name="Demande" totalsRowFunction="custom">
      <totalsRowFormula>SUM(Tableau9296210[Demande])</totalsRowFormula>
    </tableColumn>
    <tableColumn id="4" xr3:uid="{DCED42ED-F1E8-409B-A9DF-D3D0173C30B2}" name="Manque" totalsRowFunction="custom" dataDxfId="795">
      <calculatedColumnFormula>Tableau9296210[[#This Row],[Demande]]-Tableau9296210[[#This Row],[Présente dans la malle]]</calculatedColumnFormula>
      <totalsRowFormula>SUM(Tableau9296210[Manque])</totalsRowFormula>
    </tableColumn>
    <tableColumn id="5" xr3:uid="{0F8D1A71-A05C-4793-BA08-ED957D3DAE97}" name="Quantités acheté rajouté" totalsRowFunction="custom" dataDxfId="794" totalsRowDxfId="793" dataCellStyle="Monétaire">
      <totalsRowFormula>SUM(Tableau9296210[Quantités acheté rajouté])</totalsRowFormula>
    </tableColumn>
    <tableColumn id="6" xr3:uid="{996E510C-EFA7-4DE3-BE43-68E78FA333E2}" name="CU du matos rajouté acheté" dataDxfId="792" totalsRowDxfId="791" dataCellStyle="Monétaire"/>
    <tableColumn id="7" xr3:uid="{3C911F9B-D57E-4FED-9967-3EA5008D1C55}" name="CT" totalsRowFunction="custom" dataDxfId="790" totalsRowDxfId="789" dataCellStyle="Monétaire" totalsRowCellStyle="Monétaire">
      <calculatedColumnFormula>Tableau9296210[[#This Row],[Quantités acheté rajouté]]*Tableau9296210[[#This Row],[CU du matos rajouté acheté]]</calculatedColumnFormula>
      <totalsRowFormula>SUM(Tableau9296210[CT])</totalsRowFormula>
    </tableColumn>
  </tableColumns>
  <tableStyleInfo name="TableStyleMedium8" showFirstColumn="1" showLastColumn="0" showRowStripes="1" showColumnStripes="0"/>
</table>
</file>

<file path=xl/tables/table24.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10" xr:uid="{96C03A15-AF23-4B84-A4A9-46D5C239D135}" name="Tableau9297211" displayName="Tableau9297211" ref="B46:H60" totalsRowCount="1" headerRowDxfId="788" dataDxfId="787" headerRowCellStyle="Monétaire" dataCellStyle="Monétaire">
  <autoFilter ref="B46:H59" xr:uid="{65AB7C83-7CC7-40A4-B3B5-0C6A1A2397A2}"/>
  <tableColumns count="7">
    <tableColumn id="1" xr3:uid="{64F5D20B-12C3-4AEB-BD84-361636B4FA0F}" name="Mobilier" totalsRowLabel="Total"/>
    <tableColumn id="2" xr3:uid="{FCE9D385-A65D-49B8-BD4A-6CCC7514628D}" name="Présente dans la malle" totalsRowFunction="custom">
      <totalsRowFormula>SUM(Tableau9297211[Présente dans la malle])</totalsRowFormula>
    </tableColumn>
    <tableColumn id="3" xr3:uid="{B1EE3D36-7F7C-49F5-BADF-32D40787785F}" name="Demande" totalsRowFunction="custom">
      <totalsRowFormula>SUM(Tableau9297211[Demande])</totalsRowFormula>
    </tableColumn>
    <tableColumn id="4" xr3:uid="{AC913AF5-08C6-49F1-A868-494CAC6894C9}" name="Manque" totalsRowFunction="custom" dataDxfId="786">
      <calculatedColumnFormula>Tableau9297211[[#This Row],[Demande]]-Tableau9297211[[#This Row],[Présente dans la malle]]</calculatedColumnFormula>
      <totalsRowFormula>SUM(Tableau9297211[Manque])</totalsRowFormula>
    </tableColumn>
    <tableColumn id="5" xr3:uid="{16CBAD0F-2D98-4753-8988-8EA41A7CCC26}" name="Quantités acheté rajouté" totalsRowFunction="custom" dataDxfId="785" totalsRowDxfId="784" dataCellStyle="Monétaire">
      <totalsRowFormula>SUM(Tableau9297211[Quantités acheté rajouté])</totalsRowFormula>
    </tableColumn>
    <tableColumn id="6" xr3:uid="{C157CDCD-971D-4EFE-AE5D-57FBCECB7830}" name="CU du matos rajouté acheté" dataDxfId="783" totalsRowDxfId="782" dataCellStyle="Monétaire"/>
    <tableColumn id="7" xr3:uid="{EBB421FC-AC75-4F6D-A558-B5055BCD5205}" name="CT" totalsRowFunction="custom" dataDxfId="781" totalsRowDxfId="780" dataCellStyle="Monétaire" totalsRowCellStyle="Monétaire">
      <calculatedColumnFormula>Tableau9297211[[#This Row],[Quantités acheté rajouté]]*Tableau9297211[[#This Row],[CU du matos rajouté acheté]]</calculatedColumnFormula>
      <totalsRowFormula>SUM(Tableau9297211[CT])</totalsRowFormula>
    </tableColumn>
  </tableColumns>
  <tableStyleInfo name="TableStyleMedium8" showFirstColumn="1" showLastColumn="0" showRowStripes="1" showColumnStripes="0"/>
</table>
</file>

<file path=xl/tables/table25.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41" xr:uid="{5A0ECDAA-E4DB-42A6-8F00-A9BFC2C6B6C5}" name="Tableau92218242" displayName="Tableau92218242" ref="B2:H31" totalsRowCount="1" headerRowDxfId="767" dataDxfId="766" headerRowCellStyle="Monétaire" dataCellStyle="Monétaire">
  <autoFilter ref="B2:H30" xr:uid="{32CA839A-9938-4A45-B8E6-B8C9DA4217AB}"/>
  <tableColumns count="7">
    <tableColumn id="1" xr3:uid="{E64EF13E-ACF2-4193-A78A-018D86FBBEE2}" name="Matériel" totalsRowLabel="Total"/>
    <tableColumn id="2" xr3:uid="{BF0FC520-8A43-4372-89D0-621D376A93B2}" name="Présente dans la malle" totalsRowFunction="custom">
      <totalsRowFormula>SUM(Tableau92218242[Présente dans la malle])</totalsRowFormula>
    </tableColumn>
    <tableColumn id="3" xr3:uid="{66C538F9-3FAA-4A71-9799-1FAF8AE78F46}" name="Demande" totalsRowFunction="custom">
      <totalsRowFormula>SUM(Tableau92218242[Demande])</totalsRowFormula>
    </tableColumn>
    <tableColumn id="4" xr3:uid="{1BE9A2D6-A244-4656-89ED-2B50F58B9A20}" name="Manque" totalsRowFunction="custom" dataDxfId="765">
      <calculatedColumnFormula>Tableau92218242[[#This Row],[Demande]]-Tableau92218242[[#This Row],[Présente dans la malle]]</calculatedColumnFormula>
      <totalsRowFormula>SUM(Tableau92218242[Manque])</totalsRowFormula>
    </tableColumn>
    <tableColumn id="5" xr3:uid="{F07EC6DC-6C36-4F6D-A383-80AB9C8F0788}" name="Quantités acheté rajouté" totalsRowFunction="custom" dataDxfId="764" totalsRowDxfId="763" dataCellStyle="Monétaire">
      <totalsRowFormula>SUM(Tableau92218242[Quantités acheté rajouté])</totalsRowFormula>
    </tableColumn>
    <tableColumn id="6" xr3:uid="{F790A078-80B0-4BEA-9ED6-D744B974A70B}" name="CU du matos rajouté acheté" dataDxfId="762" totalsRowDxfId="761" dataCellStyle="Monétaire"/>
    <tableColumn id="7" xr3:uid="{D295E1C4-D309-4DE0-9D49-0DF50C945CCA}" name="CT" totalsRowFunction="custom" dataDxfId="760" totalsRowDxfId="759" dataCellStyle="Monétaire">
      <calculatedColumnFormula>Tableau92218242[[#This Row],[Quantités acheté rajouté]]*Tableau92218242[[#This Row],[CU du matos rajouté acheté]]</calculatedColumnFormula>
      <totalsRowFormula>SUM(Tableau92218242[CT])</totalsRowFormula>
    </tableColumn>
  </tableColumns>
  <tableStyleInfo name="TableStyleMedium8" showFirstColumn="1" showLastColumn="0" showRowStripes="1" showColumnStripes="0"/>
</table>
</file>

<file path=xl/tables/table26.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42" xr:uid="{7A255259-B522-49C2-9E94-44E7AED510E3}" name="Tableau9296219243" displayName="Tableau9296219243" ref="B34:H48" totalsRowCount="1" headerRowDxfId="758" dataDxfId="757" headerRowCellStyle="Monétaire" dataCellStyle="Monétaire">
  <autoFilter ref="B34:H47" xr:uid="{FCCB1A29-25CE-45E6-B4D0-124FE42EC950}"/>
  <tableColumns count="7">
    <tableColumn id="1" xr3:uid="{4281119A-4252-4975-BAF6-8706E2771D44}" name="Cablage" totalsRowLabel="Total"/>
    <tableColumn id="2" xr3:uid="{0E1F5862-7CDA-46E0-B6F2-7DA8AFFC629F}" name="Présente dans la malle" totalsRowFunction="custom">
      <totalsRowFormula>SUM(Tableau9296219243[Présente dans la malle])</totalsRowFormula>
    </tableColumn>
    <tableColumn id="3" xr3:uid="{6C8BE815-2BA6-455F-9AFF-425F42B7DE13}" name="Demande" totalsRowFunction="custom">
      <totalsRowFormula>SUM(Tableau9296219243[Demande])</totalsRowFormula>
    </tableColumn>
    <tableColumn id="4" xr3:uid="{C51E0D1F-EC1B-4F0B-A7AD-3A5AFDBA5DB4}" name="Manque" totalsRowFunction="custom" dataDxfId="756">
      <calculatedColumnFormula>Tableau9296219243[[#This Row],[Demande]]-Tableau9296219243[[#This Row],[Présente dans la malle]]</calculatedColumnFormula>
      <totalsRowFormula>SUM(Tableau9296219243[Manque])</totalsRowFormula>
    </tableColumn>
    <tableColumn id="5" xr3:uid="{927651B5-1415-4535-A2C2-774874A7F98B}" name="Quantités acheté rajouté" totalsRowFunction="custom" dataDxfId="755" totalsRowDxfId="754" dataCellStyle="Monétaire">
      <totalsRowFormula>SUM(Tableau9296219243[Quantités acheté rajouté])</totalsRowFormula>
    </tableColumn>
    <tableColumn id="6" xr3:uid="{554A8204-97D8-4DA0-BFA2-4BA48DC6860E}" name="CU du matos rajouté acheté" dataDxfId="753" totalsRowDxfId="752" dataCellStyle="Monétaire"/>
    <tableColumn id="7" xr3:uid="{A7D6080D-F8D1-4EED-B806-EB768D6A12EF}" name="CT" totalsRowFunction="custom" dataDxfId="751" totalsRowDxfId="750" dataCellStyle="Monétaire" totalsRowCellStyle="Monétaire">
      <calculatedColumnFormula>Tableau9296219243[[#This Row],[Quantités acheté rajouté]]*Tableau9296219243[[#This Row],[CU du matos rajouté acheté]]</calculatedColumnFormula>
      <totalsRowFormula>SUM(Tableau9296219243[CT])</totalsRowFormula>
    </tableColumn>
  </tableColumns>
  <tableStyleInfo name="TableStyleMedium8" showFirstColumn="1" showLastColumn="0" showRowStripes="1" showColumnStripes="0"/>
</table>
</file>

<file path=xl/tables/table27.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43" xr:uid="{ED2C3E0B-09B2-4AD0-9C50-76D15DA801C0}" name="Tableau9297220244" displayName="Tableau9297220244" ref="B51:H65" totalsRowCount="1" headerRowDxfId="749" dataDxfId="748" headerRowCellStyle="Monétaire" dataCellStyle="Monétaire">
  <autoFilter ref="B51:H64" xr:uid="{69593520-FC44-451F-B814-0773FCF548C9}"/>
  <tableColumns count="7">
    <tableColumn id="1" xr3:uid="{789C3A3A-370A-475C-AEFF-FEA2EE6EEDA1}" name="Mobilier" totalsRowLabel="Total"/>
    <tableColumn id="2" xr3:uid="{BCF05CCD-62D2-4C13-AAB0-EE85820CD76D}" name="Présente dans la malle" totalsRowFunction="custom">
      <totalsRowFormula>SUM(Tableau9297220244[Présente dans la malle])</totalsRowFormula>
    </tableColumn>
    <tableColumn id="3" xr3:uid="{D01EB26C-9C9A-4BDF-A8E5-77005C3F9388}" name="Demande" totalsRowFunction="custom">
      <totalsRowFormula>SUM(Tableau9297220244[Demande])</totalsRowFormula>
    </tableColumn>
    <tableColumn id="4" xr3:uid="{B34AFC4F-40FC-4285-989B-6395DAE6F206}" name="Manque" totalsRowFunction="custom" dataDxfId="747">
      <calculatedColumnFormula>Tableau9297220244[[#This Row],[Demande]]-Tableau9297220244[[#This Row],[Présente dans la malle]]</calculatedColumnFormula>
      <totalsRowFormula>SUM(Tableau9297220244[Manque])</totalsRowFormula>
    </tableColumn>
    <tableColumn id="5" xr3:uid="{CF180064-B403-43D0-89EF-1C3F1C23D74B}" name="Quantités acheté rajouté" totalsRowFunction="custom" dataDxfId="746" totalsRowDxfId="745" dataCellStyle="Monétaire">
      <totalsRowFormula>SUM(Tableau9297220244[Quantités acheté rajouté])</totalsRowFormula>
    </tableColumn>
    <tableColumn id="6" xr3:uid="{E2C22FC1-46F1-4D56-AB42-64E69B8E0441}" name="CU du matos rajouté acheté" dataDxfId="744" totalsRowDxfId="743" dataCellStyle="Monétaire"/>
    <tableColumn id="7" xr3:uid="{9EBE9836-F571-48F0-834A-1C40F0983DBA}" name="CT" totalsRowFunction="custom" dataDxfId="742" totalsRowDxfId="741" dataCellStyle="Monétaire" totalsRowCellStyle="Monétaire">
      <calculatedColumnFormula>Tableau9297220244[[#This Row],[Quantités acheté rajouté]]*Tableau9297220244[[#This Row],[CU du matos rajouté acheté]]</calculatedColumnFormula>
      <totalsRowFormula>SUM(Tableau9297220244[CT])</totalsRowFormula>
    </tableColumn>
  </tableColumns>
  <tableStyleInfo name="TableStyleMedium8" showFirstColumn="1" showLastColumn="0" showRowStripes="1" showColumnStripes="0"/>
</table>
</file>

<file path=xl/tables/table28.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26" xr:uid="{01768528-D935-471B-9FD1-6B98CC770624}" name="Tableau92218227" displayName="Tableau92218227" ref="B2:H16" totalsRowCount="1" headerRowDxfId="728" dataDxfId="727" headerRowCellStyle="Monétaire" dataCellStyle="Monétaire">
  <autoFilter ref="B2:H15" xr:uid="{EDAD49F1-5ECC-4DC0-8508-D0003C1D7167}"/>
  <tableColumns count="7">
    <tableColumn id="1" xr3:uid="{7DBB26B8-D5AD-46E0-A276-FDBDA68378B9}" name="Matériel" totalsRowLabel="Total"/>
    <tableColumn id="2" xr3:uid="{BE769AF7-C2B0-403E-A55A-19EE48E949DB}" name="Présente dans la malle" totalsRowFunction="custom">
      <totalsRowFormula>SUM(Tableau92218227[Présente dans la malle])</totalsRowFormula>
    </tableColumn>
    <tableColumn id="3" xr3:uid="{3F036344-AC52-41A2-8AAF-79CA56C01CBD}" name="Demande" totalsRowFunction="custom">
      <totalsRowFormula>SUM(Tableau92218227[Demande])</totalsRowFormula>
    </tableColumn>
    <tableColumn id="4" xr3:uid="{CF684E6F-ABF6-4BFE-9572-B8425ABF7341}" name="Manque" totalsRowFunction="custom" dataDxfId="726">
      <calculatedColumnFormula>Tableau92218227[[#This Row],[Demande]]-Tableau92218227[[#This Row],[Présente dans la malle]]</calculatedColumnFormula>
      <totalsRowFormula>SUM(Tableau92218227[Manque])</totalsRowFormula>
    </tableColumn>
    <tableColumn id="5" xr3:uid="{429F6E46-0A8F-46D2-A752-57CE9FB4E93A}" name="Quantités acheté rajouté" totalsRowFunction="custom" dataDxfId="725" totalsRowDxfId="724" dataCellStyle="Monétaire">
      <totalsRowFormula>SUM(Tableau92218227[Quantités acheté rajouté])</totalsRowFormula>
    </tableColumn>
    <tableColumn id="6" xr3:uid="{0A41CDEB-D727-46E7-8006-5F26D575F736}" name="CU du matos rajouté acheté" dataDxfId="723" totalsRowDxfId="722" dataCellStyle="Monétaire"/>
    <tableColumn id="7" xr3:uid="{6FD273CA-BE0B-4726-B4C0-61EE725C9AED}" name="CT" totalsRowFunction="custom" dataDxfId="721" totalsRowDxfId="720" dataCellStyle="Monétaire">
      <calculatedColumnFormula>Tableau92218227[[#This Row],[Quantités acheté rajouté]]*Tableau92218227[[#This Row],[CU du matos rajouté acheté]]</calculatedColumnFormula>
      <totalsRowFormula>SUM(Tableau92218227[CT])</totalsRowFormula>
    </tableColumn>
  </tableColumns>
  <tableStyleInfo name="TableStyleMedium8" showFirstColumn="1" showLastColumn="0" showRowStripes="1" showColumnStripes="0"/>
</table>
</file>

<file path=xl/tables/table29.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27" xr:uid="{ABE4161B-7D6F-4F6D-8924-6460A801A3C2}" name="Tableau9296219228" displayName="Tableau9296219228" ref="B19:H33" totalsRowCount="1" headerRowDxfId="719" dataDxfId="718" headerRowCellStyle="Monétaire" dataCellStyle="Monétaire">
  <autoFilter ref="B19:H32" xr:uid="{A089E540-C36F-4B98-A1CC-E06E39CA10F1}"/>
  <tableColumns count="7">
    <tableColumn id="1" xr3:uid="{439B4069-FE05-4815-A62A-7CFB04B6FE22}" name="Cablage" totalsRowLabel="Total"/>
    <tableColumn id="2" xr3:uid="{C4382C76-4495-4BE0-8F27-D596B90EC1FF}" name="Présente dans la malle" totalsRowFunction="custom">
      <totalsRowFormula>SUM(Tableau9296219228[Présente dans la malle])</totalsRowFormula>
    </tableColumn>
    <tableColumn id="3" xr3:uid="{9DC64C43-0423-494F-A5D5-E4B1F945C333}" name="Demande" totalsRowFunction="custom">
      <totalsRowFormula>SUM(Tableau9296219228[Demande])</totalsRowFormula>
    </tableColumn>
    <tableColumn id="4" xr3:uid="{B1C86816-D7ED-4D37-8CF7-2D737A7C76CF}" name="Manque" totalsRowFunction="custom" dataDxfId="717">
      <calculatedColumnFormula>Tableau9296219228[[#This Row],[Demande]]-Tableau9296219228[[#This Row],[Présente dans la malle]]</calculatedColumnFormula>
      <totalsRowFormula>SUM(Tableau9296219228[Manque])</totalsRowFormula>
    </tableColumn>
    <tableColumn id="5" xr3:uid="{B2C8681A-D26A-4013-A431-2BE4BC47179E}" name="Quantités acheté rajouté" totalsRowFunction="custom" dataDxfId="716" totalsRowDxfId="715" dataCellStyle="Monétaire">
      <totalsRowFormula>SUM(Tableau9296219228[Quantités acheté rajouté])</totalsRowFormula>
    </tableColumn>
    <tableColumn id="6" xr3:uid="{EAF08944-C808-4AEA-A9A0-59AB59116C56}" name="CU du matos rajouté acheté" dataDxfId="714" totalsRowDxfId="713" dataCellStyle="Monétaire"/>
    <tableColumn id="7" xr3:uid="{9BD7DF4D-BAD2-4307-99E2-3B899B9E2484}" name="CT" totalsRowFunction="custom" dataDxfId="712" totalsRowDxfId="711" dataCellStyle="Monétaire" totalsRowCellStyle="Monétaire">
      <calculatedColumnFormula>Tableau9296219228[[#This Row],[Quantités acheté rajouté]]*Tableau9296219228[[#This Row],[CU du matos rajouté acheté]]</calculatedColumnFormula>
      <totalsRowFormula>SUM(Tableau9296219228[CT])</totalsRowFormula>
    </tableColumn>
  </tableColumns>
  <tableStyleInfo name="TableStyleMedium8" showFirstColumn="1" showLastColumn="0" showRowStripes="1" showColumnStripes="0"/>
</table>
</file>

<file path=xl/tables/table30.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28" xr:uid="{FF1BF0A1-1B2B-4395-87C2-F6F3F8D1DC8E}" name="Tableau9297220229" displayName="Tableau9297220229" ref="B36:H50" totalsRowCount="1" headerRowDxfId="710" dataDxfId="709" headerRowCellStyle="Monétaire" dataCellStyle="Monétaire">
  <autoFilter ref="B36:H49" xr:uid="{EDFB2B2A-F375-4B6A-B821-10F667CB641B}"/>
  <tableColumns count="7">
    <tableColumn id="1" xr3:uid="{6ADDBEAB-91CF-4678-8344-A08592E691FF}" name="Mobilier" totalsRowLabel="Total"/>
    <tableColumn id="2" xr3:uid="{2016A091-A8C3-462A-A53E-D2E7A7338578}" name="Présente dans la malle" totalsRowFunction="custom">
      <totalsRowFormula>SUM(Tableau9297220229[Présente dans la malle])</totalsRowFormula>
    </tableColumn>
    <tableColumn id="3" xr3:uid="{460C2D3B-98C8-4030-AFFB-EC59AB723B96}" name="Demande" totalsRowFunction="custom">
      <totalsRowFormula>SUM(Tableau9297220229[Demande])</totalsRowFormula>
    </tableColumn>
    <tableColumn id="4" xr3:uid="{D5FD8EBD-1E51-4B91-A80E-BD4CC77F4D4B}" name="Manque" totalsRowFunction="custom" dataDxfId="708">
      <calculatedColumnFormula>Tableau9297220229[[#This Row],[Demande]]-Tableau9297220229[[#This Row],[Présente dans la malle]]</calculatedColumnFormula>
      <totalsRowFormula>SUM(Tableau9297220229[Manque])</totalsRowFormula>
    </tableColumn>
    <tableColumn id="5" xr3:uid="{EB73F614-3EF4-4099-BAC0-F59FFD951A4A}" name="Quantités acheté rajouté" totalsRowFunction="custom" dataDxfId="707" totalsRowDxfId="706" dataCellStyle="Monétaire">
      <totalsRowFormula>SUM(Tableau9297220229[Quantités acheté rajouté])</totalsRowFormula>
    </tableColumn>
    <tableColumn id="6" xr3:uid="{9B9D7B59-1ADD-4392-AED2-1749EA563DDF}" name="CU du matos rajouté acheté" dataDxfId="705" totalsRowDxfId="704" dataCellStyle="Monétaire"/>
    <tableColumn id="7" xr3:uid="{74CEDB88-B0CA-482A-8901-B42DD60962A3}" name="CT" totalsRowFunction="custom" dataDxfId="703" totalsRowDxfId="702" dataCellStyle="Monétaire" totalsRowCellStyle="Monétaire">
      <calculatedColumnFormula>Tableau9297220229[[#This Row],[Quantités acheté rajouté]]*Tableau9297220229[[#This Row],[CU du matos rajouté acheté]]</calculatedColumnFormula>
      <totalsRowFormula>SUM(Tableau9297220229[CT])</totalsRowFormula>
    </tableColumn>
  </tableColumns>
  <tableStyleInfo name="TableStyleMedium8" showFirstColumn="1" showLastColumn="0" showRowStripes="1" showColumnStripes="0"/>
</table>
</file>

<file path=xl/tables/table3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87" xr:uid="{81F8BAD0-035C-4CCA-ABDA-575B5F6E4754}" name="Tableau92188" displayName="Tableau92188" ref="B2:H16" totalsRowCount="1" headerRowDxfId="689" dataDxfId="688" headerRowCellStyle="Monétaire" dataCellStyle="Monétaire">
  <autoFilter ref="B2:H15" xr:uid="{6BFC3580-ADF2-432E-B0D6-3980CC5B4982}"/>
  <tableColumns count="7">
    <tableColumn id="1" xr3:uid="{A8C67608-3B33-4B97-9B38-A2289524D617}" name="Matériel" totalsRowLabel="Total"/>
    <tableColumn id="2" xr3:uid="{4DFF5123-AD33-4447-A206-3F83455DF74C}" name="Présente dans la malle" totalsRowFunction="custom">
      <totalsRowFormula>SUM(Tableau92188[Présente dans la malle])</totalsRowFormula>
    </tableColumn>
    <tableColumn id="3" xr3:uid="{58F3D2F3-FC88-4D24-A6F5-44E455900F34}" name="Demande" totalsRowFunction="custom">
      <totalsRowFormula>SUM(Tableau92188[Demande])</totalsRowFormula>
    </tableColumn>
    <tableColumn id="4" xr3:uid="{2C8C85BF-D214-41B2-89B9-3114DBC30CE0}" name="Manque" totalsRowFunction="custom" dataDxfId="687">
      <calculatedColumnFormula>Tableau92188[[#This Row],[Demande]]-Tableau92188[[#This Row],[Présente dans la malle]]</calculatedColumnFormula>
      <totalsRowFormula>SUM(Tableau92188[Manque])</totalsRowFormula>
    </tableColumn>
    <tableColumn id="5" xr3:uid="{4AAFFE7E-EC04-46AC-9063-3EEF8E8B5628}" name="Quantités acheté rajouté" totalsRowFunction="custom" dataDxfId="686" totalsRowDxfId="685" dataCellStyle="Monétaire">
      <totalsRowFormula>SUM(Tableau92188[Quantités acheté rajouté])</totalsRowFormula>
    </tableColumn>
    <tableColumn id="6" xr3:uid="{12DDBBC6-2CEF-4038-B301-E68922C26843}" name="CU du matos rajouté acheté" dataDxfId="684" totalsRowDxfId="683" dataCellStyle="Monétaire"/>
    <tableColumn id="7" xr3:uid="{7AD5202F-F240-445A-A07C-2420503CD7FA}" name="CT" totalsRowFunction="custom" dataDxfId="682" totalsRowDxfId="681" dataCellStyle="Monétaire">
      <calculatedColumnFormula>Tableau92188[[#This Row],[Quantités acheté rajouté]]*Tableau92188[[#This Row],[CU du matos rajouté acheté]]</calculatedColumnFormula>
      <totalsRowFormula>SUM(Tableau92188[CT])</totalsRowFormula>
    </tableColumn>
  </tableColumns>
  <tableStyleInfo name="TableStyleMedium8" showFirstColumn="1" showLastColumn="0" showRowStripes="1" showColumnStripes="0"/>
</table>
</file>

<file path=xl/tables/table3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88" xr:uid="{23327A6C-BD45-4AA4-9452-773B6C3A01A0}" name="Tableau9296189" displayName="Tableau9296189" ref="B19:H33" totalsRowCount="1" headerRowDxfId="680" dataDxfId="679" headerRowCellStyle="Monétaire" dataCellStyle="Monétaire">
  <autoFilter ref="B19:H32" xr:uid="{0FE8BDDB-BDFF-4E68-812B-FCD92397B589}"/>
  <tableColumns count="7">
    <tableColumn id="1" xr3:uid="{71E33953-F0B3-456D-8596-1DA60678C5CD}" name="Cablage" totalsRowLabel="Total"/>
    <tableColumn id="2" xr3:uid="{FECA1FB3-5364-41A2-A463-BE66FC85FC7F}" name="Présente dans la malle" totalsRowFunction="custom">
      <totalsRowFormula>SUM(Tableau9296189[Présente dans la malle])</totalsRowFormula>
    </tableColumn>
    <tableColumn id="3" xr3:uid="{6967AC45-3EA6-4FD2-8D85-765C63F3A989}" name="Demande" totalsRowFunction="custom">
      <totalsRowFormula>SUM(Tableau9296189[Demande])</totalsRowFormula>
    </tableColumn>
    <tableColumn id="4" xr3:uid="{52C42AC8-5866-4E2C-B69E-83DC9E01207E}" name="Manque" totalsRowFunction="custom" dataDxfId="678">
      <calculatedColumnFormula>Tableau9296189[[#This Row],[Demande]]-Tableau9296189[[#This Row],[Présente dans la malle]]</calculatedColumnFormula>
      <totalsRowFormula>SUM(Tableau9296189[Manque])</totalsRowFormula>
    </tableColumn>
    <tableColumn id="5" xr3:uid="{40F9D524-53C3-48EF-BEC7-3F08408E718B}" name="Quantités acheté rajouté" totalsRowFunction="custom" dataDxfId="677" totalsRowDxfId="676" dataCellStyle="Monétaire">
      <totalsRowFormula>SUM(Tableau9296189[Quantités acheté rajouté])</totalsRowFormula>
    </tableColumn>
    <tableColumn id="6" xr3:uid="{2A070F3E-75CB-4353-A22F-392992CF68E5}" name="CU du matos rajouté acheté" dataDxfId="675" totalsRowDxfId="674" dataCellStyle="Monétaire"/>
    <tableColumn id="7" xr3:uid="{AB300820-5365-4198-904B-C2472F567DA8}" name="CT" totalsRowFunction="custom" dataDxfId="673" totalsRowDxfId="672" dataCellStyle="Monétaire" totalsRowCellStyle="Monétaire">
      <calculatedColumnFormula>Tableau9296189[[#This Row],[Quantités acheté rajouté]]*Tableau9296189[[#This Row],[CU du matos rajouté acheté]]</calculatedColumnFormula>
      <totalsRowFormula>SUM(Tableau9296189[CT])</totalsRowFormula>
    </tableColumn>
  </tableColumns>
  <tableStyleInfo name="TableStyleMedium8" showFirstColumn="1" showLastColumn="0" showRowStripes="1" showColumnStripes="0"/>
</table>
</file>

<file path=xl/tables/table33.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89" xr:uid="{ACD9AD46-C692-4D84-A209-E56845E8A499}" name="Tableau9297190" displayName="Tableau9297190" ref="B36:H50" totalsRowCount="1" headerRowDxfId="671" dataDxfId="670" headerRowCellStyle="Monétaire" dataCellStyle="Monétaire">
  <autoFilter ref="B36:H49" xr:uid="{5CEC14B0-910B-44D7-A761-AFA7CD4077A4}"/>
  <tableColumns count="7">
    <tableColumn id="1" xr3:uid="{53B4206E-F462-45C0-B727-486335799A8A}" name="Mobilier" totalsRowLabel="Total"/>
    <tableColumn id="2" xr3:uid="{A57C263E-A64E-4AB3-861D-DDA12FDED58E}" name="Présente dans la malle" totalsRowFunction="custom">
      <totalsRowFormula>SUM(Tableau9297190[Présente dans la malle])</totalsRowFormula>
    </tableColumn>
    <tableColumn id="3" xr3:uid="{9EDFAA9F-56A9-4A45-8F2C-E92499461ECD}" name="Demande" totalsRowFunction="custom">
      <totalsRowFormula>SUM(Tableau9297190[Demande])</totalsRowFormula>
    </tableColumn>
    <tableColumn id="4" xr3:uid="{633505D0-43D6-445D-BDEE-2961E1692571}" name="Manque" totalsRowFunction="custom" dataDxfId="669">
      <calculatedColumnFormula>Tableau9297190[[#This Row],[Demande]]-Tableau9297190[[#This Row],[Présente dans la malle]]</calculatedColumnFormula>
      <totalsRowFormula>SUM(Tableau9297190[Manque])</totalsRowFormula>
    </tableColumn>
    <tableColumn id="5" xr3:uid="{761651B8-0B0D-4053-BD5E-CBEFA06A90DA}" name="Quantités acheté rajouté" totalsRowFunction="custom" dataDxfId="668" totalsRowDxfId="667" dataCellStyle="Monétaire">
      <totalsRowFormula>SUM(Tableau9297190[Quantités acheté rajouté])</totalsRowFormula>
    </tableColumn>
    <tableColumn id="6" xr3:uid="{33A8C3E5-7BDE-4828-BDCA-38938C2A5B55}" name="CU du matos rajouté acheté" dataDxfId="666" totalsRowDxfId="665" dataCellStyle="Monétaire"/>
    <tableColumn id="7" xr3:uid="{44DC4BE7-7131-44F1-A0E4-F80175963F13}" name="CT" totalsRowFunction="custom" dataDxfId="664" totalsRowDxfId="663" dataCellStyle="Monétaire" totalsRowCellStyle="Monétaire">
      <calculatedColumnFormula>Tableau9297190[[#This Row],[Quantités acheté rajouté]]*Tableau9297190[[#This Row],[CU du matos rajouté acheté]]</calculatedColumnFormula>
      <totalsRowFormula>SUM(Tableau9297190[CT])</totalsRowFormula>
    </tableColumn>
  </tableColumns>
  <tableStyleInfo name="TableStyleMedium8" showFirstColumn="1" showLastColumn="0" showRowStripes="1" showColumnStripes="0"/>
</table>
</file>

<file path=xl/tables/table34.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84" xr:uid="{AA666509-35E6-4CF6-94AA-9F62784D0BBC}" name="Tableau92185" displayName="Tableau92185" ref="B2:H16" totalsRowCount="1" headerRowDxfId="650" dataDxfId="649" headerRowCellStyle="Monétaire" dataCellStyle="Monétaire">
  <autoFilter ref="B2:H15" xr:uid="{8A7E85D5-AB9D-4522-92E3-3EFC9186020C}"/>
  <tableColumns count="7">
    <tableColumn id="1" xr3:uid="{4EE265F6-ACC3-4910-82F8-DC2DE9FE328A}" name="Matériel" totalsRowLabel="Total"/>
    <tableColumn id="2" xr3:uid="{358ED50A-E393-4A36-8DE7-B8D66A4013E1}" name="Présente dans la malle" totalsRowFunction="custom">
      <totalsRowFormula>SUM(Tableau92185[Présente dans la malle])</totalsRowFormula>
    </tableColumn>
    <tableColumn id="3" xr3:uid="{0A92FB9B-3422-4DE7-B777-ADB7F9AEE066}" name="Demande" totalsRowFunction="custom">
      <totalsRowFormula>SUM(Tableau92185[Demande])</totalsRowFormula>
    </tableColumn>
    <tableColumn id="4" xr3:uid="{6C6E5B4A-4D2A-412C-966B-646E8530D5EA}" name="Manque" totalsRowFunction="custom" dataDxfId="648">
      <calculatedColumnFormula>Tableau92185[[#This Row],[Demande]]-Tableau92185[[#This Row],[Présente dans la malle]]</calculatedColumnFormula>
      <totalsRowFormula>SUM(Tableau92185[Manque])</totalsRowFormula>
    </tableColumn>
    <tableColumn id="5" xr3:uid="{47F28B63-C858-4104-8118-42AB57E5AFCA}" name="Quantités acheté rajouté" totalsRowFunction="custom" dataDxfId="647" totalsRowDxfId="646" dataCellStyle="Monétaire">
      <totalsRowFormula>SUM(Tableau92185[Quantités acheté rajouté])</totalsRowFormula>
    </tableColumn>
    <tableColumn id="6" xr3:uid="{8A793A78-87B8-42C3-8E88-9D1438028B3D}" name="CU du matos rajouté acheté" dataDxfId="645" totalsRowDxfId="644" dataCellStyle="Monétaire"/>
    <tableColumn id="7" xr3:uid="{91FFEC7F-E5BE-4263-BBDF-D6F50E7D63B8}" name="CT" totalsRowFunction="custom" dataDxfId="643" totalsRowDxfId="642" dataCellStyle="Monétaire" totalsRowCellStyle="Monétaire">
      <calculatedColumnFormula>Tableau92185[[#This Row],[Quantités acheté rajouté]]*Tableau92185[[#This Row],[CU du matos rajouté acheté]]</calculatedColumnFormula>
      <totalsRowFormula>SUM(Tableau92185[CT])</totalsRowFormula>
    </tableColumn>
  </tableColumns>
  <tableStyleInfo name="TableStyleMedium8" showFirstColumn="1" showLastColumn="0" showRowStripes="1" showColumnStripes="0"/>
</table>
</file>

<file path=xl/tables/table35.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85" xr:uid="{0AE3BE56-4A3B-4F43-AD5E-B8A5706016A3}" name="Tableau9296186" displayName="Tableau9296186" ref="B19:H33" totalsRowCount="1" headerRowDxfId="641" dataDxfId="640" headerRowCellStyle="Monétaire" dataCellStyle="Monétaire">
  <autoFilter ref="B19:H32" xr:uid="{7F43F2A5-6B60-4057-811E-B0D85BCB78DD}"/>
  <tableColumns count="7">
    <tableColumn id="1" xr3:uid="{93D05B04-F7B6-4BA2-A13B-7CF4A9378CD5}" name="Cablage" totalsRowLabel="Total"/>
    <tableColumn id="2" xr3:uid="{AAD2AB9F-3D9E-44C4-B597-1DBDF97EB8ED}" name="Présente dans la malle" totalsRowFunction="custom">
      <totalsRowFormula>SUM(Tableau9296186[Présente dans la malle])</totalsRowFormula>
    </tableColumn>
    <tableColumn id="3" xr3:uid="{ACB108F5-D245-4799-82A7-16441FD1633E}" name="Demande" totalsRowFunction="custom">
      <totalsRowFormula>SUM(Tableau9296186[Demande])</totalsRowFormula>
    </tableColumn>
    <tableColumn id="4" xr3:uid="{039BCC2C-EA83-4658-B9B4-ED4BD4BB9F2A}" name="Manque" totalsRowFunction="custom" dataDxfId="639">
      <calculatedColumnFormula>Tableau9296186[[#This Row],[Demande]]-Tableau9296186[[#This Row],[Présente dans la malle]]</calculatedColumnFormula>
      <totalsRowFormula>SUM(Tableau9296186[Manque])</totalsRowFormula>
    </tableColumn>
    <tableColumn id="5" xr3:uid="{27A0D212-A4AE-4A78-AC64-BD71F87F4BFC}" name="Quantités acheté rajouté" totalsRowFunction="custom" dataDxfId="638" totalsRowDxfId="637" dataCellStyle="Monétaire">
      <totalsRowFormula>SUM(Tableau9296186[Quantités acheté rajouté])</totalsRowFormula>
    </tableColumn>
    <tableColumn id="6" xr3:uid="{B89255C2-E78C-4736-A936-664194CCF085}" name="CU du matos rajouté acheté" dataDxfId="636" totalsRowDxfId="635" dataCellStyle="Monétaire"/>
    <tableColumn id="7" xr3:uid="{085A37D1-8E6F-4E94-9298-6B7834D51B96}" name="CT" totalsRowFunction="custom" dataDxfId="634" totalsRowDxfId="633" dataCellStyle="Monétaire" totalsRowCellStyle="Monétaire">
      <calculatedColumnFormula>Tableau9296186[[#This Row],[Quantités acheté rajouté]]*Tableau9296186[[#This Row],[CU du matos rajouté acheté]]</calculatedColumnFormula>
      <totalsRowFormula>SUM(Tableau9296186[CT])</totalsRowFormula>
    </tableColumn>
  </tableColumns>
  <tableStyleInfo name="TableStyleMedium8" showFirstColumn="1" showLastColumn="0" showRowStripes="1" showColumnStripes="0"/>
</table>
</file>

<file path=xl/tables/table36.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86" xr:uid="{58C6869E-6F87-422B-BCE5-19147D28839E}" name="Tableau9297187" displayName="Tableau9297187" ref="B36:H50" totalsRowCount="1" headerRowDxfId="632" dataDxfId="631" headerRowCellStyle="Monétaire" dataCellStyle="Monétaire">
  <autoFilter ref="B36:H49" xr:uid="{A64A7EEE-8BCF-47FD-ABBA-EDEDAD6307F3}"/>
  <tableColumns count="7">
    <tableColumn id="1" xr3:uid="{6ED67DED-0000-49BC-BDC7-4A4A4A584499}" name="Mobilier" totalsRowLabel="Total"/>
    <tableColumn id="2" xr3:uid="{4E6B7666-BB5E-4C4A-8C94-3EBCF07DE6EF}" name="Présente dans la malle" totalsRowFunction="custom">
      <totalsRowFormula>SUM(Tableau9297187[Présente dans la malle])</totalsRowFormula>
    </tableColumn>
    <tableColumn id="3" xr3:uid="{7DBAE7B3-DFF7-496B-A923-AC86DD32CA89}" name="Demande" totalsRowFunction="custom">
      <totalsRowFormula>SUM(Tableau9297187[Demande])</totalsRowFormula>
    </tableColumn>
    <tableColumn id="4" xr3:uid="{534863EE-225C-4977-B66A-147C0F0158F0}" name="Manque" totalsRowFunction="custom" dataDxfId="630">
      <calculatedColumnFormula>Tableau9297187[[#This Row],[Demande]]-Tableau9297187[[#This Row],[Présente dans la malle]]</calculatedColumnFormula>
      <totalsRowFormula>SUM(Tableau9297187[Manque])</totalsRowFormula>
    </tableColumn>
    <tableColumn id="5" xr3:uid="{6814E8D1-04AD-49D9-B784-37BB9CFBA696}" name="Quantités acheté rajouté" totalsRowFunction="custom" dataDxfId="629" totalsRowDxfId="628" dataCellStyle="Monétaire">
      <totalsRowFormula>SUM(Tableau9297187[Quantités acheté rajouté])</totalsRowFormula>
    </tableColumn>
    <tableColumn id="6" xr3:uid="{D25931A1-940C-4702-BEF6-2DC414EF0B5E}" name="CU du matos rajouté acheté" dataDxfId="627" totalsRowDxfId="626" dataCellStyle="Monétaire"/>
    <tableColumn id="7" xr3:uid="{9EFF1D38-1609-4C37-8736-3035B6C4E321}" name="CT" totalsRowFunction="custom" dataDxfId="625" totalsRowDxfId="624" dataCellStyle="Monétaire" totalsRowCellStyle="Monétaire">
      <calculatedColumnFormula>Tableau9297187[[#This Row],[Quantités acheté rajouté]]*Tableau9297187[[#This Row],[CU du matos rajouté acheté]]</calculatedColumnFormula>
      <totalsRowFormula>SUM(Tableau9297187[CT])</totalsRowFormula>
    </tableColumn>
  </tableColumns>
  <tableStyleInfo name="TableStyleMedium8" showFirstColumn="1" showLastColumn="0" showRowStripes="1" showColumnStripes="0"/>
</table>
</file>

<file path=xl/tables/table37.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90" xr:uid="{AE1CE2A8-A77E-49B6-944E-1BFABB92ADD6}" name="Tableau92191" displayName="Tableau92191" ref="B2:H19" totalsRowCount="1" headerRowDxfId="611" dataDxfId="610" headerRowCellStyle="Monétaire" dataCellStyle="Monétaire">
  <autoFilter ref="B2:H18" xr:uid="{C82C42B6-22C4-4AC7-B7B4-1F9B16B5ACB1}"/>
  <tableColumns count="7">
    <tableColumn id="1" xr3:uid="{0A148166-8F24-446F-A15E-0D807FC64526}" name="Matériel" totalsRowLabel="Total"/>
    <tableColumn id="2" xr3:uid="{A5B63509-559B-45B2-82FD-D8FF60D652AF}" name="Présente dans la malle" totalsRowFunction="custom">
      <totalsRowFormula>SUM(Tableau92191[Présente dans la malle])</totalsRowFormula>
    </tableColumn>
    <tableColumn id="3" xr3:uid="{CD97BE30-0D15-43F6-8B7B-B0511B964F80}" name="Demande" totalsRowFunction="custom">
      <totalsRowFormula>SUM(Tableau92191[Demande])</totalsRowFormula>
    </tableColumn>
    <tableColumn id="4" xr3:uid="{98CBCE3E-C6C7-410B-AF33-9C240122847B}" name="Manque" totalsRowFunction="custom" dataDxfId="609">
      <calculatedColumnFormula>Tableau92191[[#This Row],[Demande]]-Tableau92191[[#This Row],[Présente dans la malle]]</calculatedColumnFormula>
      <totalsRowFormula>SUM(Tableau92191[Manque])</totalsRowFormula>
    </tableColumn>
    <tableColumn id="5" xr3:uid="{C66CF3D0-16C4-43E6-82A3-47E538C39B61}" name="Quantités acheté rajouté" totalsRowFunction="custom" dataDxfId="608" totalsRowDxfId="607" dataCellStyle="Monétaire">
      <totalsRowFormula>SUM(Tableau92191[Quantités acheté rajouté])</totalsRowFormula>
    </tableColumn>
    <tableColumn id="6" xr3:uid="{FF733F6C-A782-40BC-B7A6-6B3610570EBD}" name="CU du matos rajouté acheté" dataDxfId="606" totalsRowDxfId="605" dataCellStyle="Monétaire"/>
    <tableColumn id="7" xr3:uid="{959D09DB-3B5B-4DF3-878B-BD4B254B46B8}" name="CT" totalsRowFunction="custom" dataDxfId="604" totalsRowDxfId="603" dataCellStyle="Monétaire">
      <calculatedColumnFormula>Tableau92191[[#This Row],[Quantités acheté rajouté]]*Tableau92191[[#This Row],[CU du matos rajouté acheté]]</calculatedColumnFormula>
      <totalsRowFormula>SUM(Tableau92191[CT])</totalsRowFormula>
    </tableColumn>
  </tableColumns>
  <tableStyleInfo name="TableStyleMedium8" showFirstColumn="1" showLastColumn="0" showRowStripes="1" showColumnStripes="0"/>
</table>
</file>

<file path=xl/tables/table38.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91" xr:uid="{FBE24CD4-3D1F-4C8C-ABCE-41E445FEC0E5}" name="Tableau9296192" displayName="Tableau9296192" ref="B22:H36" totalsRowCount="1" headerRowDxfId="602" dataDxfId="601" headerRowCellStyle="Monétaire" dataCellStyle="Monétaire">
  <autoFilter ref="B22:H35" xr:uid="{A605BDDD-364E-411A-9963-E4C72874938F}"/>
  <tableColumns count="7">
    <tableColumn id="1" xr3:uid="{53A9E249-D23E-48DB-90A0-2F4AB52D85BD}" name="Cablage" totalsRowLabel="Total"/>
    <tableColumn id="2" xr3:uid="{B8253029-8447-428F-A214-82CAED10959B}" name="Présente dans la malle" totalsRowFunction="custom">
      <totalsRowFormula>SUM(Tableau9296192[Présente dans la malle])</totalsRowFormula>
    </tableColumn>
    <tableColumn id="3" xr3:uid="{1BEB3975-4233-4DA3-80DF-2B6090E0F53A}" name="Demande" totalsRowFunction="custom">
      <totalsRowFormula>SUM(Tableau9296192[Demande])</totalsRowFormula>
    </tableColumn>
    <tableColumn id="4" xr3:uid="{82D240A2-8C57-4042-9ADC-83A9565CD821}" name="Manque" totalsRowFunction="custom" dataDxfId="600">
      <calculatedColumnFormula>Tableau9296192[[#This Row],[Demande]]-Tableau9296192[[#This Row],[Présente dans la malle]]</calculatedColumnFormula>
      <totalsRowFormula>SUM(Tableau9296192[Manque])</totalsRowFormula>
    </tableColumn>
    <tableColumn id="5" xr3:uid="{19B24006-B8EC-41BC-9681-BAE5B0D2B340}" name="Quantités acheté rajouté" totalsRowFunction="custom" dataDxfId="599" totalsRowDxfId="598" dataCellStyle="Monétaire">
      <totalsRowFormula>SUM(Tableau9296192[Quantités acheté rajouté])</totalsRowFormula>
    </tableColumn>
    <tableColumn id="6" xr3:uid="{8C46C708-DEAC-4DE3-A660-0C2017D3B9A8}" name="CU du matos rajouté acheté" dataDxfId="597" totalsRowDxfId="596" dataCellStyle="Monétaire"/>
    <tableColumn id="7" xr3:uid="{2E756496-55FF-4F33-AAE4-5B6D585E4552}" name="CT" totalsRowFunction="custom" dataDxfId="595" totalsRowDxfId="594" dataCellStyle="Monétaire" totalsRowCellStyle="Monétaire">
      <calculatedColumnFormula>Tableau9296192[[#This Row],[Quantités acheté rajouté]]*Tableau9296192[[#This Row],[CU du matos rajouté acheté]]</calculatedColumnFormula>
      <totalsRowFormula>SUM(Tableau9296192[CT])</totalsRowFormula>
    </tableColumn>
  </tableColumns>
  <tableStyleInfo name="TableStyleMedium8" showFirstColumn="1" showLastColumn="0" showRowStripes="1" showColumnStripes="0"/>
</table>
</file>

<file path=xl/tables/table39.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92" xr:uid="{70A18D14-0DCC-4E8A-A4D1-2343CFBC868D}" name="Tableau9297193" displayName="Tableau9297193" ref="B39:H53" totalsRowCount="1" headerRowDxfId="593" dataDxfId="592" headerRowCellStyle="Monétaire" dataCellStyle="Monétaire">
  <autoFilter ref="B39:H52" xr:uid="{6A6077B3-99EE-4A60-8D76-EF34322EFF8F}"/>
  <tableColumns count="7">
    <tableColumn id="1" xr3:uid="{67EA91BA-404C-4000-A90E-CD67AEA882A9}" name="Mobilier" totalsRowLabel="Total"/>
    <tableColumn id="2" xr3:uid="{48F13AE3-C96C-4072-A425-D1E769D2E0AB}" name="Présente dans la malle" totalsRowFunction="custom">
      <totalsRowFormula>SUM(Tableau9297193[Présente dans la malle])</totalsRowFormula>
    </tableColumn>
    <tableColumn id="3" xr3:uid="{B189A057-7236-4524-B639-129B528FC094}" name="Demande" totalsRowFunction="custom">
      <totalsRowFormula>SUM(Tableau9297193[Demande])</totalsRowFormula>
    </tableColumn>
    <tableColumn id="4" xr3:uid="{68622F18-1CF0-438F-A374-8D4F57A981D3}" name="Manque" totalsRowFunction="custom" dataDxfId="591">
      <calculatedColumnFormula>Tableau9297193[[#This Row],[Demande]]-Tableau9297193[[#This Row],[Présente dans la malle]]</calculatedColumnFormula>
      <totalsRowFormula>SUM(Tableau9297193[Manque])</totalsRowFormula>
    </tableColumn>
    <tableColumn id="5" xr3:uid="{855972AC-B1A2-4F3F-B0CD-435E292F5658}" name="Quantités acheté rajouté" totalsRowFunction="custom" dataDxfId="590" totalsRowDxfId="589" dataCellStyle="Monétaire">
      <totalsRowFormula>SUM(Tableau9297193[Quantités acheté rajouté])</totalsRowFormula>
    </tableColumn>
    <tableColumn id="6" xr3:uid="{633336D2-4A56-482F-91F4-8FAA92E4BFCD}" name="CU du matos rajouté acheté" dataDxfId="588" totalsRowDxfId="587" dataCellStyle="Monétaire"/>
    <tableColumn id="7" xr3:uid="{CDB5ADC7-3A2F-484E-8A7F-A342598365BD}" name="CT" totalsRowFunction="custom" dataDxfId="586" totalsRowDxfId="585" dataCellStyle="Monétaire" totalsRowCellStyle="Monétaire">
      <calculatedColumnFormula>Tableau9297193[[#This Row],[Quantités acheté rajouté]]*Tableau9297193[[#This Row],[CU du matos rajouté acheté]]</calculatedColumnFormula>
      <totalsRowFormula>SUM(Tableau9297193[CT])</totalsRowFormula>
    </tableColumn>
  </tableColumns>
  <tableStyleInfo name="TableStyleMedium8" showFirstColumn="1" showLastColumn="0" showRowStripes="1" showColumnStripes="0"/>
</table>
</file>

<file path=xl/tables/table40.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92" xr:uid="{896BCD5F-18E7-4B4B-A75C-BAD6C37F958F}" name="Tableau92" displayName="Tableau92" ref="B2:H29" totalsRowCount="1" headerRowDxfId="572" dataDxfId="571" headerRowCellStyle="Monétaire" dataCellStyle="Monétaire">
  <autoFilter ref="B2:H28" xr:uid="{086FC73F-6079-4621-8C77-4EDE6DAA29AA}">
    <filterColumn colId="0" hiddenButton="1"/>
    <filterColumn colId="1" hiddenButton="1"/>
    <filterColumn colId="2" hiddenButton="1"/>
    <filterColumn colId="3" hiddenButton="1"/>
    <filterColumn colId="4" hiddenButton="1"/>
    <filterColumn colId="5" hiddenButton="1"/>
    <filterColumn colId="6" hiddenButton="1"/>
  </autoFilter>
  <tableColumns count="7">
    <tableColumn id="1" xr3:uid="{4E81EDE5-CFEA-4239-9466-A22F98AB9CE8}" name="Matériel" totalsRowLabel="Total"/>
    <tableColumn id="2" xr3:uid="{0F31F340-7E8F-4F74-A285-F37DDDE3B3B3}" name="Présente dans la malle" totalsRowFunction="custom">
      <totalsRowFormula>SUM(Tableau92[Présente dans la malle])</totalsRowFormula>
    </tableColumn>
    <tableColumn id="3" xr3:uid="{B88EF2A2-0AED-46B5-BEF6-3FF61EA6AB98}" name="Demande" totalsRowFunction="custom">
      <totalsRowFormula>SUM(Tableau92[Demande])</totalsRowFormula>
    </tableColumn>
    <tableColumn id="4" xr3:uid="{E47988C2-E949-4BE5-B917-55CDD41265CC}" name="Manque" totalsRowFunction="custom" dataDxfId="570">
      <calculatedColumnFormula>Tableau92[[#This Row],[Demande]]-Tableau92[[#This Row],[Présente dans la malle]]</calculatedColumnFormula>
      <totalsRowFormula>SUM(Tableau92[Manque])</totalsRowFormula>
    </tableColumn>
    <tableColumn id="5" xr3:uid="{C4E19E4A-B2FC-4514-99A2-D618C70E85A5}" name="Quantités acheté rajouté" totalsRowFunction="custom" dataDxfId="569" totalsRowDxfId="568" dataCellStyle="Monétaire">
      <totalsRowFormula>SUM(Tableau92[Quantités acheté rajouté])</totalsRowFormula>
    </tableColumn>
    <tableColumn id="6" xr3:uid="{E645BD01-4B05-4EB5-A971-A56D7CF56B57}" name="CU du matos rajouté acheté" dataDxfId="567" totalsRowDxfId="566" dataCellStyle="Monétaire"/>
    <tableColumn id="7" xr3:uid="{50BE05D9-0E4F-492D-B300-CC942FE147DE}" name="CT" totalsRowFunction="custom" dataDxfId="565" totalsRowDxfId="564" dataCellStyle="Monétaire">
      <calculatedColumnFormula>Tableau92[[#This Row],[Quantités acheté rajouté]]*Tableau92[[#This Row],[CU du matos rajouté acheté]]</calculatedColumnFormula>
      <totalsRowFormula>SUM(Tableau92[CT])</totalsRowFormula>
    </tableColumn>
  </tableColumns>
  <tableStyleInfo name="TableStyleMedium8" showFirstColumn="1" showLastColumn="0" showRowStripes="1" showColumnStripes="0"/>
</table>
</file>

<file path=xl/tables/table4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95" xr:uid="{35E5EFB0-1106-4693-92D6-98D6BA782332}" name="Tableau9296" displayName="Tableau9296" ref="B32:H46" totalsRowCount="1" headerRowDxfId="563" dataDxfId="562" headerRowCellStyle="Monétaire" dataCellStyle="Monétaire">
  <autoFilter ref="B32:H45" xr:uid="{C01FD586-AE40-425E-AF96-5E41C9F1A020}"/>
  <tableColumns count="7">
    <tableColumn id="1" xr3:uid="{A69C1620-4C69-44A1-91FF-04B5649D428B}" name="Cablage" totalsRowLabel="Total"/>
    <tableColumn id="2" xr3:uid="{08D3017B-0453-4EAB-AE9B-6DDF455BB7BC}" name="Présente dans la malle" totalsRowFunction="custom">
      <totalsRowFormula>SUM(Tableau9296[Présente dans la malle])</totalsRowFormula>
    </tableColumn>
    <tableColumn id="3" xr3:uid="{BF443819-4E0A-439D-8D9F-B77B0F4C447D}" name="Demande" totalsRowFunction="custom">
      <totalsRowFormula>SUM(Tableau9296[Demande])</totalsRowFormula>
    </tableColumn>
    <tableColumn id="4" xr3:uid="{965D1008-9DA7-405C-9C20-750DADDE4333}" name="Manque" totalsRowFunction="custom" dataDxfId="561">
      <calculatedColumnFormula>Tableau9296[[#This Row],[Demande]]-Tableau9296[[#This Row],[Présente dans la malle]]</calculatedColumnFormula>
      <totalsRowFormula>SUM(Tableau9296[Manque])</totalsRowFormula>
    </tableColumn>
    <tableColumn id="5" xr3:uid="{E887B1C7-C96F-4D1A-9307-894546351620}" name="Quantités acheté rajouté" totalsRowFunction="custom" dataDxfId="560" totalsRowDxfId="559" dataCellStyle="Monétaire">
      <totalsRowFormula>SUM(Tableau9296[Quantités acheté rajouté])</totalsRowFormula>
    </tableColumn>
    <tableColumn id="6" xr3:uid="{FD19C9A6-7CB3-4EDD-8C50-92081FCF5866}" name="CU du matos rajouté acheté" dataDxfId="558" totalsRowDxfId="557" dataCellStyle="Monétaire"/>
    <tableColumn id="7" xr3:uid="{9EC794C3-545A-4E23-AA8D-70923683F57B}" name="CT" totalsRowFunction="custom" dataDxfId="556" totalsRowDxfId="555" dataCellStyle="Monétaire" totalsRowCellStyle="Monétaire">
      <calculatedColumnFormula>Tableau9296[[#This Row],[Quantités acheté rajouté]]*Tableau9296[[#This Row],[CU du matos rajouté acheté]]</calculatedColumnFormula>
      <totalsRowFormula>SUM(Tableau9296[CT])</totalsRowFormula>
    </tableColumn>
  </tableColumns>
  <tableStyleInfo name="TableStyleMedium8" showFirstColumn="1" showLastColumn="0" showRowStripes="1" showColumnStripes="0"/>
</table>
</file>

<file path=xl/tables/table4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96" xr:uid="{FF28984E-C818-4278-811A-94D1285728DD}" name="Tableau9297" displayName="Tableau9297" ref="B49:H63" totalsRowCount="1" headerRowDxfId="554" dataDxfId="553" headerRowCellStyle="Monétaire" dataCellStyle="Monétaire">
  <autoFilter ref="B49:H62" xr:uid="{B2B8863A-A333-4E6E-97CC-D55AD10F2F8C}"/>
  <tableColumns count="7">
    <tableColumn id="1" xr3:uid="{A6B38F97-A7F4-4E53-B0E8-814222EF1ABC}" name="Mobilier" totalsRowLabel="Total"/>
    <tableColumn id="2" xr3:uid="{EA01E319-DFF3-4B68-BC67-010ED2D1B9AC}" name="Présente dans la malle" totalsRowFunction="custom">
      <totalsRowFormula>SUM(Tableau9297[Présente dans la malle])</totalsRowFormula>
    </tableColumn>
    <tableColumn id="3" xr3:uid="{85B37C18-7F61-4907-B26C-6A90DC861A43}" name="Demande" totalsRowFunction="custom">
      <totalsRowFormula>SUM(Tableau9297[Demande])</totalsRowFormula>
    </tableColumn>
    <tableColumn id="4" xr3:uid="{A41AA09C-C29A-49F6-8970-B11B182D1C00}" name="Manque" totalsRowFunction="custom" dataDxfId="552">
      <calculatedColumnFormula>Tableau9297[[#This Row],[Demande]]-Tableau9297[[#This Row],[Présente dans la malle]]</calculatedColumnFormula>
      <totalsRowFormula>SUM(Tableau9297[Manque])</totalsRowFormula>
    </tableColumn>
    <tableColumn id="5" xr3:uid="{2D3D553F-0F2E-4493-B1D1-364113218264}" name="Quantités acheté rajouté" totalsRowFunction="custom" dataDxfId="551" totalsRowDxfId="550" dataCellStyle="Monétaire">
      <totalsRowFormula>SUM(Tableau9297[Quantités acheté rajouté])</totalsRowFormula>
    </tableColumn>
    <tableColumn id="6" xr3:uid="{BBD20F4F-F8A2-498A-9578-3E36C5E5858A}" name="CU du matos rajouté acheté" dataDxfId="549" totalsRowDxfId="548" dataCellStyle="Monétaire"/>
    <tableColumn id="7" xr3:uid="{61F4FB20-5793-405D-9CAB-3F882D5ED69B}" name="CT" totalsRowFunction="custom" dataDxfId="547" totalsRowDxfId="546" dataCellStyle="Monétaire" totalsRowCellStyle="Monétaire">
      <calculatedColumnFormula>Tableau9297[[#This Row],[Quantités acheté rajouté]]*Tableau9297[[#This Row],[CU du matos rajouté acheté]]</calculatedColumnFormula>
      <totalsRowFormula>SUM(Tableau9297[CT])</totalsRowFormula>
    </tableColumn>
  </tableColumns>
  <tableStyleInfo name="TableStyleMedium8" showFirstColumn="1" showLastColumn="0" showRowStripes="1" showColumnStripes="0"/>
</table>
</file>

<file path=xl/tables/table43.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23" xr:uid="{E14D98C8-A9E1-4556-BEE9-8BD45BCD77C9}" name="Tableau92218224" displayName="Tableau92218224" ref="B2:H22" totalsRowCount="1" headerRowDxfId="533" dataDxfId="532" headerRowCellStyle="Monétaire" dataCellStyle="Monétaire">
  <autoFilter ref="B2:H21" xr:uid="{460901E2-1EED-4C21-A191-AAE80D222768}"/>
  <tableColumns count="7">
    <tableColumn id="1" xr3:uid="{BC6F94A1-FE65-4676-8D72-F19DF25EF482}" name="Matériel" totalsRowLabel="Total"/>
    <tableColumn id="2" xr3:uid="{A00217CC-92E9-4461-A94D-02DBF7B5DA73}" name="Présente dans la malle" totalsRowFunction="custom">
      <totalsRowFormula>SUM(Tableau92218224[Présente dans la malle])</totalsRowFormula>
    </tableColumn>
    <tableColumn id="3" xr3:uid="{CDE2CF90-7DCA-45B2-B966-8AA16F93B49E}" name="Demande" totalsRowFunction="custom">
      <totalsRowFormula>SUM(Tableau92218224[Demande])</totalsRowFormula>
    </tableColumn>
    <tableColumn id="4" xr3:uid="{7489EE75-7EC1-4EBB-A3A2-EB0D1F062685}" name="Manque" totalsRowFunction="custom" dataDxfId="531">
      <calculatedColumnFormula>Tableau92218224[[#This Row],[Demande]]-Tableau92218224[[#This Row],[Présente dans la malle]]</calculatedColumnFormula>
      <totalsRowFormula>SUM(Tableau92218224[Manque])</totalsRowFormula>
    </tableColumn>
    <tableColumn id="5" xr3:uid="{145BCD09-F686-46A8-A951-B4161FD7E4BF}" name="Quantités acheté rajouté" totalsRowFunction="custom" dataDxfId="530" totalsRowDxfId="529" dataCellStyle="Monétaire">
      <totalsRowFormula>SUM(Tableau92218224[Quantités acheté rajouté])</totalsRowFormula>
    </tableColumn>
    <tableColumn id="6" xr3:uid="{27FF687A-F618-4D9D-B8D5-C2672ED5D926}" name="CU du matos rajouté acheté" dataDxfId="528" totalsRowDxfId="527" dataCellStyle="Monétaire"/>
    <tableColumn id="7" xr3:uid="{D66C23E3-4231-4851-BCD4-B57DC7A9672E}" name="CT" totalsRowFunction="custom" dataDxfId="526" totalsRowDxfId="525" dataCellStyle="Monétaire">
      <calculatedColumnFormula>Tableau92218224[[#This Row],[Quantités acheté rajouté]]*Tableau92218224[[#This Row],[CU du matos rajouté acheté]]</calculatedColumnFormula>
      <totalsRowFormula>SUM(Tableau92218224[CT])</totalsRowFormula>
    </tableColumn>
  </tableColumns>
  <tableStyleInfo name="TableStyleMedium8" showFirstColumn="1" showLastColumn="0" showRowStripes="1" showColumnStripes="0"/>
</table>
</file>

<file path=xl/tables/table44.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24" xr:uid="{80655CBF-37C1-46F2-B0E3-E52639372BD7}" name="Tableau9296219225" displayName="Tableau9296219225" ref="B25:H39" totalsRowCount="1" headerRowDxfId="524" dataDxfId="523" headerRowCellStyle="Monétaire" dataCellStyle="Monétaire">
  <autoFilter ref="B25:H38" xr:uid="{8F37E335-B439-4E43-85F3-58D0072D2E6C}"/>
  <tableColumns count="7">
    <tableColumn id="1" xr3:uid="{B763982E-4CC2-45BD-B73B-B38A6553A180}" name="Cablage" totalsRowLabel="Total"/>
    <tableColumn id="2" xr3:uid="{18458962-CF7B-44EB-9CAB-F0472703A333}" name="Présente dans la malle" totalsRowFunction="custom">
      <totalsRowFormula>SUM(Tableau9296219225[Présente dans la malle])</totalsRowFormula>
    </tableColumn>
    <tableColumn id="3" xr3:uid="{EB8D943E-976C-4DAA-8B92-C61FE56C1BD2}" name="Demande" totalsRowFunction="custom">
      <totalsRowFormula>SUM(Tableau9296219225[Demande])</totalsRowFormula>
    </tableColumn>
    <tableColumn id="4" xr3:uid="{A9507C52-EC39-4646-9C83-ED35AE358336}" name="Manque" totalsRowFunction="custom" dataDxfId="522">
      <calculatedColumnFormula>Tableau9296219225[[#This Row],[Demande]]-Tableau9296219225[[#This Row],[Présente dans la malle]]</calculatedColumnFormula>
      <totalsRowFormula>SUM(Tableau9296219225[Manque])</totalsRowFormula>
    </tableColumn>
    <tableColumn id="5" xr3:uid="{0F9EA273-496A-4468-AB31-0981760C45BD}" name="Quantités acheté rajouté" totalsRowFunction="custom" dataDxfId="521" totalsRowDxfId="520" dataCellStyle="Monétaire">
      <totalsRowFormula>SUM(Tableau9296219225[Quantités acheté rajouté])</totalsRowFormula>
    </tableColumn>
    <tableColumn id="6" xr3:uid="{EB28CB6D-A316-4B05-B4B5-EAB33D7D1FD1}" name="CU du matos rajouté acheté" dataDxfId="519" totalsRowDxfId="518" dataCellStyle="Monétaire"/>
    <tableColumn id="7" xr3:uid="{2E5511CC-CA13-4B15-8894-2A94E2542429}" name="CT" totalsRowFunction="custom" dataDxfId="517" totalsRowDxfId="516" dataCellStyle="Monétaire" totalsRowCellStyle="Monétaire">
      <calculatedColumnFormula>Tableau9296219225[[#This Row],[Quantités acheté rajouté]]*Tableau9296219225[[#This Row],[CU du matos rajouté acheté]]</calculatedColumnFormula>
      <totalsRowFormula>SUM(Tableau9296219225[CT])</totalsRowFormula>
    </tableColumn>
  </tableColumns>
  <tableStyleInfo name="TableStyleMedium8" showFirstColumn="1" showLastColumn="0" showRowStripes="1" showColumnStripes="0"/>
</table>
</file>

<file path=xl/tables/table45.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25" xr:uid="{37D3DFD9-AE16-4C19-80B0-27BCEBD5E487}" name="Tableau9297220226" displayName="Tableau9297220226" ref="B42:H56" totalsRowCount="1" headerRowDxfId="515" dataDxfId="514" headerRowCellStyle="Monétaire" dataCellStyle="Monétaire">
  <autoFilter ref="B42:H55" xr:uid="{C2971608-4115-4D8E-BF80-DB8E652E5889}"/>
  <tableColumns count="7">
    <tableColumn id="1" xr3:uid="{269D351A-DA5B-45EA-9753-4B5255512929}" name="Mobilier" totalsRowLabel="Total"/>
    <tableColumn id="2" xr3:uid="{E45BDADC-3D92-4D10-8EB9-6C1532615C85}" name="Présente dans la malle" totalsRowFunction="custom">
      <totalsRowFormula>SUM(Tableau9297220226[Présente dans la malle])</totalsRowFormula>
    </tableColumn>
    <tableColumn id="3" xr3:uid="{A3F27929-7FEA-4F9B-A26C-B91DE45398E6}" name="Demande" totalsRowFunction="custom">
      <totalsRowFormula>SUM(Tableau9297220226[Demande])</totalsRowFormula>
    </tableColumn>
    <tableColumn id="4" xr3:uid="{59BFAF40-9EA1-4AB1-80E4-D7D4AFF3F105}" name="Manque" totalsRowFunction="custom" dataDxfId="513">
      <calculatedColumnFormula>Tableau9297220226[[#This Row],[Demande]]-Tableau9297220226[[#This Row],[Présente dans la malle]]</calculatedColumnFormula>
      <totalsRowFormula>SUM(Tableau9297220226[Manque])</totalsRowFormula>
    </tableColumn>
    <tableColumn id="5" xr3:uid="{0DA66249-D17F-4EF6-99E0-1049251126D5}" name="Quantités acheté rajouté" totalsRowFunction="custom" dataDxfId="512" totalsRowDxfId="511" dataCellStyle="Monétaire">
      <totalsRowFormula>SUM(Tableau9297220226[Quantités acheté rajouté])</totalsRowFormula>
    </tableColumn>
    <tableColumn id="6" xr3:uid="{C50E1846-D3B0-401B-824A-6363BEB8E6C4}" name="CU du matos rajouté acheté" dataDxfId="510" totalsRowDxfId="509" dataCellStyle="Monétaire"/>
    <tableColumn id="7" xr3:uid="{B363EBAA-BDC6-48BC-87DA-888BAC3E61C5}" name="CT" totalsRowFunction="custom" dataDxfId="508" totalsRowDxfId="507" dataCellStyle="Monétaire" totalsRowCellStyle="Monétaire">
      <calculatedColumnFormula>Tableau9297220226[[#This Row],[Quantités acheté rajouté]]*Tableau9297220226[[#This Row],[CU du matos rajouté acheté]]</calculatedColumnFormula>
      <totalsRowFormula>SUM(Tableau9297220226[CT])</totalsRowFormula>
    </tableColumn>
  </tableColumns>
  <tableStyleInfo name="TableStyleMedium8" showFirstColumn="1" showLastColumn="0" showRowStripes="1" showColumnStripes="0"/>
</table>
</file>

<file path=xl/tables/table46.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99" xr:uid="{643C9923-D3E7-4F81-8745-04F4EB8C315B}" name="Tableau92200" displayName="Tableau92200" ref="B2:H20" totalsRowCount="1" headerRowDxfId="494" dataDxfId="493" headerRowCellStyle="Monétaire" dataCellStyle="Monétaire">
  <autoFilter ref="B2:H19" xr:uid="{DE746593-C581-46F6-9FF9-A7D5D35D7DAE}"/>
  <tableColumns count="7">
    <tableColumn id="1" xr3:uid="{295CA7FD-2C2B-4739-923A-CF4DD867C883}" name="Matériel" totalsRowLabel="Total"/>
    <tableColumn id="2" xr3:uid="{83DC6795-CDAD-474F-9C7A-DCD84B209485}" name="Présente dans la malle" totalsRowFunction="custom">
      <totalsRowFormula>SUM(Tableau92200[Présente dans la malle])</totalsRowFormula>
    </tableColumn>
    <tableColumn id="3" xr3:uid="{CB9C020F-0E71-4384-AC0A-8D39A8E517EB}" name="Demande" totalsRowFunction="custom">
      <totalsRowFormula>SUM(Tableau92200[Demande])</totalsRowFormula>
    </tableColumn>
    <tableColumn id="4" xr3:uid="{DA83E195-471D-4B17-9A3A-BEA0FDB857E9}" name="Manque" totalsRowFunction="custom" dataDxfId="492">
      <calculatedColumnFormula>Tableau92200[[#This Row],[Demande]]-Tableau92200[[#This Row],[Présente dans la malle]]</calculatedColumnFormula>
      <totalsRowFormula>SUM(Tableau92200[Manque])</totalsRowFormula>
    </tableColumn>
    <tableColumn id="5" xr3:uid="{13984E38-6319-4A27-8BD9-18C371B6BF4C}" name="Quantités acheté rajouté" totalsRowFunction="custom" dataDxfId="491" totalsRowDxfId="490" dataCellStyle="Monétaire">
      <totalsRowFormula>SUM(Tableau92200[Quantités acheté rajouté])</totalsRowFormula>
    </tableColumn>
    <tableColumn id="6" xr3:uid="{9353AC3C-EB85-421C-B2F9-AA0470E4864B}" name="CU du matos rajouté acheté" dataDxfId="489" totalsRowDxfId="488" dataCellStyle="Monétaire"/>
    <tableColumn id="7" xr3:uid="{A9A604DF-FF8C-4842-9510-CB423C732E09}" name="CT" totalsRowFunction="custom" dataDxfId="487" totalsRowDxfId="486" dataCellStyle="Monétaire">
      <calculatedColumnFormula>Tableau92200[[#This Row],[Quantités acheté rajouté]]*Tableau92200[[#This Row],[CU du matos rajouté acheté]]</calculatedColumnFormula>
      <totalsRowFormula>SUM(Tableau92200[CT])</totalsRowFormula>
    </tableColumn>
  </tableColumns>
  <tableStyleInfo name="TableStyleMedium8" showFirstColumn="1" showLastColumn="0" showRowStripes="1" showColumnStripes="0"/>
</table>
</file>

<file path=xl/tables/table47.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00" xr:uid="{211685B9-3095-4AD8-9DDB-1EC3662B300B}" name="Tableau9296201" displayName="Tableau9296201" ref="B23:H37" totalsRowCount="1" headerRowDxfId="485" dataDxfId="484" headerRowCellStyle="Monétaire" dataCellStyle="Monétaire">
  <autoFilter ref="B23:H36" xr:uid="{AE82B621-592F-480D-B71A-E6749FF8DAD5}"/>
  <tableColumns count="7">
    <tableColumn id="1" xr3:uid="{8707D488-798D-4EED-85FE-B641FEFB0CCE}" name="Cablage" totalsRowLabel="Total"/>
    <tableColumn id="2" xr3:uid="{D4867A4D-D6E0-4824-ADF7-5CA4C90A8627}" name="Présente dans la malle" totalsRowFunction="custom">
      <totalsRowFormula>SUM(Tableau9296201[Présente dans la malle])</totalsRowFormula>
    </tableColumn>
    <tableColumn id="3" xr3:uid="{F930BCE3-4350-4609-A8B8-994735E588E7}" name="Demande" totalsRowFunction="custom">
      <totalsRowFormula>SUM(Tableau9296201[Demande])</totalsRowFormula>
    </tableColumn>
    <tableColumn id="4" xr3:uid="{01CF25DB-9B59-458F-8AB3-71ED32472D45}" name="Manque" totalsRowFunction="custom" dataDxfId="483">
      <calculatedColumnFormula>Tableau9296201[[#This Row],[Demande]]-Tableau9296201[[#This Row],[Présente dans la malle]]</calculatedColumnFormula>
      <totalsRowFormula>SUM(Tableau9296201[Manque])</totalsRowFormula>
    </tableColumn>
    <tableColumn id="5" xr3:uid="{8F2983E5-C384-4ECA-BCF7-6405324EC5CD}" name="Quantités acheté rajouté" totalsRowFunction="custom" dataDxfId="482" totalsRowDxfId="481" dataCellStyle="Monétaire">
      <totalsRowFormula>SUM(Tableau9296201[Quantités acheté rajouté])</totalsRowFormula>
    </tableColumn>
    <tableColumn id="6" xr3:uid="{E5CBE44B-E62D-4213-AE6C-435D8FFFC610}" name="CU du matos rajouté acheté" dataDxfId="480" totalsRowDxfId="479" dataCellStyle="Monétaire"/>
    <tableColumn id="7" xr3:uid="{095C7764-15C2-4FFE-91E4-43B81EA92D36}" name="CT" totalsRowFunction="custom" dataDxfId="478" totalsRowDxfId="477" dataCellStyle="Monétaire" totalsRowCellStyle="Monétaire">
      <calculatedColumnFormula>Tableau9296201[[#This Row],[Quantités acheté rajouté]]*Tableau9296201[[#This Row],[CU du matos rajouté acheté]]</calculatedColumnFormula>
      <totalsRowFormula>SUM(Tableau9296201[CT])</totalsRowFormula>
    </tableColumn>
  </tableColumns>
  <tableStyleInfo name="TableStyleMedium8" showFirstColumn="1" showLastColumn="0" showRowStripes="1" showColumnStripes="0"/>
</table>
</file>

<file path=xl/tables/table48.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01" xr:uid="{CB45196E-9F1A-436B-81C4-664C7DEE1CCC}" name="Tableau9297202" displayName="Tableau9297202" ref="B40:H54" totalsRowCount="1" headerRowDxfId="476" dataDxfId="475" headerRowCellStyle="Monétaire" dataCellStyle="Monétaire">
  <autoFilter ref="B40:H53" xr:uid="{A6E5CF37-AED9-4F94-87A2-8A53943003A1}"/>
  <tableColumns count="7">
    <tableColumn id="1" xr3:uid="{91DCB646-DFD3-4A21-B480-610D7E987EC1}" name="Mobilier" totalsRowLabel="Total"/>
    <tableColumn id="2" xr3:uid="{86987CDA-857D-46E4-A8C7-3AB0F72BD3C0}" name="Présente dans la malle" totalsRowFunction="custom">
      <totalsRowFormula>SUM(Tableau9297202[Présente dans la malle])</totalsRowFormula>
    </tableColumn>
    <tableColumn id="3" xr3:uid="{6C24D016-14EB-4C06-B63A-1C992D074085}" name="Demande" totalsRowFunction="custom">
      <totalsRowFormula>SUM(Tableau9297202[Demande])</totalsRowFormula>
    </tableColumn>
    <tableColumn id="4" xr3:uid="{D1B577B8-1F91-47DF-A60D-DF75F3286FE7}" name="Manque" totalsRowFunction="custom" dataDxfId="474">
      <calculatedColumnFormula>Tableau9297202[[#This Row],[Demande]]-Tableau9297202[[#This Row],[Présente dans la malle]]</calculatedColumnFormula>
      <totalsRowFormula>SUM(Tableau9297202[Manque])</totalsRowFormula>
    </tableColumn>
    <tableColumn id="5" xr3:uid="{198A1654-ADFF-43A4-8A9F-0338182EA43E}" name="Quantités acheté rajouté" totalsRowFunction="custom" dataDxfId="473" totalsRowDxfId="472" dataCellStyle="Monétaire">
      <totalsRowFormula>SUM(Tableau9297202[Quantités acheté rajouté])</totalsRowFormula>
    </tableColumn>
    <tableColumn id="6" xr3:uid="{D186FB20-AE07-4FB6-8687-1525DB49549A}" name="CU du matos rajouté acheté" dataDxfId="471" totalsRowDxfId="470" dataCellStyle="Monétaire"/>
    <tableColumn id="7" xr3:uid="{D93A650C-A8FE-478C-A113-51FF3D359361}" name="CT" totalsRowFunction="custom" dataDxfId="469" totalsRowDxfId="468" dataCellStyle="Monétaire" totalsRowCellStyle="Monétaire">
      <calculatedColumnFormula>Tableau9297202[[#This Row],[Quantités acheté rajouté]]*Tableau9297202[[#This Row],[CU du matos rajouté acheté]]</calculatedColumnFormula>
      <totalsRowFormula>SUM(Tableau9297202[CT])</totalsRowFormula>
    </tableColumn>
  </tableColumns>
  <tableStyleInfo name="TableStyleMedium8" showFirstColumn="1" showLastColumn="0" showRowStripes="1" showColumnStripes="0"/>
</table>
</file>

<file path=xl/tables/table49.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02" xr:uid="{A5A05DCD-AC82-468A-B35F-D8A25FCE1BA4}" name="Tableau92203" displayName="Tableau92203" ref="B2:H16" totalsRowCount="1" headerRowDxfId="455" dataDxfId="454" headerRowCellStyle="Monétaire" dataCellStyle="Monétaire">
  <autoFilter ref="B2:H15" xr:uid="{C7ACDF79-57D8-46D5-AC0D-5D3B97ACFCB8}"/>
  <tableColumns count="7">
    <tableColumn id="1" xr3:uid="{7B516B48-65F5-48A6-B9B0-B1D994DB3C23}" name="Matériel" totalsRowLabel="Total"/>
    <tableColumn id="2" xr3:uid="{9FC001CA-35D7-461A-9846-D21C8E6C3923}" name="Présente dans la malle" totalsRowFunction="custom">
      <totalsRowFormula>SUM(Tableau92203[Présente dans la malle])</totalsRowFormula>
    </tableColumn>
    <tableColumn id="3" xr3:uid="{A5D53FCE-AD40-4428-AFAD-982F7C8653F6}" name="Demande" totalsRowFunction="custom">
      <totalsRowFormula>SUM(Tableau92203[Demande])</totalsRowFormula>
    </tableColumn>
    <tableColumn id="4" xr3:uid="{B4754C40-9061-45FB-B09D-F9DCE4D744ED}" name="Manque" totalsRowFunction="custom" dataDxfId="453">
      <calculatedColumnFormula>Tableau92203[[#This Row],[Demande]]-Tableau92203[[#This Row],[Présente dans la malle]]</calculatedColumnFormula>
      <totalsRowFormula>SUM(Tableau92203[Manque])</totalsRowFormula>
    </tableColumn>
    <tableColumn id="5" xr3:uid="{441161CE-914C-4D2E-98ED-CCEB5F1357DD}" name="Quantités acheté rajouté" totalsRowFunction="custom" dataDxfId="452" totalsRowDxfId="451" dataCellStyle="Monétaire">
      <totalsRowFormula>SUM(Tableau92203[Quantités acheté rajouté])</totalsRowFormula>
    </tableColumn>
    <tableColumn id="6" xr3:uid="{9DA64FB2-4DF2-47FE-B7DA-9A22293ED78A}" name="CU du matos rajouté acheté" dataDxfId="450" totalsRowDxfId="449" dataCellStyle="Monétaire"/>
    <tableColumn id="7" xr3:uid="{2C1524C4-71B1-430C-A9DD-BBE76070D497}" name="CT" totalsRowFunction="custom" dataDxfId="448" totalsRowDxfId="447" dataCellStyle="Monétaire">
      <calculatedColumnFormula>Tableau92203[[#This Row],[Quantités acheté rajouté]]*Tableau92203[[#This Row],[CU du matos rajouté acheté]]</calculatedColumnFormula>
      <totalsRowFormula>SUM(Tableau92203[CT])</totalsRowFormula>
    </tableColumn>
  </tableColumns>
  <tableStyleInfo name="TableStyleMedium8" showFirstColumn="1" showLastColumn="0" showRowStripes="1" showColumnStripes="0"/>
</table>
</file>

<file path=xl/tables/table50.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03" xr:uid="{81B8780D-08BE-434E-BC59-D6E46011D621}" name="Tableau9296204" displayName="Tableau9296204" ref="B19:H33" totalsRowCount="1" headerRowDxfId="446" dataDxfId="445" headerRowCellStyle="Monétaire" dataCellStyle="Monétaire">
  <autoFilter ref="B19:H32" xr:uid="{C46293B0-1875-4C67-BB1D-DE22F5DFF8B2}"/>
  <tableColumns count="7">
    <tableColumn id="1" xr3:uid="{C3A24026-F803-4BDF-A562-78562D9B09F7}" name="Cablage" totalsRowLabel="Total"/>
    <tableColumn id="2" xr3:uid="{69E4A3BF-EFC4-4A54-8676-439AF585EF22}" name="Présente dans la malle" totalsRowFunction="custom">
      <totalsRowFormula>SUM(Tableau9296204[Présente dans la malle])</totalsRowFormula>
    </tableColumn>
    <tableColumn id="3" xr3:uid="{C8C21E3F-AD0B-4CB1-98A8-F93BCA2A240F}" name="Demande" totalsRowFunction="custom">
      <totalsRowFormula>SUM(Tableau9296204[Demande])</totalsRowFormula>
    </tableColumn>
    <tableColumn id="4" xr3:uid="{A2DCC02F-A37E-42B9-BBD2-EE3E7E6576FF}" name="Manque" totalsRowFunction="custom" dataDxfId="444">
      <calculatedColumnFormula>Tableau9296204[[#This Row],[Demande]]-Tableau9296204[[#This Row],[Présente dans la malle]]</calculatedColumnFormula>
      <totalsRowFormula>SUM(Tableau9296204[Manque])</totalsRowFormula>
    </tableColumn>
    <tableColumn id="5" xr3:uid="{5B079198-6933-4E39-98FD-F4A782CC0371}" name="Quantités acheté rajouté" totalsRowFunction="custom" dataDxfId="443" totalsRowDxfId="442" dataCellStyle="Monétaire">
      <totalsRowFormula>SUM(Tableau9296204[Quantités acheté rajouté])</totalsRowFormula>
    </tableColumn>
    <tableColumn id="6" xr3:uid="{8349F453-511C-418E-A111-CEE9C2BCAA1B}" name="CU du matos rajouté acheté" dataDxfId="441" totalsRowDxfId="440" dataCellStyle="Monétaire"/>
    <tableColumn id="7" xr3:uid="{6DC34D48-9374-495E-A4F2-9D63DA29FFD0}" name="CT" totalsRowFunction="custom" dataDxfId="439" totalsRowDxfId="438" dataCellStyle="Monétaire" totalsRowCellStyle="Monétaire">
      <calculatedColumnFormula>Tableau9296204[[#This Row],[Quantités acheté rajouté]]*Tableau9296204[[#This Row],[CU du matos rajouté acheté]]</calculatedColumnFormula>
      <totalsRowFormula>SUM(Tableau9296204[CT])</totalsRowFormula>
    </tableColumn>
  </tableColumns>
  <tableStyleInfo name="TableStyleMedium8" showFirstColumn="1" showLastColumn="0" showRowStripes="1" showColumnStripes="0"/>
</table>
</file>

<file path=xl/tables/table5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04" xr:uid="{90D45D60-AFFD-4712-A420-850C8F5D7195}" name="Tableau9297205" displayName="Tableau9297205" ref="B36:H50" totalsRowCount="1" headerRowDxfId="437" dataDxfId="436" headerRowCellStyle="Monétaire" dataCellStyle="Monétaire">
  <autoFilter ref="B36:H49" xr:uid="{AAA19921-3C08-4086-862B-D766E1097FE3}"/>
  <tableColumns count="7">
    <tableColumn id="1" xr3:uid="{DBD1CBA9-3C6F-47D1-BC75-9B7D8C1AB71F}" name="Mobilier" totalsRowLabel="Total"/>
    <tableColumn id="2" xr3:uid="{F4813106-29F5-4032-A45A-6A8AB6DFFE64}" name="Présente dans la malle" totalsRowFunction="custom">
      <totalsRowFormula>SUM(Tableau9297205[Présente dans la malle])</totalsRowFormula>
    </tableColumn>
    <tableColumn id="3" xr3:uid="{43C2DD6E-25F3-4FC9-8D6A-30B8E7FFEBC4}" name="Demande" totalsRowFunction="custom">
      <totalsRowFormula>SUM(Tableau9297205[Demande])</totalsRowFormula>
    </tableColumn>
    <tableColumn id="4" xr3:uid="{D9E31380-5954-4C63-B3F7-0C0FDE507C73}" name="Manque" totalsRowFunction="custom" dataDxfId="435">
      <calculatedColumnFormula>Tableau9297205[[#This Row],[Demande]]-Tableau9297205[[#This Row],[Présente dans la malle]]</calculatedColumnFormula>
      <totalsRowFormula>SUM(Tableau9297205[Manque])</totalsRowFormula>
    </tableColumn>
    <tableColumn id="5" xr3:uid="{6D30786B-0BE1-4B5D-974F-76D7ECD0AE0F}" name="Quantités acheté rajouté" totalsRowFunction="custom" dataDxfId="434" totalsRowDxfId="433" dataCellStyle="Monétaire">
      <totalsRowFormula>SUM(Tableau9297205[Quantités acheté rajouté])</totalsRowFormula>
    </tableColumn>
    <tableColumn id="6" xr3:uid="{4BA22DEF-64EF-4832-BF1E-1B124660E459}" name="CU du matos rajouté acheté" dataDxfId="432" totalsRowDxfId="431" dataCellStyle="Monétaire"/>
    <tableColumn id="7" xr3:uid="{376BD74C-56C5-48F6-843E-13D1D66DD033}" name="CT" totalsRowFunction="custom" dataDxfId="430" totalsRowDxfId="429" dataCellStyle="Monétaire" totalsRowCellStyle="Monétaire">
      <calculatedColumnFormula>Tableau9297205[[#This Row],[Quantités acheté rajouté]]*Tableau9297205[[#This Row],[CU du matos rajouté acheté]]</calculatedColumnFormula>
      <totalsRowFormula>SUM(Tableau9297205[CT])</totalsRowFormula>
    </tableColumn>
  </tableColumns>
  <tableStyleInfo name="TableStyleMedium8" showFirstColumn="1" showLastColumn="0" showRowStripes="1" showColumnStripes="0"/>
</table>
</file>

<file path=xl/tables/table5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17" xr:uid="{BD7E4A1A-49C1-474E-818D-284283334C17}" name="Tableau92218" displayName="Tableau92218" ref="B2:H16" totalsRowCount="1" headerRowDxfId="416" dataDxfId="415" headerRowCellStyle="Monétaire" dataCellStyle="Monétaire">
  <autoFilter ref="B2:H15" xr:uid="{2FEA42DF-6B3D-4756-836F-3DC4DE8881F8}"/>
  <tableColumns count="7">
    <tableColumn id="1" xr3:uid="{53DCD394-9EE1-4F44-A308-8EB263566A21}" name="Matériel" totalsRowLabel="Total"/>
    <tableColumn id="2" xr3:uid="{48091F02-5FDA-45A4-9BED-C7F9594C080C}" name="Présente dans la malle" totalsRowFunction="custom">
      <totalsRowFormula>SUM(Tableau92218[Présente dans la malle])</totalsRowFormula>
    </tableColumn>
    <tableColumn id="3" xr3:uid="{82AE45B9-B22C-4423-ACAE-C4ECAE7F3A31}" name="Demande" totalsRowFunction="custom">
      <totalsRowFormula>SUM(Tableau92218[Demande])</totalsRowFormula>
    </tableColumn>
    <tableColumn id="4" xr3:uid="{DDF62DC4-2FF1-45A3-9455-F39CF5CFC002}" name="Manque" totalsRowFunction="custom" dataDxfId="414">
      <calculatedColumnFormula>Tableau92218[[#This Row],[Demande]]-Tableau92218[[#This Row],[Présente dans la malle]]</calculatedColumnFormula>
      <totalsRowFormula>SUM(Tableau92218[Manque])</totalsRowFormula>
    </tableColumn>
    <tableColumn id="5" xr3:uid="{96EFC8E1-1E71-48A4-B202-EBBD4093E685}" name="Quantités acheté rajouté" totalsRowFunction="custom" dataDxfId="413" totalsRowDxfId="412" dataCellStyle="Monétaire">
      <totalsRowFormula>SUM(Tableau92218[Quantités acheté rajouté])</totalsRowFormula>
    </tableColumn>
    <tableColumn id="6" xr3:uid="{6E9ED3BB-704D-460E-BE29-EF9BD6BCA986}" name="CU du matos rajouté acheté" dataDxfId="411" totalsRowDxfId="410" dataCellStyle="Monétaire"/>
    <tableColumn id="7" xr3:uid="{5F2FAA39-21F3-4DDC-ADD2-12BCD1AD858A}" name="CT" totalsRowFunction="custom" dataDxfId="409" totalsRowDxfId="408" dataCellStyle="Monétaire">
      <calculatedColumnFormula>Tableau92218[[#This Row],[Quantités acheté rajouté]]*Tableau92218[[#This Row],[CU du matos rajouté acheté]]</calculatedColumnFormula>
      <totalsRowFormula>SUM(Tableau92218[CT])</totalsRowFormula>
    </tableColumn>
  </tableColumns>
  <tableStyleInfo name="TableStyleMedium8" showFirstColumn="1" showLastColumn="0" showRowStripes="1" showColumnStripes="0"/>
</table>
</file>

<file path=xl/tables/table53.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18" xr:uid="{77E0CB6B-4217-4686-9114-6B8EB22BBCAB}" name="Tableau9296219" displayName="Tableau9296219" ref="B19:H33" totalsRowCount="1" headerRowDxfId="407" dataDxfId="406" headerRowCellStyle="Monétaire" dataCellStyle="Monétaire">
  <autoFilter ref="B19:H32" xr:uid="{14ADB92D-B928-4CC5-82FD-0C2609293720}"/>
  <tableColumns count="7">
    <tableColumn id="1" xr3:uid="{4CC8B32A-8E60-4C97-A99C-AF438BC9178E}" name="Cablage" totalsRowLabel="Total"/>
    <tableColumn id="2" xr3:uid="{99E154D7-D11C-4CA1-A087-A5C9B89F05F5}" name="Présente dans la malle" totalsRowFunction="custom">
      <totalsRowFormula>SUM(Tableau9296219[Présente dans la malle])</totalsRowFormula>
    </tableColumn>
    <tableColumn id="3" xr3:uid="{0DE63422-1BF8-4ABE-91E2-297362C0E251}" name="Demande" totalsRowFunction="custom">
      <totalsRowFormula>SUM(Tableau9296219[Demande])</totalsRowFormula>
    </tableColumn>
    <tableColumn id="4" xr3:uid="{62C63417-3940-4C3E-974B-581DD28DFE17}" name="Manque" totalsRowFunction="custom" dataDxfId="405">
      <calculatedColumnFormula>Tableau9296219[[#This Row],[Demande]]-Tableau9296219[[#This Row],[Présente dans la malle]]</calculatedColumnFormula>
      <totalsRowFormula>SUM(Tableau9296219[Manque])</totalsRowFormula>
    </tableColumn>
    <tableColumn id="5" xr3:uid="{EEAF8FCF-BDA7-4C8B-A4B9-86F7813DCDA1}" name="Quantités acheté rajouté" totalsRowFunction="custom" dataDxfId="404" totalsRowDxfId="403" dataCellStyle="Monétaire">
      <totalsRowFormula>SUM(Tableau9296219[Quantités acheté rajouté])</totalsRowFormula>
    </tableColumn>
    <tableColumn id="6" xr3:uid="{02EAE466-0663-436A-9D9A-6F13CB047C79}" name="CU du matos rajouté acheté" dataDxfId="402" totalsRowDxfId="401" dataCellStyle="Monétaire"/>
    <tableColumn id="7" xr3:uid="{1C5EBDB9-3CA8-4253-B8E8-BC019D3EDB8A}" name="CT" totalsRowFunction="custom" dataDxfId="400" totalsRowDxfId="399" dataCellStyle="Monétaire" totalsRowCellStyle="Monétaire">
      <calculatedColumnFormula>Tableau9296219[[#This Row],[Quantités acheté rajouté]]*Tableau9296219[[#This Row],[CU du matos rajouté acheté]]</calculatedColumnFormula>
      <totalsRowFormula>SUM(Tableau9296219[CT])</totalsRowFormula>
    </tableColumn>
  </tableColumns>
  <tableStyleInfo name="TableStyleMedium8" showFirstColumn="1" showLastColumn="0" showRowStripes="1" showColumnStripes="0"/>
</table>
</file>

<file path=xl/tables/table54.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19" xr:uid="{03EC2C1C-1EF7-469E-8945-2B2D397B2EE9}" name="Tableau9297220" displayName="Tableau9297220" ref="B36:H50" totalsRowCount="1" headerRowDxfId="398" dataDxfId="397" headerRowCellStyle="Monétaire" dataCellStyle="Monétaire">
  <autoFilter ref="B36:H49" xr:uid="{AA75629A-EB6B-4670-90DD-07A022EEE1DE}"/>
  <tableColumns count="7">
    <tableColumn id="1" xr3:uid="{7E451FB9-937F-46A1-8D53-F19B585AF5FF}" name="Mobilier" totalsRowLabel="Total"/>
    <tableColumn id="2" xr3:uid="{A238224A-1323-47BF-BDF7-E75C00495B09}" name="Présente dans la malle" totalsRowFunction="custom">
      <totalsRowFormula>SUM(Tableau9297220[Présente dans la malle])</totalsRowFormula>
    </tableColumn>
    <tableColumn id="3" xr3:uid="{CC283552-C2C5-4D6D-AB46-AE14E25F0DC9}" name="Demande" totalsRowFunction="custom">
      <totalsRowFormula>SUM(Tableau9297220[Demande])</totalsRowFormula>
    </tableColumn>
    <tableColumn id="4" xr3:uid="{463F7FB9-572E-45C8-8D38-835ED56DCEBE}" name="Manque" totalsRowFunction="custom" dataDxfId="396">
      <calculatedColumnFormula>Tableau9297220[[#This Row],[Demande]]-Tableau9297220[[#This Row],[Présente dans la malle]]</calculatedColumnFormula>
      <totalsRowFormula>SUM(Tableau9297220[Manque])</totalsRowFormula>
    </tableColumn>
    <tableColumn id="5" xr3:uid="{DE432FDD-E481-471F-8B15-F6283275F6FA}" name="Quantités acheté rajouté" totalsRowFunction="custom" dataDxfId="395" totalsRowDxfId="394" dataCellStyle="Monétaire">
      <totalsRowFormula>SUM(Tableau9297220[Quantités acheté rajouté])</totalsRowFormula>
    </tableColumn>
    <tableColumn id="6" xr3:uid="{516652B3-D21E-4744-A023-FAD2033395EB}" name="CU du matos rajouté acheté" dataDxfId="393" totalsRowDxfId="392" dataCellStyle="Monétaire"/>
    <tableColumn id="7" xr3:uid="{293C2DED-805C-4CD8-960A-DEFB3D967967}" name="CT" totalsRowFunction="custom" dataDxfId="391" totalsRowDxfId="390" dataCellStyle="Monétaire" totalsRowCellStyle="Monétaire">
      <calculatedColumnFormula>Tableau9297220[[#This Row],[Quantités acheté rajouté]]*Tableau9297220[[#This Row],[CU du matos rajouté acheté]]</calculatedColumnFormula>
      <totalsRowFormula>SUM(Tableau9297220[CT])</totalsRowFormula>
    </tableColumn>
  </tableColumns>
  <tableStyleInfo name="TableStyleMedium8" showFirstColumn="1" showLastColumn="0" showRowStripes="1" showColumnStripes="0"/>
</table>
</file>

<file path=xl/tables/table55.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75" xr:uid="{7010B820-5591-49A2-9DB9-51EA665BEF41}" name="Tableau92176" displayName="Tableau92176" ref="B2:H16" totalsRowCount="1" headerRowDxfId="377" dataDxfId="376" headerRowCellStyle="Monétaire" dataCellStyle="Monétaire">
  <autoFilter ref="B2:H15" xr:uid="{E8519369-5808-4A55-89CE-22461E1A2C84}"/>
  <tableColumns count="7">
    <tableColumn id="1" xr3:uid="{7308BE1D-3A30-40CE-B873-058B5A7AD7B7}" name="Matériel" totalsRowLabel="Total"/>
    <tableColumn id="2" xr3:uid="{3DE947D6-7F5A-4C2A-960D-39940CE6307E}" name="Présente dans la malle" totalsRowFunction="custom">
      <totalsRowFormula>SUM(Tableau92176[Présente dans la malle])</totalsRowFormula>
    </tableColumn>
    <tableColumn id="3" xr3:uid="{BCBE650F-533D-43EB-9D93-004851B35E04}" name="Demande" totalsRowFunction="custom">
      <totalsRowFormula>SUM(Tableau92176[Demande])</totalsRowFormula>
    </tableColumn>
    <tableColumn id="4" xr3:uid="{3B456049-B8AB-4B87-BE35-C93B483A2E54}" name="Manque" totalsRowFunction="custom" dataDxfId="375">
      <calculatedColumnFormula>Tableau92176[[#This Row],[Demande]]-Tableau92176[[#This Row],[Présente dans la malle]]</calculatedColumnFormula>
      <totalsRowFormula>SUM(Tableau92176[Manque])</totalsRowFormula>
    </tableColumn>
    <tableColumn id="5" xr3:uid="{FB8287D8-B151-4281-953A-8150EA1D4177}" name="Quantités acheté rajouté" totalsRowFunction="custom" dataDxfId="374" totalsRowDxfId="373" dataCellStyle="Monétaire">
      <totalsRowFormula>SUM(Tableau92176[Quantités acheté rajouté])</totalsRowFormula>
    </tableColumn>
    <tableColumn id="6" xr3:uid="{7D81FB89-B72A-47FD-A00B-B2DC68D42F3C}" name="CU du matos rajouté acheté" dataDxfId="372" totalsRowDxfId="371" dataCellStyle="Monétaire"/>
    <tableColumn id="7" xr3:uid="{14AA32AE-99D0-425D-9053-E9C9D4B17E30}" name="CT" totalsRowFunction="custom" dataDxfId="370" totalsRowDxfId="369" dataCellStyle="Monétaire">
      <calculatedColumnFormula>Tableau92176[[#This Row],[Quantités acheté rajouté]]*Tableau92176[[#This Row],[CU du matos rajouté acheté]]</calculatedColumnFormula>
      <totalsRowFormula>SUM(Tableau92176[CT])</totalsRowFormula>
    </tableColumn>
  </tableColumns>
  <tableStyleInfo name="TableStyleMedium8" showFirstColumn="1" showLastColumn="0" showRowStripes="1" showColumnStripes="0"/>
</table>
</file>

<file path=xl/tables/table56.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76" xr:uid="{F24DD255-7121-42F1-836E-6D3F60241689}" name="Tableau9296177" displayName="Tableau9296177" ref="B19:H33" totalsRowCount="1" headerRowDxfId="368" dataDxfId="367" headerRowCellStyle="Monétaire" dataCellStyle="Monétaire">
  <autoFilter ref="B19:H32" xr:uid="{68BB0BBA-117D-4ED0-87AC-6A4608E3A7C4}"/>
  <tableColumns count="7">
    <tableColumn id="1" xr3:uid="{275D783C-E141-4F46-AF32-79289D949D0B}" name="Cablage" totalsRowLabel="Total"/>
    <tableColumn id="2" xr3:uid="{45BF6D69-7F9C-4843-92D9-B2A4A6393585}" name="Présente dans la malle" totalsRowFunction="custom">
      <totalsRowFormula>SUM(Tableau9296177[Présente dans la malle])</totalsRowFormula>
    </tableColumn>
    <tableColumn id="3" xr3:uid="{D5964CE1-7C26-47AC-BA8A-528BFB81FDDE}" name="Demande" totalsRowFunction="custom">
      <totalsRowFormula>SUM(Tableau9296177[Demande])</totalsRowFormula>
    </tableColumn>
    <tableColumn id="4" xr3:uid="{467CF2B1-CAD1-48AA-A41E-D727F6549CDE}" name="Manque" totalsRowFunction="custom" dataDxfId="366">
      <calculatedColumnFormula>Tableau9296177[[#This Row],[Demande]]-Tableau9296177[[#This Row],[Présente dans la malle]]</calculatedColumnFormula>
      <totalsRowFormula>SUM(Tableau9296177[Manque])</totalsRowFormula>
    </tableColumn>
    <tableColumn id="5" xr3:uid="{A1C32545-AF2C-4202-A8C7-44C21AF845C8}" name="Quantités acheté rajouté" totalsRowFunction="custom" dataDxfId="365" totalsRowDxfId="364" dataCellStyle="Monétaire">
      <totalsRowFormula>SUM(Tableau9296177[Quantités acheté rajouté])</totalsRowFormula>
    </tableColumn>
    <tableColumn id="6" xr3:uid="{85ECA6B9-1183-40A4-B659-D3651B6303DA}" name="CU du matos rajouté acheté" dataDxfId="363" totalsRowDxfId="362" dataCellStyle="Monétaire"/>
    <tableColumn id="7" xr3:uid="{F0D636D9-1584-4568-A705-AF79CC5FF927}" name="CT" totalsRowFunction="custom" dataDxfId="361" totalsRowDxfId="360" dataCellStyle="Monétaire" totalsRowCellStyle="Monétaire">
      <calculatedColumnFormula>Tableau9296177[[#This Row],[Quantités acheté rajouté]]*Tableau9296177[[#This Row],[CU du matos rajouté acheté]]</calculatedColumnFormula>
      <totalsRowFormula>SUM(Tableau9296177[CT])</totalsRowFormula>
    </tableColumn>
  </tableColumns>
  <tableStyleInfo name="TableStyleMedium8" showFirstColumn="1" showLastColumn="0" showRowStripes="1" showColumnStripes="0"/>
</table>
</file>

<file path=xl/tables/table57.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77" xr:uid="{D061E146-B4A5-48F1-B989-954BDB82B0BC}" name="Tableau9297178" displayName="Tableau9297178" ref="B36:H50" totalsRowCount="1" headerRowDxfId="359" dataDxfId="358" headerRowCellStyle="Monétaire" dataCellStyle="Monétaire">
  <autoFilter ref="B36:H49" xr:uid="{B496CCAB-ED1A-4E35-9510-579C8C55083C}"/>
  <tableColumns count="7">
    <tableColumn id="1" xr3:uid="{12BA9643-77FB-4714-A5B2-DC54935EFCC9}" name="Mobilier" totalsRowLabel="Total"/>
    <tableColumn id="2" xr3:uid="{D7A901BF-45A1-439E-9B91-E0EE8DCCBF34}" name="Présente dans la malle" totalsRowFunction="custom">
      <totalsRowFormula>SUM(Tableau9297178[Présente dans la malle])</totalsRowFormula>
    </tableColumn>
    <tableColumn id="3" xr3:uid="{3FA7FBD5-5772-408C-AF0D-09369FB2BD42}" name="Demande" totalsRowFunction="custom">
      <totalsRowFormula>SUM(Tableau9297178[Demande])</totalsRowFormula>
    </tableColumn>
    <tableColumn id="4" xr3:uid="{6905A4E8-6374-4A7F-AF80-94E4CFAA5457}" name="Manque" totalsRowFunction="custom" dataDxfId="357">
      <calculatedColumnFormula>Tableau9297178[[#This Row],[Demande]]-Tableau9297178[[#This Row],[Présente dans la malle]]</calculatedColumnFormula>
      <totalsRowFormula>SUM(Tableau9297178[Manque])</totalsRowFormula>
    </tableColumn>
    <tableColumn id="5" xr3:uid="{CFF5FAEB-034A-4F46-82C4-EEB2A8E42E70}" name="Quantités acheté rajouté" totalsRowFunction="custom" dataDxfId="356" totalsRowDxfId="355" dataCellStyle="Monétaire">
      <totalsRowFormula>SUM(Tableau9297178[Quantités acheté rajouté])</totalsRowFormula>
    </tableColumn>
    <tableColumn id="6" xr3:uid="{700BEE06-F634-4FB9-B275-D95AD16CF8F5}" name="CU du matos rajouté acheté" dataDxfId="354" totalsRowDxfId="353" dataCellStyle="Monétaire"/>
    <tableColumn id="7" xr3:uid="{40314F1C-0395-4C1A-8F20-47EC996086B8}" name="CT" totalsRowFunction="custom" dataDxfId="352" totalsRowDxfId="351" dataCellStyle="Monétaire" totalsRowCellStyle="Monétaire">
      <calculatedColumnFormula>Tableau9297178[[#This Row],[Quantités acheté rajouté]]*Tableau9297178[[#This Row],[CU du matos rajouté acheté]]</calculatedColumnFormula>
      <totalsRowFormula>SUM(Tableau9297178[CT])</totalsRowFormula>
    </tableColumn>
  </tableColumns>
  <tableStyleInfo name="TableStyleMedium8" showFirstColumn="1" showLastColumn="0" showRowStripes="1" showColumnStripes="0"/>
</table>
</file>

<file path=xl/tables/table58.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78" xr:uid="{778EE92A-BB04-4DCA-9776-5A82F4D445B9}" name="Tableau92179" displayName="Tableau92179" ref="B2:H16" totalsRowCount="1" headerRowDxfId="338" dataDxfId="337" headerRowCellStyle="Monétaire" dataCellStyle="Monétaire">
  <autoFilter ref="B2:H15" xr:uid="{27E7C03A-9901-472B-8764-DE76C8E6F0DE}"/>
  <tableColumns count="7">
    <tableColumn id="1" xr3:uid="{76354700-0B0D-487C-9D5B-C17E9B6A896F}" name="Matériel" totalsRowLabel="Total"/>
    <tableColumn id="2" xr3:uid="{0C7DE961-48AA-46CD-9ECA-2B3D0EDA3651}" name="Présente dans la malle" totalsRowFunction="custom">
      <totalsRowFormula>SUM(Tableau92179[Présente dans la malle])</totalsRowFormula>
    </tableColumn>
    <tableColumn id="3" xr3:uid="{D4107419-9C83-4ACA-8A1A-EF70F63E20E5}" name="Demande" totalsRowFunction="custom">
      <totalsRowFormula>SUM(Tableau92179[Demande])</totalsRowFormula>
    </tableColumn>
    <tableColumn id="4" xr3:uid="{DFA88A3F-0DD7-4FC6-BE80-E3F016DEE44D}" name="Manque" totalsRowFunction="custom" dataDxfId="336">
      <calculatedColumnFormula>Tableau92179[[#This Row],[Demande]]-Tableau92179[[#This Row],[Présente dans la malle]]</calculatedColumnFormula>
      <totalsRowFormula>SUM(Tableau92179[Manque])</totalsRowFormula>
    </tableColumn>
    <tableColumn id="5" xr3:uid="{A869334C-6C5C-4797-99F7-34681D0F68A5}" name="Quantités acheté rajouté" totalsRowFunction="custom" dataDxfId="335" totalsRowDxfId="334" dataCellStyle="Monétaire">
      <totalsRowFormula>SUM(Tableau92179[Quantités acheté rajouté])</totalsRowFormula>
    </tableColumn>
    <tableColumn id="6" xr3:uid="{CB4E1FD3-A41E-41E0-B26A-36985CE9973E}" name="CU du matos rajouté acheté" dataDxfId="333" totalsRowDxfId="332" dataCellStyle="Monétaire"/>
    <tableColumn id="7" xr3:uid="{371E58B3-6ECB-4199-8C50-1074178E2F29}" name="CT" totalsRowFunction="custom" dataDxfId="331" totalsRowDxfId="330" dataCellStyle="Monétaire" totalsRowCellStyle="Monétaire">
      <calculatedColumnFormula>Tableau92179[[#This Row],[Quantités acheté rajouté]]*Tableau92179[[#This Row],[CU du matos rajouté acheté]]</calculatedColumnFormula>
      <totalsRowFormula>SUM(Tableau92179[CT])</totalsRowFormula>
    </tableColumn>
  </tableColumns>
  <tableStyleInfo name="TableStyleMedium8" showFirstColumn="1" showLastColumn="0" showRowStripes="1" showColumnStripes="0"/>
</table>
</file>

<file path=xl/tables/table59.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79" xr:uid="{F90132D8-681D-4C89-8786-3A53BABC739B}" name="Tableau9296180" displayName="Tableau9296180" ref="B19:H33" totalsRowCount="1" headerRowDxfId="329" dataDxfId="328" headerRowCellStyle="Monétaire" dataCellStyle="Monétaire">
  <autoFilter ref="B19:H32" xr:uid="{37D2ACD0-5F67-4189-BAC0-DB9DEF591CBC}"/>
  <tableColumns count="7">
    <tableColumn id="1" xr3:uid="{F27503D5-647E-411C-B79B-C9C5FB24BE22}" name="Cablage" totalsRowLabel="Total"/>
    <tableColumn id="2" xr3:uid="{E247D5BB-4C27-4AC1-9F88-0608A1B7E135}" name="Présente dans la malle" totalsRowFunction="custom">
      <totalsRowFormula>SUM(Tableau9296180[Présente dans la malle])</totalsRowFormula>
    </tableColumn>
    <tableColumn id="3" xr3:uid="{398BEE49-7F32-4FBD-8563-6C8AD96AA457}" name="Demande" totalsRowFunction="custom">
      <totalsRowFormula>SUM(Tableau9296180[Demande])</totalsRowFormula>
    </tableColumn>
    <tableColumn id="4" xr3:uid="{C90FA269-8DAD-4F22-A0D4-BBB2209F3145}" name="Manque" totalsRowFunction="custom" dataDxfId="327">
      <calculatedColumnFormula>Tableau9296180[[#This Row],[Demande]]-Tableau9296180[[#This Row],[Présente dans la malle]]</calculatedColumnFormula>
      <totalsRowFormula>SUM(Tableau9296180[Manque])</totalsRowFormula>
    </tableColumn>
    <tableColumn id="5" xr3:uid="{DFE358F1-BAE4-404E-8351-2307C5CB57FC}" name="Quantités acheté rajouté" totalsRowFunction="custom" dataDxfId="326" totalsRowDxfId="325" dataCellStyle="Monétaire">
      <totalsRowFormula>SUM(Tableau9296180[Quantités acheté rajouté])</totalsRowFormula>
    </tableColumn>
    <tableColumn id="6" xr3:uid="{5BD9D670-34AF-447A-B06A-A5D643BF4C2A}" name="CU du matos rajouté acheté" dataDxfId="324" totalsRowDxfId="323" dataCellStyle="Monétaire"/>
    <tableColumn id="7" xr3:uid="{41B304AF-57CC-488E-9659-1547D826FBD3}" name="CT" totalsRowFunction="custom" dataDxfId="322" totalsRowDxfId="321" dataCellStyle="Monétaire" totalsRowCellStyle="Monétaire">
      <calculatedColumnFormula>Tableau9296180[[#This Row],[Quantités acheté rajouté]]*Tableau9296180[[#This Row],[CU du matos rajouté acheté]]</calculatedColumnFormula>
      <totalsRowFormula>SUM(Tableau9296180[CT])</totalsRowFormula>
    </tableColumn>
  </tableColumns>
  <tableStyleInfo name="TableStyleMedium8" showFirstColumn="1" showLastColumn="0" showRowStripes="1" showColumnStripes="0"/>
</table>
</file>

<file path=xl/tables/table60.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80" xr:uid="{8742D01E-9577-425E-9EA1-6C31A72724AD}" name="Tableau9297181" displayName="Tableau9297181" ref="B36:H50" totalsRowCount="1" headerRowDxfId="320" dataDxfId="319" headerRowCellStyle="Monétaire" dataCellStyle="Monétaire">
  <autoFilter ref="B36:H49" xr:uid="{EEC9946F-5EAF-404E-9D91-BF499EDD5159}"/>
  <tableColumns count="7">
    <tableColumn id="1" xr3:uid="{2AD48A05-D717-4DC6-8306-1084481EB825}" name="Mobilier" totalsRowLabel="Total"/>
    <tableColumn id="2" xr3:uid="{6472D40D-3EBA-4EE6-AF55-FB780FC0AB56}" name="Présente dans la malle" totalsRowFunction="custom">
      <totalsRowFormula>SUM(Tableau9297181[Présente dans la malle])</totalsRowFormula>
    </tableColumn>
    <tableColumn id="3" xr3:uid="{1553A7C3-F172-4D2A-8CE4-2E7AC821C7C5}" name="Demande" totalsRowFunction="custom">
      <totalsRowFormula>SUM(Tableau9297181[Demande])</totalsRowFormula>
    </tableColumn>
    <tableColumn id="4" xr3:uid="{06056172-DF63-4333-BD4B-213F4D1ABC02}" name="Manque" totalsRowFunction="custom" dataDxfId="318">
      <calculatedColumnFormula>Tableau9297181[[#This Row],[Demande]]-Tableau9297181[[#This Row],[Présente dans la malle]]</calculatedColumnFormula>
      <totalsRowFormula>SUM(Tableau9297181[Manque])</totalsRowFormula>
    </tableColumn>
    <tableColumn id="5" xr3:uid="{C21DAB07-90AD-41AA-A380-0D8144DD4A8B}" name="Quantités acheté rajouté" totalsRowFunction="custom" dataDxfId="317" totalsRowDxfId="316" dataCellStyle="Monétaire">
      <totalsRowFormula>SUM(Tableau9297181[Quantités acheté rajouté])</totalsRowFormula>
    </tableColumn>
    <tableColumn id="6" xr3:uid="{D778AD72-D6F7-455B-8532-BF9AD9ACA6E6}" name="CU du matos rajouté acheté" dataDxfId="315" totalsRowDxfId="314" dataCellStyle="Monétaire"/>
    <tableColumn id="7" xr3:uid="{E8F204C3-62DF-4109-8A69-0C9695F2BEE1}" name="CT" totalsRowFunction="custom" dataDxfId="313" totalsRowDxfId="312" dataCellStyle="Monétaire" totalsRowCellStyle="Monétaire">
      <calculatedColumnFormula>Tableau9297181[[#This Row],[Quantités acheté rajouté]]*Tableau9297181[[#This Row],[CU du matos rajouté acheté]]</calculatedColumnFormula>
      <totalsRowFormula>SUM(Tableau9297181[CT])</totalsRowFormula>
    </tableColumn>
  </tableColumns>
  <tableStyleInfo name="TableStyleMedium8" showFirstColumn="1" showLastColumn="0" showRowStripes="1" showColumnStripes="0"/>
</table>
</file>

<file path=xl/tables/table6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81" xr:uid="{48B08D99-F53D-448A-B5A7-642B326CAA8B}" name="Tableau92182" displayName="Tableau92182" ref="B2:H16" totalsRowCount="1" headerRowDxfId="299" dataDxfId="298" headerRowCellStyle="Monétaire" dataCellStyle="Monétaire">
  <autoFilter ref="B2:H15" xr:uid="{136968DF-036E-4E21-BCC9-4DC6A5E17D2B}"/>
  <tableColumns count="7">
    <tableColumn id="1" xr3:uid="{5217EC74-F8EE-4BC1-BBC2-011CA46B1B14}" name="Matériel" totalsRowLabel="Total"/>
    <tableColumn id="2" xr3:uid="{6A227468-3780-41F5-9977-31BF96B9B305}" name="Présente dans la malle" totalsRowFunction="custom">
      <totalsRowFormula>SUM(Tableau92182[Présente dans la malle])</totalsRowFormula>
    </tableColumn>
    <tableColumn id="3" xr3:uid="{D99F7B26-B759-418B-9FD1-E3D202E5466F}" name="Demande" totalsRowFunction="custom">
      <totalsRowFormula>SUM(Tableau92182[Demande])</totalsRowFormula>
    </tableColumn>
    <tableColumn id="4" xr3:uid="{2843F15E-6151-46B6-928D-33BD33456F20}" name="Manque" totalsRowFunction="custom" dataDxfId="297">
      <calculatedColumnFormula>Tableau92182[[#This Row],[Demande]]-Tableau92182[[#This Row],[Présente dans la malle]]</calculatedColumnFormula>
      <totalsRowFormula>SUM(Tableau92182[Manque])</totalsRowFormula>
    </tableColumn>
    <tableColumn id="5" xr3:uid="{43AC7D02-2D6A-4C9E-BF65-782863A975DC}" name="Quantités acheté rajouté" totalsRowFunction="custom" dataDxfId="296" totalsRowDxfId="295" dataCellStyle="Monétaire">
      <totalsRowFormula>SUM(Tableau92182[Quantités acheté rajouté])</totalsRowFormula>
    </tableColumn>
    <tableColumn id="6" xr3:uid="{1FA66498-815C-4A9A-8C15-CB20F7B08A31}" name="CU du matos rajouté acheté" dataDxfId="294" totalsRowDxfId="293" dataCellStyle="Monétaire"/>
    <tableColumn id="7" xr3:uid="{AB9FBD59-88EA-4CF6-865A-6E6B41C0D509}" name="CT" totalsRowFunction="custom" dataDxfId="292" totalsRowDxfId="291" dataCellStyle="Monétaire">
      <calculatedColumnFormula>Tableau92182[[#This Row],[Quantités acheté rajouté]]*Tableau92182[[#This Row],[CU du matos rajouté acheté]]</calculatedColumnFormula>
      <totalsRowFormula>SUM(Tableau92182[CT])</totalsRowFormula>
    </tableColumn>
  </tableColumns>
  <tableStyleInfo name="TableStyleMedium8" showFirstColumn="1" showLastColumn="0" showRowStripes="1" showColumnStripes="0"/>
</table>
</file>

<file path=xl/tables/table6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82" xr:uid="{8C914E0C-170D-443B-85DB-ED14BCB160F8}" name="Tableau9296183" displayName="Tableau9296183" ref="B19:H33" totalsRowCount="1" headerRowDxfId="290" dataDxfId="289" headerRowCellStyle="Monétaire" dataCellStyle="Monétaire">
  <autoFilter ref="B19:H32" xr:uid="{F1CF1407-6E27-4F37-8D62-F173463A980B}"/>
  <tableColumns count="7">
    <tableColumn id="1" xr3:uid="{4FE14EC7-1E5F-4314-9AD5-9A80F742EFC4}" name="Cablage" totalsRowLabel="Total"/>
    <tableColumn id="2" xr3:uid="{4BBF716E-D9E0-4EFC-B0B7-D9808167BC7B}" name="Présente dans la malle" totalsRowFunction="custom">
      <totalsRowFormula>SUM(Tableau9296183[Présente dans la malle])</totalsRowFormula>
    </tableColumn>
    <tableColumn id="3" xr3:uid="{19A87B9E-467A-41DD-B472-890C0AC3E2EB}" name="Demande" totalsRowFunction="custom">
      <totalsRowFormula>SUM(Tableau9296183[Demande])</totalsRowFormula>
    </tableColumn>
    <tableColumn id="4" xr3:uid="{7E0AF74A-71D7-4B3A-A794-FF9387EF8AFE}" name="Manque" totalsRowFunction="custom" dataDxfId="288">
      <calculatedColumnFormula>Tableau9296183[[#This Row],[Demande]]-Tableau9296183[[#This Row],[Présente dans la malle]]</calculatedColumnFormula>
      <totalsRowFormula>SUM(Tableau9296183[Manque])</totalsRowFormula>
    </tableColumn>
    <tableColumn id="5" xr3:uid="{BCB490BF-1212-4693-AD29-0B17107E35A4}" name="Quantités acheté rajouté" totalsRowFunction="custom" dataDxfId="287" totalsRowDxfId="286" dataCellStyle="Monétaire">
      <totalsRowFormula>SUM(Tableau9296183[Quantités acheté rajouté])</totalsRowFormula>
    </tableColumn>
    <tableColumn id="6" xr3:uid="{E2F0DA67-1628-41C4-892A-0EF5B9B0275A}" name="CU du matos rajouté acheté" dataDxfId="285" totalsRowDxfId="284" dataCellStyle="Monétaire"/>
    <tableColumn id="7" xr3:uid="{6F70024A-D13D-42FA-801E-301AF128DB46}" name="CT" totalsRowFunction="custom" dataDxfId="283" totalsRowDxfId="282" dataCellStyle="Monétaire" totalsRowCellStyle="Monétaire">
      <calculatedColumnFormula>Tableau9296183[[#This Row],[Quantités acheté rajouté]]*Tableau9296183[[#This Row],[CU du matos rajouté acheté]]</calculatedColumnFormula>
      <totalsRowFormula>SUM(Tableau9296183[CT])</totalsRowFormula>
    </tableColumn>
  </tableColumns>
  <tableStyleInfo name="TableStyleMedium8" showFirstColumn="1" showLastColumn="0" showRowStripes="1" showColumnStripes="0"/>
</table>
</file>

<file path=xl/tables/table63.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83" xr:uid="{2564D470-3FFF-46EC-BC82-0CBBD5F0A881}" name="Tableau9297184" displayName="Tableau9297184" ref="B36:H50" totalsRowCount="1" headerRowDxfId="281" dataDxfId="280" headerRowCellStyle="Monétaire" dataCellStyle="Monétaire">
  <autoFilter ref="B36:H49" xr:uid="{2066FF52-B4CF-4A90-A7E8-8045F28DE471}"/>
  <tableColumns count="7">
    <tableColumn id="1" xr3:uid="{CA28B1A7-285C-4F19-BE29-13861FD39A4D}" name="Mobilier" totalsRowLabel="Total"/>
    <tableColumn id="2" xr3:uid="{0F69F2DD-759A-4ECD-8D76-504A96F5C2F7}" name="Présente dans la malle" totalsRowFunction="custom">
      <totalsRowFormula>SUM(Tableau9297184[Présente dans la malle])</totalsRowFormula>
    </tableColumn>
    <tableColumn id="3" xr3:uid="{AB59B624-889B-4643-9517-1EC69CA234A4}" name="Demande" totalsRowFunction="custom">
      <totalsRowFormula>SUM(Tableau9297184[Demande])</totalsRowFormula>
    </tableColumn>
    <tableColumn id="4" xr3:uid="{56A8645F-5F56-49B6-B74A-A4E8DBD34B51}" name="Manque" totalsRowFunction="custom" dataDxfId="279">
      <calculatedColumnFormula>Tableau9297184[[#This Row],[Demande]]-Tableau9297184[[#This Row],[Présente dans la malle]]</calculatedColumnFormula>
      <totalsRowFormula>SUM(Tableau9297184[Manque])</totalsRowFormula>
    </tableColumn>
    <tableColumn id="5" xr3:uid="{A7304FE4-A8D0-4498-9929-A5B168B89B9E}" name="Quantités acheté rajouté" totalsRowFunction="custom" dataDxfId="278" totalsRowDxfId="277" dataCellStyle="Monétaire">
      <totalsRowFormula>SUM(Tableau9297184[Quantités acheté rajouté])</totalsRowFormula>
    </tableColumn>
    <tableColumn id="6" xr3:uid="{C3859738-3090-4838-B528-32F9FA385CE6}" name="CU du matos rajouté acheté" dataDxfId="276" totalsRowDxfId="275" dataCellStyle="Monétaire"/>
    <tableColumn id="7" xr3:uid="{B26E056F-668B-493F-9BFB-97517D1A35CF}" name="CT" totalsRowFunction="custom" dataDxfId="274" totalsRowDxfId="273" dataCellStyle="Monétaire" totalsRowCellStyle="Monétaire">
      <calculatedColumnFormula>Tableau9297184[[#This Row],[Quantités acheté rajouté]]*Tableau9297184[[#This Row],[CU du matos rajouté acheté]]</calculatedColumnFormula>
      <totalsRowFormula>SUM(Tableau9297184[CT])</totalsRowFormula>
    </tableColumn>
  </tableColumns>
  <tableStyleInfo name="TableStyleMedium8" showFirstColumn="1" showLastColumn="0" showRowStripes="1" showColumnStripes="0"/>
</table>
</file>

<file path=xl/tables/table64.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93" xr:uid="{381D5ADC-A28D-4815-8FD8-5727D13EA368}" name="Tableau92194" displayName="Tableau92194" ref="B2:H16" totalsRowCount="1" headerRowDxfId="260" dataDxfId="259" headerRowCellStyle="Monétaire" dataCellStyle="Monétaire">
  <autoFilter ref="B2:H15" xr:uid="{3A62F498-066A-45BB-BCD1-0B6CAEECE9D8}"/>
  <tableColumns count="7">
    <tableColumn id="1" xr3:uid="{BCDF5D3C-9073-4255-B54B-A360A1F75E11}" name="Matériel" totalsRowLabel="Total"/>
    <tableColumn id="2" xr3:uid="{E95D6196-E5FA-4697-B91F-63394DA9FAD4}" name="Présente dans la malle" totalsRowFunction="custom">
      <totalsRowFormula>SUM(Tableau92194[Présente dans la malle])</totalsRowFormula>
    </tableColumn>
    <tableColumn id="3" xr3:uid="{48CF9F24-AFE3-4D38-9B40-1F1FE71F8F1D}" name="Demande" totalsRowFunction="custom">
      <totalsRowFormula>SUM(Tableau92194[Demande])</totalsRowFormula>
    </tableColumn>
    <tableColumn id="4" xr3:uid="{6E9CB2E5-1686-4636-BC44-4E9D2CF76BD7}" name="Manque" totalsRowFunction="custom" dataDxfId="258">
      <calculatedColumnFormula>Tableau92194[[#This Row],[Demande]]-Tableau92194[[#This Row],[Présente dans la malle]]</calculatedColumnFormula>
      <totalsRowFormula>SUM(Tableau92194[Manque])</totalsRowFormula>
    </tableColumn>
    <tableColumn id="5" xr3:uid="{E8F1F9F0-6D2C-4A93-950F-21BFDC73284F}" name="Quantités acheté rajouté" totalsRowFunction="custom" dataDxfId="257" totalsRowDxfId="256" dataCellStyle="Monétaire">
      <totalsRowFormula>SUM(Tableau92194[Quantités acheté rajouté])</totalsRowFormula>
    </tableColumn>
    <tableColumn id="6" xr3:uid="{4ADCE84F-9151-467E-B07F-3CD2AA2FFF38}" name="CU du matos rajouté acheté" dataDxfId="255" totalsRowDxfId="254" dataCellStyle="Monétaire"/>
    <tableColumn id="7" xr3:uid="{1384BF18-7603-4A76-A74A-7806628FFAFE}" name="CT" totalsRowFunction="custom" dataDxfId="253" totalsRowDxfId="252" dataCellStyle="Monétaire" totalsRowCellStyle="Monétaire">
      <calculatedColumnFormula>Tableau92194[[#This Row],[Quantités acheté rajouté]]*Tableau92194[[#This Row],[CU du matos rajouté acheté]]</calculatedColumnFormula>
      <totalsRowFormula>SUM(Tableau92194[CT])</totalsRowFormula>
    </tableColumn>
  </tableColumns>
  <tableStyleInfo name="TableStyleMedium8" showFirstColumn="1" showLastColumn="0" showRowStripes="1" showColumnStripes="0"/>
</table>
</file>

<file path=xl/tables/table65.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94" xr:uid="{5E2DE3DA-FDAE-49CC-9265-6A96C93036FA}" name="Tableau9296195" displayName="Tableau9296195" ref="B19:H33" totalsRowCount="1" headerRowDxfId="251" dataDxfId="250" headerRowCellStyle="Monétaire" dataCellStyle="Monétaire">
  <autoFilter ref="B19:H32" xr:uid="{E71D6B58-7ABE-423E-9A6C-977895D5B18D}"/>
  <tableColumns count="7">
    <tableColumn id="1" xr3:uid="{744C054A-6432-4CFE-BFBC-19A3D3B1D322}" name="Cablage" totalsRowLabel="Total"/>
    <tableColumn id="2" xr3:uid="{8B39A32D-844F-48FE-B421-F010424ACE19}" name="Présente dans la malle" totalsRowFunction="custom">
      <totalsRowFormula>SUM(Tableau9296195[Présente dans la malle])</totalsRowFormula>
    </tableColumn>
    <tableColumn id="3" xr3:uid="{18B72B86-06CA-4730-82BF-758A054DE4E0}" name="Demande" totalsRowFunction="custom">
      <totalsRowFormula>SUM(Tableau9296195[Demande])</totalsRowFormula>
    </tableColumn>
    <tableColumn id="4" xr3:uid="{46AAA10B-4B65-4289-898B-A61E67EE052D}" name="Manque" totalsRowFunction="custom" dataDxfId="249">
      <calculatedColumnFormula>Tableau9296195[[#This Row],[Demande]]-Tableau9296195[[#This Row],[Présente dans la malle]]</calculatedColumnFormula>
      <totalsRowFormula>SUM(Tableau9296195[Manque])</totalsRowFormula>
    </tableColumn>
    <tableColumn id="5" xr3:uid="{4F85A38D-4200-4265-824C-B01D3E59DB9A}" name="Quantités acheté rajouté" totalsRowFunction="custom" dataDxfId="248" totalsRowDxfId="247" dataCellStyle="Monétaire">
      <totalsRowFormula>SUM(Tableau9296195[Quantités acheté rajouté])</totalsRowFormula>
    </tableColumn>
    <tableColumn id="6" xr3:uid="{06A34DC6-6830-4ADC-B9E4-42371C68BA11}" name="CU du matos rajouté acheté" dataDxfId="246" totalsRowDxfId="245" dataCellStyle="Monétaire"/>
    <tableColumn id="7" xr3:uid="{8B1538B7-5F64-4176-B136-AA5DF91CDA6D}" name="CT" totalsRowFunction="custom" dataDxfId="244" totalsRowDxfId="243" dataCellStyle="Monétaire" totalsRowCellStyle="Monétaire">
      <calculatedColumnFormula>Tableau9296195[[#This Row],[Quantités acheté rajouté]]*Tableau9296195[[#This Row],[CU du matos rajouté acheté]]</calculatedColumnFormula>
      <totalsRowFormula>SUM(Tableau9296195[CT])</totalsRowFormula>
    </tableColumn>
  </tableColumns>
  <tableStyleInfo name="TableStyleMedium8" showFirstColumn="1" showLastColumn="0" showRowStripes="1" showColumnStripes="0"/>
</table>
</file>

<file path=xl/tables/table66.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95" xr:uid="{00B0684C-6B28-469E-A90D-79617072196D}" name="Tableau9297196" displayName="Tableau9297196" ref="B36:H50" totalsRowCount="1" headerRowDxfId="242" dataDxfId="241" headerRowCellStyle="Monétaire" dataCellStyle="Monétaire">
  <autoFilter ref="B36:H49" xr:uid="{FD5003F7-4A4A-4EDC-9FAB-5DCA17A0517C}"/>
  <tableColumns count="7">
    <tableColumn id="1" xr3:uid="{42DF7CD6-66B5-4F13-8D49-980020AAE92D}" name="Mobilier" totalsRowLabel="Total"/>
    <tableColumn id="2" xr3:uid="{AB9491B5-FCB0-40B0-8C73-FE9C72BCAE79}" name="Présente dans la malle" totalsRowFunction="custom">
      <totalsRowFormula>SUM(Tableau9297196[Présente dans la malle])</totalsRowFormula>
    </tableColumn>
    <tableColumn id="3" xr3:uid="{D740B975-348E-4EBC-B3B4-EC678E901930}" name="Demande" totalsRowFunction="custom">
      <totalsRowFormula>SUM(Tableau9297196[Demande])</totalsRowFormula>
    </tableColumn>
    <tableColumn id="4" xr3:uid="{F4E006B6-0EA9-4AB8-8021-E73162E07B74}" name="Manque" totalsRowFunction="custom" dataDxfId="240">
      <calculatedColumnFormula>Tableau9297196[[#This Row],[Demande]]-Tableau9297196[[#This Row],[Présente dans la malle]]</calculatedColumnFormula>
      <totalsRowFormula>SUM(Tableau9297196[Manque])</totalsRowFormula>
    </tableColumn>
    <tableColumn id="5" xr3:uid="{CFC522E6-C00C-43F1-ADF2-A4C374AD3E02}" name="Quantités acheté rajouté" totalsRowFunction="custom" dataDxfId="239" totalsRowDxfId="238" dataCellStyle="Monétaire">
      <totalsRowFormula>SUM(Tableau9297196[Quantités acheté rajouté])</totalsRowFormula>
    </tableColumn>
    <tableColumn id="6" xr3:uid="{A4F3F5D4-81DA-4136-87BD-FD731D128EE0}" name="CU du matos rajouté acheté" dataDxfId="237" totalsRowDxfId="236" dataCellStyle="Monétaire"/>
    <tableColumn id="7" xr3:uid="{583330ED-8660-473D-ABA3-4FD0BB8E6416}" name="CT" totalsRowFunction="custom" dataDxfId="235" totalsRowDxfId="234" dataCellStyle="Monétaire" totalsRowCellStyle="Monétaire">
      <calculatedColumnFormula>Tableau9297196[[#This Row],[Quantités acheté rajouté]]*Tableau9297196[[#This Row],[CU du matos rajouté acheté]]</calculatedColumnFormula>
      <totalsRowFormula>SUM(Tableau9297196[CT])</totalsRowFormula>
    </tableColumn>
  </tableColumns>
  <tableStyleInfo name="TableStyleMedium8" showFirstColumn="1" showLastColumn="0" showRowStripes="1" showColumnStripes="0"/>
</table>
</file>

<file path=xl/tables/table67.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96" xr:uid="{00AAB099-FF02-4ACA-B8BA-27A1A23358E8}" name="Tableau92197" displayName="Tableau92197" ref="B2:H16" totalsRowCount="1" headerRowDxfId="221" dataDxfId="220" headerRowCellStyle="Monétaire" dataCellStyle="Monétaire">
  <autoFilter ref="B2:H15" xr:uid="{CA951C06-7478-41C1-A727-66DD8389681E}"/>
  <tableColumns count="7">
    <tableColumn id="1" xr3:uid="{38BD59E3-887A-4E2B-A55B-48405E002CBD}" name="Matériel" totalsRowLabel="Total"/>
    <tableColumn id="2" xr3:uid="{8A020958-537F-4686-85AC-0373EEAE4E29}" name="Présente dans la malle" totalsRowFunction="custom">
      <totalsRowFormula>SUM(Tableau92197[Présente dans la malle])</totalsRowFormula>
    </tableColumn>
    <tableColumn id="3" xr3:uid="{0094292A-3233-4047-8C4C-25A34C8FCA28}" name="Demande" totalsRowFunction="custom">
      <totalsRowFormula>SUM(Tableau92197[Demande])</totalsRowFormula>
    </tableColumn>
    <tableColumn id="4" xr3:uid="{86E383A0-DCEF-4A48-8E1E-E93E980E7D7A}" name="Manque" totalsRowFunction="custom" dataDxfId="219">
      <calculatedColumnFormula>Tableau92197[[#This Row],[Demande]]-Tableau92197[[#This Row],[Présente dans la malle]]</calculatedColumnFormula>
      <totalsRowFormula>SUM(Tableau92197[Manque])</totalsRowFormula>
    </tableColumn>
    <tableColumn id="5" xr3:uid="{B226D8E6-0D47-4297-990E-8BCA5E9290D9}" name="Quantités acheté rajouté" totalsRowFunction="custom" dataDxfId="218" totalsRowDxfId="217" dataCellStyle="Monétaire">
      <totalsRowFormula>SUM(Tableau92197[Quantités acheté rajouté])</totalsRowFormula>
    </tableColumn>
    <tableColumn id="6" xr3:uid="{5B24D56C-56F3-4B1F-8668-25B6344A50A5}" name="CU du matos rajouté acheté" dataDxfId="216" totalsRowDxfId="215" dataCellStyle="Monétaire"/>
    <tableColumn id="7" xr3:uid="{ECEA9EB9-5B8F-48BD-9AA5-8DB5FDCB10F3}" name="CT" totalsRowFunction="custom" dataDxfId="214" totalsRowDxfId="213" dataCellStyle="Monétaire">
      <calculatedColumnFormula>Tableau92197[[#This Row],[Quantités acheté rajouté]]*Tableau92197[[#This Row],[CU du matos rajouté acheté]]</calculatedColumnFormula>
      <totalsRowFormula>SUM(Tableau92197[CT])</totalsRowFormula>
    </tableColumn>
  </tableColumns>
  <tableStyleInfo name="TableStyleMedium8" showFirstColumn="1" showLastColumn="0" showRowStripes="1" showColumnStripes="0"/>
</table>
</file>

<file path=xl/tables/table68.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97" xr:uid="{76B94E71-8933-4B64-81E6-6CEEC2BA79B5}" name="Tableau9296198" displayName="Tableau9296198" ref="B19:H33" totalsRowCount="1" headerRowDxfId="212" dataDxfId="211" headerRowCellStyle="Monétaire" dataCellStyle="Monétaire">
  <autoFilter ref="B19:H32" xr:uid="{A373E7B4-E5E9-4C33-9BC8-71F7D19990C7}"/>
  <tableColumns count="7">
    <tableColumn id="1" xr3:uid="{6539EC51-C23C-42B2-B6B9-B512850B22A8}" name="Cablage" totalsRowLabel="Total"/>
    <tableColumn id="2" xr3:uid="{2694C90F-BDA6-4B2E-A039-4ED905E00D7A}" name="Présente dans la malle" totalsRowFunction="custom">
      <totalsRowFormula>SUM(Tableau9296198[Présente dans la malle])</totalsRowFormula>
    </tableColumn>
    <tableColumn id="3" xr3:uid="{D9F7408D-C2C5-4F32-8C14-00BB5F14E4A1}" name="Demande" totalsRowFunction="custom">
      <totalsRowFormula>SUM(Tableau9296198[Demande])</totalsRowFormula>
    </tableColumn>
    <tableColumn id="4" xr3:uid="{3B893078-6DBA-41D7-9524-1148AB86F76D}" name="Manque" totalsRowFunction="custom" dataDxfId="210">
      <calculatedColumnFormula>Tableau9296198[[#This Row],[Demande]]-Tableau9296198[[#This Row],[Présente dans la malle]]</calculatedColumnFormula>
      <totalsRowFormula>SUM(Tableau9296198[Manque])</totalsRowFormula>
    </tableColumn>
    <tableColumn id="5" xr3:uid="{5EC39AD8-E4C7-4642-8547-3049ABAA3144}" name="Quantités acheté rajouté" totalsRowFunction="custom" dataDxfId="209" totalsRowDxfId="208" dataCellStyle="Monétaire">
      <totalsRowFormula>SUM(Tableau9296198[Quantités acheté rajouté])</totalsRowFormula>
    </tableColumn>
    <tableColumn id="6" xr3:uid="{BD40CB8D-0FDF-48C1-9819-607D1F237706}" name="CU du matos rajouté acheté" dataDxfId="207" totalsRowDxfId="206" dataCellStyle="Monétaire"/>
    <tableColumn id="7" xr3:uid="{C2F644BB-2726-4199-ABA7-91609BE7F5FD}" name="CT" totalsRowFunction="custom" dataDxfId="205" totalsRowDxfId="204" dataCellStyle="Monétaire" totalsRowCellStyle="Monétaire">
      <calculatedColumnFormula>Tableau9296198[[#This Row],[Quantités acheté rajouté]]*Tableau9296198[[#This Row],[CU du matos rajouté acheté]]</calculatedColumnFormula>
      <totalsRowFormula>SUM(Tableau9296198[CT])</totalsRowFormula>
    </tableColumn>
  </tableColumns>
  <tableStyleInfo name="TableStyleMedium8" showFirstColumn="1" showLastColumn="0" showRowStripes="1" showColumnStripes="0"/>
</table>
</file>

<file path=xl/tables/table69.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98" xr:uid="{F2C45436-2BF5-4EE5-B14A-74A0A88438EF}" name="Tableau9297199" displayName="Tableau9297199" ref="B36:H50" totalsRowCount="1" headerRowDxfId="203" dataDxfId="202" headerRowCellStyle="Monétaire" dataCellStyle="Monétaire">
  <autoFilter ref="B36:H49" xr:uid="{3565214A-79A2-45EF-939E-4891A7F388B6}"/>
  <tableColumns count="7">
    <tableColumn id="1" xr3:uid="{076B418F-36BB-4379-B396-FA1EB24DC80B}" name="Mobilier" totalsRowLabel="Total"/>
    <tableColumn id="2" xr3:uid="{1EF29745-B507-42FB-AD8C-867D5445E511}" name="Présente dans la malle" totalsRowFunction="custom">
      <totalsRowFormula>SUM(Tableau9297199[Présente dans la malle])</totalsRowFormula>
    </tableColumn>
    <tableColumn id="3" xr3:uid="{2926E60E-2857-4001-9A36-5818C7538CBE}" name="Demande" totalsRowFunction="custom">
      <totalsRowFormula>SUM(Tableau9297199[Demande])</totalsRowFormula>
    </tableColumn>
    <tableColumn id="4" xr3:uid="{BD518877-268A-4E2A-B226-A2618EA8F656}" name="Manque" totalsRowFunction="custom" dataDxfId="201">
      <calculatedColumnFormula>Tableau9297199[[#This Row],[Demande]]-Tableau9297199[[#This Row],[Présente dans la malle]]</calculatedColumnFormula>
      <totalsRowFormula>SUM(Tableau9297199[Manque])</totalsRowFormula>
    </tableColumn>
    <tableColumn id="5" xr3:uid="{A2AE1C67-C306-4553-B77C-341139C15237}" name="Quantités acheté rajouté" totalsRowFunction="custom" dataDxfId="200" totalsRowDxfId="199" dataCellStyle="Monétaire">
      <totalsRowFormula>SUM(Tableau9297199[Quantités acheté rajouté])</totalsRowFormula>
    </tableColumn>
    <tableColumn id="6" xr3:uid="{D5313A1B-BB89-4705-BDBB-3A4CC1DC87EE}" name="CU du matos rajouté acheté" dataDxfId="198" totalsRowDxfId="197" dataCellStyle="Monétaire"/>
    <tableColumn id="7" xr3:uid="{84569E79-B391-425F-B025-DB5FE0C886A3}" name="CT" totalsRowFunction="custom" dataDxfId="196" totalsRowDxfId="195" dataCellStyle="Monétaire" totalsRowCellStyle="Monétaire">
      <calculatedColumnFormula>Tableau9297199[[#This Row],[Quantités acheté rajouté]]*Tableau9297199[[#This Row],[CU du matos rajouté acheté]]</calculatedColumnFormula>
      <totalsRowFormula>SUM(Tableau9297199[CT])</totalsRowFormula>
    </tableColumn>
  </tableColumns>
  <tableStyleInfo name="TableStyleMedium8" showFirstColumn="1" showLastColumn="0" showRowStripes="1" showColumnStripes="0"/>
</table>
</file>

<file path=xl/tables/table70.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05" xr:uid="{F5E8809B-A5BE-4D23-8CBD-BA44CB5DA822}" name="Tableau92206" displayName="Tableau92206" ref="B2:H16" totalsRowCount="1" headerRowDxfId="182" dataDxfId="181" headerRowCellStyle="Monétaire" dataCellStyle="Monétaire">
  <autoFilter ref="B2:H15" xr:uid="{B8FE5CB7-128C-4275-8B65-FBEF53B308CA}"/>
  <tableColumns count="7">
    <tableColumn id="1" xr3:uid="{E7759A6E-4928-44D7-8BB1-C7855BD9BA56}" name="Matériel" totalsRowLabel="Total"/>
    <tableColumn id="2" xr3:uid="{9141C23C-F72C-4206-98EE-23EF51704B1F}" name="Présente dans la malle" totalsRowFunction="custom">
      <totalsRowFormula>SUM(Tableau92206[Présente dans la malle])</totalsRowFormula>
    </tableColumn>
    <tableColumn id="3" xr3:uid="{4BBD9798-A15B-4381-8A17-0E88DD91F432}" name="Demande" totalsRowFunction="custom">
      <totalsRowFormula>SUM(Tableau92206[Demande])</totalsRowFormula>
    </tableColumn>
    <tableColumn id="4" xr3:uid="{1422F987-A6F4-458C-8896-BB8939BB0C2D}" name="Manque" totalsRowFunction="custom" dataDxfId="180">
      <calculatedColumnFormula>Tableau92206[[#This Row],[Demande]]-Tableau92206[[#This Row],[Présente dans la malle]]</calculatedColumnFormula>
      <totalsRowFormula>SUM(Tableau92206[Manque])</totalsRowFormula>
    </tableColumn>
    <tableColumn id="5" xr3:uid="{58A77A4D-3997-4107-89D1-8588869CF525}" name="Quantités acheté rajouté" totalsRowFunction="custom" dataDxfId="179" totalsRowDxfId="178" dataCellStyle="Monétaire">
      <totalsRowFormula>SUM(Tableau92206[Quantités acheté rajouté])</totalsRowFormula>
    </tableColumn>
    <tableColumn id="6" xr3:uid="{E4E859C9-B36E-472D-9A1A-49FD5456FF65}" name="CU du matos rajouté acheté" dataDxfId="177" totalsRowDxfId="176" dataCellStyle="Monétaire"/>
    <tableColumn id="7" xr3:uid="{EC56B41C-5204-4555-B12B-53BA3D1665D8}" name="CT" totalsRowFunction="custom" dataDxfId="175" totalsRowDxfId="174" dataCellStyle="Monétaire" totalsRowCellStyle="Monétaire">
      <calculatedColumnFormula>Tableau92206[[#This Row],[Quantités acheté rajouté]]*Tableau92206[[#This Row],[CU du matos rajouté acheté]]</calculatedColumnFormula>
      <totalsRowFormula>SUM(Tableau92206[CT])</totalsRowFormula>
    </tableColumn>
  </tableColumns>
  <tableStyleInfo name="TableStyleMedium8" showFirstColumn="1" showLastColumn="0" showRowStripes="1" showColumnStripes="0"/>
</table>
</file>

<file path=xl/tables/table7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06" xr:uid="{8DA50305-5B04-4182-99F2-1A82F78B78FD}" name="Tableau9296207" displayName="Tableau9296207" ref="B19:H33" totalsRowCount="1" headerRowDxfId="173" dataDxfId="172" headerRowCellStyle="Monétaire" dataCellStyle="Monétaire">
  <autoFilter ref="B19:H32" xr:uid="{FD0EC6D3-E3C8-44E6-BC8A-35545869A379}"/>
  <tableColumns count="7">
    <tableColumn id="1" xr3:uid="{02D7563E-E060-4568-8760-D7793D40BF7E}" name="Cablage" totalsRowLabel="Total"/>
    <tableColumn id="2" xr3:uid="{E85810DD-047C-4767-95EE-9457496F5B0D}" name="Présente dans la malle" totalsRowFunction="custom">
      <totalsRowFormula>SUM(Tableau9296207[Présente dans la malle])</totalsRowFormula>
    </tableColumn>
    <tableColumn id="3" xr3:uid="{878C4DD3-3EDB-4832-AAFC-50B262472DE5}" name="Demande" totalsRowFunction="custom">
      <totalsRowFormula>SUM(Tableau9296207[Demande])</totalsRowFormula>
    </tableColumn>
    <tableColumn id="4" xr3:uid="{EE6196B2-CBAC-4233-A3A7-4A4D7C8ED44B}" name="Manque" totalsRowFunction="custom" dataDxfId="171">
      <calculatedColumnFormula>Tableau9296207[[#This Row],[Demande]]-Tableau9296207[[#This Row],[Présente dans la malle]]</calculatedColumnFormula>
      <totalsRowFormula>SUM(Tableau9296207[Manque])</totalsRowFormula>
    </tableColumn>
    <tableColumn id="5" xr3:uid="{403CC369-D0E4-4EF7-8533-981977FB95F1}" name="Quantités acheté rajouté" totalsRowFunction="custom" dataDxfId="170" totalsRowDxfId="169" dataCellStyle="Monétaire">
      <totalsRowFormula>SUM(Tableau9296207[Quantités acheté rajouté])</totalsRowFormula>
    </tableColumn>
    <tableColumn id="6" xr3:uid="{CBA581FB-290B-44ED-AFF2-3557E5983FA1}" name="CU du matos rajouté acheté" dataDxfId="168" totalsRowDxfId="167" dataCellStyle="Monétaire"/>
    <tableColumn id="7" xr3:uid="{701E9CE5-CA32-4D78-8839-3C3B69E81CC5}" name="CT" totalsRowFunction="custom" dataDxfId="166" totalsRowDxfId="165" dataCellStyle="Monétaire" totalsRowCellStyle="Monétaire">
      <calculatedColumnFormula>Tableau9296207[[#This Row],[Quantités acheté rajouté]]*Tableau9296207[[#This Row],[CU du matos rajouté acheté]]</calculatedColumnFormula>
      <totalsRowFormula>SUM(Tableau9296207[CT])</totalsRowFormula>
    </tableColumn>
  </tableColumns>
  <tableStyleInfo name="TableStyleMedium8" showFirstColumn="1" showLastColumn="0" showRowStripes="1" showColumnStripes="0"/>
</table>
</file>

<file path=xl/tables/table7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07" xr:uid="{C98B4CD8-B475-4CB9-8420-55947C16EEF0}" name="Tableau9297208" displayName="Tableau9297208" ref="B36:H50" totalsRowCount="1" headerRowDxfId="164" dataDxfId="163" headerRowCellStyle="Monétaire" dataCellStyle="Monétaire">
  <autoFilter ref="B36:H49" xr:uid="{86E312D3-74EC-4192-A22B-C5C7265DAB8F}"/>
  <tableColumns count="7">
    <tableColumn id="1" xr3:uid="{D25750AD-2625-41E8-AD26-2B1BC87599DC}" name="Mobilier" totalsRowLabel="Total"/>
    <tableColumn id="2" xr3:uid="{A0FC05B6-EEAB-4B0C-B914-4DE42A561AC1}" name="Présente dans la malle" totalsRowFunction="custom">
      <totalsRowFormula>SUM(Tableau9297208[Présente dans la malle])</totalsRowFormula>
    </tableColumn>
    <tableColumn id="3" xr3:uid="{D8BF81A0-2C42-4F48-AEEC-6D7AE990714A}" name="Demande" totalsRowFunction="custom">
      <totalsRowFormula>SUM(Tableau9297208[Demande])</totalsRowFormula>
    </tableColumn>
    <tableColumn id="4" xr3:uid="{71ACD6B5-AFD6-4123-932B-DE2CD7F4D60C}" name="Manque" totalsRowFunction="custom" dataDxfId="162">
      <calculatedColumnFormula>Tableau9297208[[#This Row],[Demande]]-Tableau9297208[[#This Row],[Présente dans la malle]]</calculatedColumnFormula>
      <totalsRowFormula>SUM(Tableau9297208[Manque])</totalsRowFormula>
    </tableColumn>
    <tableColumn id="5" xr3:uid="{FB7922A6-7C55-4057-878A-B1FDEDEBD546}" name="Quantités acheté rajouté" totalsRowFunction="custom" dataDxfId="161" totalsRowDxfId="160" dataCellStyle="Monétaire">
      <totalsRowFormula>SUM(Tableau9297208[Quantités acheté rajouté])</totalsRowFormula>
    </tableColumn>
    <tableColumn id="6" xr3:uid="{77684FF1-7428-4553-88B1-B8D74355AF96}" name="CU du matos rajouté acheté" dataDxfId="159" totalsRowDxfId="158" dataCellStyle="Monétaire"/>
    <tableColumn id="7" xr3:uid="{3E4B438E-C649-41A5-B397-59B30B45C3E2}" name="CT" totalsRowFunction="custom" dataDxfId="157" totalsRowDxfId="156" dataCellStyle="Monétaire" totalsRowCellStyle="Monétaire">
      <calculatedColumnFormula>Tableau9297208[[#This Row],[Quantités acheté rajouté]]*Tableau9297208[[#This Row],[CU du matos rajouté acheté]]</calculatedColumnFormula>
      <totalsRowFormula>SUM(Tableau9297208[CT])</totalsRowFormula>
    </tableColumn>
  </tableColumns>
  <tableStyleInfo name="TableStyleMedium8" showFirstColumn="1" showLastColumn="0" showRowStripes="1" showColumnStripes="0"/>
</table>
</file>

<file path=xl/tables/table73.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14" xr:uid="{A91A5151-88BF-4468-A81C-08AD78D4141D}" name="Tableau92215" displayName="Tableau92215" ref="B2:H16" totalsRowCount="1" headerRowDxfId="143" dataDxfId="142" headerRowCellStyle="Monétaire" dataCellStyle="Monétaire">
  <autoFilter ref="B2:H15" xr:uid="{C9CE8801-59D1-4FA2-9BE9-95A637C0E1C3}"/>
  <tableColumns count="7">
    <tableColumn id="1" xr3:uid="{73462818-1D56-46FF-8322-6B4F761B6AA2}" name="Matériel" totalsRowLabel="Total"/>
    <tableColumn id="2" xr3:uid="{A19B5890-CF6F-4781-A62E-4B8BA30054DF}" name="Présente dans la malle" totalsRowFunction="custom">
      <totalsRowFormula>SUM(Tableau92215[Présente dans la malle])</totalsRowFormula>
    </tableColumn>
    <tableColumn id="3" xr3:uid="{2325D6DF-7330-41B4-B1DA-7B03C09A64D5}" name="Demande" totalsRowFunction="custom">
      <totalsRowFormula>SUM(Tableau92215[Demande])</totalsRowFormula>
    </tableColumn>
    <tableColumn id="4" xr3:uid="{A43ADE76-D9C9-48C9-907A-DE1CA14EA21B}" name="Manque" totalsRowFunction="custom" dataDxfId="141">
      <calculatedColumnFormula>Tableau92215[[#This Row],[Demande]]-Tableau92215[[#This Row],[Présente dans la malle]]</calculatedColumnFormula>
      <totalsRowFormula>SUM(Tableau92215[Manque])</totalsRowFormula>
    </tableColumn>
    <tableColumn id="5" xr3:uid="{A04C7370-7770-4157-B810-862B12887AC7}" name="Quantités acheté rajouté" totalsRowFunction="custom" dataDxfId="140" totalsRowDxfId="139" dataCellStyle="Monétaire">
      <totalsRowFormula>SUM(Tableau92215[Quantités acheté rajouté])</totalsRowFormula>
    </tableColumn>
    <tableColumn id="6" xr3:uid="{808B1992-BE51-4B46-886A-220F290B6AE6}" name="CU du matos rajouté acheté" dataDxfId="138" totalsRowDxfId="137" dataCellStyle="Monétaire"/>
    <tableColumn id="7" xr3:uid="{D4D4FD61-1697-4716-8D6A-09370F39AA6B}" name="CT" totalsRowFunction="custom" dataDxfId="136" totalsRowDxfId="135" dataCellStyle="Monétaire">
      <calculatedColumnFormula>Tableau92215[[#This Row],[Quantités acheté rajouté]]*Tableau92215[[#This Row],[CU du matos rajouté acheté]]</calculatedColumnFormula>
      <totalsRowFormula>SUM(Tableau92215[CT])</totalsRowFormula>
    </tableColumn>
  </tableColumns>
  <tableStyleInfo name="TableStyleMedium8" showFirstColumn="1" showLastColumn="0" showRowStripes="1" showColumnStripes="0"/>
</table>
</file>

<file path=xl/tables/table74.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15" xr:uid="{0BA584B3-7458-4B4E-969F-0DB1A9F98539}" name="Tableau9296216" displayName="Tableau9296216" ref="B19:H33" totalsRowCount="1" headerRowDxfId="134" dataDxfId="133" headerRowCellStyle="Monétaire" dataCellStyle="Monétaire">
  <autoFilter ref="B19:H32" xr:uid="{948C616E-7DF1-4CCF-B742-C87C23CDB447}"/>
  <tableColumns count="7">
    <tableColumn id="1" xr3:uid="{DF0B227C-08EB-4D35-951A-94BCD774645E}" name="Cablage" totalsRowLabel="Total"/>
    <tableColumn id="2" xr3:uid="{E3FAA676-DDE5-4634-A292-A7F175B2AE31}" name="Présente dans la malle" totalsRowFunction="custom">
      <totalsRowFormula>SUM(Tableau9296216[Présente dans la malle])</totalsRowFormula>
    </tableColumn>
    <tableColumn id="3" xr3:uid="{0306EA99-A759-4A0F-A901-A0BDA4A4E495}" name="Demande" totalsRowFunction="custom">
      <totalsRowFormula>SUM(Tableau9296216[Demande])</totalsRowFormula>
    </tableColumn>
    <tableColumn id="4" xr3:uid="{DBCB387A-DC02-4C32-90D3-69819C4A1538}" name="Manque" totalsRowFunction="custom" dataDxfId="132">
      <calculatedColumnFormula>Tableau9296216[[#This Row],[Demande]]-Tableau9296216[[#This Row],[Présente dans la malle]]</calculatedColumnFormula>
      <totalsRowFormula>SUM(Tableau9296216[Manque])</totalsRowFormula>
    </tableColumn>
    <tableColumn id="5" xr3:uid="{FFED7982-102A-4CFA-A3D1-834B3A4E22AD}" name="Quantités acheté rajouté" totalsRowFunction="custom" dataDxfId="131" totalsRowDxfId="130" dataCellStyle="Monétaire">
      <totalsRowFormula>SUM(Tableau9296216[Quantités acheté rajouté])</totalsRowFormula>
    </tableColumn>
    <tableColumn id="6" xr3:uid="{68829B38-FA54-49F9-84CC-267F1C96EFBF}" name="CU du matos rajouté acheté" dataDxfId="129" totalsRowDxfId="128" dataCellStyle="Monétaire"/>
    <tableColumn id="7" xr3:uid="{965DDD13-2B5D-4A3B-A138-FAC37E0925D9}" name="CT" totalsRowFunction="custom" dataDxfId="127" totalsRowDxfId="126" dataCellStyle="Monétaire" totalsRowCellStyle="Monétaire">
      <calculatedColumnFormula>Tableau9296216[[#This Row],[Quantités acheté rajouté]]*Tableau9296216[[#This Row],[CU du matos rajouté acheté]]</calculatedColumnFormula>
      <totalsRowFormula>SUM(Tableau9296216[CT])</totalsRowFormula>
    </tableColumn>
  </tableColumns>
  <tableStyleInfo name="TableStyleMedium8" showFirstColumn="1" showLastColumn="0" showRowStripes="1" showColumnStripes="0"/>
</table>
</file>

<file path=xl/tables/table75.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16" xr:uid="{942A8495-84C0-46AA-922A-1A09EF4D57E1}" name="Tableau9297217" displayName="Tableau9297217" ref="B36:H50" totalsRowCount="1" headerRowDxfId="125" dataDxfId="124" headerRowCellStyle="Monétaire" dataCellStyle="Monétaire">
  <autoFilter ref="B36:H49" xr:uid="{655957A7-84EE-4417-B9FB-043F5F067F63}"/>
  <tableColumns count="7">
    <tableColumn id="1" xr3:uid="{C272246C-8EB3-434A-AC29-0D36E80F73B6}" name="Mobilier" totalsRowLabel="Total"/>
    <tableColumn id="2" xr3:uid="{77AFBFC4-DA6F-4425-86F6-91199D0768DB}" name="Présente dans la malle" totalsRowFunction="custom">
      <totalsRowFormula>SUM(Tableau9297217[Présente dans la malle])</totalsRowFormula>
    </tableColumn>
    <tableColumn id="3" xr3:uid="{E898B95F-A765-41E7-BA59-AA8823B24DDF}" name="Demande" totalsRowFunction="custom">
      <totalsRowFormula>SUM(Tableau9297217[Demande])</totalsRowFormula>
    </tableColumn>
    <tableColumn id="4" xr3:uid="{40F58167-6C7B-4BCD-9C82-F78648FBA45E}" name="Manque" totalsRowFunction="custom" dataDxfId="123">
      <calculatedColumnFormula>Tableau9297217[[#This Row],[Demande]]-Tableau9297217[[#This Row],[Présente dans la malle]]</calculatedColumnFormula>
      <totalsRowFormula>SUM(Tableau9297217[Manque])</totalsRowFormula>
    </tableColumn>
    <tableColumn id="5" xr3:uid="{A3471741-78B9-44AB-BCA9-118308658494}" name="Quantités acheté rajouté" totalsRowFunction="custom" dataDxfId="122" totalsRowDxfId="121" dataCellStyle="Monétaire">
      <totalsRowFormula>SUM(Tableau9297217[Quantités acheté rajouté])</totalsRowFormula>
    </tableColumn>
    <tableColumn id="6" xr3:uid="{A2CAF0C5-70B5-4AA9-B39A-9A062D49D052}" name="CU du matos rajouté acheté" dataDxfId="120" totalsRowDxfId="119" dataCellStyle="Monétaire"/>
    <tableColumn id="7" xr3:uid="{E83E9825-995C-4D08-BD6C-B3E2A655AD94}" name="CT" totalsRowFunction="custom" dataDxfId="118" totalsRowDxfId="117" dataCellStyle="Monétaire" totalsRowCellStyle="Monétaire">
      <calculatedColumnFormula>Tableau9297217[[#This Row],[Quantités acheté rajouté]]*Tableau9297217[[#This Row],[CU du matos rajouté acheté]]</calculatedColumnFormula>
      <totalsRowFormula>SUM(Tableau9297217[CT])</totalsRowFormula>
    </tableColumn>
  </tableColumns>
  <tableStyleInfo name="TableStyleMedium8" showFirstColumn="1" showLastColumn="0" showRowStripes="1" showColumnStripes="0"/>
</table>
</file>

<file path=xl/tables/table76.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20" xr:uid="{6C351D2C-3884-4CB4-8B5F-AC63F8F885EC}" name="Tableau92218221" displayName="Tableau92218221" ref="B2:H16" totalsRowCount="1" headerRowDxfId="104" dataDxfId="103" headerRowCellStyle="Monétaire" dataCellStyle="Monétaire">
  <autoFilter ref="B2:H15" xr:uid="{1AFBCCA6-6D1F-449E-B8C2-E32CCC1B23EF}"/>
  <tableColumns count="7">
    <tableColumn id="1" xr3:uid="{FE9F43E9-1CAA-42DC-8337-E5B1058F6696}" name="Matériel" totalsRowLabel="Total"/>
    <tableColumn id="2" xr3:uid="{F247BE86-062E-4510-AD9C-68879642255A}" name="Présente dans la malle" totalsRowFunction="custom">
      <totalsRowFormula>SUM(Tableau92218221[Présente dans la malle])</totalsRowFormula>
    </tableColumn>
    <tableColumn id="3" xr3:uid="{DCB2C8D6-D23F-4B91-8DD9-62BC30EE145E}" name="Demande" totalsRowFunction="custom">
      <totalsRowFormula>SUM(Tableau92218221[Demande])</totalsRowFormula>
    </tableColumn>
    <tableColumn id="4" xr3:uid="{31D95790-5A16-4A77-B8BE-F44A1E33DB21}" name="Manque" totalsRowFunction="custom" dataDxfId="102">
      <calculatedColumnFormula>Tableau92218221[[#This Row],[Demande]]-Tableau92218221[[#This Row],[Présente dans la malle]]</calculatedColumnFormula>
      <totalsRowFormula>SUM(Tableau92218221[Manque])</totalsRowFormula>
    </tableColumn>
    <tableColumn id="5" xr3:uid="{5D4FC5D7-CE72-4A5D-BD89-3F22B47552EF}" name="Quantités acheté rajouté" totalsRowFunction="custom" dataDxfId="101" totalsRowDxfId="100" dataCellStyle="Monétaire">
      <totalsRowFormula>SUM(Tableau92218221[Quantités acheté rajouté])</totalsRowFormula>
    </tableColumn>
    <tableColumn id="6" xr3:uid="{8A4317F0-6315-4B0F-A995-E49596053168}" name="CU du matos rajouté acheté" dataDxfId="99" totalsRowDxfId="98" dataCellStyle="Monétaire"/>
    <tableColumn id="7" xr3:uid="{07B78E5E-7970-4243-BCD2-AFBBE443F4EF}" name="CT" totalsRowFunction="custom" dataDxfId="97" totalsRowDxfId="96" dataCellStyle="Monétaire" totalsRowCellStyle="Monétaire">
      <calculatedColumnFormula>Tableau92218221[[#This Row],[Quantités acheté rajouté]]*Tableau92218221[[#This Row],[CU du matos rajouté acheté]]</calculatedColumnFormula>
      <totalsRowFormula>SUM(Tableau92218221[CT])</totalsRowFormula>
    </tableColumn>
  </tableColumns>
  <tableStyleInfo name="TableStyleMedium8" showFirstColumn="1" showLastColumn="0" showRowStripes="1" showColumnStripes="0"/>
</table>
</file>

<file path=xl/tables/table77.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21" xr:uid="{AE1F100C-7D1C-4B36-8990-80D17068ADA0}" name="Tableau9296219222" displayName="Tableau9296219222" ref="B19:H33" totalsRowCount="1" headerRowDxfId="95" dataDxfId="94" headerRowCellStyle="Monétaire" dataCellStyle="Monétaire">
  <autoFilter ref="B19:H32" xr:uid="{4897C737-E8EE-4D5F-9012-F4B6F271C24F}"/>
  <tableColumns count="7">
    <tableColumn id="1" xr3:uid="{46771E98-B20D-4B32-BE1C-983E2DA09DB6}" name="Cablage" totalsRowLabel="Total"/>
    <tableColumn id="2" xr3:uid="{900A1565-AD86-4788-8369-A8AE74276C3C}" name="Présente dans la malle" totalsRowFunction="custom">
      <totalsRowFormula>SUM(Tableau9296219222[Présente dans la malle])</totalsRowFormula>
    </tableColumn>
    <tableColumn id="3" xr3:uid="{83233569-04E1-49B7-9624-9ED713ED7A2F}" name="Demande" totalsRowFunction="custom">
      <totalsRowFormula>SUM(Tableau9296219222[Demande])</totalsRowFormula>
    </tableColumn>
    <tableColumn id="4" xr3:uid="{14C68941-7F69-47D3-9EA4-3C840138DA84}" name="Manque" totalsRowFunction="custom" dataDxfId="93">
      <calculatedColumnFormula>Tableau9296219222[[#This Row],[Demande]]-Tableau9296219222[[#This Row],[Présente dans la malle]]</calculatedColumnFormula>
      <totalsRowFormula>SUM(Tableau9296219222[Manque])</totalsRowFormula>
    </tableColumn>
    <tableColumn id="5" xr3:uid="{CEADF4C6-C906-47A7-99C3-222CFD93DC80}" name="Quantités acheté rajouté" totalsRowFunction="custom" dataDxfId="92" totalsRowDxfId="91" dataCellStyle="Monétaire">
      <totalsRowFormula>SUM(Tableau9296219222[Quantités acheté rajouté])</totalsRowFormula>
    </tableColumn>
    <tableColumn id="6" xr3:uid="{7595781B-108E-4CE0-8872-2539B1BF3F4C}" name="CU du matos rajouté acheté" dataDxfId="90" totalsRowDxfId="89" dataCellStyle="Monétaire"/>
    <tableColumn id="7" xr3:uid="{0D742DC0-94B4-4F2A-9978-70DED51D452A}" name="CT" totalsRowFunction="custom" dataDxfId="88" totalsRowDxfId="87" dataCellStyle="Monétaire" totalsRowCellStyle="Monétaire">
      <calculatedColumnFormula>Tableau9296219222[[#This Row],[Quantités acheté rajouté]]*Tableau9296219222[[#This Row],[CU du matos rajouté acheté]]</calculatedColumnFormula>
      <totalsRowFormula>SUM(Tableau9296219222[CT])</totalsRowFormula>
    </tableColumn>
  </tableColumns>
  <tableStyleInfo name="TableStyleMedium8" showFirstColumn="1" showLastColumn="0" showRowStripes="1" showColumnStripes="0"/>
</table>
</file>

<file path=xl/tables/table78.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22" xr:uid="{827EB04D-63B4-48EA-8E2C-BC5EC8D68FDC}" name="Tableau9297220223" displayName="Tableau9297220223" ref="B36:H50" totalsRowCount="1" headerRowDxfId="86" dataDxfId="85" headerRowCellStyle="Monétaire" dataCellStyle="Monétaire">
  <autoFilter ref="B36:H49" xr:uid="{08035B26-576A-4169-943C-BA4234D8E28E}"/>
  <tableColumns count="7">
    <tableColumn id="1" xr3:uid="{F919D08F-AD54-418F-BEC8-C6200977C3ED}" name="Mobilier" totalsRowLabel="Total"/>
    <tableColumn id="2" xr3:uid="{AD7E35BD-277D-4B21-B0CC-88C48D9D87C1}" name="Présente dans la malle" totalsRowFunction="custom">
      <totalsRowFormula>SUM(Tableau9297220223[Présente dans la malle])</totalsRowFormula>
    </tableColumn>
    <tableColumn id="3" xr3:uid="{C86D7C3F-959F-4E20-88F2-856231119E29}" name="Demande" totalsRowFunction="custom">
      <totalsRowFormula>SUM(Tableau9297220223[Demande])</totalsRowFormula>
    </tableColumn>
    <tableColumn id="4" xr3:uid="{68BDC782-96E5-4756-9BFA-AD0131C5197B}" name="Manque" totalsRowFunction="custom" dataDxfId="84">
      <calculatedColumnFormula>Tableau9297220223[[#This Row],[Demande]]-Tableau9297220223[[#This Row],[Présente dans la malle]]</calculatedColumnFormula>
      <totalsRowFormula>SUM(Tableau9297220223[Manque])</totalsRowFormula>
    </tableColumn>
    <tableColumn id="5" xr3:uid="{2B1440E8-5E2B-4D71-B2F5-AC580ED67B79}" name="Quantités acheté rajouté" totalsRowFunction="custom" dataDxfId="83" totalsRowDxfId="82" dataCellStyle="Monétaire">
      <totalsRowFormula>SUM(Tableau9297220223[Quantités acheté rajouté])</totalsRowFormula>
    </tableColumn>
    <tableColumn id="6" xr3:uid="{4CBB49B9-678F-475B-B7AC-A00F8887A085}" name="CU du matos rajouté acheté" dataDxfId="81" totalsRowDxfId="80" dataCellStyle="Monétaire"/>
    <tableColumn id="7" xr3:uid="{F6DDB546-437D-415D-9797-61D9C4313653}" name="CT" totalsRowFunction="custom" dataDxfId="79" totalsRowDxfId="78" dataCellStyle="Monétaire" totalsRowCellStyle="Monétaire">
      <calculatedColumnFormula>Tableau9297220223[[#This Row],[Quantités acheté rajouté]]*Tableau9297220223[[#This Row],[CU du matos rajouté acheté]]</calculatedColumnFormula>
      <totalsRowFormula>SUM(Tableau9297220223[CT])</totalsRowFormula>
    </tableColumn>
  </tableColumns>
  <tableStyleInfo name="TableStyleMedium8" showFirstColumn="1" showLastColumn="0" showRowStripes="1" showColumnStripes="0"/>
</table>
</file>

<file path=xl/tables/table79.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44" xr:uid="{47AE3E5C-6C25-4064-82BC-6F20F6125602}" name="Tableau92218245" displayName="Tableau92218245" ref="B2:H16" totalsRowCount="1" headerRowDxfId="65" dataDxfId="64" headerRowCellStyle="Monétaire" dataCellStyle="Monétaire">
  <autoFilter ref="B2:H15" xr:uid="{69C982A6-12B5-4B64-87FD-59DC248289AD}"/>
  <tableColumns count="7">
    <tableColumn id="1" xr3:uid="{027720D8-83A8-4634-9F56-278624CB596B}" name="Matériel" totalsRowLabel="Total"/>
    <tableColumn id="2" xr3:uid="{261CC7FF-83B3-4573-8894-65261810CBB3}" name="Présente dans la malle" totalsRowFunction="custom">
      <totalsRowFormula>SUM(Tableau92218245[Présente dans la malle])</totalsRowFormula>
    </tableColumn>
    <tableColumn id="3" xr3:uid="{23B7186E-0A7A-4707-9E20-6714CF58CAA7}" name="Demande" totalsRowFunction="custom">
      <totalsRowFormula>SUM(Tableau92218245[Demande])</totalsRowFormula>
    </tableColumn>
    <tableColumn id="4" xr3:uid="{B232DE52-875D-40B7-9F37-7CE3C505ACC9}" name="Manque" totalsRowFunction="custom" dataDxfId="63">
      <calculatedColumnFormula>Tableau92218245[[#This Row],[Demande]]-Tableau92218245[[#This Row],[Présente dans la malle]]</calculatedColumnFormula>
      <totalsRowFormula>SUM(Tableau92218245[Manque])</totalsRowFormula>
    </tableColumn>
    <tableColumn id="5" xr3:uid="{D75ACEA8-9A9E-4BB1-9AC0-368B0DA2E360}" name="Quantités acheté rajouté" totalsRowFunction="custom" dataDxfId="62" totalsRowDxfId="61" dataCellStyle="Monétaire">
      <totalsRowFormula>SUM(Tableau92218245[Quantités acheté rajouté])</totalsRowFormula>
    </tableColumn>
    <tableColumn id="6" xr3:uid="{C1D0ECEB-BA5D-4B8A-BF31-D78E6F4E164C}" name="CU du matos rajouté acheté" dataDxfId="60" totalsRowDxfId="59" dataCellStyle="Monétaire"/>
    <tableColumn id="7" xr3:uid="{234997D3-310F-49BC-B16C-930B8735F764}" name="CT" totalsRowFunction="custom" dataDxfId="58" totalsRowDxfId="57" dataCellStyle="Monétaire">
      <calculatedColumnFormula>Tableau92218245[[#This Row],[Quantités acheté rajouté]]*Tableau92218245[[#This Row],[CU du matos rajouté acheté]]</calculatedColumnFormula>
      <totalsRowFormula>SUM(Tableau92218245[CT])</totalsRowFormula>
    </tableColumn>
  </tableColumns>
  <tableStyleInfo name="TableStyleMedium8" showFirstColumn="1" showLastColumn="0" showRowStripes="1" showColumnStripes="0"/>
</table>
</file>

<file path=xl/tables/table80.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45" xr:uid="{2EB6C6B6-1808-481F-B3F5-88DC285FE3AE}" name="Tableau9296219246" displayName="Tableau9296219246" ref="B19:H33" totalsRowCount="1" headerRowDxfId="56" dataDxfId="55" headerRowCellStyle="Monétaire" dataCellStyle="Monétaire">
  <autoFilter ref="B19:H32" xr:uid="{54071B2C-7E15-43FD-AF1F-CDF574F8F806}"/>
  <tableColumns count="7">
    <tableColumn id="1" xr3:uid="{0C9E08F1-C67F-486F-8660-DFD95383239A}" name="Cablage" totalsRowLabel="Total"/>
    <tableColumn id="2" xr3:uid="{5E2216DC-5552-49C6-95E1-C2F14B5B337A}" name="Présente dans la malle" totalsRowFunction="custom">
      <totalsRowFormula>SUM(Tableau9296219246[Présente dans la malle])</totalsRowFormula>
    </tableColumn>
    <tableColumn id="3" xr3:uid="{CAEC3C6B-6CBD-4C1C-8E4A-517F4E8D3C4D}" name="Demande" totalsRowFunction="custom">
      <totalsRowFormula>SUM(Tableau9296219246[Demande])</totalsRowFormula>
    </tableColumn>
    <tableColumn id="4" xr3:uid="{0F4F3C4C-2646-4DB1-86CD-DD5C2BE15276}" name="Manque" totalsRowFunction="custom" dataDxfId="54">
      <calculatedColumnFormula>Tableau9296219246[[#This Row],[Demande]]-Tableau9296219246[[#This Row],[Présente dans la malle]]</calculatedColumnFormula>
      <totalsRowFormula>SUM(Tableau9296219246[Manque])</totalsRowFormula>
    </tableColumn>
    <tableColumn id="5" xr3:uid="{D210FEE1-6CF1-4DCC-A963-A07998B0B66F}" name="Quantités acheté rajouté" totalsRowFunction="custom" dataDxfId="53" totalsRowDxfId="52" dataCellStyle="Monétaire">
      <totalsRowFormula>SUM(Tableau9296219246[Quantités acheté rajouté])</totalsRowFormula>
    </tableColumn>
    <tableColumn id="6" xr3:uid="{FAC161EE-D5C5-4BD9-B385-943F8E26011D}" name="CU du matos rajouté acheté" dataDxfId="51" totalsRowDxfId="50" dataCellStyle="Monétaire"/>
    <tableColumn id="7" xr3:uid="{DD66C072-DA6E-46E5-9511-980E215000D7}" name="CT" totalsRowFunction="custom" dataDxfId="49" totalsRowDxfId="48" dataCellStyle="Monétaire" totalsRowCellStyle="Monétaire">
      <calculatedColumnFormula>Tableau9296219246[[#This Row],[Quantités acheté rajouté]]*Tableau9296219246[[#This Row],[CU du matos rajouté acheté]]</calculatedColumnFormula>
      <totalsRowFormula>SUM(Tableau9296219246[CT])</totalsRowFormula>
    </tableColumn>
  </tableColumns>
  <tableStyleInfo name="TableStyleMedium8" showFirstColumn="1" showLastColumn="0" showRowStripes="1" showColumnStripes="0"/>
</table>
</file>

<file path=xl/tables/table8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46" xr:uid="{BA5C2A32-5EED-46EC-B1AD-26A02099B66E}" name="Tableau9297220247" displayName="Tableau9297220247" ref="B36:H50" totalsRowCount="1" headerRowDxfId="47" dataDxfId="46" headerRowCellStyle="Monétaire" dataCellStyle="Monétaire">
  <autoFilter ref="B36:H49" xr:uid="{F4B97549-006D-41C6-A6C3-7A68BBDF6902}"/>
  <tableColumns count="7">
    <tableColumn id="1" xr3:uid="{A12CB0CD-9048-4852-912C-A519A6DE6D6B}" name="Mobilier" totalsRowLabel="Total"/>
    <tableColumn id="2" xr3:uid="{42A70EF2-D30E-49C8-8494-B64E9391DFEE}" name="Présente dans la malle" totalsRowFunction="custom">
      <totalsRowFormula>SUM(Tableau9297220247[Présente dans la malle])</totalsRowFormula>
    </tableColumn>
    <tableColumn id="3" xr3:uid="{389AC8D9-79BC-46AD-AA90-D9E4D433C223}" name="Demande" totalsRowFunction="custom">
      <totalsRowFormula>SUM(Tableau9297220247[Demande])</totalsRowFormula>
    </tableColumn>
    <tableColumn id="4" xr3:uid="{8A606D11-6737-48C9-A911-F8BFD4C988DD}" name="Manque" totalsRowFunction="custom" dataDxfId="45">
      <calculatedColumnFormula>Tableau9297220247[[#This Row],[Demande]]-Tableau9297220247[[#This Row],[Présente dans la malle]]</calculatedColumnFormula>
      <totalsRowFormula>SUM(Tableau9297220247[Manque])</totalsRowFormula>
    </tableColumn>
    <tableColumn id="5" xr3:uid="{EFB7E227-8299-40BE-9B7E-54E13A83B454}" name="Quantités acheté rajouté" totalsRowFunction="custom" dataDxfId="44" totalsRowDxfId="43" dataCellStyle="Monétaire">
      <totalsRowFormula>SUM(Tableau9297220247[Quantités acheté rajouté])</totalsRowFormula>
    </tableColumn>
    <tableColumn id="6" xr3:uid="{26026D59-915C-45D1-893F-1E1DA10ECB85}" name="CU du matos rajouté acheté" dataDxfId="42" totalsRowDxfId="41" dataCellStyle="Monétaire"/>
    <tableColumn id="7" xr3:uid="{9F62C655-2272-4544-9094-C1676E5EE9C3}" name="CT" totalsRowFunction="custom" dataDxfId="40" totalsRowDxfId="39" dataCellStyle="Monétaire" totalsRowCellStyle="Monétaire">
      <calculatedColumnFormula>Tableau9297220247[[#This Row],[Quantités acheté rajouté]]*Tableau9297220247[[#This Row],[CU du matos rajouté acheté]]</calculatedColumnFormula>
      <totalsRowFormula>SUM(Tableau9297220247[CT])</totalsRowFormula>
    </tableColumn>
  </tableColumns>
  <tableStyleInfo name="TableStyleMedium8" showFirstColumn="1" showLastColumn="0" showRowStripes="1" showColumnStripes="0"/>
</table>
</file>

<file path=xl/tables/table8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50" xr:uid="{71EEE29B-2F65-4E99-BBA3-C40AA6ED2D33}" name="Tableau92218251" displayName="Tableau92218251" ref="B2:H27" totalsRowCount="1" headerRowDxfId="26" dataDxfId="25" headerRowCellStyle="Monétaire" dataCellStyle="Monétaire">
  <autoFilter ref="B2:H26" xr:uid="{1AD3D69E-FE8B-4EDD-BF99-A540F89C0B4B}"/>
  <tableColumns count="7">
    <tableColumn id="1" xr3:uid="{CC36C50D-311C-4AA5-A122-928433CEBA2B}" name="Matériel" totalsRowLabel="Total"/>
    <tableColumn id="2" xr3:uid="{DDEA7C43-2524-4F07-B8DF-711A07D1C418}" name="Présente dans la malle" totalsRowFunction="custom">
      <totalsRowFormula>SUM(Tableau92218251[Présente dans la malle])</totalsRowFormula>
    </tableColumn>
    <tableColumn id="3" xr3:uid="{23DEB8A9-91A8-432B-A9D7-3310E9853726}" name="Demande" totalsRowFunction="custom">
      <totalsRowFormula>SUM(Tableau92218251[Demande])</totalsRowFormula>
    </tableColumn>
    <tableColumn id="4" xr3:uid="{FE3A669F-F7A5-4444-9CC5-AC6562E6570E}" name="Manque" totalsRowFunction="custom" dataDxfId="24">
      <calculatedColumnFormula>Tableau92218251[[#This Row],[Demande]]-Tableau92218251[[#This Row],[Présente dans la malle]]</calculatedColumnFormula>
      <totalsRowFormula>SUM(Tableau92218251[Manque])</totalsRowFormula>
    </tableColumn>
    <tableColumn id="5" xr3:uid="{3BADC556-327B-4FF2-96ED-C87C3D6CD5D4}" name="Quantités acheté rajouté" totalsRowFunction="custom" dataDxfId="23" totalsRowDxfId="22" dataCellStyle="Monétaire">
      <totalsRowFormula>SUM(Tableau92218251[Quantités acheté rajouté])</totalsRowFormula>
    </tableColumn>
    <tableColumn id="6" xr3:uid="{22E026F4-A4DC-4868-BF32-ACD42058469C}" name="CU du matos rajouté acheté" dataDxfId="21" totalsRowDxfId="20" dataCellStyle="Monétaire"/>
    <tableColumn id="7" xr3:uid="{17B58A55-8C51-4A4D-B6CA-E27B11432FDC}" name="CT" totalsRowFunction="custom" dataDxfId="19" totalsRowDxfId="18" dataCellStyle="Monétaire">
      <calculatedColumnFormula>Tableau92218251[[#This Row],[Quantités acheté rajouté]]*Tableau92218251[[#This Row],[CU du matos rajouté acheté]]</calculatedColumnFormula>
      <totalsRowFormula>SUM(Tableau92218251[CT])</totalsRowFormula>
    </tableColumn>
  </tableColumns>
  <tableStyleInfo name="TableStyleMedium8" showFirstColumn="1" showLastColumn="0" showRowStripes="1" showColumnStripes="0"/>
</table>
</file>

<file path=xl/tables/table83.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51" xr:uid="{C476E4ED-7B5A-400B-BDB7-01C67ECC356B}" name="Tableau9296219252" displayName="Tableau9296219252" ref="B30:H44" totalsRowCount="1" headerRowDxfId="17" dataDxfId="16" headerRowCellStyle="Monétaire" dataCellStyle="Monétaire">
  <autoFilter ref="B30:H43" xr:uid="{562B5931-C091-45A1-ACB1-AA7FA472559C}"/>
  <tableColumns count="7">
    <tableColumn id="1" xr3:uid="{00F1013B-44A3-4E7F-97DF-4068A58AAEDE}" name="Cablage" totalsRowLabel="Total"/>
    <tableColumn id="2" xr3:uid="{F32FE1E2-B8CD-4E1A-A53D-A37D327C8BBD}" name="Présente dans la malle" totalsRowFunction="custom">
      <totalsRowFormula>SUM(Tableau9296219252[Présente dans la malle])</totalsRowFormula>
    </tableColumn>
    <tableColumn id="3" xr3:uid="{C981A727-BA63-4375-9967-F6550521C0DA}" name="Demande" totalsRowFunction="custom">
      <totalsRowFormula>SUM(Tableau9296219252[Demande])</totalsRowFormula>
    </tableColumn>
    <tableColumn id="4" xr3:uid="{92DE02F8-3DD3-44AB-A80A-E87A330D546A}" name="Manque" totalsRowFunction="custom" dataDxfId="15">
      <calculatedColumnFormula>Tableau9296219252[[#This Row],[Demande]]-Tableau9296219252[[#This Row],[Présente dans la malle]]</calculatedColumnFormula>
      <totalsRowFormula>SUM(Tableau9296219252[Manque])</totalsRowFormula>
    </tableColumn>
    <tableColumn id="5" xr3:uid="{BB2F75B6-7DA2-44C6-AF43-F30F0C5CD72F}" name="Quantités acheté rajouté" totalsRowFunction="custom" dataDxfId="14" totalsRowDxfId="13" dataCellStyle="Monétaire">
      <totalsRowFormula>SUM(Tableau9296219252[Quantités acheté rajouté])</totalsRowFormula>
    </tableColumn>
    <tableColumn id="6" xr3:uid="{B1B6337B-4D95-451A-999E-597A77B789AF}" name="CU du matos rajouté acheté" dataDxfId="12" totalsRowDxfId="11" dataCellStyle="Monétaire"/>
    <tableColumn id="7" xr3:uid="{E3B8FAC5-7D99-4725-B211-D1A5768F91F5}" name="CT" totalsRowFunction="custom" dataDxfId="10" totalsRowDxfId="9" dataCellStyle="Monétaire" totalsRowCellStyle="Monétaire">
      <calculatedColumnFormula>Tableau9296219252[[#This Row],[Quantités acheté rajouté]]*Tableau9296219252[[#This Row],[CU du matos rajouté acheté]]</calculatedColumnFormula>
      <totalsRowFormula>SUM(Tableau9296219252[CT])</totalsRowFormula>
    </tableColumn>
  </tableColumns>
  <tableStyleInfo name="TableStyleMedium8" showFirstColumn="1" showLastColumn="0" showRowStripes="1" showColumnStripes="0"/>
</table>
</file>

<file path=xl/tables/table84.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52" xr:uid="{1D1237D4-35E7-4ACA-856B-F7956692D80B}" name="Tableau9297220253" displayName="Tableau9297220253" ref="B47:H61" totalsRowCount="1" headerRowDxfId="8" dataDxfId="7" headerRowCellStyle="Monétaire" dataCellStyle="Monétaire">
  <autoFilter ref="B47:H60" xr:uid="{91A3B5FC-8CA2-4039-831A-70BF88BFCCDF}"/>
  <tableColumns count="7">
    <tableColumn id="1" xr3:uid="{AAD0FB0B-26CC-436C-9EFB-1C6DE97F7DC6}" name="Mobilier" totalsRowLabel="Total"/>
    <tableColumn id="2" xr3:uid="{91FFEDCC-C906-4C91-A884-319E35B95886}" name="Présente dans la malle" totalsRowFunction="custom">
      <totalsRowFormula>SUM(Tableau9297220253[Présente dans la malle])</totalsRowFormula>
    </tableColumn>
    <tableColumn id="3" xr3:uid="{A2477BD5-1FA3-45E8-A116-EC5E7CEAB362}" name="Demande" totalsRowFunction="custom">
      <totalsRowFormula>SUM(Tableau9297220253[Demande])</totalsRowFormula>
    </tableColumn>
    <tableColumn id="4" xr3:uid="{7217FD00-04A6-4120-811D-F2A95A4F77AF}" name="Manque" totalsRowFunction="custom" dataDxfId="6">
      <calculatedColumnFormula>Tableau9297220253[[#This Row],[Demande]]-Tableau9297220253[[#This Row],[Présente dans la malle]]</calculatedColumnFormula>
      <totalsRowFormula>SUM(Tableau9297220253[Manque])</totalsRowFormula>
    </tableColumn>
    <tableColumn id="5" xr3:uid="{88C60766-7599-4F29-A34F-92051BF195D4}" name="Quantités acheté rajouté" totalsRowFunction="custom" dataDxfId="5" totalsRowDxfId="4" dataCellStyle="Monétaire">
      <totalsRowFormula>SUM(Tableau9297220253[Quantités acheté rajouté])</totalsRowFormula>
    </tableColumn>
    <tableColumn id="6" xr3:uid="{E8466733-44C4-4B0B-8F48-42803207191C}" name="CU du matos rajouté acheté" dataDxfId="3" totalsRowDxfId="2" dataCellStyle="Monétaire"/>
    <tableColumn id="7" xr3:uid="{7A5B53C7-E8ED-402F-A289-814A3684ABAF}" name="CT" totalsRowFunction="custom" dataDxfId="1" totalsRowDxfId="0" dataCellStyle="Monétaire">
      <calculatedColumnFormula>Tableau9297220253[[#This Row],[Quantités acheté rajouté]]*Tableau9297220253[[#This Row],[CU du matos rajouté acheté]]</calculatedColumnFormula>
      <totalsRowFormula>SUM(Tableau9297220253[CT])</totalsRowFormula>
    </tableColumn>
  </tableColumns>
  <tableStyleInfo name="TableStyleMedium8" showFirstColumn="1" showLastColumn="0" showRowStripes="1" showColumnStripes="0"/>
</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Yu Gothic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Yu Gothic"/>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3" Type="http://schemas.openxmlformats.org/officeDocument/2006/relationships/table" Target="../tables/table1.xml"/><Relationship Id="rId2" Type="http://schemas.openxmlformats.org/officeDocument/2006/relationships/vmlDrawing" Target="../drawings/vmlDrawing1.vml"/><Relationship Id="rId1" Type="http://schemas.openxmlformats.org/officeDocument/2006/relationships/printerSettings" Target="../printerSettings/printerSettings1.bin"/><Relationship Id="rId4" Type="http://schemas.openxmlformats.org/officeDocument/2006/relationships/comments" Target="../comments1.xml"/></Relationships>
</file>

<file path=xl/worksheets/_rels/sheet3.xml.rels><?xml version="1.0" encoding="UTF-8" standalone="yes"?>
<Relationships xmlns="http://schemas.openxmlformats.org/package/2006/relationships"><Relationship Id="rId1" Type="http://schemas.openxmlformats.org/officeDocument/2006/relationships/table" Target="../tables/table2.xml"/></Relationships>
</file>

<file path=xl/worksheets/_rels/sheet4.xml.rels><?xml version="1.0" encoding="UTF-8" standalone="yes"?>
<Relationships xmlns="http://schemas.openxmlformats.org/package/2006/relationships"><Relationship Id="rId2" Type="http://schemas.openxmlformats.org/officeDocument/2006/relationships/table" Target="../tables/table3.xml"/><Relationship Id="rId1" Type="http://schemas.openxmlformats.org/officeDocument/2006/relationships/printerSettings" Target="../printerSettings/printerSettings2.bin"/></Relationships>
</file>

<file path=xl/worksheets/_rels/sheet5.xml.rels><?xml version="1.0" encoding="UTF-8" standalone="yes"?>
<Relationships xmlns="http://schemas.openxmlformats.org/package/2006/relationships"><Relationship Id="rId3" Type="http://schemas.openxmlformats.org/officeDocument/2006/relationships/table" Target="../tables/table6.xml"/><Relationship Id="rId2" Type="http://schemas.openxmlformats.org/officeDocument/2006/relationships/table" Target="../tables/table5.xml"/><Relationship Id="rId1" Type="http://schemas.openxmlformats.org/officeDocument/2006/relationships/table" Target="../tables/table4.xml"/></Relationships>
</file>

<file path=xl/worksheets/_rels/sheet6.xml.rels><?xml version="1.0" encoding="UTF-8" standalone="yes"?>
<Relationships xmlns="http://schemas.openxmlformats.org/package/2006/relationships"><Relationship Id="rId3" Type="http://schemas.openxmlformats.org/officeDocument/2006/relationships/table" Target="../tables/table9.xml"/><Relationship Id="rId2" Type="http://schemas.openxmlformats.org/officeDocument/2006/relationships/table" Target="../tables/table8.xml"/><Relationship Id="rId1" Type="http://schemas.openxmlformats.org/officeDocument/2006/relationships/table" Target="../tables/table7.xml"/></Relationships>
</file>

<file path=xl/worksheets/_rels/sheet7.xml.rels><?xml version="1.0" encoding="UTF-8" standalone="yes"?>
<Relationships xmlns="http://schemas.openxmlformats.org/package/2006/relationships"><Relationship Id="rId3" Type="http://schemas.openxmlformats.org/officeDocument/2006/relationships/table" Target="../tables/table12.xml"/><Relationship Id="rId2" Type="http://schemas.openxmlformats.org/officeDocument/2006/relationships/table" Target="../tables/table11.xml"/><Relationship Id="rId1" Type="http://schemas.openxmlformats.org/officeDocument/2006/relationships/table" Target="../tables/table10.xml"/></Relationships>
</file>

<file path=xl/worksheets/_rels/sheet8.xml.rels><?xml version="1.0" encoding="UTF-8" standalone="yes"?>
<Relationships xmlns="http://schemas.openxmlformats.org/package/2006/relationships"><Relationship Id="rId3" Type="http://schemas.openxmlformats.org/officeDocument/2006/relationships/table" Target="../tables/table15.xml"/><Relationship Id="rId2" Type="http://schemas.openxmlformats.org/officeDocument/2006/relationships/table" Target="../tables/table14.xml"/><Relationship Id="rId1" Type="http://schemas.openxmlformats.org/officeDocument/2006/relationships/table" Target="../tables/table13.xml"/></Relationships>
</file>

<file path=xl/worksheets/_rels/sheet9.xml.rels><?xml version="1.0" encoding="UTF-8" standalone="yes"?>
<Relationships xmlns="http://schemas.openxmlformats.org/package/2006/relationships"><Relationship Id="rId3" Type="http://schemas.openxmlformats.org/officeDocument/2006/relationships/table" Target="../tables/table18.xml"/><Relationship Id="rId2" Type="http://schemas.openxmlformats.org/officeDocument/2006/relationships/table" Target="../tables/table17.xml"/><Relationship Id="rId1" Type="http://schemas.openxmlformats.org/officeDocument/2006/relationships/table" Target="../tables/table16.xml"/></Relationships>
</file>

<file path=xl/worksheets/_rels/sheet10.xml.rels><?xml version="1.0" encoding="UTF-8" standalone="yes"?>
<Relationships xmlns="http://schemas.openxmlformats.org/package/2006/relationships"><Relationship Id="rId3" Type="http://schemas.openxmlformats.org/officeDocument/2006/relationships/table" Target="../tables/table21.xml"/><Relationship Id="rId2" Type="http://schemas.openxmlformats.org/officeDocument/2006/relationships/table" Target="../tables/table20.xml"/><Relationship Id="rId1" Type="http://schemas.openxmlformats.org/officeDocument/2006/relationships/table" Target="../tables/table19.xml"/></Relationships>
</file>

<file path=xl/worksheets/_rels/sheet11.xml.rels><?xml version="1.0" encoding="UTF-8" standalone="yes"?>
<Relationships xmlns="http://schemas.openxmlformats.org/package/2006/relationships"><Relationship Id="rId3" Type="http://schemas.openxmlformats.org/officeDocument/2006/relationships/table" Target="../tables/table24.xml"/><Relationship Id="rId2" Type="http://schemas.openxmlformats.org/officeDocument/2006/relationships/table" Target="../tables/table23.xml"/><Relationship Id="rId1" Type="http://schemas.openxmlformats.org/officeDocument/2006/relationships/table" Target="../tables/table22.xml"/></Relationships>
</file>

<file path=xl/worksheets/_rels/sheet12.xml.rels><?xml version="1.0" encoding="UTF-8" standalone="yes"?>
<Relationships xmlns="http://schemas.openxmlformats.org/package/2006/relationships"><Relationship Id="rId3" Type="http://schemas.openxmlformats.org/officeDocument/2006/relationships/table" Target="../tables/table27.xml"/><Relationship Id="rId2" Type="http://schemas.openxmlformats.org/officeDocument/2006/relationships/table" Target="../tables/table26.xml"/><Relationship Id="rId1" Type="http://schemas.openxmlformats.org/officeDocument/2006/relationships/table" Target="../tables/table25.xml"/></Relationships>
</file>

<file path=xl/worksheets/_rels/sheet13.xml.rels><?xml version="1.0" encoding="UTF-8" standalone="yes"?>
<Relationships xmlns="http://schemas.openxmlformats.org/package/2006/relationships"><Relationship Id="rId3" Type="http://schemas.openxmlformats.org/officeDocument/2006/relationships/table" Target="../tables/table30.xml"/><Relationship Id="rId2" Type="http://schemas.openxmlformats.org/officeDocument/2006/relationships/table" Target="../tables/table29.xml"/><Relationship Id="rId1" Type="http://schemas.openxmlformats.org/officeDocument/2006/relationships/table" Target="../tables/table28.xml"/></Relationships>
</file>

<file path=xl/worksheets/_rels/sheet14.xml.rels><?xml version="1.0" encoding="UTF-8" standalone="yes"?>
<Relationships xmlns="http://schemas.openxmlformats.org/package/2006/relationships"><Relationship Id="rId3" Type="http://schemas.openxmlformats.org/officeDocument/2006/relationships/table" Target="../tables/table33.xml"/><Relationship Id="rId2" Type="http://schemas.openxmlformats.org/officeDocument/2006/relationships/table" Target="../tables/table32.xml"/><Relationship Id="rId1" Type="http://schemas.openxmlformats.org/officeDocument/2006/relationships/table" Target="../tables/table31.xml"/></Relationships>
</file>

<file path=xl/worksheets/_rels/sheet15.xml.rels><?xml version="1.0" encoding="UTF-8" standalone="yes"?>
<Relationships xmlns="http://schemas.openxmlformats.org/package/2006/relationships"><Relationship Id="rId3" Type="http://schemas.openxmlformats.org/officeDocument/2006/relationships/table" Target="../tables/table36.xml"/><Relationship Id="rId2" Type="http://schemas.openxmlformats.org/officeDocument/2006/relationships/table" Target="../tables/table35.xml"/><Relationship Id="rId1" Type="http://schemas.openxmlformats.org/officeDocument/2006/relationships/table" Target="../tables/table34.xml"/></Relationships>
</file>

<file path=xl/worksheets/_rels/sheet16.xml.rels><?xml version="1.0" encoding="UTF-8" standalone="yes"?>
<Relationships xmlns="http://schemas.openxmlformats.org/package/2006/relationships"><Relationship Id="rId3" Type="http://schemas.openxmlformats.org/officeDocument/2006/relationships/table" Target="../tables/table39.xml"/><Relationship Id="rId2" Type="http://schemas.openxmlformats.org/officeDocument/2006/relationships/table" Target="../tables/table38.xml"/><Relationship Id="rId1" Type="http://schemas.openxmlformats.org/officeDocument/2006/relationships/table" Target="../tables/table37.xml"/></Relationships>
</file>

<file path=xl/worksheets/_rels/sheet17.xml.rels><?xml version="1.0" encoding="UTF-8" standalone="yes"?>
<Relationships xmlns="http://schemas.openxmlformats.org/package/2006/relationships"><Relationship Id="rId3" Type="http://schemas.openxmlformats.org/officeDocument/2006/relationships/table" Target="../tables/table41.xml"/><Relationship Id="rId2" Type="http://schemas.openxmlformats.org/officeDocument/2006/relationships/table" Target="../tables/table40.xml"/><Relationship Id="rId1" Type="http://schemas.openxmlformats.org/officeDocument/2006/relationships/printerSettings" Target="../printerSettings/printerSettings3.bin"/><Relationship Id="rId4" Type="http://schemas.openxmlformats.org/officeDocument/2006/relationships/table" Target="../tables/table42.xml"/></Relationships>
</file>

<file path=xl/worksheets/_rels/sheet18.xml.rels><?xml version="1.0" encoding="UTF-8" standalone="yes"?>
<Relationships xmlns="http://schemas.openxmlformats.org/package/2006/relationships"><Relationship Id="rId3" Type="http://schemas.openxmlformats.org/officeDocument/2006/relationships/table" Target="../tables/table45.xml"/><Relationship Id="rId2" Type="http://schemas.openxmlformats.org/officeDocument/2006/relationships/table" Target="../tables/table44.xml"/><Relationship Id="rId1" Type="http://schemas.openxmlformats.org/officeDocument/2006/relationships/table" Target="../tables/table43.xml"/></Relationships>
</file>

<file path=xl/worksheets/_rels/sheet19.xml.rels><?xml version="1.0" encoding="UTF-8" standalone="yes"?>
<Relationships xmlns="http://schemas.openxmlformats.org/package/2006/relationships"><Relationship Id="rId3" Type="http://schemas.openxmlformats.org/officeDocument/2006/relationships/table" Target="../tables/table47.xml"/><Relationship Id="rId2" Type="http://schemas.openxmlformats.org/officeDocument/2006/relationships/table" Target="../tables/table46.xml"/><Relationship Id="rId1" Type="http://schemas.openxmlformats.org/officeDocument/2006/relationships/printerSettings" Target="../printerSettings/printerSettings4.bin"/><Relationship Id="rId4" Type="http://schemas.openxmlformats.org/officeDocument/2006/relationships/table" Target="../tables/table48.xml"/></Relationships>
</file>

<file path=xl/worksheets/_rels/sheet20.xml.rels><?xml version="1.0" encoding="UTF-8" standalone="yes"?>
<Relationships xmlns="http://schemas.openxmlformats.org/package/2006/relationships"><Relationship Id="rId3" Type="http://schemas.openxmlformats.org/officeDocument/2006/relationships/table" Target="../tables/table51.xml"/><Relationship Id="rId2" Type="http://schemas.openxmlformats.org/officeDocument/2006/relationships/table" Target="../tables/table50.xml"/><Relationship Id="rId1" Type="http://schemas.openxmlformats.org/officeDocument/2006/relationships/table" Target="../tables/table49.xml"/></Relationships>
</file>

<file path=xl/worksheets/_rels/sheet21.xml.rels><?xml version="1.0" encoding="UTF-8" standalone="yes"?>
<Relationships xmlns="http://schemas.openxmlformats.org/package/2006/relationships"><Relationship Id="rId3" Type="http://schemas.openxmlformats.org/officeDocument/2006/relationships/table" Target="../tables/table54.xml"/><Relationship Id="rId2" Type="http://schemas.openxmlformats.org/officeDocument/2006/relationships/table" Target="../tables/table53.xml"/><Relationship Id="rId1" Type="http://schemas.openxmlformats.org/officeDocument/2006/relationships/table" Target="../tables/table52.xml"/></Relationships>
</file>

<file path=xl/worksheets/_rels/sheet22.xml.rels><?xml version="1.0" encoding="UTF-8" standalone="yes"?>
<Relationships xmlns="http://schemas.openxmlformats.org/package/2006/relationships"><Relationship Id="rId3" Type="http://schemas.openxmlformats.org/officeDocument/2006/relationships/table" Target="../tables/table57.xml"/><Relationship Id="rId2" Type="http://schemas.openxmlformats.org/officeDocument/2006/relationships/table" Target="../tables/table56.xml"/><Relationship Id="rId1" Type="http://schemas.openxmlformats.org/officeDocument/2006/relationships/table" Target="../tables/table55.xml"/></Relationships>
</file>

<file path=xl/worksheets/_rels/sheet23.xml.rels><?xml version="1.0" encoding="UTF-8" standalone="yes"?>
<Relationships xmlns="http://schemas.openxmlformats.org/package/2006/relationships"><Relationship Id="rId3" Type="http://schemas.openxmlformats.org/officeDocument/2006/relationships/table" Target="../tables/table60.xml"/><Relationship Id="rId2" Type="http://schemas.openxmlformats.org/officeDocument/2006/relationships/table" Target="../tables/table59.xml"/><Relationship Id="rId1" Type="http://schemas.openxmlformats.org/officeDocument/2006/relationships/table" Target="../tables/table58.xml"/></Relationships>
</file>

<file path=xl/worksheets/_rels/sheet24.xml.rels><?xml version="1.0" encoding="UTF-8" standalone="yes"?>
<Relationships xmlns="http://schemas.openxmlformats.org/package/2006/relationships"><Relationship Id="rId3" Type="http://schemas.openxmlformats.org/officeDocument/2006/relationships/table" Target="../tables/table63.xml"/><Relationship Id="rId2" Type="http://schemas.openxmlformats.org/officeDocument/2006/relationships/table" Target="../tables/table62.xml"/><Relationship Id="rId1" Type="http://schemas.openxmlformats.org/officeDocument/2006/relationships/table" Target="../tables/table61.xml"/></Relationships>
</file>

<file path=xl/worksheets/_rels/sheet25.xml.rels><?xml version="1.0" encoding="UTF-8" standalone="yes"?>
<Relationships xmlns="http://schemas.openxmlformats.org/package/2006/relationships"><Relationship Id="rId3" Type="http://schemas.openxmlformats.org/officeDocument/2006/relationships/table" Target="../tables/table66.xml"/><Relationship Id="rId2" Type="http://schemas.openxmlformats.org/officeDocument/2006/relationships/table" Target="../tables/table65.xml"/><Relationship Id="rId1" Type="http://schemas.openxmlformats.org/officeDocument/2006/relationships/table" Target="../tables/table64.xml"/></Relationships>
</file>

<file path=xl/worksheets/_rels/sheet26.xml.rels><?xml version="1.0" encoding="UTF-8" standalone="yes"?>
<Relationships xmlns="http://schemas.openxmlformats.org/package/2006/relationships"><Relationship Id="rId3" Type="http://schemas.openxmlformats.org/officeDocument/2006/relationships/table" Target="../tables/table69.xml"/><Relationship Id="rId2" Type="http://schemas.openxmlformats.org/officeDocument/2006/relationships/table" Target="../tables/table68.xml"/><Relationship Id="rId1" Type="http://schemas.openxmlformats.org/officeDocument/2006/relationships/table" Target="../tables/table67.xml"/></Relationships>
</file>

<file path=xl/worksheets/_rels/sheet27.xml.rels><?xml version="1.0" encoding="UTF-8" standalone="yes"?>
<Relationships xmlns="http://schemas.openxmlformats.org/package/2006/relationships"><Relationship Id="rId3" Type="http://schemas.openxmlformats.org/officeDocument/2006/relationships/table" Target="../tables/table72.xml"/><Relationship Id="rId2" Type="http://schemas.openxmlformats.org/officeDocument/2006/relationships/table" Target="../tables/table71.xml"/><Relationship Id="rId1" Type="http://schemas.openxmlformats.org/officeDocument/2006/relationships/table" Target="../tables/table70.xml"/></Relationships>
</file>

<file path=xl/worksheets/_rels/sheet28.xml.rels><?xml version="1.0" encoding="UTF-8" standalone="yes"?>
<Relationships xmlns="http://schemas.openxmlformats.org/package/2006/relationships"><Relationship Id="rId3" Type="http://schemas.openxmlformats.org/officeDocument/2006/relationships/table" Target="../tables/table75.xml"/><Relationship Id="rId2" Type="http://schemas.openxmlformats.org/officeDocument/2006/relationships/table" Target="../tables/table74.xml"/><Relationship Id="rId1" Type="http://schemas.openxmlformats.org/officeDocument/2006/relationships/table" Target="../tables/table73.xml"/></Relationships>
</file>

<file path=xl/worksheets/_rels/sheet29.xml.rels><?xml version="1.0" encoding="UTF-8" standalone="yes"?>
<Relationships xmlns="http://schemas.openxmlformats.org/package/2006/relationships"><Relationship Id="rId3" Type="http://schemas.openxmlformats.org/officeDocument/2006/relationships/table" Target="../tables/table78.xml"/><Relationship Id="rId2" Type="http://schemas.openxmlformats.org/officeDocument/2006/relationships/table" Target="../tables/table77.xml"/><Relationship Id="rId1" Type="http://schemas.openxmlformats.org/officeDocument/2006/relationships/table" Target="../tables/table76.xml"/></Relationships>
</file>

<file path=xl/worksheets/_rels/sheet30.xml.rels><?xml version="1.0" encoding="UTF-8" standalone="yes"?>
<Relationships xmlns="http://schemas.openxmlformats.org/package/2006/relationships"><Relationship Id="rId3" Type="http://schemas.openxmlformats.org/officeDocument/2006/relationships/table" Target="../tables/table81.xml"/><Relationship Id="rId2" Type="http://schemas.openxmlformats.org/officeDocument/2006/relationships/table" Target="../tables/table80.xml"/><Relationship Id="rId1" Type="http://schemas.openxmlformats.org/officeDocument/2006/relationships/table" Target="../tables/table79.xml"/></Relationships>
</file>

<file path=xl/worksheets/_rels/sheet32.xml.rels><?xml version="1.0" encoding="UTF-8" standalone="yes"?>
<Relationships xmlns="http://schemas.openxmlformats.org/package/2006/relationships"><Relationship Id="rId3" Type="http://schemas.openxmlformats.org/officeDocument/2006/relationships/table" Target="../tables/table84.xml"/><Relationship Id="rId2" Type="http://schemas.openxmlformats.org/officeDocument/2006/relationships/table" Target="../tables/table83.xml"/><Relationship Id="rId1" Type="http://schemas.openxmlformats.org/officeDocument/2006/relationships/table" Target="../tables/table82.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1BA1B72-4251-496B-A933-713426FD5715}">
  <dimension ref="A1"/>
  <sheetViews>
    <sheetView topLeftCell="A5" workbookViewId="0">
      <selection activeCell="J14" sqref="J14"/>
    </sheetView>
  </sheetViews>
  <sheetFormatPr baseColWidth="10" defaultRowHeight="15" x14ac:dyDescent="0.25"/>
  <sheetData/>
  <pageMargins left="0.7" right="0.7" top="0.75" bottom="0.75" header="0.3" footer="0.3"/>
  <drawing r:id="rId1"/>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5A70046-B5DD-40A5-B108-1B4CFC896731}">
  <dimension ref="A2:J196"/>
  <sheetViews>
    <sheetView tabSelected="1" topLeftCell="C1" workbookViewId="0">
      <selection activeCell="F4" sqref="F4"/>
    </sheetView>
  </sheetViews>
  <sheetFormatPr baseColWidth="10" defaultRowHeight="15" x14ac:dyDescent="0.25"/>
  <cols>
    <col min="2" max="2" width="40.7109375" customWidth="1"/>
    <col min="3" max="7" width="18.7109375" customWidth="1"/>
    <col min="8" max="8" width="20.140625" customWidth="1"/>
  </cols>
  <sheetData>
    <row r="2" spans="1:10" x14ac:dyDescent="0.25">
      <c r="F2" s="12"/>
      <c r="G2" s="12"/>
    </row>
    <row r="3" spans="1:10" x14ac:dyDescent="0.25">
      <c r="B3" t="s">
        <v>12</v>
      </c>
      <c r="C3" t="s">
        <v>18</v>
      </c>
      <c r="D3" t="s">
        <v>19</v>
      </c>
      <c r="E3" t="s">
        <v>8</v>
      </c>
      <c r="F3" t="s">
        <v>21</v>
      </c>
      <c r="G3" t="s">
        <v>16</v>
      </c>
      <c r="H3" t="s">
        <v>2</v>
      </c>
    </row>
    <row r="4" spans="1:10" x14ac:dyDescent="0.25">
      <c r="B4" t="s">
        <v>40</v>
      </c>
      <c r="C4">
        <v>12</v>
      </c>
      <c r="F4" s="1">
        <f>Tableau1[[#This Row],[Quantité N-1]]+Tableau1[[#This Row],[Quantité N]]-Tableau1[[#This Row],[Prêté]]</f>
        <v>12</v>
      </c>
      <c r="G4" s="1"/>
      <c r="H4" s="1">
        <f>Tableau1[[#This Row],[Demande total]]-Tableau1[[#This Row],[Spare]]</f>
        <v>-12</v>
      </c>
    </row>
    <row r="5" spans="1:10" x14ac:dyDescent="0.25">
      <c r="A5" t="s">
        <v>9</v>
      </c>
      <c r="B5" t="s">
        <v>88</v>
      </c>
      <c r="C5">
        <v>1</v>
      </c>
      <c r="F5" s="1">
        <f>Tableau1[[#This Row],[Quantité N-1]]+Tableau1[[#This Row],[Quantité N]]-Tableau1[[#This Row],[Prêté]]</f>
        <v>1</v>
      </c>
      <c r="G5" s="1"/>
      <c r="H5" s="1">
        <f>Tableau1[[#This Row],[Demande total]]-Tableau1[[#This Row],[Spare]]</f>
        <v>-1</v>
      </c>
    </row>
    <row r="6" spans="1:10" x14ac:dyDescent="0.25">
      <c r="B6" t="s">
        <v>83</v>
      </c>
      <c r="C6">
        <v>1</v>
      </c>
      <c r="F6" s="1">
        <f>Tableau1[[#This Row],[Quantité N-1]]+Tableau1[[#This Row],[Quantité N]]-Tableau1[[#This Row],[Prêté]]</f>
        <v>1</v>
      </c>
      <c r="G6" s="1"/>
      <c r="H6" s="1">
        <f>Tableau1[[#This Row],[Demande total]]-Tableau1[[#This Row],[Spare]]</f>
        <v>-1</v>
      </c>
    </row>
    <row r="7" spans="1:10" x14ac:dyDescent="0.25">
      <c r="B7" t="s">
        <v>160</v>
      </c>
      <c r="C7">
        <v>1</v>
      </c>
      <c r="F7" s="1">
        <f>Tableau1[[#This Row],[Quantité N-1]]+Tableau1[[#This Row],[Quantité N]]-Tableau1[[#This Row],[Prêté]]</f>
        <v>1</v>
      </c>
      <c r="G7" s="1"/>
      <c r="H7" s="1">
        <f>Tableau1[[#This Row],[Demande total]]-Tableau1[[#This Row],[Spare]]</f>
        <v>-1</v>
      </c>
    </row>
    <row r="8" spans="1:10" x14ac:dyDescent="0.25">
      <c r="B8" t="s">
        <v>110</v>
      </c>
      <c r="C8">
        <v>5</v>
      </c>
      <c r="F8" s="1">
        <f>Tableau1[[#This Row],[Quantité N-1]]+Tableau1[[#This Row],[Quantité N]]-Tableau1[[#This Row],[Prêté]]</f>
        <v>5</v>
      </c>
      <c r="G8" s="1"/>
      <c r="H8" s="1">
        <f>Tableau1[[#This Row],[Demande total]]-Tableau1[[#This Row],[Spare]]</f>
        <v>-5</v>
      </c>
    </row>
    <row r="9" spans="1:10" x14ac:dyDescent="0.25">
      <c r="B9" t="s">
        <v>135</v>
      </c>
      <c r="C9">
        <v>2</v>
      </c>
      <c r="F9" s="1">
        <f>Tableau1[[#This Row],[Quantité N-1]]+Tableau1[[#This Row],[Quantité N]]-Tableau1[[#This Row],[Prêté]]</f>
        <v>2</v>
      </c>
      <c r="G9" s="1"/>
      <c r="H9" s="1">
        <f>Tableau1[[#This Row],[Demande total]]-Tableau1[[#This Row],[Spare]]</f>
        <v>-2</v>
      </c>
    </row>
    <row r="10" spans="1:10" x14ac:dyDescent="0.25">
      <c r="B10" t="s">
        <v>186</v>
      </c>
      <c r="C10">
        <v>10</v>
      </c>
      <c r="F10" s="1">
        <f>Tableau1[[#This Row],[Quantité N-1]]+Tableau1[[#This Row],[Quantité N]]-Tableau1[[#This Row],[Prêté]]</f>
        <v>10</v>
      </c>
      <c r="G10" s="1"/>
      <c r="H10" s="1">
        <f>Tableau1[[#This Row],[Demande total]]-Tableau1[[#This Row],[Spare]]</f>
        <v>-10</v>
      </c>
    </row>
    <row r="11" spans="1:10" x14ac:dyDescent="0.25">
      <c r="B11" t="s">
        <v>162</v>
      </c>
      <c r="C11">
        <v>5</v>
      </c>
      <c r="F11" s="1">
        <f>Tableau1[[#This Row],[Quantité N-1]]+Tableau1[[#This Row],[Quantité N]]-Tableau1[[#This Row],[Prêté]]</f>
        <v>5</v>
      </c>
      <c r="G11" s="1"/>
      <c r="H11" s="1">
        <f>Tableau1[[#This Row],[Demande total]]-Tableau1[[#This Row],[Spare]]</f>
        <v>-5</v>
      </c>
    </row>
    <row r="12" spans="1:10" x14ac:dyDescent="0.25">
      <c r="B12" t="s">
        <v>204</v>
      </c>
      <c r="C12">
        <v>9</v>
      </c>
      <c r="F12" s="1">
        <f>Tableau1[[#This Row],[Quantité N-1]]+Tableau1[[#This Row],[Quantité N]]-Tableau1[[#This Row],[Prêté]]</f>
        <v>9</v>
      </c>
      <c r="G12" s="1"/>
      <c r="H12" s="1">
        <f>Tableau1[[#This Row],[Demande total]]-Tableau1[[#This Row],[Spare]]</f>
        <v>-9</v>
      </c>
    </row>
    <row r="13" spans="1:10" x14ac:dyDescent="0.25">
      <c r="B13" t="s">
        <v>128</v>
      </c>
      <c r="C13">
        <v>2</v>
      </c>
      <c r="F13" s="1">
        <f>Tableau1[[#This Row],[Quantité N-1]]+Tableau1[[#This Row],[Quantité N]]-Tableau1[[#This Row],[Prêté]]</f>
        <v>2</v>
      </c>
      <c r="G13" s="1"/>
      <c r="H13" s="1">
        <f>Tableau1[[#This Row],[Demande total]]-Tableau1[[#This Row],[Spare]]</f>
        <v>-2</v>
      </c>
    </row>
    <row r="14" spans="1:10" x14ac:dyDescent="0.25">
      <c r="B14" t="s">
        <v>56</v>
      </c>
      <c r="C14">
        <v>13</v>
      </c>
      <c r="F14" s="1">
        <f>Tableau1[[#This Row],[Quantité N-1]]+Tableau1[[#This Row],[Quantité N]]-Tableau1[[#This Row],[Prêté]]</f>
        <v>13</v>
      </c>
      <c r="G14" s="1"/>
      <c r="H14" s="1">
        <f>Tableau1[[#This Row],[Demande total]]-Tableau1[[#This Row],[Spare]]</f>
        <v>-13</v>
      </c>
    </row>
    <row r="15" spans="1:10" x14ac:dyDescent="0.25">
      <c r="B15" t="s">
        <v>163</v>
      </c>
      <c r="C15">
        <v>4</v>
      </c>
      <c r="F15" s="1">
        <f>Tableau1[[#This Row],[Quantité N-1]]+Tableau1[[#This Row],[Quantité N]]-Tableau1[[#This Row],[Prêté]]</f>
        <v>4</v>
      </c>
      <c r="G15" s="1"/>
      <c r="H15" s="1">
        <f>Tableau1[[#This Row],[Demande total]]-Tableau1[[#This Row],[Spare]]</f>
        <v>-4</v>
      </c>
    </row>
    <row r="16" spans="1:10" x14ac:dyDescent="0.25">
      <c r="B16" t="s">
        <v>131</v>
      </c>
      <c r="C16">
        <v>2</v>
      </c>
      <c r="F16" s="1">
        <f>Tableau1[[#This Row],[Quantité N-1]]+Tableau1[[#This Row],[Quantité N]]-Tableau1[[#This Row],[Prêté]]</f>
        <v>2</v>
      </c>
      <c r="G16" s="1"/>
      <c r="H16" s="1">
        <f>Tableau1[[#This Row],[Demande total]]-Tableau1[[#This Row],[Spare]]</f>
        <v>-2</v>
      </c>
    </row>
    <row r="17" spans="2:8" x14ac:dyDescent="0.25">
      <c r="B17" t="s">
        <v>152</v>
      </c>
      <c r="C17">
        <v>6</v>
      </c>
      <c r="F17" s="1">
        <f>Tableau1[[#This Row],[Quantité N-1]]+Tableau1[[#This Row],[Quantité N]]-Tableau1[[#This Row],[Prêté]]</f>
        <v>6</v>
      </c>
      <c r="G17" s="1"/>
      <c r="H17" s="1">
        <f>Tableau1[[#This Row],[Demande total]]-Tableau1[[#This Row],[Spare]]</f>
        <v>-6</v>
      </c>
    </row>
    <row r="18" spans="2:8" x14ac:dyDescent="0.25">
      <c r="B18" t="s">
        <v>93</v>
      </c>
      <c r="C18">
        <v>1</v>
      </c>
      <c r="F18" s="1">
        <f>Tableau1[[#This Row],[Quantité N-1]]+Tableau1[[#This Row],[Quantité N]]-Tableau1[[#This Row],[Prêté]]</f>
        <v>1</v>
      </c>
      <c r="G18" s="1"/>
      <c r="H18" s="1">
        <f>Tableau1[[#This Row],[Demande total]]-Tableau1[[#This Row],[Spare]]</f>
        <v>-1</v>
      </c>
    </row>
    <row r="19" spans="2:8" x14ac:dyDescent="0.25">
      <c r="B19" t="s">
        <v>92</v>
      </c>
      <c r="C19">
        <v>1</v>
      </c>
      <c r="F19" s="1">
        <f>Tableau1[[#This Row],[Quantité N-1]]+Tableau1[[#This Row],[Quantité N]]-Tableau1[[#This Row],[Prêté]]</f>
        <v>1</v>
      </c>
      <c r="G19" s="1"/>
      <c r="H19" s="1">
        <f>Tableau1[[#This Row],[Demande total]]-Tableau1[[#This Row],[Spare]]</f>
        <v>-1</v>
      </c>
    </row>
    <row r="20" spans="2:8" x14ac:dyDescent="0.25">
      <c r="B20" t="s">
        <v>43</v>
      </c>
      <c r="C20">
        <v>14</v>
      </c>
      <c r="F20" s="1">
        <f>Tableau1[[#This Row],[Quantité N-1]]+Tableau1[[#This Row],[Quantité N]]-Tableau1[[#This Row],[Prêté]]</f>
        <v>14</v>
      </c>
      <c r="G20" s="1"/>
      <c r="H20" s="1">
        <f>Tableau1[[#This Row],[Demande total]]-Tableau1[[#This Row],[Spare]]</f>
        <v>-14</v>
      </c>
    </row>
    <row r="21" spans="2:8" x14ac:dyDescent="0.25">
      <c r="B21" t="s">
        <v>44</v>
      </c>
      <c r="C21">
        <v>6</v>
      </c>
      <c r="F21" s="1">
        <f>Tableau1[[#This Row],[Quantité N-1]]+Tableau1[[#This Row],[Quantité N]]-Tableau1[[#This Row],[Prêté]]</f>
        <v>6</v>
      </c>
      <c r="G21" s="1"/>
      <c r="H21" s="1">
        <f>Tableau1[[#This Row],[Demande total]]-Tableau1[[#This Row],[Spare]]</f>
        <v>-6</v>
      </c>
    </row>
    <row r="22" spans="2:8" x14ac:dyDescent="0.25">
      <c r="B22" t="s">
        <v>42</v>
      </c>
      <c r="C22">
        <v>15</v>
      </c>
      <c r="F22" s="1">
        <f>Tableau1[[#This Row],[Quantité N-1]]+Tableau1[[#This Row],[Quantité N]]-Tableau1[[#This Row],[Prêté]]</f>
        <v>15</v>
      </c>
      <c r="G22" s="1"/>
      <c r="H22" s="1">
        <f>Tableau1[[#This Row],[Demande total]]-Tableau1[[#This Row],[Spare]]</f>
        <v>-15</v>
      </c>
    </row>
    <row r="23" spans="2:8" x14ac:dyDescent="0.25">
      <c r="B23" t="s">
        <v>198</v>
      </c>
      <c r="C23">
        <v>2</v>
      </c>
      <c r="F23" s="1">
        <f>Tableau1[[#This Row],[Quantité N-1]]+Tableau1[[#This Row],[Quantité N]]-Tableau1[[#This Row],[Prêté]]</f>
        <v>2</v>
      </c>
      <c r="G23" s="1"/>
      <c r="H23" s="1">
        <f>Tableau1[[#This Row],[Demande total]]-Tableau1[[#This Row],[Spare]]</f>
        <v>-2</v>
      </c>
    </row>
    <row r="24" spans="2:8" x14ac:dyDescent="0.25">
      <c r="B24" t="s">
        <v>199</v>
      </c>
      <c r="C24">
        <v>2</v>
      </c>
      <c r="F24" s="1">
        <f>Tableau1[[#This Row],[Quantité N-1]]+Tableau1[[#This Row],[Quantité N]]-Tableau1[[#This Row],[Prêté]]</f>
        <v>2</v>
      </c>
      <c r="G24" s="1"/>
      <c r="H24" s="1">
        <f>Tableau1[[#This Row],[Demande total]]-Tableau1[[#This Row],[Spare]]</f>
        <v>-2</v>
      </c>
    </row>
    <row r="25" spans="2:8" x14ac:dyDescent="0.25">
      <c r="B25" t="s">
        <v>218</v>
      </c>
      <c r="C25">
        <v>1</v>
      </c>
      <c r="F25" s="1">
        <f>Tableau1[[#This Row],[Quantité N-1]]+Tableau1[[#This Row],[Quantité N]]-Tableau1[[#This Row],[Prêté]]</f>
        <v>1</v>
      </c>
      <c r="G25" s="1"/>
      <c r="H25" s="1">
        <f>Tableau1[[#This Row],[Demande total]]-Tableau1[[#This Row],[Spare]]</f>
        <v>-1</v>
      </c>
    </row>
    <row r="26" spans="2:8" x14ac:dyDescent="0.25">
      <c r="B26" t="s">
        <v>137</v>
      </c>
      <c r="C26">
        <v>12</v>
      </c>
      <c r="F26" s="1">
        <f>Tableau1[[#This Row],[Quantité N-1]]+Tableau1[[#This Row],[Quantité N]]-Tableau1[[#This Row],[Prêté]]</f>
        <v>12</v>
      </c>
      <c r="G26" s="1"/>
      <c r="H26" s="1">
        <f>Tableau1[[#This Row],[Demande total]]-Tableau1[[#This Row],[Spare]]</f>
        <v>-12</v>
      </c>
    </row>
    <row r="27" spans="2:8" x14ac:dyDescent="0.25">
      <c r="B27" t="s">
        <v>138</v>
      </c>
      <c r="C27">
        <v>5</v>
      </c>
      <c r="F27" s="1">
        <f>Tableau1[[#This Row],[Quantité N-1]]+Tableau1[[#This Row],[Quantité N]]-Tableau1[[#This Row],[Prêté]]</f>
        <v>5</v>
      </c>
      <c r="G27" s="1"/>
      <c r="H27" s="1">
        <f>Tableau1[[#This Row],[Demande total]]-Tableau1[[#This Row],[Spare]]</f>
        <v>-5</v>
      </c>
    </row>
    <row r="28" spans="2:8" x14ac:dyDescent="0.25">
      <c r="B28" t="s">
        <v>139</v>
      </c>
      <c r="C28">
        <v>10</v>
      </c>
      <c r="F28" s="1">
        <f>Tableau1[[#This Row],[Quantité N-1]]+Tableau1[[#This Row],[Quantité N]]-Tableau1[[#This Row],[Prêté]]</f>
        <v>10</v>
      </c>
      <c r="G28" s="1"/>
      <c r="H28" s="1">
        <f>Tableau1[[#This Row],[Demande total]]-Tableau1[[#This Row],[Spare]]</f>
        <v>-10</v>
      </c>
    </row>
    <row r="29" spans="2:8" x14ac:dyDescent="0.25">
      <c r="B29" t="s">
        <v>187</v>
      </c>
      <c r="C29">
        <v>6</v>
      </c>
      <c r="F29" s="1">
        <f>Tableau1[[#This Row],[Quantité N-1]]+Tableau1[[#This Row],[Quantité N]]-Tableau1[[#This Row],[Prêté]]</f>
        <v>6</v>
      </c>
      <c r="G29" s="1"/>
      <c r="H29" s="1">
        <f>Tableau1[[#This Row],[Demande total]]-Tableau1[[#This Row],[Spare]]</f>
        <v>-6</v>
      </c>
    </row>
    <row r="30" spans="2:8" x14ac:dyDescent="0.25">
      <c r="B30" t="s">
        <v>164</v>
      </c>
      <c r="C30">
        <v>1</v>
      </c>
      <c r="F30" s="1">
        <f>Tableau1[[#This Row],[Quantité N-1]]+Tableau1[[#This Row],[Quantité N]]-Tableau1[[#This Row],[Prêté]]</f>
        <v>1</v>
      </c>
      <c r="G30" s="1"/>
      <c r="H30" s="1">
        <f>Tableau1[[#This Row],[Demande total]]-Tableau1[[#This Row],[Spare]]</f>
        <v>-1</v>
      </c>
    </row>
    <row r="31" spans="2:8" x14ac:dyDescent="0.25">
      <c r="B31" t="s">
        <v>31</v>
      </c>
      <c r="C31">
        <v>3</v>
      </c>
      <c r="F31" s="1">
        <f>Tableau1[[#This Row],[Quantité N-1]]+Tableau1[[#This Row],[Quantité N]]-Tableau1[[#This Row],[Prêté]]</f>
        <v>3</v>
      </c>
      <c r="G31" s="1"/>
      <c r="H31" s="1">
        <f>Tableau1[[#This Row],[Demande total]]-Tableau1[[#This Row],[Spare]]</f>
        <v>-3</v>
      </c>
    </row>
    <row r="32" spans="2:8" x14ac:dyDescent="0.25">
      <c r="B32" t="s">
        <v>90</v>
      </c>
      <c r="C32">
        <v>3</v>
      </c>
      <c r="F32" s="1">
        <f>Tableau1[[#This Row],[Quantité N-1]]+Tableau1[[#This Row],[Quantité N]]-Tableau1[[#This Row],[Prêté]]</f>
        <v>3</v>
      </c>
      <c r="G32" s="1"/>
      <c r="H32" s="1">
        <f>Tableau1[[#This Row],[Demande total]]-Tableau1[[#This Row],[Spare]]</f>
        <v>-3</v>
      </c>
    </row>
    <row r="33" spans="2:8" x14ac:dyDescent="0.25">
      <c r="B33" t="s">
        <v>200</v>
      </c>
      <c r="C33">
        <v>1</v>
      </c>
      <c r="F33" s="1">
        <f>Tableau1[[#This Row],[Quantité N-1]]+Tableau1[[#This Row],[Quantité N]]-Tableau1[[#This Row],[Prêté]]</f>
        <v>1</v>
      </c>
      <c r="G33" s="1"/>
      <c r="H33" s="1">
        <f>Tableau1[[#This Row],[Demande total]]-Tableau1[[#This Row],[Spare]]</f>
        <v>-1</v>
      </c>
    </row>
    <row r="34" spans="2:8" x14ac:dyDescent="0.25">
      <c r="B34" t="s">
        <v>165</v>
      </c>
      <c r="C34">
        <v>24</v>
      </c>
      <c r="F34" s="1">
        <f>Tableau1[[#This Row],[Quantité N-1]]+Tableau1[[#This Row],[Quantité N]]-Tableau1[[#This Row],[Prêté]]</f>
        <v>24</v>
      </c>
      <c r="G34" s="1"/>
      <c r="H34" s="1">
        <f>Tableau1[[#This Row],[Demande total]]-Tableau1[[#This Row],[Spare]]</f>
        <v>-24</v>
      </c>
    </row>
    <row r="35" spans="2:8" x14ac:dyDescent="0.25">
      <c r="B35" t="s">
        <v>153</v>
      </c>
      <c r="C35">
        <v>19</v>
      </c>
      <c r="F35" s="1">
        <f>Tableau1[[#This Row],[Quantité N-1]]+Tableau1[[#This Row],[Quantité N]]-Tableau1[[#This Row],[Prêté]]</f>
        <v>19</v>
      </c>
      <c r="G35" s="1"/>
      <c r="H35" s="1">
        <f>Tableau1[[#This Row],[Demande total]]-Tableau1[[#This Row],[Spare]]</f>
        <v>-19</v>
      </c>
    </row>
    <row r="36" spans="2:8" x14ac:dyDescent="0.25">
      <c r="B36" t="s">
        <v>104</v>
      </c>
      <c r="C36">
        <v>1</v>
      </c>
      <c r="F36" s="1">
        <f>Tableau1[[#This Row],[Quantité N-1]]+Tableau1[[#This Row],[Quantité N]]-Tableau1[[#This Row],[Prêté]]</f>
        <v>1</v>
      </c>
      <c r="G36" s="1"/>
      <c r="H36" s="1">
        <f>Tableau1[[#This Row],[Demande total]]-Tableau1[[#This Row],[Spare]]</f>
        <v>-1</v>
      </c>
    </row>
    <row r="37" spans="2:8" x14ac:dyDescent="0.25">
      <c r="B37" t="s">
        <v>79</v>
      </c>
      <c r="C37">
        <v>5</v>
      </c>
      <c r="F37" s="1">
        <f>Tableau1[[#This Row],[Quantité N-1]]+Tableau1[[#This Row],[Quantité N]]-Tableau1[[#This Row],[Prêté]]</f>
        <v>5</v>
      </c>
      <c r="G37" s="1"/>
      <c r="H37" s="1">
        <f>Tableau1[[#This Row],[Demande total]]-Tableau1[[#This Row],[Spare]]</f>
        <v>-5</v>
      </c>
    </row>
    <row r="38" spans="2:8" x14ac:dyDescent="0.25">
      <c r="B38" t="s">
        <v>196</v>
      </c>
      <c r="C38">
        <v>2</v>
      </c>
      <c r="F38" s="1">
        <f>Tableau1[[#This Row],[Quantité N-1]]+Tableau1[[#This Row],[Quantité N]]-Tableau1[[#This Row],[Prêté]]</f>
        <v>2</v>
      </c>
      <c r="G38" s="1"/>
      <c r="H38" s="1">
        <f>Tableau1[[#This Row],[Demande total]]-Tableau1[[#This Row],[Spare]]</f>
        <v>-2</v>
      </c>
    </row>
    <row r="39" spans="2:8" x14ac:dyDescent="0.25">
      <c r="B39" t="s">
        <v>201</v>
      </c>
      <c r="C39">
        <v>1</v>
      </c>
      <c r="F39" s="1">
        <f>Tableau1[[#This Row],[Quantité N-1]]+Tableau1[[#This Row],[Quantité N]]-Tableau1[[#This Row],[Prêté]]</f>
        <v>1</v>
      </c>
      <c r="G39" s="1"/>
      <c r="H39" s="1">
        <f>Tableau1[[#This Row],[Demande total]]-Tableau1[[#This Row],[Spare]]</f>
        <v>-1</v>
      </c>
    </row>
    <row r="40" spans="2:8" x14ac:dyDescent="0.25">
      <c r="B40" t="s">
        <v>101</v>
      </c>
      <c r="C40">
        <v>9</v>
      </c>
      <c r="F40" s="1">
        <f>Tableau1[[#This Row],[Quantité N-1]]+Tableau1[[#This Row],[Quantité N]]-Tableau1[[#This Row],[Prêté]]</f>
        <v>9</v>
      </c>
      <c r="G40" s="1"/>
      <c r="H40" s="1">
        <f>Tableau1[[#This Row],[Demande total]]-Tableau1[[#This Row],[Spare]]</f>
        <v>-9</v>
      </c>
    </row>
    <row r="41" spans="2:8" x14ac:dyDescent="0.25">
      <c r="B41" t="s">
        <v>37</v>
      </c>
      <c r="C41">
        <v>3</v>
      </c>
      <c r="F41" s="1">
        <f>Tableau1[[#This Row],[Quantité N-1]]+Tableau1[[#This Row],[Quantité N]]-Tableau1[[#This Row],[Prêté]]</f>
        <v>3</v>
      </c>
      <c r="G41" s="1"/>
      <c r="H41" s="1">
        <f>Tableau1[[#This Row],[Demande total]]-Tableau1[[#This Row],[Spare]]</f>
        <v>-3</v>
      </c>
    </row>
    <row r="42" spans="2:8" x14ac:dyDescent="0.25">
      <c r="B42" t="s">
        <v>206</v>
      </c>
      <c r="C42">
        <v>3</v>
      </c>
      <c r="F42" s="1">
        <f>Tableau1[[#This Row],[Quantité N-1]]+Tableau1[[#This Row],[Quantité N]]-Tableau1[[#This Row],[Prêté]]</f>
        <v>3</v>
      </c>
      <c r="G42" s="1"/>
      <c r="H42" s="1">
        <f>Tableau1[[#This Row],[Demande total]]-Tableau1[[#This Row],[Spare]]</f>
        <v>-3</v>
      </c>
    </row>
    <row r="43" spans="2:8" x14ac:dyDescent="0.25">
      <c r="B43" t="s">
        <v>67</v>
      </c>
      <c r="C43">
        <v>1</v>
      </c>
      <c r="F43" s="1">
        <f>Tableau1[[#This Row],[Quantité N-1]]+Tableau1[[#This Row],[Quantité N]]-Tableau1[[#This Row],[Prêté]]</f>
        <v>1</v>
      </c>
      <c r="G43" s="1"/>
      <c r="H43" s="1">
        <f>Tableau1[[#This Row],[Demande total]]-Tableau1[[#This Row],[Spare]]</f>
        <v>-1</v>
      </c>
    </row>
    <row r="44" spans="2:8" x14ac:dyDescent="0.25">
      <c r="B44" t="s">
        <v>64</v>
      </c>
      <c r="C44">
        <v>1</v>
      </c>
      <c r="F44" s="1">
        <f>Tableau1[[#This Row],[Quantité N-1]]+Tableau1[[#This Row],[Quantité N]]-Tableau1[[#This Row],[Prêté]]</f>
        <v>1</v>
      </c>
      <c r="G44" s="1"/>
      <c r="H44" s="1">
        <f>Tableau1[[#This Row],[Demande total]]-Tableau1[[#This Row],[Spare]]</f>
        <v>-1</v>
      </c>
    </row>
    <row r="45" spans="2:8" x14ac:dyDescent="0.25">
      <c r="B45" t="s">
        <v>45</v>
      </c>
      <c r="C45">
        <v>1</v>
      </c>
      <c r="F45" s="1">
        <f>Tableau1[[#This Row],[Quantité N-1]]+Tableau1[[#This Row],[Quantité N]]-Tableau1[[#This Row],[Prêté]]</f>
        <v>1</v>
      </c>
      <c r="G45" s="1"/>
      <c r="H45" s="1">
        <f>Tableau1[[#This Row],[Demande total]]-Tableau1[[#This Row],[Spare]]</f>
        <v>-1</v>
      </c>
    </row>
    <row r="46" spans="2:8" x14ac:dyDescent="0.25">
      <c r="B46" t="s">
        <v>118</v>
      </c>
      <c r="C46">
        <v>3</v>
      </c>
      <c r="F46" s="1">
        <f>Tableau1[[#This Row],[Quantité N-1]]+Tableau1[[#This Row],[Quantité N]]-Tableau1[[#This Row],[Prêté]]</f>
        <v>3</v>
      </c>
      <c r="G46" s="1"/>
      <c r="H46" s="1">
        <f>Tableau1[[#This Row],[Demande total]]-Tableau1[[#This Row],[Spare]]</f>
        <v>-3</v>
      </c>
    </row>
    <row r="47" spans="2:8" x14ac:dyDescent="0.25">
      <c r="B47" t="s">
        <v>100</v>
      </c>
      <c r="C47">
        <v>51</v>
      </c>
      <c r="F47" s="1">
        <f>Tableau1[[#This Row],[Quantité N-1]]+Tableau1[[#This Row],[Quantité N]]-Tableau1[[#This Row],[Prêté]]</f>
        <v>51</v>
      </c>
      <c r="G47" s="1"/>
      <c r="H47" s="1">
        <f>Tableau1[[#This Row],[Demande total]]-Tableau1[[#This Row],[Spare]]</f>
        <v>-51</v>
      </c>
    </row>
    <row r="48" spans="2:8" x14ac:dyDescent="0.25">
      <c r="B48" t="s">
        <v>27</v>
      </c>
      <c r="C48">
        <v>4</v>
      </c>
      <c r="F48" s="1">
        <f>Tableau1[[#This Row],[Quantité N-1]]+Tableau1[[#This Row],[Quantité N]]-Tableau1[[#This Row],[Prêté]]</f>
        <v>4</v>
      </c>
      <c r="G48" s="1"/>
      <c r="H48" s="1">
        <f>Tableau1[[#This Row],[Demande total]]-Tableau1[[#This Row],[Spare]]</f>
        <v>-4</v>
      </c>
    </row>
    <row r="49" spans="2:8" x14ac:dyDescent="0.25">
      <c r="B49" t="s">
        <v>35</v>
      </c>
      <c r="C49">
        <v>24</v>
      </c>
      <c r="F49" s="1">
        <f>Tableau1[[#This Row],[Quantité N-1]]+Tableau1[[#This Row],[Quantité N]]-Tableau1[[#This Row],[Prêté]]</f>
        <v>24</v>
      </c>
      <c r="G49" s="1"/>
      <c r="H49" s="1">
        <f>Tableau1[[#This Row],[Demande total]]-Tableau1[[#This Row],[Spare]]</f>
        <v>-24</v>
      </c>
    </row>
    <row r="50" spans="2:8" x14ac:dyDescent="0.25">
      <c r="B50" t="s">
        <v>98</v>
      </c>
      <c r="C50">
        <v>2</v>
      </c>
      <c r="F50" s="1">
        <f>Tableau1[[#This Row],[Quantité N-1]]+Tableau1[[#This Row],[Quantité N]]-Tableau1[[#This Row],[Prêté]]</f>
        <v>2</v>
      </c>
      <c r="G50" s="1"/>
      <c r="H50" s="1">
        <f>Tableau1[[#This Row],[Demande total]]-Tableau1[[#This Row],[Spare]]</f>
        <v>-2</v>
      </c>
    </row>
    <row r="51" spans="2:8" x14ac:dyDescent="0.25">
      <c r="B51" t="s">
        <v>174</v>
      </c>
      <c r="F51" s="1">
        <f>Tableau1[[#This Row],[Quantité N-1]]+Tableau1[[#This Row],[Quantité N]]-Tableau1[[#This Row],[Prêté]]</f>
        <v>0</v>
      </c>
      <c r="G51" s="1"/>
      <c r="H51" s="1">
        <f>Tableau1[[#This Row],[Demande total]]-Tableau1[[#This Row],[Spare]]</f>
        <v>0</v>
      </c>
    </row>
    <row r="52" spans="2:8" x14ac:dyDescent="0.25">
      <c r="B52" t="s">
        <v>173</v>
      </c>
      <c r="C52">
        <v>10</v>
      </c>
      <c r="F52" s="1">
        <f>Tableau1[[#This Row],[Quantité N-1]]+Tableau1[[#This Row],[Quantité N]]-Tableau1[[#This Row],[Prêté]]</f>
        <v>10</v>
      </c>
      <c r="G52" s="1"/>
      <c r="H52" s="1">
        <f>Tableau1[[#This Row],[Demande total]]-Tableau1[[#This Row],[Spare]]</f>
        <v>-10</v>
      </c>
    </row>
    <row r="53" spans="2:8" x14ac:dyDescent="0.25">
      <c r="B53" t="s">
        <v>94</v>
      </c>
      <c r="C53">
        <v>10</v>
      </c>
      <c r="F53" s="1">
        <f>Tableau1[[#This Row],[Quantité N-1]]+Tableau1[[#This Row],[Quantité N]]-Tableau1[[#This Row],[Prêté]]</f>
        <v>10</v>
      </c>
      <c r="G53" s="1"/>
      <c r="H53" s="1">
        <f>Tableau1[[#This Row],[Demande total]]-Tableau1[[#This Row],[Spare]]</f>
        <v>-10</v>
      </c>
    </row>
    <row r="54" spans="2:8" x14ac:dyDescent="0.25">
      <c r="B54" t="s">
        <v>81</v>
      </c>
      <c r="C54">
        <v>6</v>
      </c>
      <c r="F54" s="1">
        <f>Tableau1[[#This Row],[Quantité N-1]]+Tableau1[[#This Row],[Quantité N]]-Tableau1[[#This Row],[Prêté]]</f>
        <v>6</v>
      </c>
      <c r="G54" s="1"/>
      <c r="H54" s="1">
        <f>Tableau1[[#This Row],[Demande total]]-Tableau1[[#This Row],[Spare]]</f>
        <v>-6</v>
      </c>
    </row>
    <row r="55" spans="2:8" x14ac:dyDescent="0.25">
      <c r="B55" t="s">
        <v>97</v>
      </c>
      <c r="C55">
        <v>4</v>
      </c>
      <c r="F55" s="1">
        <f>Tableau1[[#This Row],[Quantité N-1]]+Tableau1[[#This Row],[Quantité N]]-Tableau1[[#This Row],[Prêté]]</f>
        <v>4</v>
      </c>
      <c r="G55" s="1"/>
      <c r="H55" s="1">
        <f>Tableau1[[#This Row],[Demande total]]-Tableau1[[#This Row],[Spare]]</f>
        <v>-4</v>
      </c>
    </row>
    <row r="56" spans="2:8" x14ac:dyDescent="0.25">
      <c r="B56" t="s">
        <v>166</v>
      </c>
      <c r="C56">
        <v>2</v>
      </c>
      <c r="F56" s="1">
        <f>Tableau1[[#This Row],[Quantité N-1]]+Tableau1[[#This Row],[Quantité N]]-Tableau1[[#This Row],[Prêté]]</f>
        <v>2</v>
      </c>
      <c r="G56" s="1"/>
      <c r="H56" s="1">
        <f>Tableau1[[#This Row],[Demande total]]-Tableau1[[#This Row],[Spare]]</f>
        <v>-2</v>
      </c>
    </row>
    <row r="57" spans="2:8" x14ac:dyDescent="0.25">
      <c r="B57" t="s">
        <v>145</v>
      </c>
      <c r="C57">
        <v>1</v>
      </c>
      <c r="F57" s="1">
        <f>Tableau1[[#This Row],[Quantité N-1]]+Tableau1[[#This Row],[Quantité N]]-Tableau1[[#This Row],[Prêté]]</f>
        <v>1</v>
      </c>
      <c r="G57" s="1"/>
      <c r="H57" s="1">
        <f>Tableau1[[#This Row],[Demande total]]-Tableau1[[#This Row],[Spare]]</f>
        <v>-1</v>
      </c>
    </row>
    <row r="58" spans="2:8" x14ac:dyDescent="0.25">
      <c r="B58" t="s">
        <v>140</v>
      </c>
      <c r="C58">
        <v>36</v>
      </c>
      <c r="F58" s="1">
        <f>Tableau1[[#This Row],[Quantité N-1]]+Tableau1[[#This Row],[Quantité N]]-Tableau1[[#This Row],[Prêté]]</f>
        <v>36</v>
      </c>
      <c r="G58" s="1"/>
      <c r="H58" s="1">
        <f>Tableau1[[#This Row],[Demande total]]-Tableau1[[#This Row],[Spare]]</f>
        <v>-36</v>
      </c>
    </row>
    <row r="59" spans="2:8" x14ac:dyDescent="0.25">
      <c r="B59" t="s">
        <v>78</v>
      </c>
      <c r="C59">
        <v>2</v>
      </c>
      <c r="F59" s="1">
        <f>Tableau1[[#This Row],[Quantité N-1]]+Tableau1[[#This Row],[Quantité N]]-Tableau1[[#This Row],[Prêté]]</f>
        <v>2</v>
      </c>
      <c r="G59" s="1"/>
      <c r="H59" s="1">
        <f>Tableau1[[#This Row],[Demande total]]-Tableau1[[#This Row],[Spare]]</f>
        <v>-2</v>
      </c>
    </row>
    <row r="60" spans="2:8" x14ac:dyDescent="0.25">
      <c r="B60" t="s">
        <v>77</v>
      </c>
      <c r="C60">
        <v>9</v>
      </c>
      <c r="F60" s="1">
        <f>Tableau1[[#This Row],[Quantité N-1]]+Tableau1[[#This Row],[Quantité N]]-Tableau1[[#This Row],[Prêté]]</f>
        <v>9</v>
      </c>
      <c r="G60" s="1"/>
      <c r="H60" s="1">
        <f>Tableau1[[#This Row],[Demande total]]-Tableau1[[#This Row],[Spare]]</f>
        <v>-9</v>
      </c>
    </row>
    <row r="61" spans="2:8" x14ac:dyDescent="0.25">
      <c r="B61" t="s">
        <v>185</v>
      </c>
      <c r="C61">
        <v>4</v>
      </c>
      <c r="F61" s="1">
        <f>Tableau1[[#This Row],[Quantité N-1]]+Tableau1[[#This Row],[Quantité N]]-Tableau1[[#This Row],[Prêté]]</f>
        <v>4</v>
      </c>
      <c r="G61" s="1"/>
      <c r="H61" s="1">
        <f>Tableau1[[#This Row],[Demande total]]-Tableau1[[#This Row],[Spare]]</f>
        <v>-4</v>
      </c>
    </row>
    <row r="62" spans="2:8" x14ac:dyDescent="0.25">
      <c r="B62" t="s">
        <v>119</v>
      </c>
      <c r="C62">
        <v>13</v>
      </c>
      <c r="F62" s="1">
        <f>Tableau1[[#This Row],[Quantité N-1]]+Tableau1[[#This Row],[Quantité N]]-Tableau1[[#This Row],[Prêté]]</f>
        <v>13</v>
      </c>
      <c r="G62" s="1"/>
      <c r="H62" s="1">
        <f>Tableau1[[#This Row],[Demande total]]-Tableau1[[#This Row],[Spare]]</f>
        <v>-13</v>
      </c>
    </row>
    <row r="63" spans="2:8" x14ac:dyDescent="0.25">
      <c r="B63" t="s">
        <v>58</v>
      </c>
      <c r="C63">
        <v>26</v>
      </c>
      <c r="F63" s="1">
        <f>Tableau1[[#This Row],[Quantité N-1]]+Tableau1[[#This Row],[Quantité N]]-Tableau1[[#This Row],[Prêté]]</f>
        <v>26</v>
      </c>
      <c r="G63" s="1"/>
      <c r="H63" s="1">
        <f>Tableau1[[#This Row],[Demande total]]-Tableau1[[#This Row],[Spare]]</f>
        <v>-26</v>
      </c>
    </row>
    <row r="64" spans="2:8" x14ac:dyDescent="0.25">
      <c r="B64" t="s">
        <v>109</v>
      </c>
      <c r="C64">
        <v>2</v>
      </c>
      <c r="F64" s="1">
        <f>Tableau1[[#This Row],[Quantité N-1]]+Tableau1[[#This Row],[Quantité N]]-Tableau1[[#This Row],[Prêté]]</f>
        <v>2</v>
      </c>
      <c r="G64" s="1"/>
      <c r="H64" s="1">
        <f>Tableau1[[#This Row],[Demande total]]-Tableau1[[#This Row],[Spare]]</f>
        <v>-2</v>
      </c>
    </row>
    <row r="65" spans="2:8" x14ac:dyDescent="0.25">
      <c r="B65" t="s">
        <v>107</v>
      </c>
      <c r="C65">
        <v>1</v>
      </c>
      <c r="F65" s="1">
        <f>Tableau1[[#This Row],[Quantité N-1]]+Tableau1[[#This Row],[Quantité N]]-Tableau1[[#This Row],[Prêté]]</f>
        <v>1</v>
      </c>
      <c r="G65" s="1"/>
      <c r="H65" s="1">
        <f>Tableau1[[#This Row],[Demande total]]-Tableau1[[#This Row],[Spare]]</f>
        <v>-1</v>
      </c>
    </row>
    <row r="66" spans="2:8" x14ac:dyDescent="0.25">
      <c r="B66" t="s">
        <v>73</v>
      </c>
      <c r="C66">
        <v>21</v>
      </c>
      <c r="F66" s="1">
        <f>Tableau1[[#This Row],[Quantité N-1]]+Tableau1[[#This Row],[Quantité N]]-Tableau1[[#This Row],[Prêté]]</f>
        <v>21</v>
      </c>
      <c r="G66" s="1"/>
      <c r="H66" s="1">
        <f>Tableau1[[#This Row],[Demande total]]-Tableau1[[#This Row],[Spare]]</f>
        <v>-21</v>
      </c>
    </row>
    <row r="67" spans="2:8" x14ac:dyDescent="0.25">
      <c r="B67" t="s">
        <v>111</v>
      </c>
      <c r="C67">
        <v>1</v>
      </c>
      <c r="F67" s="1">
        <f>Tableau1[[#This Row],[Quantité N-1]]+Tableau1[[#This Row],[Quantité N]]-Tableau1[[#This Row],[Prêté]]</f>
        <v>1</v>
      </c>
      <c r="G67" s="1"/>
      <c r="H67" s="1">
        <f>Tableau1[[#This Row],[Demande total]]-Tableau1[[#This Row],[Spare]]</f>
        <v>-1</v>
      </c>
    </row>
    <row r="68" spans="2:8" x14ac:dyDescent="0.25">
      <c r="B68" t="s">
        <v>175</v>
      </c>
      <c r="C68">
        <v>2</v>
      </c>
      <c r="F68" s="1">
        <f>Tableau1[[#This Row],[Quantité N-1]]+Tableau1[[#This Row],[Quantité N]]-Tableau1[[#This Row],[Prêté]]</f>
        <v>2</v>
      </c>
      <c r="G68" s="1"/>
      <c r="H68" s="1">
        <f>Tableau1[[#This Row],[Demande total]]-Tableau1[[#This Row],[Spare]]</f>
        <v>-2</v>
      </c>
    </row>
    <row r="69" spans="2:8" x14ac:dyDescent="0.25">
      <c r="B69" t="s">
        <v>176</v>
      </c>
      <c r="C69">
        <v>3</v>
      </c>
      <c r="F69" s="1">
        <f>Tableau1[[#This Row],[Quantité N-1]]+Tableau1[[#This Row],[Quantité N]]-Tableau1[[#This Row],[Prêté]]</f>
        <v>3</v>
      </c>
      <c r="G69" s="1"/>
      <c r="H69" s="1">
        <f>Tableau1[[#This Row],[Demande total]]-Tableau1[[#This Row],[Spare]]</f>
        <v>-3</v>
      </c>
    </row>
    <row r="70" spans="2:8" x14ac:dyDescent="0.25">
      <c r="B70" t="s">
        <v>32</v>
      </c>
      <c r="C70">
        <v>6</v>
      </c>
      <c r="E70" s="1"/>
      <c r="F70" s="1">
        <f>Tableau1[[#This Row],[Quantité N-1]]+Tableau1[[#This Row],[Quantité N]]-Tableau1[[#This Row],[Prêté]]</f>
        <v>6</v>
      </c>
      <c r="G70" s="1"/>
      <c r="H70" s="1">
        <f>Tableau1[[#This Row],[Demande total]]-Tableau1[[#This Row],[Spare]]</f>
        <v>-6</v>
      </c>
    </row>
    <row r="71" spans="2:8" x14ac:dyDescent="0.25">
      <c r="B71" t="s">
        <v>33</v>
      </c>
      <c r="C71">
        <v>3</v>
      </c>
      <c r="E71" s="1"/>
      <c r="F71" s="1">
        <f>Tableau1[[#This Row],[Quantité N-1]]+Tableau1[[#This Row],[Quantité N]]-Tableau1[[#This Row],[Prêté]]</f>
        <v>3</v>
      </c>
      <c r="G71" s="1"/>
      <c r="H71" s="1">
        <f>Tableau1[[#This Row],[Demande total]]-Tableau1[[#This Row],[Spare]]</f>
        <v>-3</v>
      </c>
    </row>
    <row r="72" spans="2:8" x14ac:dyDescent="0.25">
      <c r="B72" t="s">
        <v>96</v>
      </c>
      <c r="C72">
        <v>56</v>
      </c>
      <c r="F72" s="1">
        <f>Tableau1[[#This Row],[Quantité N-1]]+Tableau1[[#This Row],[Quantité N]]-Tableau1[[#This Row],[Prêté]]</f>
        <v>56</v>
      </c>
      <c r="G72" s="1"/>
      <c r="H72" s="1">
        <f>Tableau1[[#This Row],[Demande total]]-Tableau1[[#This Row],[Spare]]</f>
        <v>-56</v>
      </c>
    </row>
    <row r="73" spans="2:8" x14ac:dyDescent="0.25">
      <c r="B73" t="s">
        <v>26</v>
      </c>
      <c r="C73">
        <v>1</v>
      </c>
      <c r="F73" s="1">
        <f>Tableau1[[#This Row],[Quantité N-1]]+Tableau1[[#This Row],[Quantité N]]-Tableau1[[#This Row],[Prêté]]</f>
        <v>1</v>
      </c>
      <c r="G73" s="1"/>
      <c r="H73" s="1">
        <f>Tableau1[[#This Row],[Demande total]]-Tableau1[[#This Row],[Spare]]</f>
        <v>-1</v>
      </c>
    </row>
    <row r="74" spans="2:8" x14ac:dyDescent="0.25">
      <c r="B74" t="s">
        <v>22</v>
      </c>
      <c r="C74">
        <v>14</v>
      </c>
      <c r="D74">
        <v>0</v>
      </c>
      <c r="E74">
        <v>0</v>
      </c>
      <c r="F74">
        <f>Tableau1[[#This Row],[Quantité N-1]]+Tableau1[[#This Row],[Quantité N]]-Tableau1[[#This Row],[Prêté]]</f>
        <v>14</v>
      </c>
      <c r="G74">
        <v>0</v>
      </c>
      <c r="H74" s="1">
        <f>Tableau1[[#This Row],[Demande total]]-Tableau1[[#This Row],[Spare]]</f>
        <v>-14</v>
      </c>
    </row>
    <row r="75" spans="2:8" x14ac:dyDescent="0.25">
      <c r="B75" t="s">
        <v>23</v>
      </c>
      <c r="C75">
        <v>12</v>
      </c>
      <c r="F75">
        <f>Tableau1[[#This Row],[Quantité N-1]]+Tableau1[[#This Row],[Quantité N]]-Tableau1[[#This Row],[Prêté]]</f>
        <v>12</v>
      </c>
      <c r="G75" s="1"/>
      <c r="H75" s="1">
        <f>Tableau1[[#This Row],[Demande total]]-Tableau1[[#This Row],[Spare]]</f>
        <v>-12</v>
      </c>
    </row>
    <row r="76" spans="2:8" x14ac:dyDescent="0.25">
      <c r="B76" t="s">
        <v>25</v>
      </c>
      <c r="C76">
        <v>1</v>
      </c>
      <c r="F76" s="1">
        <f>Tableau1[[#This Row],[Quantité N-1]]+Tableau1[[#This Row],[Quantité N]]-Tableau1[[#This Row],[Prêté]]</f>
        <v>1</v>
      </c>
      <c r="G76" s="1"/>
      <c r="H76" s="1">
        <f>Tableau1[[#This Row],[Demande total]]-Tableau1[[#This Row],[Spare]]</f>
        <v>-1</v>
      </c>
    </row>
    <row r="77" spans="2:8" x14ac:dyDescent="0.25">
      <c r="B77" t="s">
        <v>24</v>
      </c>
      <c r="C77">
        <v>5</v>
      </c>
      <c r="F77">
        <f>Tableau1[[#This Row],[Quantité N-1]]+Tableau1[[#This Row],[Quantité N]]-Tableau1[[#This Row],[Prêté]]</f>
        <v>5</v>
      </c>
      <c r="G77" s="1"/>
      <c r="H77" s="1">
        <f>Tableau1[[#This Row],[Demande total]]-Tableau1[[#This Row],[Spare]]</f>
        <v>-5</v>
      </c>
    </row>
    <row r="78" spans="2:8" x14ac:dyDescent="0.25">
      <c r="B78" t="s">
        <v>63</v>
      </c>
      <c r="C78">
        <v>65</v>
      </c>
      <c r="F78">
        <f>Tableau1[[#This Row],[Quantité N-1]]+Tableau1[[#This Row],[Quantité N]]-Tableau1[[#This Row],[Prêté]]</f>
        <v>65</v>
      </c>
      <c r="G78" s="1"/>
      <c r="H78" s="1">
        <f>Tableau1[[#This Row],[Demande total]]-Tableau1[[#This Row],[Spare]]</f>
        <v>-65</v>
      </c>
    </row>
    <row r="79" spans="2:8" x14ac:dyDescent="0.25">
      <c r="B79" t="s">
        <v>62</v>
      </c>
      <c r="C79">
        <v>3</v>
      </c>
      <c r="F79" s="1">
        <f>Tableau1[[#This Row],[Quantité N-1]]+Tableau1[[#This Row],[Quantité N]]-Tableau1[[#This Row],[Prêté]]</f>
        <v>3</v>
      </c>
      <c r="G79" s="1"/>
      <c r="H79" s="1">
        <f>Tableau1[[#This Row],[Demande total]]-Tableau1[[#This Row],[Spare]]</f>
        <v>-3</v>
      </c>
    </row>
    <row r="80" spans="2:8" x14ac:dyDescent="0.25">
      <c r="B80" t="s">
        <v>82</v>
      </c>
      <c r="C80">
        <v>2</v>
      </c>
      <c r="F80" s="1">
        <f>Tableau1[[#This Row],[Quantité N-1]]+Tableau1[[#This Row],[Quantité N]]-Tableau1[[#This Row],[Prêté]]</f>
        <v>2</v>
      </c>
      <c r="G80" s="1"/>
      <c r="H80" s="1">
        <f>Tableau1[[#This Row],[Demande total]]-Tableau1[[#This Row],[Spare]]</f>
        <v>-2</v>
      </c>
    </row>
    <row r="81" spans="2:8" x14ac:dyDescent="0.25">
      <c r="B81" t="s">
        <v>188</v>
      </c>
      <c r="C81">
        <v>10</v>
      </c>
      <c r="F81" s="1">
        <f>Tableau1[[#This Row],[Quantité N-1]]+Tableau1[[#This Row],[Quantité N]]-Tableau1[[#This Row],[Prêté]]</f>
        <v>10</v>
      </c>
      <c r="G81" s="1"/>
      <c r="H81" s="1">
        <f>Tableau1[[#This Row],[Demande total]]-Tableau1[[#This Row],[Spare]]</f>
        <v>-10</v>
      </c>
    </row>
    <row r="82" spans="2:8" x14ac:dyDescent="0.25">
      <c r="B82" t="s">
        <v>195</v>
      </c>
      <c r="C82">
        <v>1</v>
      </c>
      <c r="F82" s="1">
        <f>Tableau1[[#This Row],[Quantité N-1]]+Tableau1[[#This Row],[Quantité N]]-Tableau1[[#This Row],[Prêté]]</f>
        <v>1</v>
      </c>
      <c r="G82" s="1"/>
      <c r="H82" s="1">
        <f>Tableau1[[#This Row],[Demande total]]-Tableau1[[#This Row],[Spare]]</f>
        <v>-1</v>
      </c>
    </row>
    <row r="83" spans="2:8" x14ac:dyDescent="0.25">
      <c r="B83" t="s">
        <v>191</v>
      </c>
      <c r="C83">
        <v>6</v>
      </c>
      <c r="F83" s="1">
        <f>Tableau1[[#This Row],[Quantité N-1]]+Tableau1[[#This Row],[Quantité N]]-Tableau1[[#This Row],[Prêté]]</f>
        <v>6</v>
      </c>
      <c r="G83" s="1"/>
      <c r="H83" s="1">
        <f>Tableau1[[#This Row],[Demande total]]-Tableau1[[#This Row],[Spare]]</f>
        <v>-6</v>
      </c>
    </row>
    <row r="84" spans="2:8" x14ac:dyDescent="0.25">
      <c r="B84" t="s">
        <v>106</v>
      </c>
      <c r="C84">
        <v>1</v>
      </c>
      <c r="F84" s="1">
        <f>Tableau1[[#This Row],[Quantité N-1]]+Tableau1[[#This Row],[Quantité N]]-Tableau1[[#This Row],[Prêté]]</f>
        <v>1</v>
      </c>
      <c r="G84" s="1"/>
      <c r="H84" s="1">
        <f>Tableau1[[#This Row],[Demande total]]-Tableau1[[#This Row],[Spare]]</f>
        <v>-1</v>
      </c>
    </row>
    <row r="85" spans="2:8" x14ac:dyDescent="0.25">
      <c r="B85" t="s">
        <v>127</v>
      </c>
      <c r="C85">
        <v>5</v>
      </c>
      <c r="F85" s="1">
        <f>Tableau1[[#This Row],[Quantité N-1]]+Tableau1[[#This Row],[Quantité N]]-Tableau1[[#This Row],[Prêté]]</f>
        <v>5</v>
      </c>
      <c r="G85" s="1"/>
      <c r="H85" s="1">
        <f>Tableau1[[#This Row],[Demande total]]-Tableau1[[#This Row],[Spare]]</f>
        <v>-5</v>
      </c>
    </row>
    <row r="86" spans="2:8" x14ac:dyDescent="0.25">
      <c r="B86" t="s">
        <v>194</v>
      </c>
      <c r="C86">
        <v>4</v>
      </c>
      <c r="F86" s="1">
        <f>Tableau1[[#This Row],[Quantité N-1]]+Tableau1[[#This Row],[Quantité N]]-Tableau1[[#This Row],[Prêté]]</f>
        <v>4</v>
      </c>
      <c r="G86" s="1"/>
      <c r="H86" s="1">
        <f>Tableau1[[#This Row],[Demande total]]-Tableau1[[#This Row],[Spare]]</f>
        <v>-4</v>
      </c>
    </row>
    <row r="87" spans="2:8" x14ac:dyDescent="0.25">
      <c r="B87" t="s">
        <v>74</v>
      </c>
      <c r="C87">
        <v>2</v>
      </c>
      <c r="F87" s="1">
        <f>Tableau1[[#This Row],[Quantité N-1]]+Tableau1[[#This Row],[Quantité N]]-Tableau1[[#This Row],[Prêté]]</f>
        <v>2</v>
      </c>
      <c r="G87" s="1"/>
      <c r="H87" s="1">
        <f>Tableau1[[#This Row],[Demande total]]-Tableau1[[#This Row],[Spare]]</f>
        <v>-2</v>
      </c>
    </row>
    <row r="88" spans="2:8" x14ac:dyDescent="0.25">
      <c r="B88" t="s">
        <v>75</v>
      </c>
      <c r="C88">
        <v>1</v>
      </c>
      <c r="F88" s="1">
        <f>Tableau1[[#This Row],[Quantité N-1]]+Tableau1[[#This Row],[Quantité N]]-Tableau1[[#This Row],[Prêté]]</f>
        <v>1</v>
      </c>
      <c r="G88" s="1"/>
      <c r="H88" s="1">
        <f>Tableau1[[#This Row],[Demande total]]-Tableau1[[#This Row],[Spare]]</f>
        <v>-1</v>
      </c>
    </row>
    <row r="89" spans="2:8" x14ac:dyDescent="0.25">
      <c r="B89" t="s">
        <v>80</v>
      </c>
      <c r="C89">
        <v>1</v>
      </c>
      <c r="F89" s="1">
        <f>Tableau1[[#This Row],[Quantité N-1]]+Tableau1[[#This Row],[Quantité N]]-Tableau1[[#This Row],[Prêté]]</f>
        <v>1</v>
      </c>
      <c r="G89" s="1"/>
      <c r="H89" s="1">
        <f>Tableau1[[#This Row],[Demande total]]-Tableau1[[#This Row],[Spare]]</f>
        <v>-1</v>
      </c>
    </row>
    <row r="90" spans="2:8" x14ac:dyDescent="0.25">
      <c r="B90" t="s">
        <v>120</v>
      </c>
      <c r="C90">
        <v>7</v>
      </c>
      <c r="F90" s="1">
        <f>Tableau1[[#This Row],[Quantité N-1]]+Tableau1[[#This Row],[Quantité N]]-Tableau1[[#This Row],[Prêté]]</f>
        <v>7</v>
      </c>
      <c r="G90" s="1"/>
      <c r="H90" s="1">
        <f>Tableau1[[#This Row],[Demande total]]-Tableau1[[#This Row],[Spare]]</f>
        <v>-7</v>
      </c>
    </row>
    <row r="91" spans="2:8" x14ac:dyDescent="0.25">
      <c r="B91" t="s">
        <v>192</v>
      </c>
      <c r="C91">
        <v>11</v>
      </c>
      <c r="F91" s="1">
        <f>Tableau1[[#This Row],[Quantité N-1]]+Tableau1[[#This Row],[Quantité N]]-Tableau1[[#This Row],[Prêté]]</f>
        <v>11</v>
      </c>
      <c r="G91" s="1"/>
      <c r="H91" s="1">
        <f>Tableau1[[#This Row],[Demande total]]-Tableau1[[#This Row],[Spare]]</f>
        <v>-11</v>
      </c>
    </row>
    <row r="92" spans="2:8" x14ac:dyDescent="0.25">
      <c r="B92" t="s">
        <v>171</v>
      </c>
      <c r="C92">
        <v>3</v>
      </c>
      <c r="F92" s="1">
        <f>Tableau1[[#This Row],[Quantité N-1]]+Tableau1[[#This Row],[Quantité N]]-Tableau1[[#This Row],[Prêté]]</f>
        <v>3</v>
      </c>
      <c r="G92" s="1"/>
      <c r="H92" s="1">
        <f>Tableau1[[#This Row],[Demande total]]-Tableau1[[#This Row],[Spare]]</f>
        <v>-3</v>
      </c>
    </row>
    <row r="93" spans="2:8" x14ac:dyDescent="0.25">
      <c r="B93" t="s">
        <v>122</v>
      </c>
      <c r="C93">
        <v>3</v>
      </c>
      <c r="F93" s="1">
        <f>Tableau1[[#This Row],[Quantité N-1]]+Tableau1[[#This Row],[Quantité N]]-Tableau1[[#This Row],[Prêté]]</f>
        <v>3</v>
      </c>
      <c r="G93" s="1"/>
      <c r="H93" s="1">
        <f>Tableau1[[#This Row],[Demande total]]-Tableau1[[#This Row],[Spare]]</f>
        <v>-3</v>
      </c>
    </row>
    <row r="94" spans="2:8" x14ac:dyDescent="0.25">
      <c r="B94" t="s">
        <v>170</v>
      </c>
      <c r="C94">
        <v>5</v>
      </c>
      <c r="F94" s="1">
        <f>Tableau1[[#This Row],[Quantité N-1]]+Tableau1[[#This Row],[Quantité N]]-Tableau1[[#This Row],[Prêté]]</f>
        <v>5</v>
      </c>
      <c r="G94" s="1"/>
      <c r="H94" s="1">
        <f>Tableau1[[#This Row],[Demande total]]-Tableau1[[#This Row],[Spare]]</f>
        <v>-5</v>
      </c>
    </row>
    <row r="95" spans="2:8" x14ac:dyDescent="0.25">
      <c r="B95" t="s">
        <v>177</v>
      </c>
      <c r="C95">
        <v>4</v>
      </c>
      <c r="F95" s="1">
        <f>Tableau1[[#This Row],[Quantité N-1]]+Tableau1[[#This Row],[Quantité N]]-Tableau1[[#This Row],[Prêté]]</f>
        <v>4</v>
      </c>
      <c r="G95" s="1"/>
      <c r="H95" s="1">
        <f>Tableau1[[#This Row],[Demande total]]-Tableau1[[#This Row],[Spare]]</f>
        <v>-4</v>
      </c>
    </row>
    <row r="96" spans="2:8" x14ac:dyDescent="0.25">
      <c r="B96" t="s">
        <v>154</v>
      </c>
      <c r="C96">
        <v>2</v>
      </c>
      <c r="F96" s="1">
        <f>Tableau1[[#This Row],[Quantité N-1]]+Tableau1[[#This Row],[Quantité N]]-Tableau1[[#This Row],[Prêté]]</f>
        <v>2</v>
      </c>
      <c r="G96" s="1"/>
      <c r="H96" s="1">
        <f>Tableau1[[#This Row],[Demande total]]-Tableau1[[#This Row],[Spare]]</f>
        <v>-2</v>
      </c>
    </row>
    <row r="97" spans="2:8" x14ac:dyDescent="0.25">
      <c r="B97" t="s">
        <v>155</v>
      </c>
      <c r="C97">
        <v>2</v>
      </c>
      <c r="F97" s="1">
        <f>Tableau1[[#This Row],[Quantité N-1]]+Tableau1[[#This Row],[Quantité N]]-Tableau1[[#This Row],[Prêté]]</f>
        <v>2</v>
      </c>
      <c r="G97" s="1"/>
      <c r="H97" s="1">
        <f>Tableau1[[#This Row],[Demande total]]-Tableau1[[#This Row],[Spare]]</f>
        <v>-2</v>
      </c>
    </row>
    <row r="98" spans="2:8" x14ac:dyDescent="0.25">
      <c r="B98" t="s">
        <v>214</v>
      </c>
      <c r="C98">
        <v>5</v>
      </c>
      <c r="F98" s="1">
        <f>Tableau1[[#This Row],[Quantité N-1]]+Tableau1[[#This Row],[Quantité N]]-Tableau1[[#This Row],[Prêté]]</f>
        <v>5</v>
      </c>
      <c r="G98" s="1"/>
      <c r="H98" s="1">
        <f>Tableau1[[#This Row],[Demande total]]-Tableau1[[#This Row],[Spare]]</f>
        <v>-5</v>
      </c>
    </row>
    <row r="99" spans="2:8" x14ac:dyDescent="0.25">
      <c r="B99" t="s">
        <v>189</v>
      </c>
      <c r="C99">
        <v>3</v>
      </c>
      <c r="F99" s="1">
        <f>Tableau1[[#This Row],[Quantité N-1]]+Tableau1[[#This Row],[Quantité N]]-Tableau1[[#This Row],[Prêté]]</f>
        <v>3</v>
      </c>
      <c r="G99" s="1"/>
      <c r="H99" s="1">
        <f>Tableau1[[#This Row],[Demande total]]-Tableau1[[#This Row],[Spare]]</f>
        <v>-3</v>
      </c>
    </row>
    <row r="100" spans="2:8" x14ac:dyDescent="0.25">
      <c r="B100" t="s">
        <v>112</v>
      </c>
      <c r="C100">
        <v>2</v>
      </c>
      <c r="F100" s="1">
        <f>Tableau1[[#This Row],[Quantité N-1]]+Tableau1[[#This Row],[Quantité N]]-Tableau1[[#This Row],[Prêté]]</f>
        <v>2</v>
      </c>
      <c r="G100" s="1"/>
      <c r="H100" s="1">
        <f>Tableau1[[#This Row],[Demande total]]-Tableau1[[#This Row],[Spare]]</f>
        <v>-2</v>
      </c>
    </row>
    <row r="101" spans="2:8" x14ac:dyDescent="0.25">
      <c r="B101" t="s">
        <v>167</v>
      </c>
      <c r="C101">
        <v>2</v>
      </c>
      <c r="F101" s="1">
        <f>Tableau1[[#This Row],[Quantité N-1]]+Tableau1[[#This Row],[Quantité N]]-Tableau1[[#This Row],[Prêté]]</f>
        <v>2</v>
      </c>
      <c r="G101" s="1"/>
      <c r="H101" s="1">
        <f>Tableau1[[#This Row],[Demande total]]-Tableau1[[#This Row],[Spare]]</f>
        <v>-2</v>
      </c>
    </row>
    <row r="102" spans="2:8" x14ac:dyDescent="0.25">
      <c r="B102" t="s">
        <v>113</v>
      </c>
      <c r="C102">
        <v>2</v>
      </c>
      <c r="F102" s="1">
        <f>Tableau1[[#This Row],[Quantité N-1]]+Tableau1[[#This Row],[Quantité N]]-Tableau1[[#This Row],[Prêté]]</f>
        <v>2</v>
      </c>
      <c r="G102" s="1"/>
      <c r="H102" s="1">
        <f>Tableau1[[#This Row],[Demande total]]-Tableau1[[#This Row],[Spare]]</f>
        <v>-2</v>
      </c>
    </row>
    <row r="103" spans="2:8" x14ac:dyDescent="0.25">
      <c r="B103" t="s">
        <v>57</v>
      </c>
      <c r="C103">
        <v>1</v>
      </c>
      <c r="F103" s="1">
        <f>Tableau1[[#This Row],[Quantité N-1]]+Tableau1[[#This Row],[Quantité N]]-Tableau1[[#This Row],[Prêté]]</f>
        <v>1</v>
      </c>
      <c r="G103" s="1"/>
      <c r="H103" s="1">
        <f>Tableau1[[#This Row],[Demande total]]-Tableau1[[#This Row],[Spare]]</f>
        <v>-1</v>
      </c>
    </row>
    <row r="104" spans="2:8" x14ac:dyDescent="0.25">
      <c r="B104" t="s">
        <v>91</v>
      </c>
      <c r="C104">
        <v>1</v>
      </c>
      <c r="F104" s="1">
        <f>Tableau1[[#This Row],[Quantité N-1]]+Tableau1[[#This Row],[Quantité N]]-Tableau1[[#This Row],[Prêté]]</f>
        <v>1</v>
      </c>
      <c r="G104" s="1"/>
      <c r="H104" s="1">
        <f>Tableau1[[#This Row],[Demande total]]-Tableau1[[#This Row],[Spare]]</f>
        <v>-1</v>
      </c>
    </row>
    <row r="105" spans="2:8" x14ac:dyDescent="0.25">
      <c r="B105" t="s">
        <v>178</v>
      </c>
      <c r="C105">
        <v>4</v>
      </c>
      <c r="F105" s="1">
        <f>Tableau1[[#This Row],[Quantité N-1]]+Tableau1[[#This Row],[Quantité N]]-Tableau1[[#This Row],[Prêté]]</f>
        <v>4</v>
      </c>
      <c r="G105" s="1"/>
      <c r="H105" s="1">
        <f>Tableau1[[#This Row],[Demande total]]-Tableau1[[#This Row],[Spare]]</f>
        <v>-4</v>
      </c>
    </row>
    <row r="106" spans="2:8" x14ac:dyDescent="0.25">
      <c r="B106" t="s">
        <v>202</v>
      </c>
      <c r="C106">
        <v>1</v>
      </c>
      <c r="F106" s="1">
        <f>Tableau1[[#This Row],[Quantité N-1]]+Tableau1[[#This Row],[Quantité N]]-Tableau1[[#This Row],[Prêté]]</f>
        <v>1</v>
      </c>
      <c r="G106" s="1"/>
      <c r="H106" s="1">
        <f>Tableau1[[#This Row],[Demande total]]-Tableau1[[#This Row],[Spare]]</f>
        <v>-1</v>
      </c>
    </row>
    <row r="107" spans="2:8" x14ac:dyDescent="0.25">
      <c r="B107" t="s">
        <v>85</v>
      </c>
      <c r="C107">
        <v>1</v>
      </c>
      <c r="F107" s="1">
        <f>Tableau1[[#This Row],[Quantité N-1]]+Tableau1[[#This Row],[Quantité N]]-Tableau1[[#This Row],[Prêté]]</f>
        <v>1</v>
      </c>
      <c r="G107" s="1"/>
      <c r="H107" s="1">
        <f>Tableau1[[#This Row],[Demande total]]-Tableau1[[#This Row],[Spare]]</f>
        <v>-1</v>
      </c>
    </row>
    <row r="108" spans="2:8" x14ac:dyDescent="0.25">
      <c r="B108" t="s">
        <v>61</v>
      </c>
      <c r="C108">
        <v>2</v>
      </c>
      <c r="F108" s="1">
        <f>Tableau1[[#This Row],[Quantité N-1]]+Tableau1[[#This Row],[Quantité N]]-Tableau1[[#This Row],[Prêté]]</f>
        <v>2</v>
      </c>
      <c r="G108" s="1"/>
      <c r="H108" s="1">
        <f>Tableau1[[#This Row],[Demande total]]-Tableau1[[#This Row],[Spare]]</f>
        <v>-2</v>
      </c>
    </row>
    <row r="109" spans="2:8" x14ac:dyDescent="0.25">
      <c r="B109" t="s">
        <v>179</v>
      </c>
      <c r="C109">
        <v>1</v>
      </c>
      <c r="F109" s="1">
        <f>Tableau1[[#This Row],[Quantité N-1]]+Tableau1[[#This Row],[Quantité N]]-Tableau1[[#This Row],[Prêté]]</f>
        <v>1</v>
      </c>
      <c r="G109" s="1"/>
      <c r="H109" s="1">
        <f>Tableau1[[#This Row],[Demande total]]-Tableau1[[#This Row],[Spare]]</f>
        <v>-1</v>
      </c>
    </row>
    <row r="110" spans="2:8" x14ac:dyDescent="0.25">
      <c r="B110" t="s">
        <v>143</v>
      </c>
      <c r="C110">
        <v>7</v>
      </c>
      <c r="F110" s="1">
        <f>Tableau1[[#This Row],[Quantité N-1]]+Tableau1[[#This Row],[Quantité N]]-Tableau1[[#This Row],[Prêté]]</f>
        <v>7</v>
      </c>
      <c r="G110" s="1"/>
      <c r="H110" s="1">
        <f>Tableau1[[#This Row],[Demande total]]-Tableau1[[#This Row],[Spare]]</f>
        <v>-7</v>
      </c>
    </row>
    <row r="111" spans="2:8" x14ac:dyDescent="0.25">
      <c r="B111" t="s">
        <v>95</v>
      </c>
      <c r="C111">
        <v>46</v>
      </c>
      <c r="F111" s="1">
        <f>Tableau1[[#This Row],[Quantité N-1]]+Tableau1[[#This Row],[Quantité N]]-Tableau1[[#This Row],[Prêté]]</f>
        <v>46</v>
      </c>
      <c r="G111" s="1"/>
      <c r="H111" s="1">
        <f>Tableau1[[#This Row],[Demande total]]-Tableau1[[#This Row],[Spare]]</f>
        <v>-46</v>
      </c>
    </row>
    <row r="112" spans="2:8" x14ac:dyDescent="0.25">
      <c r="B112" t="s">
        <v>69</v>
      </c>
      <c r="C112">
        <v>1</v>
      </c>
      <c r="F112" s="1">
        <f>Tableau1[[#This Row],[Quantité N-1]]+Tableau1[[#This Row],[Quantité N]]-Tableau1[[#This Row],[Prêté]]</f>
        <v>1</v>
      </c>
      <c r="G112" s="1"/>
      <c r="H112" s="1">
        <f>Tableau1[[#This Row],[Demande total]]-Tableau1[[#This Row],[Spare]]</f>
        <v>-1</v>
      </c>
    </row>
    <row r="113" spans="2:8" x14ac:dyDescent="0.25">
      <c r="B113" t="s">
        <v>66</v>
      </c>
      <c r="C113">
        <v>16</v>
      </c>
      <c r="F113" s="1">
        <f>Tableau1[[#This Row],[Quantité N-1]]+Tableau1[[#This Row],[Quantité N]]-Tableau1[[#This Row],[Prêté]]</f>
        <v>16</v>
      </c>
      <c r="G113" s="1"/>
      <c r="H113" s="1">
        <f>Tableau1[[#This Row],[Demande total]]-Tableau1[[#This Row],[Spare]]</f>
        <v>-16</v>
      </c>
    </row>
    <row r="114" spans="2:8" x14ac:dyDescent="0.25">
      <c r="B114" t="s">
        <v>68</v>
      </c>
      <c r="C114">
        <v>26</v>
      </c>
      <c r="F114" s="1">
        <f>Tableau1[[#This Row],[Quantité N-1]]+Tableau1[[#This Row],[Quantité N]]-Tableau1[[#This Row],[Prêté]]</f>
        <v>26</v>
      </c>
      <c r="G114" s="1"/>
      <c r="H114" s="1">
        <f>Tableau1[[#This Row],[Demande total]]-Tableau1[[#This Row],[Spare]]</f>
        <v>-26</v>
      </c>
    </row>
    <row r="115" spans="2:8" x14ac:dyDescent="0.25">
      <c r="B115" t="s">
        <v>65</v>
      </c>
      <c r="C115">
        <v>29</v>
      </c>
      <c r="F115" s="1">
        <f>Tableau1[[#This Row],[Quantité N-1]]+Tableau1[[#This Row],[Quantité N]]-Tableau1[[#This Row],[Prêté]]</f>
        <v>29</v>
      </c>
      <c r="G115" s="1"/>
      <c r="H115" s="1">
        <f>Tableau1[[#This Row],[Demande total]]-Tableau1[[#This Row],[Spare]]</f>
        <v>-29</v>
      </c>
    </row>
    <row r="116" spans="2:8" x14ac:dyDescent="0.25">
      <c r="B116" t="s">
        <v>121</v>
      </c>
      <c r="C116">
        <v>12</v>
      </c>
      <c r="F116" s="1">
        <f>Tableau1[[#This Row],[Quantité N-1]]+Tableau1[[#This Row],[Quantité N]]-Tableau1[[#This Row],[Prêté]]</f>
        <v>12</v>
      </c>
      <c r="G116" s="1"/>
      <c r="H116" s="1">
        <f>Tableau1[[#This Row],[Demande total]]-Tableau1[[#This Row],[Spare]]</f>
        <v>-12</v>
      </c>
    </row>
    <row r="117" spans="2:8" x14ac:dyDescent="0.25">
      <c r="B117" t="s">
        <v>197</v>
      </c>
      <c r="C117">
        <v>10</v>
      </c>
      <c r="F117" s="1">
        <f>Tableau1[[#This Row],[Quantité N-1]]+Tableau1[[#This Row],[Quantité N]]-Tableau1[[#This Row],[Prêté]]</f>
        <v>10</v>
      </c>
      <c r="G117" s="1"/>
      <c r="H117" s="1">
        <f>Tableau1[[#This Row],[Demande total]]-Tableau1[[#This Row],[Spare]]</f>
        <v>-10</v>
      </c>
    </row>
    <row r="118" spans="2:8" x14ac:dyDescent="0.25">
      <c r="B118" t="s">
        <v>59</v>
      </c>
      <c r="C118">
        <v>20</v>
      </c>
      <c r="F118" s="1">
        <f>Tableau1[[#This Row],[Quantité N-1]]+Tableau1[[#This Row],[Quantité N]]-Tableau1[[#This Row],[Prêté]]</f>
        <v>20</v>
      </c>
      <c r="G118" s="1"/>
      <c r="H118" s="1">
        <f>Tableau1[[#This Row],[Demande total]]-Tableau1[[#This Row],[Spare]]</f>
        <v>-20</v>
      </c>
    </row>
    <row r="119" spans="2:8" x14ac:dyDescent="0.25">
      <c r="B119" t="s">
        <v>180</v>
      </c>
      <c r="C119">
        <v>2</v>
      </c>
      <c r="F119" s="1">
        <f>Tableau1[[#This Row],[Quantité N-1]]+Tableau1[[#This Row],[Quantité N]]-Tableau1[[#This Row],[Prêté]]</f>
        <v>2</v>
      </c>
      <c r="G119" s="1"/>
      <c r="H119" s="1">
        <f>Tableau1[[#This Row],[Demande total]]-Tableau1[[#This Row],[Spare]]</f>
        <v>-2</v>
      </c>
    </row>
    <row r="120" spans="2:8" x14ac:dyDescent="0.25">
      <c r="B120" t="s">
        <v>184</v>
      </c>
      <c r="C120">
        <v>2</v>
      </c>
      <c r="F120" s="1">
        <f>Tableau1[[#This Row],[Quantité N-1]]+Tableau1[[#This Row],[Quantité N]]-Tableau1[[#This Row],[Prêté]]</f>
        <v>2</v>
      </c>
      <c r="G120" s="1"/>
      <c r="H120" s="1">
        <f>Tableau1[[#This Row],[Demande total]]-Tableau1[[#This Row],[Spare]]</f>
        <v>-2</v>
      </c>
    </row>
    <row r="121" spans="2:8" x14ac:dyDescent="0.25">
      <c r="B121" t="s">
        <v>130</v>
      </c>
      <c r="C121">
        <v>1</v>
      </c>
      <c r="F121" s="1">
        <f>Tableau1[[#This Row],[Quantité N-1]]+Tableau1[[#This Row],[Quantité N]]-Tableau1[[#This Row],[Prêté]]</f>
        <v>1</v>
      </c>
      <c r="G121" s="1"/>
      <c r="H121" s="1">
        <f>Tableau1[[#This Row],[Demande total]]-Tableau1[[#This Row],[Spare]]</f>
        <v>-1</v>
      </c>
    </row>
    <row r="122" spans="2:8" x14ac:dyDescent="0.25">
      <c r="B122" t="s">
        <v>55</v>
      </c>
      <c r="C122">
        <v>1</v>
      </c>
      <c r="F122" s="1">
        <f>Tableau1[[#This Row],[Quantité N-1]]+Tableau1[[#This Row],[Quantité N]]-Tableau1[[#This Row],[Prêté]]</f>
        <v>1</v>
      </c>
      <c r="G122" s="1"/>
      <c r="H122" s="1">
        <f>Tableau1[[#This Row],[Demande total]]-Tableau1[[#This Row],[Spare]]</f>
        <v>-1</v>
      </c>
    </row>
    <row r="123" spans="2:8" x14ac:dyDescent="0.25">
      <c r="B123" t="s">
        <v>134</v>
      </c>
      <c r="C123">
        <v>1</v>
      </c>
      <c r="F123" s="1">
        <f>Tableau1[[#This Row],[Quantité N-1]]+Tableau1[[#This Row],[Quantité N]]-Tableau1[[#This Row],[Prêté]]</f>
        <v>1</v>
      </c>
      <c r="G123" s="1"/>
      <c r="H123" s="1">
        <f>Tableau1[[#This Row],[Demande total]]-Tableau1[[#This Row],[Spare]]</f>
        <v>-1</v>
      </c>
    </row>
    <row r="124" spans="2:8" x14ac:dyDescent="0.25">
      <c r="B124" t="s">
        <v>207</v>
      </c>
      <c r="C124">
        <v>1</v>
      </c>
      <c r="F124" s="1">
        <f>Tableau1[[#This Row],[Quantité N-1]]+Tableau1[[#This Row],[Quantité N]]-Tableau1[[#This Row],[Prêté]]</f>
        <v>1</v>
      </c>
      <c r="G124" s="1"/>
      <c r="H124" s="1">
        <f>Tableau1[[#This Row],[Demande total]]-Tableau1[[#This Row],[Spare]]</f>
        <v>-1</v>
      </c>
    </row>
    <row r="125" spans="2:8" x14ac:dyDescent="0.25">
      <c r="B125" t="s">
        <v>105</v>
      </c>
      <c r="C125">
        <v>1</v>
      </c>
      <c r="F125" s="1">
        <f>Tableau1[[#This Row],[Quantité N-1]]+Tableau1[[#This Row],[Quantité N]]-Tableau1[[#This Row],[Prêté]]</f>
        <v>1</v>
      </c>
      <c r="G125" s="1"/>
      <c r="H125" s="1">
        <f>Tableau1[[#This Row],[Demande total]]-Tableau1[[#This Row],[Spare]]</f>
        <v>-1</v>
      </c>
    </row>
    <row r="126" spans="2:8" x14ac:dyDescent="0.25">
      <c r="B126" t="s">
        <v>99</v>
      </c>
      <c r="C126">
        <v>7</v>
      </c>
      <c r="F126" s="1">
        <f>Tableau1[[#This Row],[Quantité N-1]]+Tableau1[[#This Row],[Quantité N]]-Tableau1[[#This Row],[Prêté]]</f>
        <v>7</v>
      </c>
      <c r="G126" s="1"/>
      <c r="H126" s="1">
        <f>Tableau1[[#This Row],[Demande total]]-Tableau1[[#This Row],[Spare]]</f>
        <v>-7</v>
      </c>
    </row>
    <row r="127" spans="2:8" x14ac:dyDescent="0.25">
      <c r="B127" t="s">
        <v>116</v>
      </c>
      <c r="C127">
        <v>9</v>
      </c>
      <c r="F127" s="1">
        <f>Tableau1[[#This Row],[Quantité N-1]]+Tableau1[[#This Row],[Quantité N]]-Tableau1[[#This Row],[Prêté]]</f>
        <v>9</v>
      </c>
      <c r="G127" s="1"/>
      <c r="H127" s="1">
        <f>Tableau1[[#This Row],[Demande total]]-Tableau1[[#This Row],[Spare]]</f>
        <v>-9</v>
      </c>
    </row>
    <row r="128" spans="2:8" x14ac:dyDescent="0.25">
      <c r="B128" t="s">
        <v>41</v>
      </c>
      <c r="C128">
        <v>1</v>
      </c>
      <c r="F128" s="1">
        <f>Tableau1[[#This Row],[Quantité N-1]]+Tableau1[[#This Row],[Quantité N]]-Tableau1[[#This Row],[Prêté]]</f>
        <v>1</v>
      </c>
      <c r="G128" s="1"/>
      <c r="H128" s="1">
        <f>Tableau1[[#This Row],[Demande total]]-Tableau1[[#This Row],[Spare]]</f>
        <v>-1</v>
      </c>
    </row>
    <row r="129" spans="2:8" x14ac:dyDescent="0.25">
      <c r="B129" t="s">
        <v>123</v>
      </c>
      <c r="C129">
        <v>3</v>
      </c>
      <c r="F129" s="1">
        <f>Tableau1[[#This Row],[Quantité N-1]]+Tableau1[[#This Row],[Quantité N]]-Tableau1[[#This Row],[Prêté]]</f>
        <v>3</v>
      </c>
      <c r="G129" s="1"/>
      <c r="H129" s="1">
        <f>Tableau1[[#This Row],[Demande total]]-Tableau1[[#This Row],[Spare]]</f>
        <v>-3</v>
      </c>
    </row>
    <row r="130" spans="2:8" x14ac:dyDescent="0.25">
      <c r="B130" t="s">
        <v>172</v>
      </c>
      <c r="C130">
        <v>1</v>
      </c>
      <c r="F130" s="1">
        <f>Tableau1[[#This Row],[Quantité N-1]]+Tableau1[[#This Row],[Quantité N]]-Tableau1[[#This Row],[Prêté]]</f>
        <v>1</v>
      </c>
      <c r="G130" s="1"/>
      <c r="H130" s="1">
        <f>Tableau1[[#This Row],[Demande total]]-Tableau1[[#This Row],[Spare]]</f>
        <v>-1</v>
      </c>
    </row>
    <row r="131" spans="2:8" x14ac:dyDescent="0.25">
      <c r="B131" t="s">
        <v>53</v>
      </c>
      <c r="C131">
        <v>2</v>
      </c>
      <c r="F131" s="1">
        <f>Tableau1[[#This Row],[Quantité N-1]]+Tableau1[[#This Row],[Quantité N]]-Tableau1[[#This Row],[Prêté]]</f>
        <v>2</v>
      </c>
      <c r="G131" s="1"/>
      <c r="H131" s="1">
        <f>Tableau1[[#This Row],[Demande total]]-Tableau1[[#This Row],[Spare]]</f>
        <v>-2</v>
      </c>
    </row>
    <row r="132" spans="2:8" x14ac:dyDescent="0.25">
      <c r="B132" t="s">
        <v>50</v>
      </c>
      <c r="C132">
        <v>4</v>
      </c>
      <c r="F132" s="1">
        <f>Tableau1[[#This Row],[Quantité N-1]]+Tableau1[[#This Row],[Quantité N]]-Tableau1[[#This Row],[Prêté]]</f>
        <v>4</v>
      </c>
      <c r="G132" s="1"/>
      <c r="H132" s="1">
        <f>Tableau1[[#This Row],[Demande total]]-Tableau1[[#This Row],[Spare]]</f>
        <v>-4</v>
      </c>
    </row>
    <row r="133" spans="2:8" x14ac:dyDescent="0.25">
      <c r="B133" t="s">
        <v>48</v>
      </c>
      <c r="C133">
        <v>11</v>
      </c>
      <c r="F133" s="1">
        <f>Tableau1[[#This Row],[Quantité N-1]]+Tableau1[[#This Row],[Quantité N]]-Tableau1[[#This Row],[Prêté]]</f>
        <v>11</v>
      </c>
      <c r="G133" s="1"/>
      <c r="H133" s="1">
        <f>Tableau1[[#This Row],[Demande total]]-Tableau1[[#This Row],[Spare]]</f>
        <v>-11</v>
      </c>
    </row>
    <row r="134" spans="2:8" x14ac:dyDescent="0.25">
      <c r="B134" t="s">
        <v>52</v>
      </c>
      <c r="C134">
        <v>1</v>
      </c>
      <c r="F134" s="1">
        <f>Tableau1[[#This Row],[Quantité N-1]]+Tableau1[[#This Row],[Quantité N]]-Tableau1[[#This Row],[Prêté]]</f>
        <v>1</v>
      </c>
      <c r="G134" s="1"/>
      <c r="H134" s="1">
        <f>Tableau1[[#This Row],[Demande total]]-Tableau1[[#This Row],[Spare]]</f>
        <v>-1</v>
      </c>
    </row>
    <row r="135" spans="2:8" x14ac:dyDescent="0.25">
      <c r="B135" t="s">
        <v>49</v>
      </c>
      <c r="C135">
        <v>3</v>
      </c>
      <c r="F135" s="1">
        <f>Tableau1[[#This Row],[Quantité N-1]]+Tableau1[[#This Row],[Quantité N]]-Tableau1[[#This Row],[Prêté]]</f>
        <v>3</v>
      </c>
      <c r="G135" s="1"/>
      <c r="H135" s="1">
        <f>Tableau1[[#This Row],[Demande total]]-Tableau1[[#This Row],[Spare]]</f>
        <v>-3</v>
      </c>
    </row>
    <row r="136" spans="2:8" x14ac:dyDescent="0.25">
      <c r="B136" t="s">
        <v>51</v>
      </c>
      <c r="C136">
        <v>1</v>
      </c>
      <c r="F136" s="1">
        <f>Tableau1[[#This Row],[Quantité N-1]]+Tableau1[[#This Row],[Quantité N]]-Tableau1[[#This Row],[Prêté]]</f>
        <v>1</v>
      </c>
      <c r="G136" s="1"/>
      <c r="H136" s="1">
        <f>Tableau1[[#This Row],[Demande total]]-Tableau1[[#This Row],[Spare]]</f>
        <v>-1</v>
      </c>
    </row>
    <row r="137" spans="2:8" x14ac:dyDescent="0.25">
      <c r="B137" t="s">
        <v>84</v>
      </c>
      <c r="C137">
        <v>1</v>
      </c>
      <c r="F137" s="1">
        <f>Tableau1[[#This Row],[Quantité N-1]]+Tableau1[[#This Row],[Quantité N]]-Tableau1[[#This Row],[Prêté]]</f>
        <v>1</v>
      </c>
      <c r="G137" s="1"/>
      <c r="H137" s="1">
        <f>Tableau1[[#This Row],[Demande total]]-Tableau1[[#This Row],[Spare]]</f>
        <v>-1</v>
      </c>
    </row>
    <row r="138" spans="2:8" x14ac:dyDescent="0.25">
      <c r="B138" t="s">
        <v>147</v>
      </c>
      <c r="C138">
        <v>1</v>
      </c>
      <c r="F138" s="1">
        <f>Tableau1[[#This Row],[Quantité N-1]]+Tableau1[[#This Row],[Quantité N]]-Tableau1[[#This Row],[Prêté]]</f>
        <v>1</v>
      </c>
      <c r="G138" s="1"/>
      <c r="H138" s="1">
        <f>Tableau1[[#This Row],[Demande total]]-Tableau1[[#This Row],[Spare]]</f>
        <v>-1</v>
      </c>
    </row>
    <row r="139" spans="2:8" x14ac:dyDescent="0.25">
      <c r="B139" t="s">
        <v>223</v>
      </c>
      <c r="C139">
        <v>1</v>
      </c>
      <c r="F139" s="1">
        <f>Tableau1[[#This Row],[Quantité N-1]]+Tableau1[[#This Row],[Quantité N]]-Tableau1[[#This Row],[Prêté]]</f>
        <v>1</v>
      </c>
      <c r="G139" s="1"/>
      <c r="H139" s="1">
        <f>Tableau1[[#This Row],[Demande total]]-Tableau1[[#This Row],[Spare]]</f>
        <v>-1</v>
      </c>
    </row>
    <row r="140" spans="2:8" x14ac:dyDescent="0.25">
      <c r="B140" t="s">
        <v>213</v>
      </c>
      <c r="C140">
        <v>1</v>
      </c>
      <c r="F140" s="1">
        <f>Tableau1[[#This Row],[Quantité N-1]]+Tableau1[[#This Row],[Quantité N]]-Tableau1[[#This Row],[Prêté]]</f>
        <v>1</v>
      </c>
      <c r="G140" s="1"/>
      <c r="H140" s="1">
        <f>Tableau1[[#This Row],[Demande total]]-Tableau1[[#This Row],[Spare]]</f>
        <v>-1</v>
      </c>
    </row>
    <row r="141" spans="2:8" x14ac:dyDescent="0.25">
      <c r="B141" t="s">
        <v>208</v>
      </c>
      <c r="C141">
        <v>3</v>
      </c>
      <c r="F141" s="1">
        <f>Tableau1[[#This Row],[Quantité N-1]]+Tableau1[[#This Row],[Quantité N]]-Tableau1[[#This Row],[Prêté]]</f>
        <v>3</v>
      </c>
      <c r="G141" s="1"/>
      <c r="H141" s="1">
        <f>Tableau1[[#This Row],[Demande total]]-Tableau1[[#This Row],[Spare]]</f>
        <v>-3</v>
      </c>
    </row>
    <row r="142" spans="2:8" x14ac:dyDescent="0.25">
      <c r="B142" t="s">
        <v>209</v>
      </c>
      <c r="C142">
        <v>2</v>
      </c>
      <c r="F142" s="1">
        <f>Tableau1[[#This Row],[Quantité N-1]]+Tableau1[[#This Row],[Quantité N]]-Tableau1[[#This Row],[Prêté]]</f>
        <v>2</v>
      </c>
      <c r="G142" s="1"/>
      <c r="H142" s="1">
        <f>Tableau1[[#This Row],[Demande total]]-Tableau1[[#This Row],[Spare]]</f>
        <v>-2</v>
      </c>
    </row>
    <row r="143" spans="2:8" x14ac:dyDescent="0.25">
      <c r="B143" t="s">
        <v>103</v>
      </c>
      <c r="C143">
        <v>33</v>
      </c>
      <c r="F143" s="1">
        <f>Tableau1[[#This Row],[Quantité N-1]]+Tableau1[[#This Row],[Quantité N]]-Tableau1[[#This Row],[Prêté]]</f>
        <v>33</v>
      </c>
      <c r="G143" s="1"/>
      <c r="H143" s="1">
        <f>Tableau1[[#This Row],[Demande total]]-Tableau1[[#This Row],[Spare]]</f>
        <v>-33</v>
      </c>
    </row>
    <row r="144" spans="2:8" x14ac:dyDescent="0.25">
      <c r="B144" t="s">
        <v>125</v>
      </c>
      <c r="C144">
        <v>16</v>
      </c>
      <c r="F144" s="1">
        <f>Tableau1[[#This Row],[Quantité N-1]]+Tableau1[[#This Row],[Quantité N]]-Tableau1[[#This Row],[Prêté]]</f>
        <v>16</v>
      </c>
      <c r="G144" s="1"/>
      <c r="H144" s="1">
        <f>Tableau1[[#This Row],[Demande total]]-Tableau1[[#This Row],[Spare]]</f>
        <v>-16</v>
      </c>
    </row>
    <row r="145" spans="2:8" x14ac:dyDescent="0.25">
      <c r="B145" t="s">
        <v>102</v>
      </c>
      <c r="C145">
        <v>1</v>
      </c>
      <c r="F145" s="1">
        <f>Tableau1[[#This Row],[Quantité N-1]]+Tableau1[[#This Row],[Quantité N]]-Tableau1[[#This Row],[Prêté]]</f>
        <v>1</v>
      </c>
      <c r="G145" s="1"/>
      <c r="H145" s="1">
        <f>Tableau1[[#This Row],[Demande total]]-Tableau1[[#This Row],[Spare]]</f>
        <v>-1</v>
      </c>
    </row>
    <row r="146" spans="2:8" x14ac:dyDescent="0.25">
      <c r="B146" t="s">
        <v>220</v>
      </c>
      <c r="C146">
        <v>1</v>
      </c>
      <c r="F146" s="1">
        <f>Tableau1[[#This Row],[Quantité N-1]]+Tableau1[[#This Row],[Quantité N]]-Tableau1[[#This Row],[Prêté]]</f>
        <v>1</v>
      </c>
      <c r="G146" s="1"/>
      <c r="H146" s="1">
        <f>Tableau1[[#This Row],[Demande total]]-Tableau1[[#This Row],[Spare]]</f>
        <v>-1</v>
      </c>
    </row>
    <row r="147" spans="2:8" x14ac:dyDescent="0.25">
      <c r="B147" t="s">
        <v>86</v>
      </c>
      <c r="C147">
        <v>6</v>
      </c>
      <c r="F147" s="1">
        <f>Tableau1[[#This Row],[Quantité N-1]]+Tableau1[[#This Row],[Quantité N]]-Tableau1[[#This Row],[Prêté]]</f>
        <v>6</v>
      </c>
      <c r="G147" s="1"/>
      <c r="H147" s="1">
        <f>Tableau1[[#This Row],[Demande total]]-Tableau1[[#This Row],[Spare]]</f>
        <v>-6</v>
      </c>
    </row>
    <row r="148" spans="2:8" x14ac:dyDescent="0.25">
      <c r="B148" t="s">
        <v>210</v>
      </c>
      <c r="C148">
        <v>13</v>
      </c>
      <c r="F148" s="1">
        <f>Tableau1[[#This Row],[Quantité N-1]]+Tableau1[[#This Row],[Quantité N]]-Tableau1[[#This Row],[Prêté]]</f>
        <v>13</v>
      </c>
      <c r="G148" s="1"/>
      <c r="H148" s="1">
        <f>Tableau1[[#This Row],[Demande total]]-Tableau1[[#This Row],[Spare]]</f>
        <v>-13</v>
      </c>
    </row>
    <row r="149" spans="2:8" x14ac:dyDescent="0.25">
      <c r="B149" t="s">
        <v>203</v>
      </c>
      <c r="C149">
        <v>62</v>
      </c>
      <c r="F149" s="1">
        <f>Tableau1[[#This Row],[Quantité N-1]]+Tableau1[[#This Row],[Quantité N]]-Tableau1[[#This Row],[Prêté]]</f>
        <v>62</v>
      </c>
      <c r="G149" s="1"/>
      <c r="H149" s="1">
        <f>Tableau1[[#This Row],[Demande total]]-Tableau1[[#This Row],[Spare]]</f>
        <v>-62</v>
      </c>
    </row>
    <row r="150" spans="2:8" x14ac:dyDescent="0.25">
      <c r="B150" t="s">
        <v>215</v>
      </c>
      <c r="C150">
        <v>1</v>
      </c>
      <c r="F150" s="1">
        <f>Tableau1[[#This Row],[Quantité N-1]]+Tableau1[[#This Row],[Quantité N]]-Tableau1[[#This Row],[Prêté]]</f>
        <v>1</v>
      </c>
      <c r="G150" s="1"/>
      <c r="H150" s="1">
        <f>Tableau1[[#This Row],[Demande total]]-Tableau1[[#This Row],[Spare]]</f>
        <v>-1</v>
      </c>
    </row>
    <row r="151" spans="2:8" x14ac:dyDescent="0.25">
      <c r="B151" t="s">
        <v>216</v>
      </c>
      <c r="C151">
        <v>1</v>
      </c>
      <c r="F151" s="1">
        <f>Tableau1[[#This Row],[Quantité N-1]]+Tableau1[[#This Row],[Quantité N]]-Tableau1[[#This Row],[Prêté]]</f>
        <v>1</v>
      </c>
      <c r="G151" s="1"/>
      <c r="H151" s="1">
        <f>Tableau1[[#This Row],[Demande total]]-Tableau1[[#This Row],[Spare]]</f>
        <v>-1</v>
      </c>
    </row>
    <row r="152" spans="2:8" x14ac:dyDescent="0.25">
      <c r="B152" t="s">
        <v>211</v>
      </c>
      <c r="C152">
        <v>8</v>
      </c>
      <c r="F152" s="1">
        <f>Tableau1[[#This Row],[Quantité N-1]]+Tableau1[[#This Row],[Quantité N]]-Tableau1[[#This Row],[Prêté]]</f>
        <v>8</v>
      </c>
      <c r="G152" s="1"/>
      <c r="H152" s="1">
        <f>Tableau1[[#This Row],[Demande total]]-Tableau1[[#This Row],[Spare]]</f>
        <v>-8</v>
      </c>
    </row>
    <row r="153" spans="2:8" x14ac:dyDescent="0.25">
      <c r="B153" t="s">
        <v>212</v>
      </c>
      <c r="C153">
        <v>1</v>
      </c>
      <c r="F153" s="1">
        <f>Tableau1[[#This Row],[Quantité N-1]]+Tableau1[[#This Row],[Quantité N]]-Tableau1[[#This Row],[Prêté]]</f>
        <v>1</v>
      </c>
      <c r="G153" s="1"/>
      <c r="H153" s="1">
        <f>Tableau1[[#This Row],[Demande total]]-Tableau1[[#This Row],[Spare]]</f>
        <v>-1</v>
      </c>
    </row>
    <row r="154" spans="2:8" x14ac:dyDescent="0.25">
      <c r="B154" t="s">
        <v>89</v>
      </c>
      <c r="C154">
        <v>1</v>
      </c>
      <c r="F154" s="1">
        <f>Tableau1[[#This Row],[Quantité N-1]]+Tableau1[[#This Row],[Quantité N]]-Tableau1[[#This Row],[Prêté]]</f>
        <v>1</v>
      </c>
      <c r="G154" s="1"/>
      <c r="H154" s="1">
        <f>Tableau1[[#This Row],[Demande total]]-Tableau1[[#This Row],[Spare]]</f>
        <v>-1</v>
      </c>
    </row>
    <row r="155" spans="2:8" x14ac:dyDescent="0.25">
      <c r="B155" t="s">
        <v>190</v>
      </c>
      <c r="C155">
        <v>1</v>
      </c>
      <c r="F155" s="1">
        <f>Tableau1[[#This Row],[Quantité N-1]]+Tableau1[[#This Row],[Quantité N]]-Tableau1[[#This Row],[Prêté]]</f>
        <v>1</v>
      </c>
      <c r="G155" s="1"/>
      <c r="H155" s="1">
        <f>Tableau1[[#This Row],[Demande total]]-Tableau1[[#This Row],[Spare]]</f>
        <v>-1</v>
      </c>
    </row>
    <row r="156" spans="2:8" x14ac:dyDescent="0.25">
      <c r="B156" t="s">
        <v>156</v>
      </c>
      <c r="C156">
        <v>3</v>
      </c>
      <c r="F156" s="1">
        <f>Tableau1[[#This Row],[Quantité N-1]]+Tableau1[[#This Row],[Quantité N]]-Tableau1[[#This Row],[Prêté]]</f>
        <v>3</v>
      </c>
      <c r="G156" s="1"/>
      <c r="H156" s="1">
        <f>Tableau1[[#This Row],[Demande total]]-Tableau1[[#This Row],[Spare]]</f>
        <v>-3</v>
      </c>
    </row>
    <row r="157" spans="2:8" x14ac:dyDescent="0.25">
      <c r="B157" t="s">
        <v>87</v>
      </c>
      <c r="C157">
        <v>1</v>
      </c>
      <c r="F157" s="1">
        <f>Tableau1[[#This Row],[Quantité N-1]]+Tableau1[[#This Row],[Quantité N]]-Tableau1[[#This Row],[Prêté]]</f>
        <v>1</v>
      </c>
      <c r="G157" s="1"/>
      <c r="H157" s="1">
        <f>Tableau1[[#This Row],[Demande total]]-Tableau1[[#This Row],[Spare]]</f>
        <v>-1</v>
      </c>
    </row>
    <row r="158" spans="2:8" x14ac:dyDescent="0.25">
      <c r="B158" t="s">
        <v>219</v>
      </c>
      <c r="C158">
        <v>1</v>
      </c>
      <c r="F158" s="1">
        <f>Tableau1[[#This Row],[Quantité N-1]]+Tableau1[[#This Row],[Quantité N]]-Tableau1[[#This Row],[Prêté]]</f>
        <v>1</v>
      </c>
      <c r="G158" s="1"/>
      <c r="H158" s="1">
        <f>Tableau1[[#This Row],[Demande total]]-Tableau1[[#This Row],[Spare]]</f>
        <v>-1</v>
      </c>
    </row>
    <row r="159" spans="2:8" x14ac:dyDescent="0.25">
      <c r="B159" t="s">
        <v>157</v>
      </c>
      <c r="C159">
        <v>3</v>
      </c>
      <c r="F159" s="1">
        <f>Tableau1[[#This Row],[Quantité N-1]]+Tableau1[[#This Row],[Quantité N]]-Tableau1[[#This Row],[Prêté]]</f>
        <v>3</v>
      </c>
      <c r="G159" s="1"/>
      <c r="H159" s="1">
        <f>Tableau1[[#This Row],[Demande total]]-Tableau1[[#This Row],[Spare]]</f>
        <v>-3</v>
      </c>
    </row>
    <row r="160" spans="2:8" x14ac:dyDescent="0.25">
      <c r="B160" t="s">
        <v>124</v>
      </c>
      <c r="C160">
        <v>50</v>
      </c>
      <c r="F160" s="1">
        <f>Tableau1[[#This Row],[Quantité N-1]]+Tableau1[[#This Row],[Quantité N]]-Tableau1[[#This Row],[Prêté]]</f>
        <v>50</v>
      </c>
      <c r="G160" s="1"/>
      <c r="H160" s="1">
        <f>Tableau1[[#This Row],[Demande total]]-Tableau1[[#This Row],[Spare]]</f>
        <v>-50</v>
      </c>
    </row>
    <row r="161" spans="2:8" x14ac:dyDescent="0.25">
      <c r="B161" t="s">
        <v>46</v>
      </c>
      <c r="C161">
        <v>10</v>
      </c>
      <c r="F161" s="1">
        <f>Tableau1[[#This Row],[Quantité N-1]]+Tableau1[[#This Row],[Quantité N]]-Tableau1[[#This Row],[Prêté]]</f>
        <v>10</v>
      </c>
      <c r="G161" s="1"/>
      <c r="H161" s="1">
        <f>Tableau1[[#This Row],[Demande total]]-Tableau1[[#This Row],[Spare]]</f>
        <v>-10</v>
      </c>
    </row>
    <row r="162" spans="2:8" x14ac:dyDescent="0.25">
      <c r="B162" t="s">
        <v>183</v>
      </c>
      <c r="C162">
        <v>2</v>
      </c>
      <c r="F162" s="1">
        <f>Tableau1[[#This Row],[Quantité N-1]]+Tableau1[[#This Row],[Quantité N]]-Tableau1[[#This Row],[Prêté]]</f>
        <v>2</v>
      </c>
      <c r="G162" s="1"/>
      <c r="H162" s="1">
        <f>Tableau1[[#This Row],[Demande total]]-Tableau1[[#This Row],[Spare]]</f>
        <v>-2</v>
      </c>
    </row>
    <row r="163" spans="2:8" x14ac:dyDescent="0.25">
      <c r="B163" t="s">
        <v>144</v>
      </c>
      <c r="C163">
        <v>20</v>
      </c>
      <c r="F163" s="1">
        <f>Tableau1[[#This Row],[Quantité N-1]]+Tableau1[[#This Row],[Quantité N]]-Tableau1[[#This Row],[Prêté]]</f>
        <v>20</v>
      </c>
      <c r="G163" s="1"/>
      <c r="H163" s="1">
        <f>Tableau1[[#This Row],[Demande total]]-Tableau1[[#This Row],[Spare]]</f>
        <v>-20</v>
      </c>
    </row>
    <row r="164" spans="2:8" x14ac:dyDescent="0.25">
      <c r="B164" t="s">
        <v>36</v>
      </c>
      <c r="C164">
        <v>9</v>
      </c>
      <c r="F164" s="1">
        <f>Tableau1[[#This Row],[Quantité N-1]]+Tableau1[[#This Row],[Quantité N]]-Tableau1[[#This Row],[Prêté]]</f>
        <v>9</v>
      </c>
      <c r="G164" s="1"/>
      <c r="H164" s="1">
        <f>Tableau1[[#This Row],[Demande total]]-Tableau1[[#This Row],[Spare]]</f>
        <v>-9</v>
      </c>
    </row>
    <row r="165" spans="2:8" x14ac:dyDescent="0.25">
      <c r="B165" t="s">
        <v>115</v>
      </c>
      <c r="C165">
        <v>1</v>
      </c>
      <c r="F165" s="1">
        <f>Tableau1[[#This Row],[Quantité N-1]]+Tableau1[[#This Row],[Quantité N]]-Tableau1[[#This Row],[Prêté]]</f>
        <v>1</v>
      </c>
      <c r="G165" s="1"/>
      <c r="H165" s="1">
        <f>Tableau1[[#This Row],[Demande total]]-Tableau1[[#This Row],[Spare]]</f>
        <v>-1</v>
      </c>
    </row>
    <row r="166" spans="2:8" x14ac:dyDescent="0.25">
      <c r="B166" t="s">
        <v>38</v>
      </c>
      <c r="C166">
        <v>1</v>
      </c>
      <c r="F166" s="1">
        <f>Tableau1[[#This Row],[Quantité N-1]]+Tableau1[[#This Row],[Quantité N]]-Tableau1[[#This Row],[Prêté]]</f>
        <v>1</v>
      </c>
      <c r="G166" s="1"/>
      <c r="H166" s="1">
        <f>Tableau1[[#This Row],[Demande total]]-Tableau1[[#This Row],[Spare]]</f>
        <v>-1</v>
      </c>
    </row>
    <row r="167" spans="2:8" x14ac:dyDescent="0.25">
      <c r="B167" t="s">
        <v>148</v>
      </c>
      <c r="C167">
        <v>2</v>
      </c>
      <c r="F167" s="1">
        <f>Tableau1[[#This Row],[Quantité N-1]]+Tableau1[[#This Row],[Quantité N]]-Tableau1[[#This Row],[Prêté]]</f>
        <v>2</v>
      </c>
      <c r="G167" s="1"/>
      <c r="H167" s="1">
        <f>Tableau1[[#This Row],[Demande total]]-Tableau1[[#This Row],[Spare]]</f>
        <v>-2</v>
      </c>
    </row>
    <row r="168" spans="2:8" x14ac:dyDescent="0.25">
      <c r="B168" t="s">
        <v>108</v>
      </c>
      <c r="C168">
        <v>4</v>
      </c>
      <c r="F168" s="1">
        <f>Tableau1[[#This Row],[Quantité N-1]]+Tableau1[[#This Row],[Quantité N]]-Tableau1[[#This Row],[Prêté]]</f>
        <v>4</v>
      </c>
      <c r="G168" s="1"/>
      <c r="H168" s="1">
        <f>Tableau1[[#This Row],[Demande total]]-Tableau1[[#This Row],[Spare]]</f>
        <v>-4</v>
      </c>
    </row>
    <row r="169" spans="2:8" x14ac:dyDescent="0.25">
      <c r="B169" t="s">
        <v>30</v>
      </c>
      <c r="C169">
        <v>13</v>
      </c>
      <c r="F169" s="1">
        <f>Tableau1[[#This Row],[Quantité N-1]]+Tableau1[[#This Row],[Quantité N]]-Tableau1[[#This Row],[Prêté]]</f>
        <v>13</v>
      </c>
      <c r="G169" s="1"/>
      <c r="H169" s="1">
        <f>Tableau1[[#This Row],[Demande total]]-Tableau1[[#This Row],[Spare]]</f>
        <v>-13</v>
      </c>
    </row>
    <row r="170" spans="2:8" x14ac:dyDescent="0.25">
      <c r="B170" t="s">
        <v>158</v>
      </c>
      <c r="C170">
        <v>6</v>
      </c>
      <c r="F170" s="1">
        <f>Tableau1[[#This Row],[Quantité N-1]]+Tableau1[[#This Row],[Quantité N]]-Tableau1[[#This Row],[Prêté]]</f>
        <v>6</v>
      </c>
      <c r="G170" s="1"/>
      <c r="H170" s="1">
        <f>Tableau1[[#This Row],[Demande total]]-Tableau1[[#This Row],[Spare]]</f>
        <v>-6</v>
      </c>
    </row>
    <row r="171" spans="2:8" x14ac:dyDescent="0.25">
      <c r="B171" t="s">
        <v>151</v>
      </c>
      <c r="C171">
        <v>2</v>
      </c>
      <c r="F171" s="1">
        <f>Tableau1[[#This Row],[Quantité N-1]]+Tableau1[[#This Row],[Quantité N]]-Tableau1[[#This Row],[Prêté]]</f>
        <v>2</v>
      </c>
      <c r="G171" s="1"/>
      <c r="H171" s="1">
        <f>Tableau1[[#This Row],[Demande total]]-Tableau1[[#This Row],[Spare]]</f>
        <v>-2</v>
      </c>
    </row>
    <row r="172" spans="2:8" x14ac:dyDescent="0.25">
      <c r="B172" t="s">
        <v>146</v>
      </c>
      <c r="C172">
        <v>1</v>
      </c>
      <c r="F172" s="1">
        <f>Tableau1[[#This Row],[Quantité N-1]]+Tableau1[[#This Row],[Quantité N]]-Tableau1[[#This Row],[Prêté]]</f>
        <v>1</v>
      </c>
      <c r="G172" s="1"/>
      <c r="H172" s="1">
        <f>Tableau1[[#This Row],[Demande total]]-Tableau1[[#This Row],[Spare]]</f>
        <v>-1</v>
      </c>
    </row>
    <row r="173" spans="2:8" x14ac:dyDescent="0.25">
      <c r="B173" t="s">
        <v>34</v>
      </c>
      <c r="C173">
        <v>1</v>
      </c>
      <c r="F173" s="1">
        <f>Tableau1[[#This Row],[Quantité N-1]]+Tableau1[[#This Row],[Quantité N]]-Tableau1[[#This Row],[Prêté]]</f>
        <v>1</v>
      </c>
      <c r="G173" s="1"/>
      <c r="H173" s="1">
        <f>Tableau1[[#This Row],[Demande total]]-Tableau1[[#This Row],[Spare]]</f>
        <v>-1</v>
      </c>
    </row>
    <row r="174" spans="2:8" x14ac:dyDescent="0.25">
      <c r="B174" t="s">
        <v>47</v>
      </c>
      <c r="C174">
        <v>24</v>
      </c>
      <c r="F174" s="1">
        <f>Tableau1[[#This Row],[Quantité N-1]]+Tableau1[[#This Row],[Quantité N]]-Tableau1[[#This Row],[Prêté]]</f>
        <v>24</v>
      </c>
      <c r="G174" s="1"/>
      <c r="H174" s="1">
        <f>Tableau1[[#This Row],[Demande total]]-Tableau1[[#This Row],[Spare]]</f>
        <v>-24</v>
      </c>
    </row>
    <row r="175" spans="2:8" x14ac:dyDescent="0.25">
      <c r="B175" t="s">
        <v>28</v>
      </c>
      <c r="C175">
        <v>5</v>
      </c>
      <c r="F175" s="1">
        <f>Tableau1[[#This Row],[Quantité N-1]]+Tableau1[[#This Row],[Quantité N]]-Tableau1[[#This Row],[Prêté]]</f>
        <v>5</v>
      </c>
      <c r="G175" s="1"/>
      <c r="H175" s="1">
        <f>Tableau1[[#This Row],[Demande total]]-Tableau1[[#This Row],[Spare]]</f>
        <v>-5</v>
      </c>
    </row>
    <row r="176" spans="2:8" x14ac:dyDescent="0.25">
      <c r="B176" t="s">
        <v>29</v>
      </c>
      <c r="C176">
        <v>1</v>
      </c>
      <c r="F176" s="1">
        <f>Tableau1[[#This Row],[Quantité N-1]]+Tableau1[[#This Row],[Quantité N]]-Tableau1[[#This Row],[Prêté]]</f>
        <v>1</v>
      </c>
      <c r="G176" s="1"/>
      <c r="H176" s="1">
        <f>Tableau1[[#This Row],[Demande total]]-Tableau1[[#This Row],[Spare]]</f>
        <v>-1</v>
      </c>
    </row>
    <row r="177" spans="2:8" x14ac:dyDescent="0.25">
      <c r="B177" t="s">
        <v>217</v>
      </c>
      <c r="C177">
        <v>1</v>
      </c>
      <c r="F177" s="1">
        <f>Tableau1[[#This Row],[Quantité N-1]]+Tableau1[[#This Row],[Quantité N]]-Tableau1[[#This Row],[Prêté]]</f>
        <v>1</v>
      </c>
      <c r="G177" s="1"/>
      <c r="H177" s="1">
        <f>Tableau1[[#This Row],[Demande total]]-Tableau1[[#This Row],[Spare]]</f>
        <v>-1</v>
      </c>
    </row>
    <row r="178" spans="2:8" x14ac:dyDescent="0.25">
      <c r="B178" t="s">
        <v>60</v>
      </c>
      <c r="C178">
        <v>3</v>
      </c>
      <c r="F178" s="1">
        <f>Tableau1[[#This Row],[Quantité N-1]]+Tableau1[[#This Row],[Quantité N]]-Tableau1[[#This Row],[Prêté]]</f>
        <v>3</v>
      </c>
      <c r="G178" s="1"/>
      <c r="H178" s="1">
        <f>Tableau1[[#This Row],[Demande total]]-Tableau1[[#This Row],[Spare]]</f>
        <v>-3</v>
      </c>
    </row>
    <row r="179" spans="2:8" x14ac:dyDescent="0.25">
      <c r="B179" t="s">
        <v>141</v>
      </c>
      <c r="C179">
        <v>3</v>
      </c>
      <c r="F179" s="1">
        <f>Tableau1[[#This Row],[Quantité N-1]]+Tableau1[[#This Row],[Quantité N]]-Tableau1[[#This Row],[Prêté]]</f>
        <v>3</v>
      </c>
      <c r="G179" s="1"/>
      <c r="H179" s="1">
        <f>Tableau1[[#This Row],[Demande total]]-Tableau1[[#This Row],[Spare]]</f>
        <v>-3</v>
      </c>
    </row>
    <row r="180" spans="2:8" x14ac:dyDescent="0.25">
      <c r="B180" t="s">
        <v>149</v>
      </c>
      <c r="C180">
        <v>20</v>
      </c>
      <c r="F180" s="1">
        <f>Tableau1[[#This Row],[Quantité N-1]]+Tableau1[[#This Row],[Quantité N]]-Tableau1[[#This Row],[Prêté]]</f>
        <v>20</v>
      </c>
      <c r="G180" s="1"/>
      <c r="H180" s="1">
        <f>Tableau1[[#This Row],[Demande total]]-Tableau1[[#This Row],[Spare]]</f>
        <v>-20</v>
      </c>
    </row>
    <row r="181" spans="2:8" x14ac:dyDescent="0.25">
      <c r="B181" t="s">
        <v>168</v>
      </c>
      <c r="C181">
        <v>5</v>
      </c>
      <c r="F181" s="1">
        <f>Tableau1[[#This Row],[Quantité N-1]]+Tableau1[[#This Row],[Quantité N]]-Tableau1[[#This Row],[Prêté]]</f>
        <v>5</v>
      </c>
      <c r="G181" s="1"/>
      <c r="H181" s="1">
        <f>Tableau1[[#This Row],[Demande total]]-Tableau1[[#This Row],[Spare]]</f>
        <v>-5</v>
      </c>
    </row>
    <row r="182" spans="2:8" x14ac:dyDescent="0.25">
      <c r="B182" t="s">
        <v>39</v>
      </c>
      <c r="C182">
        <v>1</v>
      </c>
      <c r="F182" s="1">
        <f>Tableau1[[#This Row],[Quantité N-1]]+Tableau1[[#This Row],[Quantité N]]-Tableau1[[#This Row],[Prêté]]</f>
        <v>1</v>
      </c>
      <c r="G182" s="1"/>
      <c r="H182" s="1">
        <f>Tableau1[[#This Row],[Demande total]]-Tableau1[[#This Row],[Spare]]</f>
        <v>-1</v>
      </c>
    </row>
    <row r="183" spans="2:8" x14ac:dyDescent="0.25">
      <c r="B183" t="s">
        <v>54</v>
      </c>
      <c r="C183">
        <v>2</v>
      </c>
      <c r="F183" s="1">
        <f>Tableau1[[#This Row],[Quantité N-1]]+Tableau1[[#This Row],[Quantité N]]-Tableau1[[#This Row],[Prêté]]</f>
        <v>2</v>
      </c>
      <c r="G183" s="1"/>
      <c r="H183" s="1">
        <f>Tableau1[[#This Row],[Demande total]]-Tableau1[[#This Row],[Spare]]</f>
        <v>-2</v>
      </c>
    </row>
    <row r="184" spans="2:8" x14ac:dyDescent="0.25">
      <c r="B184" t="s">
        <v>76</v>
      </c>
      <c r="C184">
        <v>1</v>
      </c>
      <c r="F184" s="1">
        <f>Tableau1[[#This Row],[Quantité N-1]]+Tableau1[[#This Row],[Quantité N]]-Tableau1[[#This Row],[Prêté]]</f>
        <v>1</v>
      </c>
      <c r="G184" s="1"/>
      <c r="H184" s="1">
        <f>Tableau1[[#This Row],[Demande total]]-Tableau1[[#This Row],[Spare]]</f>
        <v>-1</v>
      </c>
    </row>
    <row r="185" spans="2:8" x14ac:dyDescent="0.25">
      <c r="B185" t="s">
        <v>193</v>
      </c>
      <c r="C185">
        <v>1</v>
      </c>
      <c r="F185" s="1">
        <f>Tableau1[[#This Row],[Quantité N-1]]+Tableau1[[#This Row],[Quantité N]]-Tableau1[[#This Row],[Prêté]]</f>
        <v>1</v>
      </c>
      <c r="G185" s="1"/>
      <c r="H185" s="1">
        <f>Tableau1[[#This Row],[Demande total]]-Tableau1[[#This Row],[Spare]]</f>
        <v>-1</v>
      </c>
    </row>
    <row r="186" spans="2:8" x14ac:dyDescent="0.25">
      <c r="B186" t="s">
        <v>161</v>
      </c>
      <c r="C186">
        <v>1</v>
      </c>
      <c r="F186" s="1">
        <f>Tableau1[[#This Row],[Quantité N-1]]+Tableau1[[#This Row],[Quantité N]]-Tableau1[[#This Row],[Prêté]]</f>
        <v>1</v>
      </c>
      <c r="G186" s="1"/>
      <c r="H186" s="1">
        <f>Tableau1[[#This Row],[Demande total]]-Tableau1[[#This Row],[Spare]]</f>
        <v>-1</v>
      </c>
    </row>
    <row r="187" spans="2:8" x14ac:dyDescent="0.25">
      <c r="B187" t="s">
        <v>70</v>
      </c>
      <c r="C187">
        <v>1</v>
      </c>
      <c r="F187" s="1">
        <f>Tableau1[[#This Row],[Quantité N-1]]+Tableau1[[#This Row],[Quantité N]]-Tableau1[[#This Row],[Prêté]]</f>
        <v>1</v>
      </c>
      <c r="G187" s="1"/>
      <c r="H187" s="1">
        <f>Tableau1[[#This Row],[Demande total]]-Tableau1[[#This Row],[Spare]]</f>
        <v>-1</v>
      </c>
    </row>
    <row r="188" spans="2:8" x14ac:dyDescent="0.25">
      <c r="F188" s="1">
        <f>Tableau1[[#This Row],[Quantité N-1]]+Tableau1[[#This Row],[Quantité N]]-Tableau1[[#This Row],[Prêté]]</f>
        <v>0</v>
      </c>
      <c r="G188" s="1"/>
      <c r="H188" s="1">
        <f>Tableau1[[#This Row],[Demande total]]-Tableau1[[#This Row],[Spare]]</f>
        <v>0</v>
      </c>
    </row>
    <row r="189" spans="2:8" x14ac:dyDescent="0.25">
      <c r="F189" s="1">
        <f>Tableau1[[#This Row],[Quantité N-1]]+Tableau1[[#This Row],[Quantité N]]-Tableau1[[#This Row],[Prêté]]</f>
        <v>0</v>
      </c>
      <c r="G189" s="1"/>
      <c r="H189" s="1">
        <f>Tableau1[[#This Row],[Demande total]]-Tableau1[[#This Row],[Spare]]</f>
        <v>0</v>
      </c>
    </row>
    <row r="190" spans="2:8" x14ac:dyDescent="0.25">
      <c r="F190" s="1">
        <f>Tableau1[[#This Row],[Quantité N-1]]+Tableau1[[#This Row],[Quantité N]]-Tableau1[[#This Row],[Prêté]]</f>
        <v>0</v>
      </c>
      <c r="G190" s="1"/>
      <c r="H190" s="1">
        <f>Tableau1[[#This Row],[Demande total]]-Tableau1[[#This Row],[Spare]]</f>
        <v>0</v>
      </c>
    </row>
    <row r="191" spans="2:8" x14ac:dyDescent="0.25">
      <c r="F191" s="1">
        <f>Tableau1[[#This Row],[Quantité N-1]]+Tableau1[[#This Row],[Quantité N]]-Tableau1[[#This Row],[Prêté]]</f>
        <v>0</v>
      </c>
      <c r="G191" s="1"/>
      <c r="H191" s="1">
        <f>Tableau1[[#This Row],[Demande total]]-Tableau1[[#This Row],[Spare]]</f>
        <v>0</v>
      </c>
    </row>
    <row r="192" spans="2:8" x14ac:dyDescent="0.25">
      <c r="F192" s="1">
        <f>Tableau1[[#This Row],[Quantité N-1]]+Tableau1[[#This Row],[Quantité N]]-Tableau1[[#This Row],[Prêté]]</f>
        <v>0</v>
      </c>
      <c r="G192" s="1"/>
      <c r="H192" s="1">
        <f>Tableau1[[#This Row],[Demande total]]-Tableau1[[#This Row],[Spare]]</f>
        <v>0</v>
      </c>
    </row>
    <row r="193" spans="2:8" x14ac:dyDescent="0.25">
      <c r="F193" s="1">
        <f>Tableau1[[#This Row],[Quantité N-1]]+Tableau1[[#This Row],[Quantité N]]-Tableau1[[#This Row],[Prêté]]</f>
        <v>0</v>
      </c>
      <c r="G193" s="1"/>
      <c r="H193" s="1">
        <f>Tableau1[[#This Row],[Demande total]]-Tableau1[[#This Row],[Spare]]</f>
        <v>0</v>
      </c>
    </row>
    <row r="194" spans="2:8" x14ac:dyDescent="0.25">
      <c r="F194" s="1">
        <f>Tableau1[[#This Row],[Quantité N-1]]+Tableau1[[#This Row],[Quantité N]]-Tableau1[[#This Row],[Prêté]]</f>
        <v>0</v>
      </c>
      <c r="G194" s="1"/>
      <c r="H194" s="1">
        <f>Tableau1[[#This Row],[Demande total]]-Tableau1[[#This Row],[Spare]]</f>
        <v>0</v>
      </c>
    </row>
    <row r="195" spans="2:8" x14ac:dyDescent="0.25">
      <c r="F195" s="1">
        <f>Tableau1[[#This Row],[Quantité N-1]]+Tableau1[[#This Row],[Quantité N]]-Tableau1[[#This Row],[Prêté]]</f>
        <v>0</v>
      </c>
      <c r="G195" s="1"/>
      <c r="H195" s="1">
        <f>Tableau1[[#This Row],[Demande total]]-Tableau1[[#This Row],[Spare]]</f>
        <v>0</v>
      </c>
    </row>
    <row r="196" spans="2:8" x14ac:dyDescent="0.25">
      <c r="B196" t="s">
        <v>4</v>
      </c>
      <c r="C196">
        <f>SUM(Tableau1[Quantité N-1])</f>
        <v>1296</v>
      </c>
    </row>
  </sheetData>
  <conditionalFormatting sqref="H4">
    <cfRule type="cellIs" dxfId="1057" priority="1" operator="greaterThan">
      <formula>0</formula>
    </cfRule>
  </conditionalFormatting>
  <dataValidations count="1">
    <dataValidation type="list" allowBlank="1" showInputMessage="1" showErrorMessage="1" prompt="Insérez la fourniture désiré" sqref="B108 B117 B138 B140 B185" xr:uid="{1739B6EC-84AC-44A7-B34E-EE9A3B510F34}">
      <formula1>Fournitures</formula1>
    </dataValidation>
  </dataValidations>
  <pageMargins left="0.7" right="0.7" top="0.75" bottom="0.75" header="0.3" footer="0.3"/>
  <pageSetup paperSize="9" orientation="portrait" horizontalDpi="4294967293" verticalDpi="4294967293" r:id="rId1"/>
  <legacyDrawing r:id="rId2"/>
  <tableParts count="1">
    <tablePart r:id="rId3"/>
  </tablePart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B723E9D-973C-4D4F-A54F-04C264F66034}">
  <dimension ref="B2:I12"/>
  <sheetViews>
    <sheetView workbookViewId="0">
      <selection activeCell="H9" sqref="H9"/>
    </sheetView>
  </sheetViews>
  <sheetFormatPr baseColWidth="10" defaultRowHeight="15" x14ac:dyDescent="0.25"/>
  <cols>
    <col min="2" max="2" width="40.7109375" customWidth="1"/>
    <col min="3" max="8" width="18.7109375" customWidth="1"/>
    <col min="9" max="9" width="20.7109375" customWidth="1"/>
  </cols>
  <sheetData>
    <row r="2" spans="2:9" x14ac:dyDescent="0.25">
      <c r="G2" s="13" t="s">
        <v>224</v>
      </c>
      <c r="H2" s="13"/>
    </row>
    <row r="3" spans="2:9" x14ac:dyDescent="0.25">
      <c r="B3" t="s">
        <v>13</v>
      </c>
      <c r="C3" t="s">
        <v>18</v>
      </c>
      <c r="D3" t="s">
        <v>19</v>
      </c>
      <c r="E3" t="s">
        <v>8</v>
      </c>
      <c r="F3" t="s">
        <v>17</v>
      </c>
      <c r="G3" t="s">
        <v>21</v>
      </c>
      <c r="H3" t="s">
        <v>16</v>
      </c>
      <c r="I3" t="s">
        <v>2</v>
      </c>
    </row>
    <row r="4" spans="2:9" x14ac:dyDescent="0.25">
      <c r="B4" t="s">
        <v>72</v>
      </c>
      <c r="C4">
        <v>11</v>
      </c>
      <c r="I4">
        <f>Tableau13[[#This Row],[Demande total]]-Tableau13[[#This Row],[Spare]]</f>
        <v>0</v>
      </c>
    </row>
    <row r="5" spans="2:9" x14ac:dyDescent="0.25">
      <c r="B5" t="s">
        <v>126</v>
      </c>
      <c r="C5">
        <v>6</v>
      </c>
      <c r="I5" s="1">
        <f>Tableau13[[#This Row],[Demande total]]-Tableau13[[#This Row],[Spare]]</f>
        <v>0</v>
      </c>
    </row>
    <row r="6" spans="2:9" x14ac:dyDescent="0.25">
      <c r="B6" t="s">
        <v>117</v>
      </c>
      <c r="C6">
        <v>10</v>
      </c>
      <c r="I6" s="1">
        <f>Tableau13[[#This Row],[Demande total]]-Tableau13[[#This Row],[Spare]]</f>
        <v>0</v>
      </c>
    </row>
    <row r="7" spans="2:9" x14ac:dyDescent="0.25">
      <c r="B7" t="s">
        <v>227</v>
      </c>
      <c r="C7">
        <v>21</v>
      </c>
      <c r="I7" s="1">
        <f>Tableau13[[#This Row],[Demande total]]-Tableau13[[#This Row],[Spare]]</f>
        <v>0</v>
      </c>
    </row>
    <row r="8" spans="2:9" x14ac:dyDescent="0.25">
      <c r="B8" t="s">
        <v>226</v>
      </c>
      <c r="C8">
        <v>33</v>
      </c>
      <c r="I8" s="1">
        <f>Tableau13[[#This Row],[Demande total]]-Tableau13[[#This Row],[Spare]]</f>
        <v>0</v>
      </c>
    </row>
    <row r="9" spans="2:9" x14ac:dyDescent="0.25">
      <c r="B9" t="s">
        <v>71</v>
      </c>
      <c r="C9">
        <v>42</v>
      </c>
      <c r="I9">
        <f>Tableau13[[#This Row],[Demande total]]-Tableau13[[#This Row],[Spare]]</f>
        <v>0</v>
      </c>
    </row>
    <row r="10" spans="2:9" x14ac:dyDescent="0.25">
      <c r="B10" t="s">
        <v>225</v>
      </c>
      <c r="C10">
        <v>36</v>
      </c>
      <c r="I10" s="1">
        <f>Tableau13[[#This Row],[Demande total]]-Tableau13[[#This Row],[Spare]]</f>
        <v>0</v>
      </c>
    </row>
    <row r="11" spans="2:9" x14ac:dyDescent="0.25">
      <c r="I11" s="1">
        <f>Tableau13[[#This Row],[Demande total]]-Tableau13[[#This Row],[Spare]]</f>
        <v>0</v>
      </c>
    </row>
    <row r="12" spans="2:9" x14ac:dyDescent="0.25">
      <c r="B12" t="s">
        <v>4</v>
      </c>
    </row>
  </sheetData>
  <mergeCells count="1">
    <mergeCell ref="G2:H2"/>
  </mergeCells>
  <pageMargins left="0.7" right="0.7" top="0.75" bottom="0.75" header="0.3" footer="0.3"/>
  <tableParts count="1">
    <tablePart r:id="rId1"/>
  </tableParts>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352AB47-B1DA-4D5D-95C1-90737DB41015}">
  <dimension ref="B2:I13"/>
  <sheetViews>
    <sheetView zoomScaleNormal="100" workbookViewId="0">
      <selection activeCell="H4" sqref="H4"/>
    </sheetView>
  </sheetViews>
  <sheetFormatPr baseColWidth="10" defaultRowHeight="15" x14ac:dyDescent="0.25"/>
  <cols>
    <col min="2" max="2" width="40.7109375" customWidth="1"/>
    <col min="3" max="8" width="18.7109375" customWidth="1"/>
    <col min="9" max="9" width="20.7109375" customWidth="1"/>
  </cols>
  <sheetData>
    <row r="2" spans="2:9" x14ac:dyDescent="0.25">
      <c r="G2" s="13" t="s">
        <v>224</v>
      </c>
      <c r="H2" s="13"/>
    </row>
    <row r="3" spans="2:9" x14ac:dyDescent="0.25">
      <c r="B3" t="s">
        <v>14</v>
      </c>
      <c r="C3" t="s">
        <v>18</v>
      </c>
      <c r="D3" t="s">
        <v>19</v>
      </c>
      <c r="E3" t="s">
        <v>8</v>
      </c>
      <c r="F3" t="s">
        <v>17</v>
      </c>
      <c r="G3" t="s">
        <v>3</v>
      </c>
      <c r="H3" t="s">
        <v>16</v>
      </c>
      <c r="I3" t="s">
        <v>20</v>
      </c>
    </row>
    <row r="4" spans="2:9" x14ac:dyDescent="0.25">
      <c r="B4" t="s">
        <v>205</v>
      </c>
      <c r="C4">
        <v>2</v>
      </c>
    </row>
    <row r="5" spans="2:9" x14ac:dyDescent="0.25">
      <c r="B5" t="s">
        <v>136</v>
      </c>
      <c r="C5">
        <v>13</v>
      </c>
    </row>
    <row r="6" spans="2:9" x14ac:dyDescent="0.25">
      <c r="B6" t="s">
        <v>150</v>
      </c>
      <c r="C6">
        <v>9</v>
      </c>
    </row>
    <row r="7" spans="2:9" x14ac:dyDescent="0.25">
      <c r="B7" t="s">
        <v>222</v>
      </c>
      <c r="C7">
        <v>6</v>
      </c>
    </row>
    <row r="8" spans="2:9" x14ac:dyDescent="0.25">
      <c r="B8" t="s">
        <v>132</v>
      </c>
      <c r="C8">
        <v>2</v>
      </c>
    </row>
    <row r="9" spans="2:9" x14ac:dyDescent="0.25">
      <c r="B9" t="s">
        <v>133</v>
      </c>
      <c r="C9">
        <v>4</v>
      </c>
    </row>
    <row r="10" spans="2:9" x14ac:dyDescent="0.25">
      <c r="B10" t="s">
        <v>221</v>
      </c>
      <c r="C10">
        <v>2</v>
      </c>
    </row>
    <row r="11" spans="2:9" x14ac:dyDescent="0.25">
      <c r="B11" t="s">
        <v>114</v>
      </c>
      <c r="C11">
        <v>13</v>
      </c>
    </row>
    <row r="13" spans="2:9" x14ac:dyDescent="0.25">
      <c r="B13" t="s">
        <v>4</v>
      </c>
    </row>
  </sheetData>
  <mergeCells count="1">
    <mergeCell ref="G2:H2"/>
  </mergeCells>
  <dataValidations count="2">
    <dataValidation allowBlank="1" showInputMessage="1" showErrorMessage="1" prompt="Insérez la quantité présente dans les malles" sqref="C9" xr:uid="{61F122A7-814E-48B3-B311-10B7300EFBFD}"/>
    <dataValidation type="list" allowBlank="1" showInputMessage="1" showErrorMessage="1" prompt="Insérez la fourniture désiré" sqref="B9" xr:uid="{92D9F49C-2A16-4062-ADDE-49F9EDCC1E50}">
      <formula1>Fournitures</formula1>
    </dataValidation>
  </dataValidations>
  <pageMargins left="0.7" right="0.7" top="0.75" bottom="0.75" header="0.3" footer="0.3"/>
  <pageSetup paperSize="9" orientation="portrait" horizontalDpi="4294967293" verticalDpi="4294967293" r:id="rId1"/>
  <tableParts count="1">
    <tablePart r:id="rId2"/>
  </tableParts>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3189E79-170B-436B-8E23-E62497DDCDB1}">
  <dimension ref="B2:H50"/>
  <sheetViews>
    <sheetView workbookViewId="0">
      <selection activeCell="H8" sqref="H8"/>
    </sheetView>
  </sheetViews>
  <sheetFormatPr baseColWidth="10" defaultRowHeight="15" x14ac:dyDescent="0.25"/>
  <cols>
    <col min="2" max="2" width="28.7109375" customWidth="1"/>
    <col min="3" max="3" width="23.140625" customWidth="1"/>
    <col min="4" max="4" width="11.7109375" customWidth="1"/>
    <col min="6" max="6" width="26.5703125" style="2" customWidth="1"/>
    <col min="7" max="7" width="28.28515625" style="2" customWidth="1"/>
  </cols>
  <sheetData>
    <row r="2" spans="2:8" x14ac:dyDescent="0.25">
      <c r="B2" t="s">
        <v>7</v>
      </c>
      <c r="C2" t="s">
        <v>0</v>
      </c>
      <c r="D2" t="s">
        <v>1</v>
      </c>
      <c r="E2" t="s">
        <v>2</v>
      </c>
      <c r="F2" s="2" t="s">
        <v>15</v>
      </c>
      <c r="G2" s="2" t="s">
        <v>11</v>
      </c>
      <c r="H2" s="2" t="s">
        <v>10</v>
      </c>
    </row>
    <row r="3" spans="2:8" x14ac:dyDescent="0.25">
      <c r="B3" t="s">
        <v>197</v>
      </c>
      <c r="C3">
        <v>1</v>
      </c>
      <c r="E3" s="3">
        <f>Tableau92218248[[#This Row],[Demande]]-Tableau92218248[[#This Row],[Présente dans la malle]]</f>
        <v>-1</v>
      </c>
      <c r="F3" s="5"/>
      <c r="H3" s="8">
        <f>Tableau92218248[[#This Row],[Quantités acheté rajouté]]*Tableau92218248[[#This Row],[CU du matos rajouté acheté]]</f>
        <v>0</v>
      </c>
    </row>
    <row r="4" spans="2:8" x14ac:dyDescent="0.25">
      <c r="B4" t="s">
        <v>223</v>
      </c>
      <c r="C4">
        <v>1</v>
      </c>
      <c r="E4" s="3">
        <f>Tableau92218248[[#This Row],[Demande]]-Tableau92218248[[#This Row],[Présente dans la malle]]</f>
        <v>-1</v>
      </c>
      <c r="F4" s="5"/>
      <c r="H4" s="8">
        <f>Tableau92218248[[#This Row],[Quantités acheté rajouté]]*Tableau92218248[[#This Row],[CU du matos rajouté acheté]]</f>
        <v>0</v>
      </c>
    </row>
    <row r="5" spans="2:8" x14ac:dyDescent="0.25">
      <c r="E5" s="3">
        <f>Tableau92218248[[#This Row],[Demande]]-Tableau92218248[[#This Row],[Présente dans la malle]]</f>
        <v>0</v>
      </c>
      <c r="F5" s="5"/>
      <c r="H5" s="8">
        <f>Tableau92218248[[#This Row],[Quantités acheté rajouté]]*Tableau92218248[[#This Row],[CU du matos rajouté acheté]]</f>
        <v>0</v>
      </c>
    </row>
    <row r="6" spans="2:8" x14ac:dyDescent="0.25">
      <c r="E6" s="3">
        <f>Tableau92218248[[#This Row],[Demande]]-Tableau92218248[[#This Row],[Présente dans la malle]]</f>
        <v>0</v>
      </c>
      <c r="F6" s="5"/>
      <c r="H6" s="8">
        <f>Tableau92218248[[#This Row],[Quantités acheté rajouté]]*Tableau92218248[[#This Row],[CU du matos rajouté acheté]]</f>
        <v>0</v>
      </c>
    </row>
    <row r="7" spans="2:8" x14ac:dyDescent="0.25">
      <c r="E7" s="3">
        <f>Tableau92218248[[#This Row],[Demande]]-Tableau92218248[[#This Row],[Présente dans la malle]]</f>
        <v>0</v>
      </c>
      <c r="F7" s="5"/>
      <c r="H7" s="8">
        <f>Tableau92218248[[#This Row],[Quantités acheté rajouté]]*Tableau92218248[[#This Row],[CU du matos rajouté acheté]]</f>
        <v>0</v>
      </c>
    </row>
    <row r="8" spans="2:8" x14ac:dyDescent="0.25">
      <c r="E8" s="3">
        <f>Tableau92218248[[#This Row],[Demande]]-Tableau92218248[[#This Row],[Présente dans la malle]]</f>
        <v>0</v>
      </c>
      <c r="F8" s="5"/>
      <c r="H8" s="8">
        <f>Tableau92218248[[#This Row],[Quantités acheté rajouté]]*Tableau92218248[[#This Row],[CU du matos rajouté acheté]]</f>
        <v>0</v>
      </c>
    </row>
    <row r="9" spans="2:8" x14ac:dyDescent="0.25">
      <c r="E9" s="3">
        <f>Tableau92218248[[#This Row],[Demande]]-Tableau92218248[[#This Row],[Présente dans la malle]]</f>
        <v>0</v>
      </c>
      <c r="F9" s="5"/>
      <c r="H9" s="8">
        <f>Tableau92218248[[#This Row],[Quantités acheté rajouté]]*Tableau92218248[[#This Row],[CU du matos rajouté acheté]]</f>
        <v>0</v>
      </c>
    </row>
    <row r="10" spans="2:8" x14ac:dyDescent="0.25">
      <c r="E10" s="3">
        <f>Tableau92218248[[#This Row],[Demande]]-Tableau92218248[[#This Row],[Présente dans la malle]]</f>
        <v>0</v>
      </c>
      <c r="F10" s="5"/>
      <c r="H10" s="8">
        <f>Tableau92218248[[#This Row],[Quantités acheté rajouté]]*Tableau92218248[[#This Row],[CU du matos rajouté acheté]]</f>
        <v>0</v>
      </c>
    </row>
    <row r="11" spans="2:8" x14ac:dyDescent="0.25">
      <c r="E11" s="3">
        <f>Tableau92218248[[#This Row],[Demande]]-Tableau92218248[[#This Row],[Présente dans la malle]]</f>
        <v>0</v>
      </c>
      <c r="F11" s="5"/>
      <c r="H11" s="8">
        <f>Tableau92218248[[#This Row],[Quantités acheté rajouté]]*Tableau92218248[[#This Row],[CU du matos rajouté acheté]]</f>
        <v>0</v>
      </c>
    </row>
    <row r="12" spans="2:8" x14ac:dyDescent="0.25">
      <c r="E12" s="3">
        <f>Tableau92218248[[#This Row],[Demande]]-Tableau92218248[[#This Row],[Présente dans la malle]]</f>
        <v>0</v>
      </c>
      <c r="F12" s="5"/>
      <c r="H12" s="8">
        <f>Tableau92218248[[#This Row],[Quantités acheté rajouté]]*Tableau92218248[[#This Row],[CU du matos rajouté acheté]]</f>
        <v>0</v>
      </c>
    </row>
    <row r="13" spans="2:8" x14ac:dyDescent="0.25">
      <c r="E13" s="3">
        <f>Tableau92218248[[#This Row],[Demande]]-Tableau92218248[[#This Row],[Présente dans la malle]]</f>
        <v>0</v>
      </c>
      <c r="F13" s="5"/>
      <c r="H13" s="8">
        <f>Tableau92218248[[#This Row],[Quantités acheté rajouté]]*Tableau92218248[[#This Row],[CU du matos rajouté acheté]]</f>
        <v>0</v>
      </c>
    </row>
    <row r="14" spans="2:8" x14ac:dyDescent="0.25">
      <c r="E14" s="3">
        <f>Tableau92218248[[#This Row],[Demande]]-Tableau92218248[[#This Row],[Présente dans la malle]]</f>
        <v>0</v>
      </c>
      <c r="F14" s="5"/>
      <c r="H14" s="8">
        <f>Tableau92218248[[#This Row],[Quantités acheté rajouté]]*Tableau92218248[[#This Row],[CU du matos rajouté acheté]]</f>
        <v>0</v>
      </c>
    </row>
    <row r="15" spans="2:8" x14ac:dyDescent="0.25">
      <c r="E15" s="3">
        <f>Tableau92218248[[#This Row],[Demande]]-Tableau92218248[[#This Row],[Présente dans la malle]]</f>
        <v>0</v>
      </c>
      <c r="F15" s="7"/>
      <c r="G15" s="4"/>
      <c r="H15" s="8">
        <f>Tableau92218248[[#This Row],[Quantités acheté rajouté]]*Tableau92218248[[#This Row],[CU du matos rajouté acheté]]</f>
        <v>0</v>
      </c>
    </row>
    <row r="16" spans="2:8" x14ac:dyDescent="0.25">
      <c r="B16" t="s">
        <v>4</v>
      </c>
      <c r="C16">
        <f>SUM(Tableau92218248[Présente dans la malle])</f>
        <v>2</v>
      </c>
      <c r="D16">
        <f>SUM(Tableau92218248[Demande])</f>
        <v>0</v>
      </c>
      <c r="E16">
        <f>SUM(Tableau92218248[Manque])</f>
        <v>-2</v>
      </c>
      <c r="F16" s="6">
        <f>SUM(Tableau92218248[Quantités acheté rajouté])</f>
        <v>0</v>
      </c>
      <c r="G16" s="6"/>
      <c r="H16" s="10">
        <f>SUM(Tableau92218248[CT])</f>
        <v>0</v>
      </c>
    </row>
    <row r="19" spans="2:8" x14ac:dyDescent="0.25">
      <c r="B19" t="s">
        <v>5</v>
      </c>
      <c r="C19" t="s">
        <v>0</v>
      </c>
      <c r="D19" t="s">
        <v>1</v>
      </c>
      <c r="E19" t="s">
        <v>2</v>
      </c>
      <c r="F19" s="2" t="s">
        <v>15</v>
      </c>
      <c r="G19" s="2" t="s">
        <v>11</v>
      </c>
      <c r="H19" s="2" t="s">
        <v>10</v>
      </c>
    </row>
    <row r="20" spans="2:8" x14ac:dyDescent="0.25">
      <c r="E20" s="3">
        <f>Tableau9296219249[[#This Row],[Demande]]-Tableau9296219249[[#This Row],[Présente dans la malle]]</f>
        <v>0</v>
      </c>
      <c r="F20" s="5"/>
      <c r="H20" s="8">
        <f>Tableau9296219249[[#This Row],[Quantités acheté rajouté]]*Tableau9296219249[[#This Row],[CU du matos rajouté acheté]]</f>
        <v>0</v>
      </c>
    </row>
    <row r="21" spans="2:8" x14ac:dyDescent="0.25">
      <c r="E21" s="3">
        <f>Tableau9296219249[[#This Row],[Demande]]-Tableau9296219249[[#This Row],[Présente dans la malle]]</f>
        <v>0</v>
      </c>
      <c r="F21" s="5"/>
      <c r="H21" s="8">
        <f>Tableau9296219249[[#This Row],[Quantités acheté rajouté]]*Tableau9296219249[[#This Row],[CU du matos rajouté acheté]]</f>
        <v>0</v>
      </c>
    </row>
    <row r="22" spans="2:8" x14ac:dyDescent="0.25">
      <c r="E22" s="3">
        <f>Tableau9296219249[[#This Row],[Demande]]-Tableau9296219249[[#This Row],[Présente dans la malle]]</f>
        <v>0</v>
      </c>
      <c r="F22" s="5"/>
      <c r="H22" s="8">
        <f>Tableau9296219249[[#This Row],[Quantités acheté rajouté]]*Tableau9296219249[[#This Row],[CU du matos rajouté acheté]]</f>
        <v>0</v>
      </c>
    </row>
    <row r="23" spans="2:8" x14ac:dyDescent="0.25">
      <c r="E23" s="3">
        <f>Tableau9296219249[[#This Row],[Demande]]-Tableau9296219249[[#This Row],[Présente dans la malle]]</f>
        <v>0</v>
      </c>
      <c r="F23" s="5"/>
      <c r="H23" s="8">
        <f>Tableau9296219249[[#This Row],[Quantités acheté rajouté]]*Tableau9296219249[[#This Row],[CU du matos rajouté acheté]]</f>
        <v>0</v>
      </c>
    </row>
    <row r="24" spans="2:8" x14ac:dyDescent="0.25">
      <c r="E24" s="3">
        <f>Tableau9296219249[[#This Row],[Demande]]-Tableau9296219249[[#This Row],[Présente dans la malle]]</f>
        <v>0</v>
      </c>
      <c r="F24" s="5"/>
      <c r="H24" s="8">
        <f>Tableau9296219249[[#This Row],[Quantités acheté rajouté]]*Tableau9296219249[[#This Row],[CU du matos rajouté acheté]]</f>
        <v>0</v>
      </c>
    </row>
    <row r="25" spans="2:8" x14ac:dyDescent="0.25">
      <c r="E25" s="3">
        <f>Tableau9296219249[[#This Row],[Demande]]-Tableau9296219249[[#This Row],[Présente dans la malle]]</f>
        <v>0</v>
      </c>
      <c r="F25" s="5"/>
      <c r="H25" s="8">
        <f>Tableau9296219249[[#This Row],[Quantités acheté rajouté]]*Tableau9296219249[[#This Row],[CU du matos rajouté acheté]]</f>
        <v>0</v>
      </c>
    </row>
    <row r="26" spans="2:8" x14ac:dyDescent="0.25">
      <c r="E26" s="3">
        <f>Tableau9296219249[[#This Row],[Demande]]-Tableau9296219249[[#This Row],[Présente dans la malle]]</f>
        <v>0</v>
      </c>
      <c r="F26" s="5"/>
      <c r="H26" s="8">
        <f>Tableau9296219249[[#This Row],[Quantités acheté rajouté]]*Tableau9296219249[[#This Row],[CU du matos rajouté acheté]]</f>
        <v>0</v>
      </c>
    </row>
    <row r="27" spans="2:8" x14ac:dyDescent="0.25">
      <c r="E27" s="3">
        <f>Tableau9296219249[[#This Row],[Demande]]-Tableau9296219249[[#This Row],[Présente dans la malle]]</f>
        <v>0</v>
      </c>
      <c r="F27" s="5"/>
      <c r="H27" s="8">
        <f>Tableau9296219249[[#This Row],[Quantités acheté rajouté]]*Tableau9296219249[[#This Row],[CU du matos rajouté acheté]]</f>
        <v>0</v>
      </c>
    </row>
    <row r="28" spans="2:8" x14ac:dyDescent="0.25">
      <c r="E28" s="3">
        <f>Tableau9296219249[[#This Row],[Demande]]-Tableau9296219249[[#This Row],[Présente dans la malle]]</f>
        <v>0</v>
      </c>
      <c r="F28" s="5"/>
      <c r="H28" s="8">
        <f>Tableau9296219249[[#This Row],[Quantités acheté rajouté]]*Tableau9296219249[[#This Row],[CU du matos rajouté acheté]]</f>
        <v>0</v>
      </c>
    </row>
    <row r="29" spans="2:8" x14ac:dyDescent="0.25">
      <c r="E29" s="3">
        <f>Tableau9296219249[[#This Row],[Demande]]-Tableau9296219249[[#This Row],[Présente dans la malle]]</f>
        <v>0</v>
      </c>
      <c r="F29" s="5"/>
      <c r="H29" s="8">
        <f>Tableau9296219249[[#This Row],[Quantités acheté rajouté]]*Tableau9296219249[[#This Row],[CU du matos rajouté acheté]]</f>
        <v>0</v>
      </c>
    </row>
    <row r="30" spans="2:8" x14ac:dyDescent="0.25">
      <c r="E30" s="3">
        <f>Tableau9296219249[[#This Row],[Demande]]-Tableau9296219249[[#This Row],[Présente dans la malle]]</f>
        <v>0</v>
      </c>
      <c r="F30" s="5"/>
      <c r="H30" s="8">
        <f>Tableau9296219249[[#This Row],[Quantités acheté rajouté]]*Tableau9296219249[[#This Row],[CU du matos rajouté acheté]]</f>
        <v>0</v>
      </c>
    </row>
    <row r="31" spans="2:8" x14ac:dyDescent="0.25">
      <c r="E31" s="3">
        <f>Tableau9296219249[[#This Row],[Demande]]-Tableau9296219249[[#This Row],[Présente dans la malle]]</f>
        <v>0</v>
      </c>
      <c r="F31" s="5"/>
      <c r="H31" s="8">
        <f>Tableau9296219249[[#This Row],[Quantités acheté rajouté]]*Tableau9296219249[[#This Row],[CU du matos rajouté acheté]]</f>
        <v>0</v>
      </c>
    </row>
    <row r="32" spans="2:8" x14ac:dyDescent="0.25">
      <c r="E32" s="3">
        <f>Tableau9296219249[[#This Row],[Demande]]-Tableau9296219249[[#This Row],[Présente dans la malle]]</f>
        <v>0</v>
      </c>
      <c r="F32" s="7"/>
      <c r="G32" s="4"/>
      <c r="H32" s="8">
        <f>Tableau9296219249[[#This Row],[Quantités acheté rajouté]]*Tableau9296219249[[#This Row],[CU du matos rajouté acheté]]</f>
        <v>0</v>
      </c>
    </row>
    <row r="33" spans="2:8" x14ac:dyDescent="0.25">
      <c r="B33" t="s">
        <v>4</v>
      </c>
      <c r="C33">
        <f>SUM(Tableau9296219249[Présente dans la malle])</f>
        <v>0</v>
      </c>
      <c r="D33">
        <f>SUM(Tableau9296219249[Demande])</f>
        <v>0</v>
      </c>
      <c r="E33">
        <f>SUM(Tableau9296219249[Manque])</f>
        <v>0</v>
      </c>
      <c r="F33" s="6">
        <f>SUM(Tableau9296219249[Quantités acheté rajouté])</f>
        <v>0</v>
      </c>
      <c r="G33" s="6"/>
      <c r="H33" s="2">
        <f>SUM(Tableau9296219249[CT])</f>
        <v>0</v>
      </c>
    </row>
    <row r="35" spans="2:8" x14ac:dyDescent="0.25">
      <c r="H35" s="2"/>
    </row>
    <row r="36" spans="2:8" x14ac:dyDescent="0.25">
      <c r="B36" t="s">
        <v>6</v>
      </c>
      <c r="C36" t="s">
        <v>0</v>
      </c>
      <c r="D36" t="s">
        <v>1</v>
      </c>
      <c r="E36" t="s">
        <v>2</v>
      </c>
      <c r="F36" s="2" t="s">
        <v>15</v>
      </c>
      <c r="G36" s="2" t="s">
        <v>11</v>
      </c>
      <c r="H36" s="2" t="s">
        <v>10</v>
      </c>
    </row>
    <row r="37" spans="2:8" x14ac:dyDescent="0.25">
      <c r="E37" s="3">
        <f>Tableau9297220250[[#This Row],[Demande]]-Tableau9297220250[[#This Row],[Présente dans la malle]]</f>
        <v>0</v>
      </c>
      <c r="F37" s="5"/>
      <c r="H37" s="8">
        <f>Tableau9297220250[[#This Row],[Quantités acheté rajouté]]*Tableau9297220250[[#This Row],[CU du matos rajouté acheté]]</f>
        <v>0</v>
      </c>
    </row>
    <row r="38" spans="2:8" x14ac:dyDescent="0.25">
      <c r="E38" s="3">
        <f>Tableau9297220250[[#This Row],[Demande]]-Tableau9297220250[[#This Row],[Présente dans la malle]]</f>
        <v>0</v>
      </c>
      <c r="F38" s="5"/>
      <c r="H38" s="8">
        <f>Tableau9297220250[[#This Row],[Quantités acheté rajouté]]*Tableau9297220250[[#This Row],[CU du matos rajouté acheté]]</f>
        <v>0</v>
      </c>
    </row>
    <row r="39" spans="2:8" x14ac:dyDescent="0.25">
      <c r="E39" s="3">
        <f>Tableau9297220250[[#This Row],[Demande]]-Tableau9297220250[[#This Row],[Présente dans la malle]]</f>
        <v>0</v>
      </c>
      <c r="F39" s="5"/>
      <c r="H39" s="8">
        <f>Tableau9297220250[[#This Row],[Quantités acheté rajouté]]*Tableau9297220250[[#This Row],[CU du matos rajouté acheté]]</f>
        <v>0</v>
      </c>
    </row>
    <row r="40" spans="2:8" x14ac:dyDescent="0.25">
      <c r="E40" s="3">
        <f>Tableau9297220250[[#This Row],[Demande]]-Tableau9297220250[[#This Row],[Présente dans la malle]]</f>
        <v>0</v>
      </c>
      <c r="F40" s="5"/>
      <c r="H40" s="8">
        <f>Tableau9297220250[[#This Row],[Quantités acheté rajouté]]*Tableau9297220250[[#This Row],[CU du matos rajouté acheté]]</f>
        <v>0</v>
      </c>
    </row>
    <row r="41" spans="2:8" x14ac:dyDescent="0.25">
      <c r="E41" s="3">
        <f>Tableau9297220250[[#This Row],[Demande]]-Tableau9297220250[[#This Row],[Présente dans la malle]]</f>
        <v>0</v>
      </c>
      <c r="F41" s="5"/>
      <c r="H41" s="8">
        <f>Tableau9297220250[[#This Row],[Quantités acheté rajouté]]*Tableau9297220250[[#This Row],[CU du matos rajouté acheté]]</f>
        <v>0</v>
      </c>
    </row>
    <row r="42" spans="2:8" x14ac:dyDescent="0.25">
      <c r="E42" s="3">
        <f>Tableau9297220250[[#This Row],[Demande]]-Tableau9297220250[[#This Row],[Présente dans la malle]]</f>
        <v>0</v>
      </c>
      <c r="F42" s="5"/>
      <c r="H42" s="8">
        <f>Tableau9297220250[[#This Row],[Quantités acheté rajouté]]*Tableau9297220250[[#This Row],[CU du matos rajouté acheté]]</f>
        <v>0</v>
      </c>
    </row>
    <row r="43" spans="2:8" x14ac:dyDescent="0.25">
      <c r="E43" s="3">
        <f>Tableau9297220250[[#This Row],[Demande]]-Tableau9297220250[[#This Row],[Présente dans la malle]]</f>
        <v>0</v>
      </c>
      <c r="F43" s="5"/>
      <c r="H43" s="8">
        <f>Tableau9297220250[[#This Row],[Quantités acheté rajouté]]*Tableau9297220250[[#This Row],[CU du matos rajouté acheté]]</f>
        <v>0</v>
      </c>
    </row>
    <row r="44" spans="2:8" x14ac:dyDescent="0.25">
      <c r="E44" s="3">
        <f>Tableau9297220250[[#This Row],[Demande]]-Tableau9297220250[[#This Row],[Présente dans la malle]]</f>
        <v>0</v>
      </c>
      <c r="F44" s="5"/>
      <c r="H44" s="8">
        <f>Tableau9297220250[[#This Row],[Quantités acheté rajouté]]*Tableau9297220250[[#This Row],[CU du matos rajouté acheté]]</f>
        <v>0</v>
      </c>
    </row>
    <row r="45" spans="2:8" x14ac:dyDescent="0.25">
      <c r="E45" s="3">
        <f>Tableau9297220250[[#This Row],[Demande]]-Tableau9297220250[[#This Row],[Présente dans la malle]]</f>
        <v>0</v>
      </c>
      <c r="F45" s="5"/>
      <c r="H45" s="8">
        <f>Tableau9297220250[[#This Row],[Quantités acheté rajouté]]*Tableau9297220250[[#This Row],[CU du matos rajouté acheté]]</f>
        <v>0</v>
      </c>
    </row>
    <row r="46" spans="2:8" x14ac:dyDescent="0.25">
      <c r="E46" s="3">
        <f>Tableau9297220250[[#This Row],[Demande]]-Tableau9297220250[[#This Row],[Présente dans la malle]]</f>
        <v>0</v>
      </c>
      <c r="F46" s="5"/>
      <c r="H46" s="8">
        <f>Tableau9297220250[[#This Row],[Quantités acheté rajouté]]*Tableau9297220250[[#This Row],[CU du matos rajouté acheté]]</f>
        <v>0</v>
      </c>
    </row>
    <row r="47" spans="2:8" x14ac:dyDescent="0.25">
      <c r="E47" s="3">
        <f>Tableau9297220250[[#This Row],[Demande]]-Tableau9297220250[[#This Row],[Présente dans la malle]]</f>
        <v>0</v>
      </c>
      <c r="F47" s="5"/>
      <c r="H47" s="8">
        <f>Tableau9297220250[[#This Row],[Quantités acheté rajouté]]*Tableau9297220250[[#This Row],[CU du matos rajouté acheté]]</f>
        <v>0</v>
      </c>
    </row>
    <row r="48" spans="2:8" x14ac:dyDescent="0.25">
      <c r="E48" s="3">
        <f>Tableau9297220250[[#This Row],[Demande]]-Tableau9297220250[[#This Row],[Présente dans la malle]]</f>
        <v>0</v>
      </c>
      <c r="F48" s="5"/>
      <c r="H48" s="8">
        <f>Tableau9297220250[[#This Row],[Quantités acheté rajouté]]*Tableau9297220250[[#This Row],[CU du matos rajouté acheté]]</f>
        <v>0</v>
      </c>
    </row>
    <row r="49" spans="2:8" x14ac:dyDescent="0.25">
      <c r="E49" s="3">
        <f>Tableau9297220250[[#This Row],[Demande]]-Tableau9297220250[[#This Row],[Présente dans la malle]]</f>
        <v>0</v>
      </c>
      <c r="F49" s="7"/>
      <c r="G49" s="4"/>
      <c r="H49" s="8">
        <f>Tableau9297220250[[#This Row],[Quantités acheté rajouté]]*Tableau9297220250[[#This Row],[CU du matos rajouté acheté]]</f>
        <v>0</v>
      </c>
    </row>
    <row r="50" spans="2:8" x14ac:dyDescent="0.25">
      <c r="B50" t="s">
        <v>4</v>
      </c>
      <c r="C50">
        <f>SUM(Tableau9297220250[Présente dans la malle])</f>
        <v>0</v>
      </c>
      <c r="D50">
        <f>SUM(Tableau9297220250[Demande])</f>
        <v>0</v>
      </c>
      <c r="E50">
        <f>SUM(Tableau9297220250[Manque])</f>
        <v>0</v>
      </c>
      <c r="F50" s="6">
        <f>SUM(Tableau9297220250[Quantités acheté rajouté])</f>
        <v>0</v>
      </c>
      <c r="G50" s="6"/>
      <c r="H50" s="2">
        <f>SUM(Tableau9297220250[CT])</f>
        <v>0</v>
      </c>
    </row>
  </sheetData>
  <conditionalFormatting sqref="E3:E15">
    <cfRule type="cellIs" dxfId="1052" priority="10" operator="equal">
      <formula>0</formula>
    </cfRule>
    <cfRule type="cellIs" dxfId="1051" priority="11" operator="lessThan">
      <formula>0</formula>
    </cfRule>
    <cfRule type="cellIs" dxfId="1050" priority="12" operator="greaterThan">
      <formula>0</formula>
    </cfRule>
  </conditionalFormatting>
  <conditionalFormatting sqref="E16">
    <cfRule type="cellIs" dxfId="1049" priority="9" operator="equal">
      <formula>0</formula>
    </cfRule>
  </conditionalFormatting>
  <conditionalFormatting sqref="E50">
    <cfRule type="cellIs" dxfId="1048" priority="1" operator="equal">
      <formula>0</formula>
    </cfRule>
  </conditionalFormatting>
  <conditionalFormatting sqref="E20:E32">
    <cfRule type="cellIs" dxfId="1047" priority="6" operator="equal">
      <formula>0</formula>
    </cfRule>
    <cfRule type="cellIs" dxfId="1046" priority="7" operator="lessThan">
      <formula>0</formula>
    </cfRule>
    <cfRule type="cellIs" dxfId="1045" priority="8" operator="greaterThan">
      <formula>0</formula>
    </cfRule>
  </conditionalFormatting>
  <conditionalFormatting sqref="E33">
    <cfRule type="cellIs" dxfId="1044" priority="5" operator="equal">
      <formula>0</formula>
    </cfRule>
  </conditionalFormatting>
  <conditionalFormatting sqref="E37:E49">
    <cfRule type="cellIs" dxfId="1043" priority="2" operator="equal">
      <formula>0</formula>
    </cfRule>
    <cfRule type="cellIs" dxfId="1042" priority="3" operator="lessThan">
      <formula>0</formula>
    </cfRule>
    <cfRule type="cellIs" dxfId="1041" priority="4" operator="greaterThan">
      <formula>0</formula>
    </cfRule>
  </conditionalFormatting>
  <dataValidations count="7">
    <dataValidation type="list" allowBlank="1" showInputMessage="1" showErrorMessage="1" prompt="Insérez la fourniture désiré" sqref="B37:B48 B20:B31 B5:B14" xr:uid="{08509338-3E1D-4417-9FC4-2494896CDF72}">
      <formula1>Fournitures</formula1>
    </dataValidation>
    <dataValidation allowBlank="1" showInputMessage="1" showErrorMessage="1" prompt="Si VERT_x000a_La fourniture est bien présente et la quantité est bonne_x000a_Si ROUGE_x000a_+ : Il faut rajouter la quantité de fourniture_x000a_- : Il faut enlevé la quantité de fourniture en trop_x000a_" sqref="E20:E32 E3:E15 E37:E49" xr:uid="{3F70AF2B-96B0-4DB2-AF41-4631CF56953B}"/>
    <dataValidation allowBlank="1" showInputMessage="1" showErrorMessage="1" prompt="Insérez la quantité présente dans les malles" sqref="C11:C14 C3:C9 C28:C31 C20:C26 C45:C48 C37:C43" xr:uid="{4E4A7092-2AFA-45C8-9E1D-9F8198BF7217}"/>
    <dataValidation allowBlank="1" showInputMessage="1" showErrorMessage="1" prompt="Insérez la quantité demandé" sqref="D11:D14 D3:D9 D28:D31 D20:D26 D45:D48 D37:D43" xr:uid="{7063A951-0154-49E7-BA1F-A26CBF2252EC}"/>
    <dataValidation allowBlank="1" showInputMessage="1" showErrorMessage="1" prompt="Quantité acheté rajouté * CU" sqref="H3 H20 H37" xr:uid="{45D67F84-4DBA-4C8B-95A3-7B663F594EE8}"/>
    <dataValidation allowBlank="1" showInputMessage="1" showErrorMessage="1" prompt="CU = Cout unitaire" sqref="F35:G36 F2:G2 F19:G19" xr:uid="{3C6386DA-50C6-4D6F-BF6C-C44107AA0765}"/>
    <dataValidation allowBlank="1" showInputMessage="1" showErrorMessage="1" prompt="CT = Cout total" sqref="H35:H36 H2 H19" xr:uid="{2AF49A6C-94DD-4B9B-BF00-7808D90F84F9}"/>
  </dataValidations>
  <pageMargins left="0.7" right="0.7" top="0.75" bottom="0.75" header="0.3" footer="0.3"/>
  <tableParts count="3">
    <tablePart r:id="rId1"/>
    <tablePart r:id="rId2"/>
    <tablePart r:id="rId3"/>
  </tableParts>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9F38312-19E8-4D97-A60D-C07E928FCB6B}">
  <dimension ref="B2:H57"/>
  <sheetViews>
    <sheetView workbookViewId="0">
      <selection activeCell="B12" sqref="B12"/>
    </sheetView>
  </sheetViews>
  <sheetFormatPr baseColWidth="10" defaultRowHeight="15" x14ac:dyDescent="0.25"/>
  <cols>
    <col min="2" max="2" width="31.140625" customWidth="1"/>
    <col min="3" max="3" width="23.140625" customWidth="1"/>
    <col min="4" max="4" width="11.7109375" customWidth="1"/>
    <col min="6" max="6" width="26.5703125" style="2" customWidth="1"/>
    <col min="7" max="7" width="28.28515625" style="2" customWidth="1"/>
  </cols>
  <sheetData>
    <row r="2" spans="2:8" x14ac:dyDescent="0.25">
      <c r="B2" t="s">
        <v>7</v>
      </c>
      <c r="C2" t="s">
        <v>0</v>
      </c>
      <c r="D2" t="s">
        <v>1</v>
      </c>
      <c r="E2" t="s">
        <v>2</v>
      </c>
      <c r="F2" s="2" t="s">
        <v>15</v>
      </c>
      <c r="G2" s="2" t="s">
        <v>11</v>
      </c>
      <c r="H2" s="2" t="s">
        <v>10</v>
      </c>
    </row>
    <row r="3" spans="2:8" x14ac:dyDescent="0.25">
      <c r="B3" t="s">
        <v>136</v>
      </c>
      <c r="C3">
        <v>1</v>
      </c>
      <c r="E3" s="3">
        <f>Tableau92218239[[#This Row],[Demande]]-Tableau92218239[[#This Row],[Présente dans la malle]]</f>
        <v>-1</v>
      </c>
      <c r="F3" s="5"/>
      <c r="H3" s="8">
        <f>Tableau92218239[[#This Row],[Quantités acheté rajouté]]*Tableau92218239[[#This Row],[CU du matos rajouté acheté]]</f>
        <v>0</v>
      </c>
    </row>
    <row r="4" spans="2:8" x14ac:dyDescent="0.25">
      <c r="B4" t="s">
        <v>150</v>
      </c>
      <c r="C4">
        <v>1</v>
      </c>
      <c r="E4" s="3">
        <f>Tableau92218239[[#This Row],[Demande]]-Tableau92218239[[#This Row],[Présente dans la malle]]</f>
        <v>-1</v>
      </c>
      <c r="F4" s="5"/>
      <c r="H4" s="8">
        <f>Tableau92218239[[#This Row],[Quantités acheté rajouté]]*Tableau92218239[[#This Row],[CU du matos rajouté acheté]]</f>
        <v>0</v>
      </c>
    </row>
    <row r="5" spans="2:8" x14ac:dyDescent="0.25">
      <c r="B5" t="s">
        <v>56</v>
      </c>
      <c r="C5">
        <v>1</v>
      </c>
      <c r="E5" s="3">
        <f>Tableau92218239[[#This Row],[Demande]]-Tableau92218239[[#This Row],[Présente dans la malle]]</f>
        <v>-1</v>
      </c>
      <c r="F5" s="5"/>
      <c r="H5" s="8">
        <f>Tableau92218239[[#This Row],[Quantités acheté rajouté]]*Tableau92218239[[#This Row],[CU du matos rajouté acheté]]</f>
        <v>0</v>
      </c>
    </row>
    <row r="6" spans="2:8" x14ac:dyDescent="0.25">
      <c r="B6" t="s">
        <v>43</v>
      </c>
      <c r="C6">
        <v>1</v>
      </c>
      <c r="E6" s="3">
        <f>Tableau92218239[[#This Row],[Demande]]-Tableau92218239[[#This Row],[Présente dans la malle]]</f>
        <v>-1</v>
      </c>
      <c r="F6" s="5"/>
      <c r="H6" s="8">
        <f>Tableau92218239[[#This Row],[Quantités acheté rajouté]]*Tableau92218239[[#This Row],[CU du matos rajouté acheté]]</f>
        <v>0</v>
      </c>
    </row>
    <row r="7" spans="2:8" x14ac:dyDescent="0.25">
      <c r="B7" t="s">
        <v>73</v>
      </c>
      <c r="C7">
        <v>1</v>
      </c>
      <c r="E7" s="3">
        <f>Tableau92218239[[#This Row],[Demande]]-Tableau92218239[[#This Row],[Présente dans la malle]]</f>
        <v>-1</v>
      </c>
      <c r="F7" s="5"/>
      <c r="H7" s="8">
        <f>Tableau92218239[[#This Row],[Quantités acheté rajouté]]*Tableau92218239[[#This Row],[CU du matos rajouté acheté]]</f>
        <v>0</v>
      </c>
    </row>
    <row r="8" spans="2:8" x14ac:dyDescent="0.25">
      <c r="B8" t="s">
        <v>82</v>
      </c>
      <c r="C8">
        <v>1</v>
      </c>
      <c r="E8" s="3">
        <f>Tableau92218239[[#This Row],[Demande]]-Tableau92218239[[#This Row],[Présente dans la malle]]</f>
        <v>-1</v>
      </c>
      <c r="F8" s="5"/>
      <c r="H8" s="8">
        <f>Tableau92218239[[#This Row],[Quantités acheté rajouté]]*Tableau92218239[[#This Row],[CU du matos rajouté acheté]]</f>
        <v>0</v>
      </c>
    </row>
    <row r="9" spans="2:8" x14ac:dyDescent="0.25">
      <c r="B9" t="s">
        <v>191</v>
      </c>
      <c r="C9">
        <v>3</v>
      </c>
      <c r="E9" s="3">
        <f>Tableau92218239[[#This Row],[Demande]]-Tableau92218239[[#This Row],[Présente dans la malle]]</f>
        <v>-3</v>
      </c>
      <c r="F9" s="5"/>
      <c r="H9" s="8">
        <f>Tableau92218239[[#This Row],[Quantités acheté rajouté]]*Tableau92218239[[#This Row],[CU du matos rajouté acheté]]</f>
        <v>0</v>
      </c>
    </row>
    <row r="10" spans="2:8" x14ac:dyDescent="0.25">
      <c r="B10" t="s">
        <v>189</v>
      </c>
      <c r="C10">
        <v>2</v>
      </c>
      <c r="E10" s="3">
        <f>Tableau92218239[[#This Row],[Demande]]-Tableau92218239[[#This Row],[Présente dans la malle]]</f>
        <v>-2</v>
      </c>
      <c r="F10" s="5"/>
      <c r="H10" s="8">
        <f>Tableau92218239[[#This Row],[Quantités acheté rajouté]]*Tableau92218239[[#This Row],[CU du matos rajouté acheté]]</f>
        <v>0</v>
      </c>
    </row>
    <row r="11" spans="2:8" x14ac:dyDescent="0.25">
      <c r="B11" t="s">
        <v>214</v>
      </c>
      <c r="C11">
        <v>5</v>
      </c>
      <c r="E11" s="3">
        <f>Tableau92218239[[#This Row],[Demande]]-Tableau92218239[[#This Row],[Présente dans la malle]]</f>
        <v>-5</v>
      </c>
      <c r="F11" s="5"/>
      <c r="H11" s="8">
        <f>Tableau92218239[[#This Row],[Quantités acheté rajouté]]*Tableau92218239[[#This Row],[CU du matos rajouté acheté]]</f>
        <v>0</v>
      </c>
    </row>
    <row r="12" spans="2:8" x14ac:dyDescent="0.25">
      <c r="B12" t="s">
        <v>121</v>
      </c>
      <c r="C12">
        <v>5</v>
      </c>
      <c r="E12" s="3">
        <f>Tableau92218239[[#This Row],[Demande]]-Tableau92218239[[#This Row],[Présente dans la malle]]</f>
        <v>-5</v>
      </c>
      <c r="F12" s="5"/>
      <c r="H12" s="8">
        <f>Tableau92218239[[#This Row],[Quantités acheté rajouté]]*Tableau92218239[[#This Row],[CU du matos rajouté acheté]]</f>
        <v>0</v>
      </c>
    </row>
    <row r="13" spans="2:8" x14ac:dyDescent="0.25">
      <c r="B13" t="s">
        <v>197</v>
      </c>
      <c r="C13">
        <v>2</v>
      </c>
      <c r="E13" s="3">
        <f>Tableau92218239[[#This Row],[Demande]]-Tableau92218239[[#This Row],[Présente dans la malle]]</f>
        <v>-2</v>
      </c>
      <c r="F13" s="5"/>
      <c r="H13" s="8">
        <f>Tableau92218239[[#This Row],[Quantités acheté rajouté]]*Tableau92218239[[#This Row],[CU du matos rajouté acheté]]</f>
        <v>0</v>
      </c>
    </row>
    <row r="14" spans="2:8" x14ac:dyDescent="0.25">
      <c r="B14" t="s">
        <v>116</v>
      </c>
      <c r="C14">
        <v>1</v>
      </c>
      <c r="E14" s="3">
        <f>Tableau92218239[[#This Row],[Demande]]-Tableau92218239[[#This Row],[Présente dans la malle]]</f>
        <v>-1</v>
      </c>
      <c r="F14" s="5"/>
      <c r="H14" s="8">
        <f>Tableau92218239[[#This Row],[Quantités acheté rajouté]]*Tableau92218239[[#This Row],[CU du matos rajouté acheté]]</f>
        <v>0</v>
      </c>
    </row>
    <row r="15" spans="2:8" x14ac:dyDescent="0.25">
      <c r="B15" t="s">
        <v>103</v>
      </c>
      <c r="C15">
        <v>1</v>
      </c>
      <c r="E15" s="3">
        <f>Tableau92218239[[#This Row],[Demande]]-Tableau92218239[[#This Row],[Présente dans la malle]]</f>
        <v>-1</v>
      </c>
      <c r="F15" s="7"/>
      <c r="G15" s="4"/>
      <c r="H15" s="8">
        <f>Tableau92218239[[#This Row],[Quantités acheté rajouté]]*Tableau92218239[[#This Row],[CU du matos rajouté acheté]]</f>
        <v>0</v>
      </c>
    </row>
    <row r="16" spans="2:8" x14ac:dyDescent="0.25">
      <c r="B16" t="s">
        <v>125</v>
      </c>
      <c r="C16">
        <v>1</v>
      </c>
      <c r="E16" s="11">
        <f>Tableau92218239[[#This Row],[Demande]]-Tableau92218239[[#This Row],[Présente dans la malle]]</f>
        <v>-1</v>
      </c>
      <c r="F16" s="5"/>
      <c r="H16" s="8">
        <f>Tableau92218239[[#This Row],[Quantités acheté rajouté]]*Tableau92218239[[#This Row],[CU du matos rajouté acheté]]</f>
        <v>0</v>
      </c>
    </row>
    <row r="17" spans="2:8" x14ac:dyDescent="0.25">
      <c r="B17" t="s">
        <v>203</v>
      </c>
      <c r="C17">
        <v>6</v>
      </c>
      <c r="E17" s="11">
        <f>Tableau92218239[[#This Row],[Demande]]-Tableau92218239[[#This Row],[Présente dans la malle]]</f>
        <v>-6</v>
      </c>
      <c r="F17" s="5"/>
      <c r="H17" s="8">
        <f>Tableau92218239[[#This Row],[Quantités acheté rajouté]]*Tableau92218239[[#This Row],[CU du matos rajouté acheté]]</f>
        <v>0</v>
      </c>
    </row>
    <row r="18" spans="2:8" x14ac:dyDescent="0.25">
      <c r="B18" t="s">
        <v>215</v>
      </c>
      <c r="C18">
        <v>1</v>
      </c>
      <c r="E18" s="11">
        <f>Tableau92218239[[#This Row],[Demande]]-Tableau92218239[[#This Row],[Présente dans la malle]]</f>
        <v>-1</v>
      </c>
      <c r="F18" s="5"/>
      <c r="H18" s="8">
        <f>Tableau92218239[[#This Row],[Quantités acheté rajouté]]*Tableau92218239[[#This Row],[CU du matos rajouté acheté]]</f>
        <v>0</v>
      </c>
    </row>
    <row r="19" spans="2:8" x14ac:dyDescent="0.25">
      <c r="B19" t="s">
        <v>216</v>
      </c>
      <c r="C19">
        <v>1</v>
      </c>
      <c r="E19" s="11">
        <f>Tableau92218239[[#This Row],[Demande]]-Tableau92218239[[#This Row],[Présente dans la malle]]</f>
        <v>-1</v>
      </c>
      <c r="F19" s="5"/>
      <c r="H19" s="8">
        <f>Tableau92218239[[#This Row],[Quantités acheté rajouté]]*Tableau92218239[[#This Row],[CU du matos rajouté acheté]]</f>
        <v>0</v>
      </c>
    </row>
    <row r="20" spans="2:8" x14ac:dyDescent="0.25">
      <c r="B20" t="s">
        <v>217</v>
      </c>
      <c r="C20">
        <v>1</v>
      </c>
      <c r="E20" s="11">
        <f>Tableau92218239[[#This Row],[Demande]]-Tableau92218239[[#This Row],[Présente dans la malle]]</f>
        <v>-1</v>
      </c>
      <c r="F20" s="5"/>
      <c r="H20" s="8">
        <f>Tableau92218239[[#This Row],[Quantités acheté rajouté]]*Tableau92218239[[#This Row],[CU du matos rajouté acheté]]</f>
        <v>0</v>
      </c>
    </row>
    <row r="21" spans="2:8" x14ac:dyDescent="0.25">
      <c r="B21" t="s">
        <v>74</v>
      </c>
      <c r="C21">
        <v>1</v>
      </c>
      <c r="E21" s="11">
        <f>Tableau92218239[[#This Row],[Demande]]-Tableau92218239[[#This Row],[Présente dans la malle]]</f>
        <v>-1</v>
      </c>
      <c r="F21" s="5"/>
      <c r="H21" s="8">
        <f>Tableau92218239[[#This Row],[Quantités acheté rajouté]]*Tableau92218239[[#This Row],[CU du matos rajouté acheté]]</f>
        <v>0</v>
      </c>
    </row>
    <row r="22" spans="2:8" x14ac:dyDescent="0.25">
      <c r="E22" s="11">
        <f>Tableau92218239[[#This Row],[Demande]]-Tableau92218239[[#This Row],[Présente dans la malle]]</f>
        <v>0</v>
      </c>
      <c r="F22" s="5"/>
      <c r="H22" s="8">
        <f>Tableau92218239[[#This Row],[Quantités acheté rajouté]]*Tableau92218239[[#This Row],[CU du matos rajouté acheté]]</f>
        <v>0</v>
      </c>
    </row>
    <row r="23" spans="2:8" x14ac:dyDescent="0.25">
      <c r="B23" t="s">
        <v>4</v>
      </c>
      <c r="D23">
        <f>SUM(Tableau92218239[Demande])</f>
        <v>0</v>
      </c>
      <c r="E23">
        <f>SUM(Tableau92218239[Manque])</f>
        <v>-36</v>
      </c>
      <c r="F23" s="6">
        <f>SUM(Tableau92218239[Quantités acheté rajouté])</f>
        <v>0</v>
      </c>
      <c r="G23" s="6"/>
      <c r="H23" s="10">
        <f>SUM(Tableau92218239[CT])</f>
        <v>0</v>
      </c>
    </row>
    <row r="26" spans="2:8" x14ac:dyDescent="0.25">
      <c r="B26" t="s">
        <v>5</v>
      </c>
      <c r="C26" t="s">
        <v>0</v>
      </c>
      <c r="D26" t="s">
        <v>1</v>
      </c>
      <c r="E26" t="s">
        <v>2</v>
      </c>
      <c r="F26" s="2" t="s">
        <v>15</v>
      </c>
      <c r="G26" s="2" t="s">
        <v>11</v>
      </c>
      <c r="H26" s="2" t="s">
        <v>10</v>
      </c>
    </row>
    <row r="27" spans="2:8" x14ac:dyDescent="0.25">
      <c r="E27" s="3">
        <f>Tableau9296219240[[#This Row],[Demande]]-Tableau9296219240[[#This Row],[Présente dans la malle]]</f>
        <v>0</v>
      </c>
      <c r="F27" s="5"/>
      <c r="H27" s="8">
        <f>Tableau9296219240[[#This Row],[Quantités acheté rajouté]]*Tableau9296219240[[#This Row],[CU du matos rajouté acheté]]</f>
        <v>0</v>
      </c>
    </row>
    <row r="28" spans="2:8" x14ac:dyDescent="0.25">
      <c r="E28" s="3">
        <f>Tableau9296219240[[#This Row],[Demande]]-Tableau9296219240[[#This Row],[Présente dans la malle]]</f>
        <v>0</v>
      </c>
      <c r="F28" s="5"/>
      <c r="H28" s="8">
        <f>Tableau9296219240[[#This Row],[Quantités acheté rajouté]]*Tableau9296219240[[#This Row],[CU du matos rajouté acheté]]</f>
        <v>0</v>
      </c>
    </row>
    <row r="29" spans="2:8" x14ac:dyDescent="0.25">
      <c r="E29" s="3">
        <f>Tableau9296219240[[#This Row],[Demande]]-Tableau9296219240[[#This Row],[Présente dans la malle]]</f>
        <v>0</v>
      </c>
      <c r="F29" s="5"/>
      <c r="H29" s="8">
        <f>Tableau9296219240[[#This Row],[Quantités acheté rajouté]]*Tableau9296219240[[#This Row],[CU du matos rajouté acheté]]</f>
        <v>0</v>
      </c>
    </row>
    <row r="30" spans="2:8" x14ac:dyDescent="0.25">
      <c r="E30" s="3">
        <f>Tableau9296219240[[#This Row],[Demande]]-Tableau9296219240[[#This Row],[Présente dans la malle]]</f>
        <v>0</v>
      </c>
      <c r="F30" s="5"/>
      <c r="H30" s="8">
        <f>Tableau9296219240[[#This Row],[Quantités acheté rajouté]]*Tableau9296219240[[#This Row],[CU du matos rajouté acheté]]</f>
        <v>0</v>
      </c>
    </row>
    <row r="31" spans="2:8" x14ac:dyDescent="0.25">
      <c r="E31" s="3">
        <f>Tableau9296219240[[#This Row],[Demande]]-Tableau9296219240[[#This Row],[Présente dans la malle]]</f>
        <v>0</v>
      </c>
      <c r="F31" s="5"/>
      <c r="H31" s="8">
        <f>Tableau9296219240[[#This Row],[Quantités acheté rajouté]]*Tableau9296219240[[#This Row],[CU du matos rajouté acheté]]</f>
        <v>0</v>
      </c>
    </row>
    <row r="32" spans="2:8" x14ac:dyDescent="0.25">
      <c r="E32" s="3">
        <f>Tableau9296219240[[#This Row],[Demande]]-Tableau9296219240[[#This Row],[Présente dans la malle]]</f>
        <v>0</v>
      </c>
      <c r="F32" s="5"/>
      <c r="H32" s="8">
        <f>Tableau9296219240[[#This Row],[Quantités acheté rajouté]]*Tableau9296219240[[#This Row],[CU du matos rajouté acheté]]</f>
        <v>0</v>
      </c>
    </row>
    <row r="33" spans="2:8" x14ac:dyDescent="0.25">
      <c r="E33" s="3">
        <f>Tableau9296219240[[#This Row],[Demande]]-Tableau9296219240[[#This Row],[Présente dans la malle]]</f>
        <v>0</v>
      </c>
      <c r="F33" s="5"/>
      <c r="H33" s="8">
        <f>Tableau9296219240[[#This Row],[Quantités acheté rajouté]]*Tableau9296219240[[#This Row],[CU du matos rajouté acheté]]</f>
        <v>0</v>
      </c>
    </row>
    <row r="34" spans="2:8" x14ac:dyDescent="0.25">
      <c r="E34" s="3">
        <f>Tableau9296219240[[#This Row],[Demande]]-Tableau9296219240[[#This Row],[Présente dans la malle]]</f>
        <v>0</v>
      </c>
      <c r="F34" s="5"/>
      <c r="H34" s="8">
        <f>Tableau9296219240[[#This Row],[Quantités acheté rajouté]]*Tableau9296219240[[#This Row],[CU du matos rajouté acheté]]</f>
        <v>0</v>
      </c>
    </row>
    <row r="35" spans="2:8" x14ac:dyDescent="0.25">
      <c r="E35" s="3">
        <f>Tableau9296219240[[#This Row],[Demande]]-Tableau9296219240[[#This Row],[Présente dans la malle]]</f>
        <v>0</v>
      </c>
      <c r="F35" s="5"/>
      <c r="H35" s="8">
        <f>Tableau9296219240[[#This Row],[Quantités acheté rajouté]]*Tableau9296219240[[#This Row],[CU du matos rajouté acheté]]</f>
        <v>0</v>
      </c>
    </row>
    <row r="36" spans="2:8" x14ac:dyDescent="0.25">
      <c r="E36" s="3">
        <f>Tableau9296219240[[#This Row],[Demande]]-Tableau9296219240[[#This Row],[Présente dans la malle]]</f>
        <v>0</v>
      </c>
      <c r="F36" s="5"/>
      <c r="H36" s="8">
        <f>Tableau9296219240[[#This Row],[Quantités acheté rajouté]]*Tableau9296219240[[#This Row],[CU du matos rajouté acheté]]</f>
        <v>0</v>
      </c>
    </row>
    <row r="37" spans="2:8" x14ac:dyDescent="0.25">
      <c r="E37" s="3">
        <f>Tableau9296219240[[#This Row],[Demande]]-Tableau9296219240[[#This Row],[Présente dans la malle]]</f>
        <v>0</v>
      </c>
      <c r="F37" s="5"/>
      <c r="H37" s="8">
        <f>Tableau9296219240[[#This Row],[Quantités acheté rajouté]]*Tableau9296219240[[#This Row],[CU du matos rajouté acheté]]</f>
        <v>0</v>
      </c>
    </row>
    <row r="38" spans="2:8" x14ac:dyDescent="0.25">
      <c r="E38" s="3">
        <f>Tableau9296219240[[#This Row],[Demande]]-Tableau9296219240[[#This Row],[Présente dans la malle]]</f>
        <v>0</v>
      </c>
      <c r="F38" s="5"/>
      <c r="H38" s="8">
        <f>Tableau9296219240[[#This Row],[Quantités acheté rajouté]]*Tableau9296219240[[#This Row],[CU du matos rajouté acheté]]</f>
        <v>0</v>
      </c>
    </row>
    <row r="39" spans="2:8" x14ac:dyDescent="0.25">
      <c r="E39" s="3">
        <f>Tableau9296219240[[#This Row],[Demande]]-Tableau9296219240[[#This Row],[Présente dans la malle]]</f>
        <v>0</v>
      </c>
      <c r="F39" s="7"/>
      <c r="G39" s="4"/>
      <c r="H39" s="8">
        <f>Tableau9296219240[[#This Row],[Quantités acheté rajouté]]*Tableau9296219240[[#This Row],[CU du matos rajouté acheté]]</f>
        <v>0</v>
      </c>
    </row>
    <row r="40" spans="2:8" x14ac:dyDescent="0.25">
      <c r="B40" t="s">
        <v>4</v>
      </c>
      <c r="C40">
        <f>SUM(Tableau9296219240[Présente dans la malle])</f>
        <v>0</v>
      </c>
      <c r="D40">
        <f>SUM(Tableau9296219240[Demande])</f>
        <v>0</v>
      </c>
      <c r="E40">
        <f>SUM(Tableau9296219240[Manque])</f>
        <v>0</v>
      </c>
      <c r="F40" s="6">
        <f>SUM(Tableau9296219240[Quantités acheté rajouté])</f>
        <v>0</v>
      </c>
      <c r="G40" s="6"/>
      <c r="H40" s="2">
        <f>SUM(Tableau9296219240[CT])</f>
        <v>0</v>
      </c>
    </row>
    <row r="42" spans="2:8" x14ac:dyDescent="0.25">
      <c r="H42" s="2"/>
    </row>
    <row r="43" spans="2:8" x14ac:dyDescent="0.25">
      <c r="B43" t="s">
        <v>6</v>
      </c>
      <c r="C43" t="s">
        <v>0</v>
      </c>
      <c r="D43" t="s">
        <v>1</v>
      </c>
      <c r="E43" t="s">
        <v>2</v>
      </c>
      <c r="F43" s="2" t="s">
        <v>15</v>
      </c>
      <c r="G43" s="2" t="s">
        <v>11</v>
      </c>
      <c r="H43" s="2" t="s">
        <v>10</v>
      </c>
    </row>
    <row r="44" spans="2:8" x14ac:dyDescent="0.25">
      <c r="E44" s="3">
        <f>Tableau9297220241[[#This Row],[Demande]]-Tableau9297220241[[#This Row],[Présente dans la malle]]</f>
        <v>0</v>
      </c>
      <c r="F44" s="5"/>
      <c r="H44" s="8">
        <f>Tableau9297220241[[#This Row],[Quantités acheté rajouté]]*Tableau9297220241[[#This Row],[CU du matos rajouté acheté]]</f>
        <v>0</v>
      </c>
    </row>
    <row r="45" spans="2:8" x14ac:dyDescent="0.25">
      <c r="E45" s="3">
        <f>Tableau9297220241[[#This Row],[Demande]]-Tableau9297220241[[#This Row],[Présente dans la malle]]</f>
        <v>0</v>
      </c>
      <c r="F45" s="5"/>
      <c r="H45" s="8">
        <f>Tableau9297220241[[#This Row],[Quantités acheté rajouté]]*Tableau9297220241[[#This Row],[CU du matos rajouté acheté]]</f>
        <v>0</v>
      </c>
    </row>
    <row r="46" spans="2:8" x14ac:dyDescent="0.25">
      <c r="E46" s="3">
        <f>Tableau9297220241[[#This Row],[Demande]]-Tableau9297220241[[#This Row],[Présente dans la malle]]</f>
        <v>0</v>
      </c>
      <c r="F46" s="5"/>
      <c r="H46" s="8">
        <f>Tableau9297220241[[#This Row],[Quantités acheté rajouté]]*Tableau9297220241[[#This Row],[CU du matos rajouté acheté]]</f>
        <v>0</v>
      </c>
    </row>
    <row r="47" spans="2:8" x14ac:dyDescent="0.25">
      <c r="E47" s="3">
        <f>Tableau9297220241[[#This Row],[Demande]]-Tableau9297220241[[#This Row],[Présente dans la malle]]</f>
        <v>0</v>
      </c>
      <c r="F47" s="5"/>
      <c r="H47" s="8">
        <f>Tableau9297220241[[#This Row],[Quantités acheté rajouté]]*Tableau9297220241[[#This Row],[CU du matos rajouté acheté]]</f>
        <v>0</v>
      </c>
    </row>
    <row r="48" spans="2:8" x14ac:dyDescent="0.25">
      <c r="E48" s="3">
        <f>Tableau9297220241[[#This Row],[Demande]]-Tableau9297220241[[#This Row],[Présente dans la malle]]</f>
        <v>0</v>
      </c>
      <c r="F48" s="5"/>
      <c r="H48" s="8">
        <f>Tableau9297220241[[#This Row],[Quantités acheté rajouté]]*Tableau9297220241[[#This Row],[CU du matos rajouté acheté]]</f>
        <v>0</v>
      </c>
    </row>
    <row r="49" spans="2:8" x14ac:dyDescent="0.25">
      <c r="E49" s="3">
        <f>Tableau9297220241[[#This Row],[Demande]]-Tableau9297220241[[#This Row],[Présente dans la malle]]</f>
        <v>0</v>
      </c>
      <c r="F49" s="5"/>
      <c r="H49" s="8">
        <f>Tableau9297220241[[#This Row],[Quantités acheté rajouté]]*Tableau9297220241[[#This Row],[CU du matos rajouté acheté]]</f>
        <v>0</v>
      </c>
    </row>
    <row r="50" spans="2:8" x14ac:dyDescent="0.25">
      <c r="E50" s="3">
        <f>Tableau9297220241[[#This Row],[Demande]]-Tableau9297220241[[#This Row],[Présente dans la malle]]</f>
        <v>0</v>
      </c>
      <c r="F50" s="5"/>
      <c r="H50" s="8">
        <f>Tableau9297220241[[#This Row],[Quantités acheté rajouté]]*Tableau9297220241[[#This Row],[CU du matos rajouté acheté]]</f>
        <v>0</v>
      </c>
    </row>
    <row r="51" spans="2:8" x14ac:dyDescent="0.25">
      <c r="E51" s="3">
        <f>Tableau9297220241[[#This Row],[Demande]]-Tableau9297220241[[#This Row],[Présente dans la malle]]</f>
        <v>0</v>
      </c>
      <c r="F51" s="5"/>
      <c r="H51" s="8">
        <f>Tableau9297220241[[#This Row],[Quantités acheté rajouté]]*Tableau9297220241[[#This Row],[CU du matos rajouté acheté]]</f>
        <v>0</v>
      </c>
    </row>
    <row r="52" spans="2:8" x14ac:dyDescent="0.25">
      <c r="E52" s="3">
        <f>Tableau9297220241[[#This Row],[Demande]]-Tableau9297220241[[#This Row],[Présente dans la malle]]</f>
        <v>0</v>
      </c>
      <c r="F52" s="5"/>
      <c r="H52" s="8">
        <f>Tableau9297220241[[#This Row],[Quantités acheté rajouté]]*Tableau9297220241[[#This Row],[CU du matos rajouté acheté]]</f>
        <v>0</v>
      </c>
    </row>
    <row r="53" spans="2:8" x14ac:dyDescent="0.25">
      <c r="E53" s="3">
        <f>Tableau9297220241[[#This Row],[Demande]]-Tableau9297220241[[#This Row],[Présente dans la malle]]</f>
        <v>0</v>
      </c>
      <c r="F53" s="5"/>
      <c r="H53" s="8">
        <f>Tableau9297220241[[#This Row],[Quantités acheté rajouté]]*Tableau9297220241[[#This Row],[CU du matos rajouté acheté]]</f>
        <v>0</v>
      </c>
    </row>
    <row r="54" spans="2:8" x14ac:dyDescent="0.25">
      <c r="E54" s="3">
        <f>Tableau9297220241[[#This Row],[Demande]]-Tableau9297220241[[#This Row],[Présente dans la malle]]</f>
        <v>0</v>
      </c>
      <c r="F54" s="5"/>
      <c r="H54" s="8">
        <f>Tableau9297220241[[#This Row],[Quantités acheté rajouté]]*Tableau9297220241[[#This Row],[CU du matos rajouté acheté]]</f>
        <v>0</v>
      </c>
    </row>
    <row r="55" spans="2:8" x14ac:dyDescent="0.25">
      <c r="E55" s="3">
        <f>Tableau9297220241[[#This Row],[Demande]]-Tableau9297220241[[#This Row],[Présente dans la malle]]</f>
        <v>0</v>
      </c>
      <c r="F55" s="5"/>
      <c r="H55" s="8">
        <f>Tableau9297220241[[#This Row],[Quantités acheté rajouté]]*Tableau9297220241[[#This Row],[CU du matos rajouté acheté]]</f>
        <v>0</v>
      </c>
    </row>
    <row r="56" spans="2:8" x14ac:dyDescent="0.25">
      <c r="E56" s="3">
        <f>Tableau9297220241[[#This Row],[Demande]]-Tableau9297220241[[#This Row],[Présente dans la malle]]</f>
        <v>0</v>
      </c>
      <c r="F56" s="7"/>
      <c r="G56" s="4"/>
      <c r="H56" s="8">
        <f>Tableau9297220241[[#This Row],[Quantités acheté rajouté]]*Tableau9297220241[[#This Row],[CU du matos rajouté acheté]]</f>
        <v>0</v>
      </c>
    </row>
    <row r="57" spans="2:8" x14ac:dyDescent="0.25">
      <c r="B57" t="s">
        <v>4</v>
      </c>
      <c r="C57">
        <f>SUM(Tableau9297220241[Présente dans la malle])</f>
        <v>0</v>
      </c>
      <c r="D57">
        <f>SUM(Tableau9297220241[Demande])</f>
        <v>0</v>
      </c>
      <c r="E57">
        <f>SUM(Tableau9297220241[Manque])</f>
        <v>0</v>
      </c>
      <c r="F57" s="6">
        <f>SUM(Tableau9297220241[Quantités acheté rajouté])</f>
        <v>0</v>
      </c>
      <c r="G57" s="6"/>
      <c r="H57" s="2">
        <f>SUM(Tableau9297220241[CT])</f>
        <v>0</v>
      </c>
    </row>
  </sheetData>
  <conditionalFormatting sqref="E3:E22">
    <cfRule type="cellIs" dxfId="1013" priority="10" operator="equal">
      <formula>0</formula>
    </cfRule>
    <cfRule type="cellIs" dxfId="1012" priority="11" operator="lessThan">
      <formula>0</formula>
    </cfRule>
    <cfRule type="cellIs" dxfId="1011" priority="12" operator="greaterThan">
      <formula>0</formula>
    </cfRule>
  </conditionalFormatting>
  <conditionalFormatting sqref="E23">
    <cfRule type="cellIs" dxfId="1010" priority="9" operator="equal">
      <formula>0</formula>
    </cfRule>
  </conditionalFormatting>
  <conditionalFormatting sqref="E57">
    <cfRule type="cellIs" dxfId="1009" priority="1" operator="equal">
      <formula>0</formula>
    </cfRule>
  </conditionalFormatting>
  <conditionalFormatting sqref="E27:E39">
    <cfRule type="cellIs" dxfId="1008" priority="6" operator="equal">
      <formula>0</formula>
    </cfRule>
    <cfRule type="cellIs" dxfId="1007" priority="7" operator="lessThan">
      <formula>0</formula>
    </cfRule>
    <cfRule type="cellIs" dxfId="1006" priority="8" operator="greaterThan">
      <formula>0</formula>
    </cfRule>
  </conditionalFormatting>
  <conditionalFormatting sqref="E40">
    <cfRule type="cellIs" dxfId="1005" priority="5" operator="equal">
      <formula>0</formula>
    </cfRule>
  </conditionalFormatting>
  <conditionalFormatting sqref="E44:E56">
    <cfRule type="cellIs" dxfId="1004" priority="2" operator="equal">
      <formula>0</formula>
    </cfRule>
    <cfRule type="cellIs" dxfId="1003" priority="3" operator="lessThan">
      <formula>0</formula>
    </cfRule>
    <cfRule type="cellIs" dxfId="1002" priority="4" operator="greaterThan">
      <formula>0</formula>
    </cfRule>
  </conditionalFormatting>
  <dataValidations count="7">
    <dataValidation type="list" allowBlank="1" showInputMessage="1" showErrorMessage="1" prompt="Insérez la fourniture désiré" sqref="B44:B55 B27:B38" xr:uid="{5E7B2559-0260-4373-9A96-992A3D0C6F23}">
      <formula1>Fournitures</formula1>
    </dataValidation>
    <dataValidation allowBlank="1" showInputMessage="1" showErrorMessage="1" prompt="Si VERT_x000a_La fourniture est bien présente et la quantité est bonne_x000a_Si ROUGE_x000a_+ : Il faut rajouter la quantité de fourniture_x000a_- : Il faut enlevé la quantité de fourniture en trop_x000a_" sqref="E27:E39 E3:E22 E44:E56" xr:uid="{E6AF9009-C442-4C46-AED5-87B3AD182DD0}"/>
    <dataValidation allowBlank="1" showInputMessage="1" showErrorMessage="1" prompt="Insérez la quantité présente dans les malles" sqref="C44:C50 C3:C9 C35:C38 C27:C33 C52:C55 C12:C14" xr:uid="{3DA0798B-C1BA-43CE-AA5F-234491F2E73C}"/>
    <dataValidation allowBlank="1" showInputMessage="1" showErrorMessage="1" prompt="Insérez la quantité demandé" sqref="D11:D14 D3:D9 D35:D38 D27:D33 D52:D55 D44:D50" xr:uid="{C0813F7B-C98E-43D4-9F31-4C5C65B5E55F}"/>
    <dataValidation allowBlank="1" showInputMessage="1" showErrorMessage="1" prompt="Quantité acheté rajouté * CU" sqref="H3 H27 H44" xr:uid="{CC683F3E-3525-41A9-8D3D-DCD9BBA41270}"/>
    <dataValidation allowBlank="1" showInputMessage="1" showErrorMessage="1" prompt="CU = Cout unitaire" sqref="F42:G43 F2:G2 F26:G26" xr:uid="{8F84A481-EF2B-41F9-990F-D8859D69B071}"/>
    <dataValidation allowBlank="1" showInputMessage="1" showErrorMessage="1" prompt="CT = Cout total" sqref="H42:H43 H2 H26" xr:uid="{59A24BDF-33BF-4C7E-B50D-EE79C03C8B7B}"/>
  </dataValidations>
  <pageMargins left="0.7" right="0.7" top="0.75" bottom="0.75" header="0.3" footer="0.3"/>
  <tableParts count="3">
    <tablePart r:id="rId1"/>
    <tablePart r:id="rId2"/>
    <tablePart r:id="rId3"/>
  </tableParts>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C0BE77F-B25D-4A3C-96FE-F3E86DD7EDEA}">
  <dimension ref="B2:H61"/>
  <sheetViews>
    <sheetView topLeftCell="A9" workbookViewId="0">
      <selection activeCell="D29" sqref="D29"/>
    </sheetView>
  </sheetViews>
  <sheetFormatPr baseColWidth="10" defaultRowHeight="15" x14ac:dyDescent="0.25"/>
  <cols>
    <col min="2" max="2" width="24.42578125" customWidth="1"/>
    <col min="3" max="3" width="23.140625" customWidth="1"/>
    <col min="4" max="4" width="11.7109375" customWidth="1"/>
    <col min="6" max="6" width="26.5703125" style="2" customWidth="1"/>
    <col min="7" max="7" width="28.28515625" style="2" customWidth="1"/>
  </cols>
  <sheetData>
    <row r="2" spans="2:8" x14ac:dyDescent="0.25">
      <c r="B2" t="s">
        <v>7</v>
      </c>
      <c r="C2" t="s">
        <v>0</v>
      </c>
      <c r="D2" t="s">
        <v>1</v>
      </c>
      <c r="E2" t="s">
        <v>2</v>
      </c>
      <c r="F2" s="2" t="s">
        <v>15</v>
      </c>
      <c r="G2" s="2" t="s">
        <v>11</v>
      </c>
      <c r="H2" s="2" t="s">
        <v>10</v>
      </c>
    </row>
    <row r="3" spans="2:8" x14ac:dyDescent="0.25">
      <c r="B3" t="s">
        <v>204</v>
      </c>
      <c r="C3">
        <v>9</v>
      </c>
      <c r="E3" s="3">
        <f>Tableau92218236[[#This Row],[Demande]]-Tableau92218236[[#This Row],[Présente dans la malle]]</f>
        <v>-9</v>
      </c>
      <c r="F3" s="5"/>
      <c r="H3" s="8">
        <f>Tableau92218236[[#This Row],[Quantités acheté rajouté]]*Tableau92218236[[#This Row],[CU du matos rajouté acheté]]</f>
        <v>0</v>
      </c>
    </row>
    <row r="4" spans="2:8" x14ac:dyDescent="0.25">
      <c r="B4" t="s">
        <v>136</v>
      </c>
      <c r="C4">
        <v>2</v>
      </c>
      <c r="E4" s="3">
        <f>Tableau92218236[[#This Row],[Demande]]-Tableau92218236[[#This Row],[Présente dans la malle]]</f>
        <v>-2</v>
      </c>
      <c r="F4" s="5"/>
      <c r="H4" s="8">
        <f>Tableau92218236[[#This Row],[Quantités acheté rajouté]]*Tableau92218236[[#This Row],[CU du matos rajouté acheté]]</f>
        <v>0</v>
      </c>
    </row>
    <row r="5" spans="2:8" x14ac:dyDescent="0.25">
      <c r="B5" t="s">
        <v>205</v>
      </c>
      <c r="C5">
        <v>2</v>
      </c>
      <c r="E5" s="3">
        <f>Tableau92218236[[#This Row],[Demande]]-Tableau92218236[[#This Row],[Présente dans la malle]]</f>
        <v>-2</v>
      </c>
      <c r="F5" s="5"/>
      <c r="H5" s="8">
        <f>Tableau92218236[[#This Row],[Quantités acheté rajouté]]*Tableau92218236[[#This Row],[CU du matos rajouté acheté]]</f>
        <v>0</v>
      </c>
    </row>
    <row r="6" spans="2:8" x14ac:dyDescent="0.25">
      <c r="B6" t="s">
        <v>56</v>
      </c>
      <c r="C6">
        <v>2</v>
      </c>
      <c r="E6" s="3">
        <f>Tableau92218236[[#This Row],[Demande]]-Tableau92218236[[#This Row],[Présente dans la malle]]</f>
        <v>-2</v>
      </c>
      <c r="F6" s="5"/>
      <c r="H6" s="8">
        <f>Tableau92218236[[#This Row],[Quantités acheté rajouté]]*Tableau92218236[[#This Row],[CU du matos rajouté acheté]]</f>
        <v>0</v>
      </c>
    </row>
    <row r="7" spans="2:8" x14ac:dyDescent="0.25">
      <c r="B7" t="s">
        <v>42</v>
      </c>
      <c r="C7">
        <v>1</v>
      </c>
      <c r="E7" s="3">
        <f>Tableau92218236[[#This Row],[Demande]]-Tableau92218236[[#This Row],[Présente dans la malle]]</f>
        <v>-1</v>
      </c>
      <c r="F7" s="5"/>
      <c r="H7" s="8">
        <f>Tableau92218236[[#This Row],[Quantités acheté rajouté]]*Tableau92218236[[#This Row],[CU du matos rajouté acheté]]</f>
        <v>0</v>
      </c>
    </row>
    <row r="8" spans="2:8" x14ac:dyDescent="0.25">
      <c r="B8" t="s">
        <v>137</v>
      </c>
      <c r="C8">
        <v>2</v>
      </c>
      <c r="E8" s="3">
        <f>Tableau92218236[[#This Row],[Demande]]-Tableau92218236[[#This Row],[Présente dans la malle]]</f>
        <v>-2</v>
      </c>
      <c r="F8" s="5"/>
      <c r="H8" s="8">
        <f>Tableau92218236[[#This Row],[Quantités acheté rajouté]]*Tableau92218236[[#This Row],[CU du matos rajouté acheté]]</f>
        <v>0</v>
      </c>
    </row>
    <row r="9" spans="2:8" x14ac:dyDescent="0.25">
      <c r="B9" t="s">
        <v>139</v>
      </c>
      <c r="C9">
        <v>1</v>
      </c>
      <c r="E9" s="3">
        <f>Tableau92218236[[#This Row],[Demande]]-Tableau92218236[[#This Row],[Présente dans la malle]]</f>
        <v>-1</v>
      </c>
      <c r="F9" s="5"/>
      <c r="H9" s="8">
        <f>Tableau92218236[[#This Row],[Quantités acheté rajouté]]*Tableau92218236[[#This Row],[CU du matos rajouté acheté]]</f>
        <v>0</v>
      </c>
    </row>
    <row r="10" spans="2:8" x14ac:dyDescent="0.25">
      <c r="B10" t="s">
        <v>90</v>
      </c>
      <c r="C10">
        <v>1</v>
      </c>
      <c r="E10" s="3">
        <f>Tableau92218236[[#This Row],[Demande]]-Tableau92218236[[#This Row],[Présente dans la malle]]</f>
        <v>-1</v>
      </c>
      <c r="F10" s="5"/>
      <c r="H10" s="8">
        <f>Tableau92218236[[#This Row],[Quantités acheté rajouté]]*Tableau92218236[[#This Row],[CU du matos rajouté acheté]]</f>
        <v>0</v>
      </c>
    </row>
    <row r="11" spans="2:8" x14ac:dyDescent="0.25">
      <c r="B11" t="s">
        <v>206</v>
      </c>
      <c r="C11">
        <v>3</v>
      </c>
      <c r="E11" s="3">
        <f>Tableau92218236[[#This Row],[Demande]]-Tableau92218236[[#This Row],[Présente dans la malle]]</f>
        <v>-3</v>
      </c>
      <c r="F11" s="5"/>
      <c r="H11" s="8">
        <f>Tableau92218236[[#This Row],[Quantités acheté rajouté]]*Tableau92218236[[#This Row],[CU du matos rajouté acheté]]</f>
        <v>0</v>
      </c>
    </row>
    <row r="12" spans="2:8" x14ac:dyDescent="0.25">
      <c r="B12" t="s">
        <v>35</v>
      </c>
      <c r="C12">
        <v>20</v>
      </c>
      <c r="E12" s="3">
        <f>Tableau92218236[[#This Row],[Demande]]-Tableau92218236[[#This Row],[Présente dans la malle]]</f>
        <v>-20</v>
      </c>
      <c r="F12" s="5"/>
      <c r="H12" s="8">
        <f>Tableau92218236[[#This Row],[Quantités acheté rajouté]]*Tableau92218236[[#This Row],[CU du matos rajouté acheté]]</f>
        <v>0</v>
      </c>
    </row>
    <row r="13" spans="2:8" x14ac:dyDescent="0.25">
      <c r="B13" t="s">
        <v>73</v>
      </c>
      <c r="C13">
        <v>4</v>
      </c>
      <c r="E13" s="3">
        <f>Tableau92218236[[#This Row],[Demande]]-Tableau92218236[[#This Row],[Présente dans la malle]]</f>
        <v>-4</v>
      </c>
      <c r="F13" s="5"/>
      <c r="H13" s="8">
        <f>Tableau92218236[[#This Row],[Quantités acheté rajouté]]*Tableau92218236[[#This Row],[CU du matos rajouté acheté]]</f>
        <v>0</v>
      </c>
    </row>
    <row r="14" spans="2:8" x14ac:dyDescent="0.25">
      <c r="B14" t="s">
        <v>207</v>
      </c>
      <c r="C14">
        <v>1</v>
      </c>
      <c r="E14" s="3">
        <f>Tableau92218236[[#This Row],[Demande]]-Tableau92218236[[#This Row],[Présente dans la malle]]</f>
        <v>-1</v>
      </c>
      <c r="F14" s="5"/>
      <c r="H14" s="8">
        <f>Tableau92218236[[#This Row],[Quantités acheté rajouté]]*Tableau92218236[[#This Row],[CU du matos rajouté acheté]]</f>
        <v>0</v>
      </c>
    </row>
    <row r="15" spans="2:8" x14ac:dyDescent="0.25">
      <c r="B15" t="s">
        <v>99</v>
      </c>
      <c r="C15">
        <v>4</v>
      </c>
      <c r="E15" s="3">
        <f>Tableau92218236[[#This Row],[Demande]]-Tableau92218236[[#This Row],[Présente dans la malle]]</f>
        <v>-4</v>
      </c>
      <c r="F15" s="7"/>
      <c r="G15" s="4"/>
      <c r="H15" s="8">
        <f>Tableau92218236[[#This Row],[Quantités acheté rajouté]]*Tableau92218236[[#This Row],[CU du matos rajouté acheté]]</f>
        <v>0</v>
      </c>
    </row>
    <row r="16" spans="2:8" x14ac:dyDescent="0.25">
      <c r="B16" t="s">
        <v>208</v>
      </c>
      <c r="C16">
        <v>3</v>
      </c>
      <c r="E16" s="11">
        <f>Tableau92218236[[#This Row],[Demande]]-Tableau92218236[[#This Row],[Présente dans la malle]]</f>
        <v>-3</v>
      </c>
      <c r="F16" s="5"/>
      <c r="H16" s="8">
        <f>Tableau92218236[[#This Row],[Quantités acheté rajouté]]*Tableau92218236[[#This Row],[CU du matos rajouté acheté]]</f>
        <v>0</v>
      </c>
    </row>
    <row r="17" spans="2:8" x14ac:dyDescent="0.25">
      <c r="B17" t="s">
        <v>209</v>
      </c>
      <c r="C17">
        <v>2</v>
      </c>
      <c r="E17" s="11">
        <f>Tableau92218236[[#This Row],[Demande]]-Tableau92218236[[#This Row],[Présente dans la malle]]</f>
        <v>-2</v>
      </c>
      <c r="F17" s="5"/>
      <c r="H17" s="8">
        <f>Tableau92218236[[#This Row],[Quantités acheté rajouté]]*Tableau92218236[[#This Row],[CU du matos rajouté acheté]]</f>
        <v>0</v>
      </c>
    </row>
    <row r="18" spans="2:8" x14ac:dyDescent="0.25">
      <c r="B18" t="s">
        <v>125</v>
      </c>
      <c r="C18">
        <v>1</v>
      </c>
      <c r="E18" s="11">
        <f>Tableau92218236[[#This Row],[Demande]]-Tableau92218236[[#This Row],[Présente dans la malle]]</f>
        <v>-1</v>
      </c>
      <c r="F18" s="5"/>
      <c r="H18" s="8">
        <f>Tableau92218236[[#This Row],[Quantités acheté rajouté]]*Tableau92218236[[#This Row],[CU du matos rajouté acheté]]</f>
        <v>0</v>
      </c>
    </row>
    <row r="19" spans="2:8" x14ac:dyDescent="0.25">
      <c r="B19" t="s">
        <v>210</v>
      </c>
      <c r="C19">
        <v>11</v>
      </c>
      <c r="E19" s="11">
        <f>Tableau92218236[[#This Row],[Demande]]-Tableau92218236[[#This Row],[Présente dans la malle]]</f>
        <v>-11</v>
      </c>
      <c r="F19" s="5"/>
      <c r="H19" s="8">
        <f>Tableau92218236[[#This Row],[Quantités acheté rajouté]]*Tableau92218236[[#This Row],[CU du matos rajouté acheté]]</f>
        <v>0</v>
      </c>
    </row>
    <row r="20" spans="2:8" x14ac:dyDescent="0.25">
      <c r="B20" t="s">
        <v>203</v>
      </c>
      <c r="C20">
        <v>50</v>
      </c>
      <c r="E20" s="11">
        <f>Tableau92218236[[#This Row],[Demande]]-Tableau92218236[[#This Row],[Présente dans la malle]]</f>
        <v>-50</v>
      </c>
      <c r="F20" s="5"/>
      <c r="H20" s="8">
        <f>Tableau92218236[[#This Row],[Quantités acheté rajouté]]*Tableau92218236[[#This Row],[CU du matos rajouté acheté]]</f>
        <v>0</v>
      </c>
    </row>
    <row r="21" spans="2:8" x14ac:dyDescent="0.25">
      <c r="B21" t="s">
        <v>211</v>
      </c>
      <c r="C21">
        <v>8</v>
      </c>
      <c r="E21" s="11">
        <f>Tableau92218236[[#This Row],[Demande]]-Tableau92218236[[#This Row],[Présente dans la malle]]</f>
        <v>-8</v>
      </c>
      <c r="F21" s="5"/>
      <c r="H21" s="8">
        <f>Tableau92218236[[#This Row],[Quantités acheté rajouté]]*Tableau92218236[[#This Row],[CU du matos rajouté acheté]]</f>
        <v>0</v>
      </c>
    </row>
    <row r="22" spans="2:8" x14ac:dyDescent="0.25">
      <c r="B22" t="s">
        <v>212</v>
      </c>
      <c r="C22">
        <v>1</v>
      </c>
      <c r="E22" s="11">
        <f>Tableau92218236[[#This Row],[Demande]]-Tableau92218236[[#This Row],[Présente dans la malle]]</f>
        <v>-1</v>
      </c>
      <c r="F22" s="5"/>
      <c r="H22" s="8">
        <f>Tableau92218236[[#This Row],[Quantités acheté rajouté]]*Tableau92218236[[#This Row],[CU du matos rajouté acheté]]</f>
        <v>0</v>
      </c>
    </row>
    <row r="23" spans="2:8" x14ac:dyDescent="0.25">
      <c r="B23" t="s">
        <v>60</v>
      </c>
      <c r="C23">
        <v>1</v>
      </c>
      <c r="E23" s="11">
        <f>Tableau92218236[[#This Row],[Demande]]-Tableau92218236[[#This Row],[Présente dans la malle]]</f>
        <v>-1</v>
      </c>
      <c r="F23" s="5"/>
      <c r="H23" s="8">
        <f>Tableau92218236[[#This Row],[Quantités acheté rajouté]]*Tableau92218236[[#This Row],[CU du matos rajouté acheté]]</f>
        <v>0</v>
      </c>
    </row>
    <row r="24" spans="2:8" x14ac:dyDescent="0.25">
      <c r="B24" t="s">
        <v>213</v>
      </c>
      <c r="C24">
        <v>1</v>
      </c>
      <c r="E24" s="11">
        <f>Tableau92218236[[#This Row],[Demande]]-Tableau92218236[[#This Row],[Présente dans la malle]]</f>
        <v>-1</v>
      </c>
      <c r="F24" s="5"/>
      <c r="H24" s="8">
        <f>Tableau92218236[[#This Row],[Quantités acheté rajouté]]*Tableau92218236[[#This Row],[CU du matos rajouté acheté]]</f>
        <v>0</v>
      </c>
    </row>
    <row r="25" spans="2:8" x14ac:dyDescent="0.25">
      <c r="B25" t="s">
        <v>196</v>
      </c>
      <c r="C25">
        <v>1</v>
      </c>
      <c r="E25" s="11">
        <f>Tableau92218236[[#This Row],[Demande]]-Tableau92218236[[#This Row],[Présente dans la malle]]</f>
        <v>-1</v>
      </c>
      <c r="F25" s="5"/>
      <c r="H25" s="8">
        <f>Tableau92218236[[#This Row],[Quantités acheté rajouté]]*Tableau92218236[[#This Row],[CU du matos rajouté acheté]]</f>
        <v>0</v>
      </c>
    </row>
    <row r="26" spans="2:8" x14ac:dyDescent="0.25">
      <c r="B26" t="s">
        <v>158</v>
      </c>
      <c r="C26">
        <v>1</v>
      </c>
      <c r="E26" s="11">
        <f>Tableau92218236[[#This Row],[Demande]]-Tableau92218236[[#This Row],[Présente dans la malle]]</f>
        <v>-1</v>
      </c>
      <c r="F26" s="5"/>
      <c r="H26" s="8">
        <f>Tableau92218236[[#This Row],[Quantités acheté rajouté]]*Tableau92218236[[#This Row],[CU du matos rajouté acheté]]</f>
        <v>0</v>
      </c>
    </row>
    <row r="27" spans="2:8" x14ac:dyDescent="0.25">
      <c r="B27" t="s">
        <v>4</v>
      </c>
      <c r="C27">
        <f>SUM(Tableau92218236[Présente dans la malle])</f>
        <v>132</v>
      </c>
      <c r="D27">
        <f>SUM(Tableau92218236[Demande])</f>
        <v>0</v>
      </c>
      <c r="E27">
        <f>SUM(Tableau92218236[Manque])</f>
        <v>-132</v>
      </c>
      <c r="F27" s="6">
        <f>SUM(Tableau92218236[Quantités acheté rajouté])</f>
        <v>0</v>
      </c>
      <c r="G27" s="6"/>
      <c r="H27" s="10">
        <f>SUM(Tableau92218236[CT])</f>
        <v>0</v>
      </c>
    </row>
    <row r="30" spans="2:8" x14ac:dyDescent="0.25">
      <c r="B30" t="s">
        <v>5</v>
      </c>
      <c r="C30" t="s">
        <v>0</v>
      </c>
      <c r="D30" t="s">
        <v>1</v>
      </c>
      <c r="E30" t="s">
        <v>2</v>
      </c>
      <c r="F30" s="2" t="s">
        <v>15</v>
      </c>
      <c r="G30" s="2" t="s">
        <v>11</v>
      </c>
      <c r="H30" s="2" t="s">
        <v>10</v>
      </c>
    </row>
    <row r="31" spans="2:8" x14ac:dyDescent="0.25">
      <c r="E31" s="3">
        <f>Tableau9296219237[[#This Row],[Demande]]-Tableau9296219237[[#This Row],[Présente dans la malle]]</f>
        <v>0</v>
      </c>
      <c r="F31" s="5"/>
      <c r="H31" s="8">
        <f>Tableau9296219237[[#This Row],[Quantités acheté rajouté]]*Tableau9296219237[[#This Row],[CU du matos rajouté acheté]]</f>
        <v>0</v>
      </c>
    </row>
    <row r="32" spans="2:8" x14ac:dyDescent="0.25">
      <c r="E32" s="3">
        <f>Tableau9296219237[[#This Row],[Demande]]-Tableau9296219237[[#This Row],[Présente dans la malle]]</f>
        <v>0</v>
      </c>
      <c r="F32" s="5"/>
      <c r="H32" s="8">
        <f>Tableau9296219237[[#This Row],[Quantités acheté rajouté]]*Tableau9296219237[[#This Row],[CU du matos rajouté acheté]]</f>
        <v>0</v>
      </c>
    </row>
    <row r="33" spans="2:8" x14ac:dyDescent="0.25">
      <c r="E33" s="3">
        <f>Tableau9296219237[[#This Row],[Demande]]-Tableau9296219237[[#This Row],[Présente dans la malle]]</f>
        <v>0</v>
      </c>
      <c r="F33" s="5"/>
      <c r="H33" s="8">
        <f>Tableau9296219237[[#This Row],[Quantités acheté rajouté]]*Tableau9296219237[[#This Row],[CU du matos rajouté acheté]]</f>
        <v>0</v>
      </c>
    </row>
    <row r="34" spans="2:8" x14ac:dyDescent="0.25">
      <c r="E34" s="3">
        <f>Tableau9296219237[[#This Row],[Demande]]-Tableau9296219237[[#This Row],[Présente dans la malle]]</f>
        <v>0</v>
      </c>
      <c r="F34" s="5"/>
      <c r="H34" s="8">
        <f>Tableau9296219237[[#This Row],[Quantités acheté rajouté]]*Tableau9296219237[[#This Row],[CU du matos rajouté acheté]]</f>
        <v>0</v>
      </c>
    </row>
    <row r="35" spans="2:8" x14ac:dyDescent="0.25">
      <c r="E35" s="3">
        <f>Tableau9296219237[[#This Row],[Demande]]-Tableau9296219237[[#This Row],[Présente dans la malle]]</f>
        <v>0</v>
      </c>
      <c r="F35" s="5"/>
      <c r="H35" s="8">
        <f>Tableau9296219237[[#This Row],[Quantités acheté rajouté]]*Tableau9296219237[[#This Row],[CU du matos rajouté acheté]]</f>
        <v>0</v>
      </c>
    </row>
    <row r="36" spans="2:8" x14ac:dyDescent="0.25">
      <c r="E36" s="3">
        <f>Tableau9296219237[[#This Row],[Demande]]-Tableau9296219237[[#This Row],[Présente dans la malle]]</f>
        <v>0</v>
      </c>
      <c r="F36" s="5"/>
      <c r="H36" s="8">
        <f>Tableau9296219237[[#This Row],[Quantités acheté rajouté]]*Tableau9296219237[[#This Row],[CU du matos rajouté acheté]]</f>
        <v>0</v>
      </c>
    </row>
    <row r="37" spans="2:8" x14ac:dyDescent="0.25">
      <c r="E37" s="3">
        <f>Tableau9296219237[[#This Row],[Demande]]-Tableau9296219237[[#This Row],[Présente dans la malle]]</f>
        <v>0</v>
      </c>
      <c r="F37" s="5"/>
      <c r="H37" s="8">
        <f>Tableau9296219237[[#This Row],[Quantités acheté rajouté]]*Tableau9296219237[[#This Row],[CU du matos rajouté acheté]]</f>
        <v>0</v>
      </c>
    </row>
    <row r="38" spans="2:8" x14ac:dyDescent="0.25">
      <c r="E38" s="3">
        <f>Tableau9296219237[[#This Row],[Demande]]-Tableau9296219237[[#This Row],[Présente dans la malle]]</f>
        <v>0</v>
      </c>
      <c r="F38" s="5"/>
      <c r="H38" s="8">
        <f>Tableau9296219237[[#This Row],[Quantités acheté rajouté]]*Tableau9296219237[[#This Row],[CU du matos rajouté acheté]]</f>
        <v>0</v>
      </c>
    </row>
    <row r="39" spans="2:8" x14ac:dyDescent="0.25">
      <c r="E39" s="3">
        <f>Tableau9296219237[[#This Row],[Demande]]-Tableau9296219237[[#This Row],[Présente dans la malle]]</f>
        <v>0</v>
      </c>
      <c r="F39" s="5"/>
      <c r="H39" s="8">
        <f>Tableau9296219237[[#This Row],[Quantités acheté rajouté]]*Tableau9296219237[[#This Row],[CU du matos rajouté acheté]]</f>
        <v>0</v>
      </c>
    </row>
    <row r="40" spans="2:8" x14ac:dyDescent="0.25">
      <c r="E40" s="3">
        <f>Tableau9296219237[[#This Row],[Demande]]-Tableau9296219237[[#This Row],[Présente dans la malle]]</f>
        <v>0</v>
      </c>
      <c r="F40" s="5"/>
      <c r="H40" s="8">
        <f>Tableau9296219237[[#This Row],[Quantités acheté rajouté]]*Tableau9296219237[[#This Row],[CU du matos rajouté acheté]]</f>
        <v>0</v>
      </c>
    </row>
    <row r="41" spans="2:8" x14ac:dyDescent="0.25">
      <c r="E41" s="3">
        <f>Tableau9296219237[[#This Row],[Demande]]-Tableau9296219237[[#This Row],[Présente dans la malle]]</f>
        <v>0</v>
      </c>
      <c r="F41" s="5"/>
      <c r="H41" s="8">
        <f>Tableau9296219237[[#This Row],[Quantités acheté rajouté]]*Tableau9296219237[[#This Row],[CU du matos rajouté acheté]]</f>
        <v>0</v>
      </c>
    </row>
    <row r="42" spans="2:8" x14ac:dyDescent="0.25">
      <c r="E42" s="3">
        <f>Tableau9296219237[[#This Row],[Demande]]-Tableau9296219237[[#This Row],[Présente dans la malle]]</f>
        <v>0</v>
      </c>
      <c r="F42" s="5"/>
      <c r="H42" s="8">
        <f>Tableau9296219237[[#This Row],[Quantités acheté rajouté]]*Tableau9296219237[[#This Row],[CU du matos rajouté acheté]]</f>
        <v>0</v>
      </c>
    </row>
    <row r="43" spans="2:8" x14ac:dyDescent="0.25">
      <c r="E43" s="3">
        <f>Tableau9296219237[[#This Row],[Demande]]-Tableau9296219237[[#This Row],[Présente dans la malle]]</f>
        <v>0</v>
      </c>
      <c r="F43" s="7"/>
      <c r="G43" s="4"/>
      <c r="H43" s="8">
        <f>Tableau9296219237[[#This Row],[Quantités acheté rajouté]]*Tableau9296219237[[#This Row],[CU du matos rajouté acheté]]</f>
        <v>0</v>
      </c>
    </row>
    <row r="44" spans="2:8" x14ac:dyDescent="0.25">
      <c r="B44" t="s">
        <v>4</v>
      </c>
      <c r="C44">
        <f>SUM(Tableau9296219237[Présente dans la malle])</f>
        <v>0</v>
      </c>
      <c r="D44">
        <f>SUM(Tableau9296219237[Demande])</f>
        <v>0</v>
      </c>
      <c r="E44">
        <f>SUM(Tableau9296219237[Manque])</f>
        <v>0</v>
      </c>
      <c r="F44" s="6">
        <f>SUM(Tableau9296219237[Quantités acheté rajouté])</f>
        <v>0</v>
      </c>
      <c r="G44" s="6"/>
      <c r="H44" s="2">
        <f>SUM(Tableau9296219237[CT])</f>
        <v>0</v>
      </c>
    </row>
    <row r="46" spans="2:8" x14ac:dyDescent="0.25">
      <c r="H46" s="2"/>
    </row>
    <row r="47" spans="2:8" x14ac:dyDescent="0.25">
      <c r="B47" t="s">
        <v>6</v>
      </c>
      <c r="C47" t="s">
        <v>0</v>
      </c>
      <c r="D47" t="s">
        <v>1</v>
      </c>
      <c r="E47" t="s">
        <v>2</v>
      </c>
      <c r="F47" s="2" t="s">
        <v>15</v>
      </c>
      <c r="G47" s="2" t="s">
        <v>11</v>
      </c>
      <c r="H47" s="2" t="s">
        <v>10</v>
      </c>
    </row>
    <row r="48" spans="2:8" x14ac:dyDescent="0.25">
      <c r="E48" s="3">
        <f>Tableau9297220238[[#This Row],[Demande]]-Tableau9297220238[[#This Row],[Présente dans la malle]]</f>
        <v>0</v>
      </c>
      <c r="F48" s="5"/>
      <c r="H48" s="8">
        <f>Tableau9297220238[[#This Row],[Quantités acheté rajouté]]*Tableau9297220238[[#This Row],[CU du matos rajouté acheté]]</f>
        <v>0</v>
      </c>
    </row>
    <row r="49" spans="2:8" x14ac:dyDescent="0.25">
      <c r="E49" s="3">
        <f>Tableau9297220238[[#This Row],[Demande]]-Tableau9297220238[[#This Row],[Présente dans la malle]]</f>
        <v>0</v>
      </c>
      <c r="F49" s="5"/>
      <c r="H49" s="8">
        <f>Tableau9297220238[[#This Row],[Quantités acheté rajouté]]*Tableau9297220238[[#This Row],[CU du matos rajouté acheté]]</f>
        <v>0</v>
      </c>
    </row>
    <row r="50" spans="2:8" x14ac:dyDescent="0.25">
      <c r="E50" s="3">
        <f>Tableau9297220238[[#This Row],[Demande]]-Tableau9297220238[[#This Row],[Présente dans la malle]]</f>
        <v>0</v>
      </c>
      <c r="F50" s="5"/>
      <c r="H50" s="8">
        <f>Tableau9297220238[[#This Row],[Quantités acheté rajouté]]*Tableau9297220238[[#This Row],[CU du matos rajouté acheté]]</f>
        <v>0</v>
      </c>
    </row>
    <row r="51" spans="2:8" x14ac:dyDescent="0.25">
      <c r="E51" s="3">
        <f>Tableau9297220238[[#This Row],[Demande]]-Tableau9297220238[[#This Row],[Présente dans la malle]]</f>
        <v>0</v>
      </c>
      <c r="F51" s="5"/>
      <c r="H51" s="8">
        <f>Tableau9297220238[[#This Row],[Quantités acheté rajouté]]*Tableau9297220238[[#This Row],[CU du matos rajouté acheté]]</f>
        <v>0</v>
      </c>
    </row>
    <row r="52" spans="2:8" x14ac:dyDescent="0.25">
      <c r="E52" s="3">
        <f>Tableau9297220238[[#This Row],[Demande]]-Tableau9297220238[[#This Row],[Présente dans la malle]]</f>
        <v>0</v>
      </c>
      <c r="F52" s="5"/>
      <c r="H52" s="8">
        <f>Tableau9297220238[[#This Row],[Quantités acheté rajouté]]*Tableau9297220238[[#This Row],[CU du matos rajouté acheté]]</f>
        <v>0</v>
      </c>
    </row>
    <row r="53" spans="2:8" x14ac:dyDescent="0.25">
      <c r="E53" s="3">
        <f>Tableau9297220238[[#This Row],[Demande]]-Tableau9297220238[[#This Row],[Présente dans la malle]]</f>
        <v>0</v>
      </c>
      <c r="F53" s="5"/>
      <c r="H53" s="8">
        <f>Tableau9297220238[[#This Row],[Quantités acheté rajouté]]*Tableau9297220238[[#This Row],[CU du matos rajouté acheté]]</f>
        <v>0</v>
      </c>
    </row>
    <row r="54" spans="2:8" x14ac:dyDescent="0.25">
      <c r="E54" s="3">
        <f>Tableau9297220238[[#This Row],[Demande]]-Tableau9297220238[[#This Row],[Présente dans la malle]]</f>
        <v>0</v>
      </c>
      <c r="F54" s="5"/>
      <c r="H54" s="8">
        <f>Tableau9297220238[[#This Row],[Quantités acheté rajouté]]*Tableau9297220238[[#This Row],[CU du matos rajouté acheté]]</f>
        <v>0</v>
      </c>
    </row>
    <row r="55" spans="2:8" x14ac:dyDescent="0.25">
      <c r="E55" s="3">
        <f>Tableau9297220238[[#This Row],[Demande]]-Tableau9297220238[[#This Row],[Présente dans la malle]]</f>
        <v>0</v>
      </c>
      <c r="F55" s="5"/>
      <c r="H55" s="8">
        <f>Tableau9297220238[[#This Row],[Quantités acheté rajouté]]*Tableau9297220238[[#This Row],[CU du matos rajouté acheté]]</f>
        <v>0</v>
      </c>
    </row>
    <row r="56" spans="2:8" x14ac:dyDescent="0.25">
      <c r="E56" s="3">
        <f>Tableau9297220238[[#This Row],[Demande]]-Tableau9297220238[[#This Row],[Présente dans la malle]]</f>
        <v>0</v>
      </c>
      <c r="F56" s="5"/>
      <c r="H56" s="8">
        <f>Tableau9297220238[[#This Row],[Quantités acheté rajouté]]*Tableau9297220238[[#This Row],[CU du matos rajouté acheté]]</f>
        <v>0</v>
      </c>
    </row>
    <row r="57" spans="2:8" x14ac:dyDescent="0.25">
      <c r="E57" s="3">
        <f>Tableau9297220238[[#This Row],[Demande]]-Tableau9297220238[[#This Row],[Présente dans la malle]]</f>
        <v>0</v>
      </c>
      <c r="F57" s="5"/>
      <c r="H57" s="8">
        <f>Tableau9297220238[[#This Row],[Quantités acheté rajouté]]*Tableau9297220238[[#This Row],[CU du matos rajouté acheté]]</f>
        <v>0</v>
      </c>
    </row>
    <row r="58" spans="2:8" x14ac:dyDescent="0.25">
      <c r="E58" s="3">
        <f>Tableau9297220238[[#This Row],[Demande]]-Tableau9297220238[[#This Row],[Présente dans la malle]]</f>
        <v>0</v>
      </c>
      <c r="F58" s="5"/>
      <c r="H58" s="8">
        <f>Tableau9297220238[[#This Row],[Quantités acheté rajouté]]*Tableau9297220238[[#This Row],[CU du matos rajouté acheté]]</f>
        <v>0</v>
      </c>
    </row>
    <row r="59" spans="2:8" x14ac:dyDescent="0.25">
      <c r="E59" s="3">
        <f>Tableau9297220238[[#This Row],[Demande]]-Tableau9297220238[[#This Row],[Présente dans la malle]]</f>
        <v>0</v>
      </c>
      <c r="F59" s="5"/>
      <c r="H59" s="8">
        <f>Tableau9297220238[[#This Row],[Quantités acheté rajouté]]*Tableau9297220238[[#This Row],[CU du matos rajouté acheté]]</f>
        <v>0</v>
      </c>
    </row>
    <row r="60" spans="2:8" x14ac:dyDescent="0.25">
      <c r="E60" s="3">
        <f>Tableau9297220238[[#This Row],[Demande]]-Tableau9297220238[[#This Row],[Présente dans la malle]]</f>
        <v>0</v>
      </c>
      <c r="F60" s="7"/>
      <c r="G60" s="4"/>
      <c r="H60" s="8">
        <f>Tableau9297220238[[#This Row],[Quantités acheté rajouté]]*Tableau9297220238[[#This Row],[CU du matos rajouté acheté]]</f>
        <v>0</v>
      </c>
    </row>
    <row r="61" spans="2:8" x14ac:dyDescent="0.25">
      <c r="B61" t="s">
        <v>4</v>
      </c>
      <c r="C61">
        <f>SUM(Tableau9297220238[Présente dans la malle])</f>
        <v>0</v>
      </c>
      <c r="D61">
        <f>SUM(Tableau9297220238[Demande])</f>
        <v>0</v>
      </c>
      <c r="E61">
        <f>SUM(Tableau9297220238[Manque])</f>
        <v>0</v>
      </c>
      <c r="F61" s="6">
        <f>SUM(Tableau9297220238[Quantités acheté rajouté])</f>
        <v>0</v>
      </c>
      <c r="G61" s="6"/>
      <c r="H61" s="2">
        <f>SUM(Tableau9297220238[CT])</f>
        <v>0</v>
      </c>
    </row>
  </sheetData>
  <conditionalFormatting sqref="E3:E26">
    <cfRule type="cellIs" dxfId="974" priority="10" operator="equal">
      <formula>0</formula>
    </cfRule>
    <cfRule type="cellIs" dxfId="973" priority="11" operator="lessThan">
      <formula>0</formula>
    </cfRule>
    <cfRule type="cellIs" dxfId="972" priority="12" operator="greaterThan">
      <formula>0</formula>
    </cfRule>
  </conditionalFormatting>
  <conditionalFormatting sqref="E27">
    <cfRule type="cellIs" dxfId="971" priority="9" operator="equal">
      <formula>0</formula>
    </cfRule>
  </conditionalFormatting>
  <conditionalFormatting sqref="E61">
    <cfRule type="cellIs" dxfId="970" priority="1" operator="equal">
      <formula>0</formula>
    </cfRule>
  </conditionalFormatting>
  <conditionalFormatting sqref="E31:E43">
    <cfRule type="cellIs" dxfId="969" priority="6" operator="equal">
      <formula>0</formula>
    </cfRule>
    <cfRule type="cellIs" dxfId="968" priority="7" operator="lessThan">
      <formula>0</formula>
    </cfRule>
    <cfRule type="cellIs" dxfId="967" priority="8" operator="greaterThan">
      <formula>0</formula>
    </cfRule>
  </conditionalFormatting>
  <conditionalFormatting sqref="E44">
    <cfRule type="cellIs" dxfId="966" priority="5" operator="equal">
      <formula>0</formula>
    </cfRule>
  </conditionalFormatting>
  <conditionalFormatting sqref="E48:E60">
    <cfRule type="cellIs" dxfId="965" priority="2" operator="equal">
      <formula>0</formula>
    </cfRule>
    <cfRule type="cellIs" dxfId="964" priority="3" operator="lessThan">
      <formula>0</formula>
    </cfRule>
    <cfRule type="cellIs" dxfId="963" priority="4" operator="greaterThan">
      <formula>0</formula>
    </cfRule>
  </conditionalFormatting>
  <dataValidations count="7">
    <dataValidation type="list" allowBlank="1" showInputMessage="1" showErrorMessage="1" prompt="Insérez la fourniture désiré" sqref="B48:B59 B31:B42 B4:B5 B15" xr:uid="{CA02B686-D27A-4FCE-907C-ADE29596CA85}">
      <formula1>Fournitures</formula1>
    </dataValidation>
    <dataValidation allowBlank="1" showInputMessage="1" showErrorMessage="1" prompt="Si VERT_x000a_La fourniture est bien présente et la quantité est bonne_x000a_Si ROUGE_x000a_+ : Il faut rajouter la quantité de fourniture_x000a_- : Il faut enlevé la quantité de fourniture en trop_x000a_" sqref="E31:E43 E48:E60 E3:E26" xr:uid="{AE5FBCA8-8A14-490E-AC2B-00184C97E63B}"/>
    <dataValidation allowBlank="1" showInputMessage="1" showErrorMessage="1" prompt="Insérez la quantité présente dans les malles" sqref="C4:C9 C48:C54 C39:C42 C31:C37 C56:C59 C12:C13" xr:uid="{7BBE56EC-6E26-4E02-A622-3887A53FE952}"/>
    <dataValidation allowBlank="1" showInputMessage="1" showErrorMessage="1" prompt="Insérez la quantité demandé" sqref="D11:D14 D3:D9 D39:D42 D31:D37 D56:D59 D48:D54" xr:uid="{EB410E45-FE01-4722-A9FA-26E4F75B5C3C}"/>
    <dataValidation allowBlank="1" showInputMessage="1" showErrorMessage="1" prompt="Quantité acheté rajouté * CU" sqref="H3 H31 H48" xr:uid="{2313CC13-F138-4252-A2F4-09543B429158}"/>
    <dataValidation allowBlank="1" showInputMessage="1" showErrorMessage="1" prompt="CU = Cout unitaire" sqref="F46:G47 F2:G2 F30:G30" xr:uid="{4109B97C-73CE-425E-887F-28AA1940F938}"/>
    <dataValidation allowBlank="1" showInputMessage="1" showErrorMessage="1" prompt="CT = Cout total" sqref="H46:H47 H2 H30" xr:uid="{51F10ED7-60B6-477A-BAD1-CA7E3F543B5B}"/>
  </dataValidations>
  <pageMargins left="0.7" right="0.7" top="0.75" bottom="0.75" header="0.3" footer="0.3"/>
  <tableParts count="3">
    <tablePart r:id="rId1"/>
    <tablePart r:id="rId2"/>
    <tablePart r:id="rId3"/>
  </tableParts>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A44DB1E-820B-4724-BB2E-98B7B0B3FE5E}">
  <dimension ref="B2:H50"/>
  <sheetViews>
    <sheetView workbookViewId="0">
      <selection activeCell="E3" sqref="E3"/>
    </sheetView>
  </sheetViews>
  <sheetFormatPr baseColWidth="10" defaultRowHeight="15" x14ac:dyDescent="0.25"/>
  <cols>
    <col min="2" max="2" width="24.42578125" customWidth="1"/>
    <col min="3" max="3" width="23.140625" customWidth="1"/>
    <col min="4" max="4" width="11.7109375" customWidth="1"/>
    <col min="6" max="6" width="26.5703125" style="2" customWidth="1"/>
    <col min="7" max="7" width="28.28515625" style="2" customWidth="1"/>
  </cols>
  <sheetData>
    <row r="2" spans="2:8" x14ac:dyDescent="0.25">
      <c r="B2" t="s">
        <v>7</v>
      </c>
      <c r="C2" t="s">
        <v>0</v>
      </c>
      <c r="D2" t="s">
        <v>1</v>
      </c>
      <c r="E2" t="s">
        <v>2</v>
      </c>
      <c r="F2" s="2" t="s">
        <v>15</v>
      </c>
      <c r="G2" s="2" t="s">
        <v>11</v>
      </c>
      <c r="H2" s="2" t="s">
        <v>10</v>
      </c>
    </row>
    <row r="3" spans="2:8" x14ac:dyDescent="0.25">
      <c r="B3" t="s">
        <v>23</v>
      </c>
      <c r="C3">
        <v>1</v>
      </c>
      <c r="E3" s="3">
        <f>Tableau92212[[#This Row],[Demande]]-Tableau92212[[#This Row],[Présente dans la malle]]</f>
        <v>-1</v>
      </c>
      <c r="F3" s="5"/>
      <c r="H3" s="8">
        <f>Tableau92212[[#This Row],[Quantités acheté rajouté]]*Tableau92212[[#This Row],[CU du matos rajouté acheté]]</f>
        <v>0</v>
      </c>
    </row>
    <row r="4" spans="2:8" x14ac:dyDescent="0.25">
      <c r="B4" t="s">
        <v>148</v>
      </c>
      <c r="C4">
        <v>1</v>
      </c>
      <c r="E4" s="3">
        <f>Tableau92212[[#This Row],[Demande]]-Tableau92212[[#This Row],[Présente dans la malle]]</f>
        <v>-1</v>
      </c>
      <c r="F4" s="5"/>
      <c r="H4" s="8">
        <f>Tableau92212[[#This Row],[Quantités acheté rajouté]]*Tableau92212[[#This Row],[CU du matos rajouté acheté]]</f>
        <v>0</v>
      </c>
    </row>
    <row r="5" spans="2:8" x14ac:dyDescent="0.25">
      <c r="B5" t="s">
        <v>151</v>
      </c>
      <c r="C5">
        <v>1</v>
      </c>
      <c r="E5" s="3">
        <f>Tableau92212[[#This Row],[Demande]]-Tableau92212[[#This Row],[Présente dans la malle]]</f>
        <v>-1</v>
      </c>
      <c r="F5" s="5"/>
      <c r="H5" s="8">
        <f>Tableau92212[[#This Row],[Quantités acheté rajouté]]*Tableau92212[[#This Row],[CU du matos rajouté acheté]]</f>
        <v>0</v>
      </c>
    </row>
    <row r="6" spans="2:8" x14ac:dyDescent="0.25">
      <c r="B6" t="s">
        <v>203</v>
      </c>
      <c r="C6">
        <v>11</v>
      </c>
      <c r="E6" s="3">
        <f>Tableau92212[[#This Row],[Demande]]-Tableau92212[[#This Row],[Présente dans la malle]]</f>
        <v>-11</v>
      </c>
      <c r="F6" s="5"/>
      <c r="H6" s="8">
        <f>Tableau92212[[#This Row],[Quantités acheté rajouté]]*Tableau92212[[#This Row],[CU du matos rajouté acheté]]</f>
        <v>0</v>
      </c>
    </row>
    <row r="7" spans="2:8" x14ac:dyDescent="0.25">
      <c r="E7" s="3">
        <f>Tableau92212[[#This Row],[Demande]]-Tableau92212[[#This Row],[Présente dans la malle]]</f>
        <v>0</v>
      </c>
      <c r="F7" s="5"/>
      <c r="H7" s="8">
        <f>Tableau92212[[#This Row],[Quantités acheté rajouté]]*Tableau92212[[#This Row],[CU du matos rajouté acheté]]</f>
        <v>0</v>
      </c>
    </row>
    <row r="8" spans="2:8" x14ac:dyDescent="0.25">
      <c r="E8" s="3">
        <f>Tableau92212[[#This Row],[Demande]]-Tableau92212[[#This Row],[Présente dans la malle]]</f>
        <v>0</v>
      </c>
      <c r="F8" s="5"/>
      <c r="H8" s="8">
        <f>Tableau92212[[#This Row],[Quantités acheté rajouté]]*Tableau92212[[#This Row],[CU du matos rajouté acheté]]</f>
        <v>0</v>
      </c>
    </row>
    <row r="9" spans="2:8" x14ac:dyDescent="0.25">
      <c r="E9" s="3">
        <f>Tableau92212[[#This Row],[Demande]]-Tableau92212[[#This Row],[Présente dans la malle]]</f>
        <v>0</v>
      </c>
      <c r="F9" s="5"/>
      <c r="H9" s="8">
        <f>Tableau92212[[#This Row],[Quantités acheté rajouté]]*Tableau92212[[#This Row],[CU du matos rajouté acheté]]</f>
        <v>0</v>
      </c>
    </row>
    <row r="10" spans="2:8" x14ac:dyDescent="0.25">
      <c r="E10" s="3">
        <f>Tableau92212[[#This Row],[Demande]]-Tableau92212[[#This Row],[Présente dans la malle]]</f>
        <v>0</v>
      </c>
      <c r="F10" s="5"/>
      <c r="H10" s="8">
        <f>Tableau92212[[#This Row],[Quantités acheté rajouté]]*Tableau92212[[#This Row],[CU du matos rajouté acheté]]</f>
        <v>0</v>
      </c>
    </row>
    <row r="11" spans="2:8" x14ac:dyDescent="0.25">
      <c r="E11" s="3">
        <f>Tableau92212[[#This Row],[Demande]]-Tableau92212[[#This Row],[Présente dans la malle]]</f>
        <v>0</v>
      </c>
      <c r="F11" s="5"/>
      <c r="H11" s="8">
        <f>Tableau92212[[#This Row],[Quantités acheté rajouté]]*Tableau92212[[#This Row],[CU du matos rajouté acheté]]</f>
        <v>0</v>
      </c>
    </row>
    <row r="12" spans="2:8" x14ac:dyDescent="0.25">
      <c r="E12" s="3">
        <f>Tableau92212[[#This Row],[Demande]]-Tableau92212[[#This Row],[Présente dans la malle]]</f>
        <v>0</v>
      </c>
      <c r="F12" s="5"/>
      <c r="H12" s="8">
        <f>Tableau92212[[#This Row],[Quantités acheté rajouté]]*Tableau92212[[#This Row],[CU du matos rajouté acheté]]</f>
        <v>0</v>
      </c>
    </row>
    <row r="13" spans="2:8" x14ac:dyDescent="0.25">
      <c r="E13" s="3">
        <f>Tableau92212[[#This Row],[Demande]]-Tableau92212[[#This Row],[Présente dans la malle]]</f>
        <v>0</v>
      </c>
      <c r="F13" s="5"/>
      <c r="H13" s="8">
        <f>Tableau92212[[#This Row],[Quantités acheté rajouté]]*Tableau92212[[#This Row],[CU du matos rajouté acheté]]</f>
        <v>0</v>
      </c>
    </row>
    <row r="14" spans="2:8" x14ac:dyDescent="0.25">
      <c r="E14" s="3">
        <f>Tableau92212[[#This Row],[Demande]]-Tableau92212[[#This Row],[Présente dans la malle]]</f>
        <v>0</v>
      </c>
      <c r="F14" s="5"/>
      <c r="H14" s="8">
        <f>Tableau92212[[#This Row],[Quantités acheté rajouté]]*Tableau92212[[#This Row],[CU du matos rajouté acheté]]</f>
        <v>0</v>
      </c>
    </row>
    <row r="15" spans="2:8" x14ac:dyDescent="0.25">
      <c r="E15" s="3">
        <f>Tableau92212[[#This Row],[Demande]]-Tableau92212[[#This Row],[Présente dans la malle]]</f>
        <v>0</v>
      </c>
      <c r="F15" s="7"/>
      <c r="G15" s="4"/>
      <c r="H15" s="8">
        <f>Tableau92212[[#This Row],[Quantités acheté rajouté]]*Tableau92212[[#This Row],[CU du matos rajouté acheté]]</f>
        <v>0</v>
      </c>
    </row>
    <row r="16" spans="2:8" x14ac:dyDescent="0.25">
      <c r="B16" t="s">
        <v>4</v>
      </c>
      <c r="C16">
        <f>SUM(Tableau92212[Présente dans la malle])</f>
        <v>14</v>
      </c>
      <c r="D16">
        <f>SUM(Tableau92212[Demande])</f>
        <v>0</v>
      </c>
      <c r="E16">
        <f>SUM(Tableau92212[Manque])</f>
        <v>-14</v>
      </c>
      <c r="F16" s="6">
        <f>SUM(Tableau92212[Quantités acheté rajouté])</f>
        <v>0</v>
      </c>
      <c r="G16" s="6"/>
      <c r="H16" s="10">
        <f>SUM(Tableau92212[CT])</f>
        <v>0</v>
      </c>
    </row>
    <row r="19" spans="2:8" x14ac:dyDescent="0.25">
      <c r="B19" t="s">
        <v>5</v>
      </c>
      <c r="C19" t="s">
        <v>0</v>
      </c>
      <c r="D19" t="s">
        <v>1</v>
      </c>
      <c r="E19" t="s">
        <v>2</v>
      </c>
      <c r="F19" s="2" t="s">
        <v>15</v>
      </c>
      <c r="G19" s="2" t="s">
        <v>11</v>
      </c>
      <c r="H19" s="2" t="s">
        <v>10</v>
      </c>
    </row>
    <row r="20" spans="2:8" x14ac:dyDescent="0.25">
      <c r="E20" s="3">
        <f>Tableau9296213[[#This Row],[Demande]]-Tableau9296213[[#This Row],[Présente dans la malle]]</f>
        <v>0</v>
      </c>
      <c r="F20" s="5"/>
      <c r="H20" s="8">
        <f>Tableau9296213[[#This Row],[Quantités acheté rajouté]]*Tableau9296213[[#This Row],[CU du matos rajouté acheté]]</f>
        <v>0</v>
      </c>
    </row>
    <row r="21" spans="2:8" x14ac:dyDescent="0.25">
      <c r="E21" s="3">
        <f>Tableau9296213[[#This Row],[Demande]]-Tableau9296213[[#This Row],[Présente dans la malle]]</f>
        <v>0</v>
      </c>
      <c r="F21" s="5"/>
      <c r="H21" s="8">
        <f>Tableau9296213[[#This Row],[Quantités acheté rajouté]]*Tableau9296213[[#This Row],[CU du matos rajouté acheté]]</f>
        <v>0</v>
      </c>
    </row>
    <row r="22" spans="2:8" x14ac:dyDescent="0.25">
      <c r="E22" s="3">
        <f>Tableau9296213[[#This Row],[Demande]]-Tableau9296213[[#This Row],[Présente dans la malle]]</f>
        <v>0</v>
      </c>
      <c r="F22" s="5"/>
      <c r="H22" s="8">
        <f>Tableau9296213[[#This Row],[Quantités acheté rajouté]]*Tableau9296213[[#This Row],[CU du matos rajouté acheté]]</f>
        <v>0</v>
      </c>
    </row>
    <row r="23" spans="2:8" x14ac:dyDescent="0.25">
      <c r="E23" s="3">
        <f>Tableau9296213[[#This Row],[Demande]]-Tableau9296213[[#This Row],[Présente dans la malle]]</f>
        <v>0</v>
      </c>
      <c r="F23" s="5"/>
      <c r="H23" s="8">
        <f>Tableau9296213[[#This Row],[Quantités acheté rajouté]]*Tableau9296213[[#This Row],[CU du matos rajouté acheté]]</f>
        <v>0</v>
      </c>
    </row>
    <row r="24" spans="2:8" x14ac:dyDescent="0.25">
      <c r="E24" s="3">
        <f>Tableau9296213[[#This Row],[Demande]]-Tableau9296213[[#This Row],[Présente dans la malle]]</f>
        <v>0</v>
      </c>
      <c r="F24" s="5"/>
      <c r="H24" s="8">
        <f>Tableau9296213[[#This Row],[Quantités acheté rajouté]]*Tableau9296213[[#This Row],[CU du matos rajouté acheté]]</f>
        <v>0</v>
      </c>
    </row>
    <row r="25" spans="2:8" x14ac:dyDescent="0.25">
      <c r="E25" s="3">
        <f>Tableau9296213[[#This Row],[Demande]]-Tableau9296213[[#This Row],[Présente dans la malle]]</f>
        <v>0</v>
      </c>
      <c r="F25" s="5"/>
      <c r="H25" s="8">
        <f>Tableau9296213[[#This Row],[Quantités acheté rajouté]]*Tableau9296213[[#This Row],[CU du matos rajouté acheté]]</f>
        <v>0</v>
      </c>
    </row>
    <row r="26" spans="2:8" x14ac:dyDescent="0.25">
      <c r="E26" s="3">
        <f>Tableau9296213[[#This Row],[Demande]]-Tableau9296213[[#This Row],[Présente dans la malle]]</f>
        <v>0</v>
      </c>
      <c r="F26" s="5"/>
      <c r="H26" s="8">
        <f>Tableau9296213[[#This Row],[Quantités acheté rajouté]]*Tableau9296213[[#This Row],[CU du matos rajouté acheté]]</f>
        <v>0</v>
      </c>
    </row>
    <row r="27" spans="2:8" x14ac:dyDescent="0.25">
      <c r="E27" s="3">
        <f>Tableau9296213[[#This Row],[Demande]]-Tableau9296213[[#This Row],[Présente dans la malle]]</f>
        <v>0</v>
      </c>
      <c r="F27" s="5"/>
      <c r="H27" s="8">
        <f>Tableau9296213[[#This Row],[Quantités acheté rajouté]]*Tableau9296213[[#This Row],[CU du matos rajouté acheté]]</f>
        <v>0</v>
      </c>
    </row>
    <row r="28" spans="2:8" x14ac:dyDescent="0.25">
      <c r="E28" s="3">
        <f>Tableau9296213[[#This Row],[Demande]]-Tableau9296213[[#This Row],[Présente dans la malle]]</f>
        <v>0</v>
      </c>
      <c r="F28" s="5"/>
      <c r="H28" s="8">
        <f>Tableau9296213[[#This Row],[Quantités acheté rajouté]]*Tableau9296213[[#This Row],[CU du matos rajouté acheté]]</f>
        <v>0</v>
      </c>
    </row>
    <row r="29" spans="2:8" x14ac:dyDescent="0.25">
      <c r="E29" s="3">
        <f>Tableau9296213[[#This Row],[Demande]]-Tableau9296213[[#This Row],[Présente dans la malle]]</f>
        <v>0</v>
      </c>
      <c r="F29" s="5"/>
      <c r="H29" s="8">
        <f>Tableau9296213[[#This Row],[Quantités acheté rajouté]]*Tableau9296213[[#This Row],[CU du matos rajouté acheté]]</f>
        <v>0</v>
      </c>
    </row>
    <row r="30" spans="2:8" x14ac:dyDescent="0.25">
      <c r="E30" s="3">
        <f>Tableau9296213[[#This Row],[Demande]]-Tableau9296213[[#This Row],[Présente dans la malle]]</f>
        <v>0</v>
      </c>
      <c r="F30" s="5"/>
      <c r="H30" s="8">
        <f>Tableau9296213[[#This Row],[Quantités acheté rajouté]]*Tableau9296213[[#This Row],[CU du matos rajouté acheté]]</f>
        <v>0</v>
      </c>
    </row>
    <row r="31" spans="2:8" x14ac:dyDescent="0.25">
      <c r="E31" s="3">
        <f>Tableau9296213[[#This Row],[Demande]]-Tableau9296213[[#This Row],[Présente dans la malle]]</f>
        <v>0</v>
      </c>
      <c r="F31" s="5"/>
      <c r="H31" s="8">
        <f>Tableau9296213[[#This Row],[Quantités acheté rajouté]]*Tableau9296213[[#This Row],[CU du matos rajouté acheté]]</f>
        <v>0</v>
      </c>
    </row>
    <row r="32" spans="2:8" x14ac:dyDescent="0.25">
      <c r="E32" s="3">
        <f>Tableau9296213[[#This Row],[Demande]]-Tableau9296213[[#This Row],[Présente dans la malle]]</f>
        <v>0</v>
      </c>
      <c r="F32" s="7"/>
      <c r="G32" s="4"/>
      <c r="H32" s="8">
        <f>Tableau9296213[[#This Row],[Quantités acheté rajouté]]*Tableau9296213[[#This Row],[CU du matos rajouté acheté]]</f>
        <v>0</v>
      </c>
    </row>
    <row r="33" spans="2:8" x14ac:dyDescent="0.25">
      <c r="B33" t="s">
        <v>4</v>
      </c>
      <c r="C33">
        <f>SUM(Tableau9296213[Présente dans la malle])</f>
        <v>0</v>
      </c>
      <c r="D33">
        <f>SUM(Tableau9296213[Demande])</f>
        <v>0</v>
      </c>
      <c r="E33">
        <f>SUM(Tableau9296213[Manque])</f>
        <v>0</v>
      </c>
      <c r="F33" s="6">
        <f>SUM(Tableau9296213[Quantités acheté rajouté])</f>
        <v>0</v>
      </c>
      <c r="G33" s="6"/>
      <c r="H33" s="2">
        <f>SUM(Tableau9296213[CT])</f>
        <v>0</v>
      </c>
    </row>
    <row r="35" spans="2:8" x14ac:dyDescent="0.25">
      <c r="H35" s="2"/>
    </row>
    <row r="36" spans="2:8" x14ac:dyDescent="0.25">
      <c r="B36" t="s">
        <v>6</v>
      </c>
      <c r="C36" t="s">
        <v>0</v>
      </c>
      <c r="D36" t="s">
        <v>1</v>
      </c>
      <c r="E36" t="s">
        <v>2</v>
      </c>
      <c r="F36" s="2" t="s">
        <v>15</v>
      </c>
      <c r="G36" s="2" t="s">
        <v>11</v>
      </c>
      <c r="H36" s="2" t="s">
        <v>10</v>
      </c>
    </row>
    <row r="37" spans="2:8" x14ac:dyDescent="0.25">
      <c r="E37" s="3">
        <f>Tableau9297214[[#This Row],[Demande]]-Tableau9297214[[#This Row],[Présente dans la malle]]</f>
        <v>0</v>
      </c>
      <c r="F37" s="5"/>
      <c r="H37" s="8">
        <f>Tableau9297214[[#This Row],[Quantités acheté rajouté]]*Tableau9297214[[#This Row],[CU du matos rajouté acheté]]</f>
        <v>0</v>
      </c>
    </row>
    <row r="38" spans="2:8" x14ac:dyDescent="0.25">
      <c r="E38" s="3">
        <f>Tableau9297214[[#This Row],[Demande]]-Tableau9297214[[#This Row],[Présente dans la malle]]</f>
        <v>0</v>
      </c>
      <c r="F38" s="5"/>
      <c r="H38" s="8">
        <f>Tableau9297214[[#This Row],[Quantités acheté rajouté]]*Tableau9297214[[#This Row],[CU du matos rajouté acheté]]</f>
        <v>0</v>
      </c>
    </row>
    <row r="39" spans="2:8" x14ac:dyDescent="0.25">
      <c r="E39" s="3">
        <f>Tableau9297214[[#This Row],[Demande]]-Tableau9297214[[#This Row],[Présente dans la malle]]</f>
        <v>0</v>
      </c>
      <c r="F39" s="5"/>
      <c r="H39" s="8">
        <f>Tableau9297214[[#This Row],[Quantités acheté rajouté]]*Tableau9297214[[#This Row],[CU du matos rajouté acheté]]</f>
        <v>0</v>
      </c>
    </row>
    <row r="40" spans="2:8" x14ac:dyDescent="0.25">
      <c r="E40" s="3">
        <f>Tableau9297214[[#This Row],[Demande]]-Tableau9297214[[#This Row],[Présente dans la malle]]</f>
        <v>0</v>
      </c>
      <c r="F40" s="5"/>
      <c r="H40" s="8">
        <f>Tableau9297214[[#This Row],[Quantités acheté rajouté]]*Tableau9297214[[#This Row],[CU du matos rajouté acheté]]</f>
        <v>0</v>
      </c>
    </row>
    <row r="41" spans="2:8" x14ac:dyDescent="0.25">
      <c r="E41" s="3">
        <f>Tableau9297214[[#This Row],[Demande]]-Tableau9297214[[#This Row],[Présente dans la malle]]</f>
        <v>0</v>
      </c>
      <c r="F41" s="5"/>
      <c r="H41" s="8">
        <f>Tableau9297214[[#This Row],[Quantités acheté rajouté]]*Tableau9297214[[#This Row],[CU du matos rajouté acheté]]</f>
        <v>0</v>
      </c>
    </row>
    <row r="42" spans="2:8" x14ac:dyDescent="0.25">
      <c r="E42" s="3">
        <f>Tableau9297214[[#This Row],[Demande]]-Tableau9297214[[#This Row],[Présente dans la malle]]</f>
        <v>0</v>
      </c>
      <c r="F42" s="5"/>
      <c r="H42" s="8">
        <f>Tableau9297214[[#This Row],[Quantités acheté rajouté]]*Tableau9297214[[#This Row],[CU du matos rajouté acheté]]</f>
        <v>0</v>
      </c>
    </row>
    <row r="43" spans="2:8" x14ac:dyDescent="0.25">
      <c r="E43" s="3">
        <f>Tableau9297214[[#This Row],[Demande]]-Tableau9297214[[#This Row],[Présente dans la malle]]</f>
        <v>0</v>
      </c>
      <c r="F43" s="5"/>
      <c r="H43" s="8">
        <f>Tableau9297214[[#This Row],[Quantités acheté rajouté]]*Tableau9297214[[#This Row],[CU du matos rajouté acheté]]</f>
        <v>0</v>
      </c>
    </row>
    <row r="44" spans="2:8" x14ac:dyDescent="0.25">
      <c r="E44" s="3">
        <f>Tableau9297214[[#This Row],[Demande]]-Tableau9297214[[#This Row],[Présente dans la malle]]</f>
        <v>0</v>
      </c>
      <c r="F44" s="5"/>
      <c r="H44" s="8">
        <f>Tableau9297214[[#This Row],[Quantités acheté rajouté]]*Tableau9297214[[#This Row],[CU du matos rajouté acheté]]</f>
        <v>0</v>
      </c>
    </row>
    <row r="45" spans="2:8" x14ac:dyDescent="0.25">
      <c r="E45" s="3">
        <f>Tableau9297214[[#This Row],[Demande]]-Tableau9297214[[#This Row],[Présente dans la malle]]</f>
        <v>0</v>
      </c>
      <c r="F45" s="5"/>
      <c r="H45" s="8">
        <f>Tableau9297214[[#This Row],[Quantités acheté rajouté]]*Tableau9297214[[#This Row],[CU du matos rajouté acheté]]</f>
        <v>0</v>
      </c>
    </row>
    <row r="46" spans="2:8" x14ac:dyDescent="0.25">
      <c r="E46" s="3">
        <f>Tableau9297214[[#This Row],[Demande]]-Tableau9297214[[#This Row],[Présente dans la malle]]</f>
        <v>0</v>
      </c>
      <c r="F46" s="5"/>
      <c r="H46" s="8">
        <f>Tableau9297214[[#This Row],[Quantités acheté rajouté]]*Tableau9297214[[#This Row],[CU du matos rajouté acheté]]</f>
        <v>0</v>
      </c>
    </row>
    <row r="47" spans="2:8" x14ac:dyDescent="0.25">
      <c r="E47" s="3">
        <f>Tableau9297214[[#This Row],[Demande]]-Tableau9297214[[#This Row],[Présente dans la malle]]</f>
        <v>0</v>
      </c>
      <c r="F47" s="5"/>
      <c r="H47" s="8">
        <f>Tableau9297214[[#This Row],[Quantités acheté rajouté]]*Tableau9297214[[#This Row],[CU du matos rajouté acheté]]</f>
        <v>0</v>
      </c>
    </row>
    <row r="48" spans="2:8" x14ac:dyDescent="0.25">
      <c r="E48" s="3">
        <f>Tableau9297214[[#This Row],[Demande]]-Tableau9297214[[#This Row],[Présente dans la malle]]</f>
        <v>0</v>
      </c>
      <c r="F48" s="5"/>
      <c r="H48" s="8">
        <f>Tableau9297214[[#This Row],[Quantités acheté rajouté]]*Tableau9297214[[#This Row],[CU du matos rajouté acheté]]</f>
        <v>0</v>
      </c>
    </row>
    <row r="49" spans="2:8" x14ac:dyDescent="0.25">
      <c r="E49" s="3">
        <f>Tableau9297214[[#This Row],[Demande]]-Tableau9297214[[#This Row],[Présente dans la malle]]</f>
        <v>0</v>
      </c>
      <c r="F49" s="7"/>
      <c r="G49" s="4"/>
      <c r="H49" s="8">
        <f>Tableau9297214[[#This Row],[Quantités acheté rajouté]]*Tableau9297214[[#This Row],[CU du matos rajouté acheté]]</f>
        <v>0</v>
      </c>
    </row>
    <row r="50" spans="2:8" x14ac:dyDescent="0.25">
      <c r="B50" t="s">
        <v>4</v>
      </c>
      <c r="C50">
        <f>SUM(Tableau9297214[Présente dans la malle])</f>
        <v>0</v>
      </c>
      <c r="D50">
        <f>SUM(Tableau9297214[Demande])</f>
        <v>0</v>
      </c>
      <c r="E50">
        <f>SUM(Tableau9297214[Manque])</f>
        <v>0</v>
      </c>
      <c r="F50" s="6">
        <f>SUM(Tableau9297214[Quantités acheté rajouté])</f>
        <v>0</v>
      </c>
      <c r="G50" s="6"/>
      <c r="H50" s="2">
        <f>SUM(Tableau9297214[CT])</f>
        <v>0</v>
      </c>
    </row>
  </sheetData>
  <conditionalFormatting sqref="E3:E15">
    <cfRule type="cellIs" dxfId="935" priority="10" operator="equal">
      <formula>0</formula>
    </cfRule>
    <cfRule type="cellIs" dxfId="934" priority="11" operator="lessThan">
      <formula>0</formula>
    </cfRule>
    <cfRule type="cellIs" dxfId="933" priority="12" operator="greaterThan">
      <formula>0</formula>
    </cfRule>
  </conditionalFormatting>
  <conditionalFormatting sqref="E16">
    <cfRule type="cellIs" dxfId="932" priority="9" operator="equal">
      <formula>0</formula>
    </cfRule>
  </conditionalFormatting>
  <conditionalFormatting sqref="E50">
    <cfRule type="cellIs" dxfId="931" priority="1" operator="equal">
      <formula>0</formula>
    </cfRule>
  </conditionalFormatting>
  <conditionalFormatting sqref="E20:E32">
    <cfRule type="cellIs" dxfId="930" priority="6" operator="equal">
      <formula>0</formula>
    </cfRule>
    <cfRule type="cellIs" dxfId="929" priority="7" operator="lessThan">
      <formula>0</formula>
    </cfRule>
    <cfRule type="cellIs" dxfId="928" priority="8" operator="greaterThan">
      <formula>0</formula>
    </cfRule>
  </conditionalFormatting>
  <conditionalFormatting sqref="E33">
    <cfRule type="cellIs" dxfId="927" priority="5" operator="equal">
      <formula>0</formula>
    </cfRule>
  </conditionalFormatting>
  <conditionalFormatting sqref="E37:E49">
    <cfRule type="cellIs" dxfId="926" priority="2" operator="equal">
      <formula>0</formula>
    </cfRule>
    <cfRule type="cellIs" dxfId="925" priority="3" operator="lessThan">
      <formula>0</formula>
    </cfRule>
    <cfRule type="cellIs" dxfId="924" priority="4" operator="greaterThan">
      <formula>0</formula>
    </cfRule>
  </conditionalFormatting>
  <dataValidations count="7">
    <dataValidation allowBlank="1" showInputMessage="1" showErrorMessage="1" prompt="CT = Cout total" sqref="H35:H36 H2 H19" xr:uid="{70D73292-758E-444A-AF12-17148BB501F3}"/>
    <dataValidation allowBlank="1" showInputMessage="1" showErrorMessage="1" prompt="CU = Cout unitaire" sqref="F35:G36 F2:G2 F19:G19" xr:uid="{3F1E1AEB-E570-4406-9DD4-6BFCA013A2DB}"/>
    <dataValidation allowBlank="1" showInputMessage="1" showErrorMessage="1" prompt="Quantité acheté rajouté * CU" sqref="H3 H20 H37" xr:uid="{36F62DD6-B5DB-4940-8941-EA573A046ED4}"/>
    <dataValidation allowBlank="1" showInputMessage="1" showErrorMessage="1" prompt="Insérez la quantité demandé" sqref="D11:D14 D3:D9 D28:D31 D20:D26 D45:D48 D37:D43" xr:uid="{155BDD0D-01CE-4AE9-AB2A-1A45ADF6EF1D}"/>
    <dataValidation allowBlank="1" showInputMessage="1" showErrorMessage="1" prompt="Insérez la quantité présente dans les malles" sqref="C11:C14 C3:C9 C28:C31 C20:C26 C45:C48 C37:C43" xr:uid="{2FF23FF9-F484-4BD3-B8FE-28BE131D1F99}"/>
    <dataValidation allowBlank="1" showInputMessage="1" showErrorMessage="1" prompt="Si VERT_x000a_La fourniture est bien présente et la quantité est bonne_x000a_Si ROUGE_x000a_+ : Il faut rajouter la quantité de fourniture_x000a_- : Il faut enlevé la quantité de fourniture en trop_x000a_" sqref="E20:E32 E3:E15 E37:E49" xr:uid="{4901F9A7-452A-4CD6-A85D-388FEAFF6C7C}"/>
    <dataValidation type="list" allowBlank="1" showInputMessage="1" showErrorMessage="1" prompt="Insérez la fourniture désiré" sqref="B37:B48 B20:B31 B3 B7:B14" xr:uid="{4A112FBC-A03B-40CE-A568-FBFD89084031}">
      <formula1>Fournitures</formula1>
    </dataValidation>
  </dataValidations>
  <pageMargins left="0.7" right="0.7" top="0.75" bottom="0.75" header="0.3" footer="0.3"/>
  <tableParts count="3">
    <tablePart r:id="rId1"/>
    <tablePart r:id="rId2"/>
    <tablePart r:id="rId3"/>
  </tableParts>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99E9F85-808C-4493-8D9D-B67BC963F8DD}">
  <dimension ref="B2:H50"/>
  <sheetViews>
    <sheetView workbookViewId="0">
      <selection activeCell="E15" sqref="E15"/>
    </sheetView>
  </sheetViews>
  <sheetFormatPr baseColWidth="10" defaultRowHeight="15" x14ac:dyDescent="0.25"/>
  <cols>
    <col min="2" max="2" width="26.85546875" bestFit="1" customWidth="1"/>
    <col min="3" max="3" width="23.140625" customWidth="1"/>
    <col min="4" max="4" width="11.7109375" customWidth="1"/>
    <col min="6" max="6" width="26.5703125" style="2" customWidth="1"/>
    <col min="7" max="7" width="28.28515625" style="2" customWidth="1"/>
  </cols>
  <sheetData>
    <row r="2" spans="2:8" x14ac:dyDescent="0.25">
      <c r="B2" t="s">
        <v>7</v>
      </c>
      <c r="C2" t="s">
        <v>0</v>
      </c>
      <c r="D2" t="s">
        <v>1</v>
      </c>
      <c r="E2" t="s">
        <v>2</v>
      </c>
      <c r="F2" s="2" t="s">
        <v>15</v>
      </c>
      <c r="G2" s="2" t="s">
        <v>11</v>
      </c>
      <c r="H2" s="2" t="s">
        <v>10</v>
      </c>
    </row>
    <row r="3" spans="2:8" x14ac:dyDescent="0.25">
      <c r="B3" t="s">
        <v>22</v>
      </c>
      <c r="C3">
        <v>2</v>
      </c>
      <c r="E3" s="3">
        <f>Tableau92218230[[#This Row],[Demande]]-Tableau92218230[[#This Row],[Présente dans la malle]]</f>
        <v>-2</v>
      </c>
      <c r="F3" s="5"/>
      <c r="H3" s="8">
        <f>Tableau92218230[[#This Row],[Quantités acheté rajouté]]*Tableau92218230[[#This Row],[CU du matos rajouté acheté]]</f>
        <v>0</v>
      </c>
    </row>
    <row r="4" spans="2:8" x14ac:dyDescent="0.25">
      <c r="B4" t="s">
        <v>116</v>
      </c>
      <c r="C4">
        <v>1</v>
      </c>
      <c r="E4" s="3">
        <f>Tableau92218230[[#This Row],[Demande]]-Tableau92218230[[#This Row],[Présente dans la malle]]</f>
        <v>-1</v>
      </c>
      <c r="F4" s="5"/>
      <c r="H4" s="8">
        <f>Tableau92218230[[#This Row],[Quantités acheté rajouté]]*Tableau92218230[[#This Row],[CU du matos rajouté acheté]]</f>
        <v>0</v>
      </c>
    </row>
    <row r="5" spans="2:8" x14ac:dyDescent="0.25">
      <c r="B5" t="s">
        <v>103</v>
      </c>
      <c r="C5">
        <v>2</v>
      </c>
      <c r="E5" s="3">
        <f>Tableau92218230[[#This Row],[Demande]]-Tableau92218230[[#This Row],[Présente dans la malle]]</f>
        <v>-2</v>
      </c>
      <c r="F5" s="5"/>
      <c r="H5" s="8">
        <f>Tableau92218230[[#This Row],[Quantités acheté rajouté]]*Tableau92218230[[#This Row],[CU du matos rajouté acheté]]</f>
        <v>0</v>
      </c>
    </row>
    <row r="6" spans="2:8" x14ac:dyDescent="0.25">
      <c r="B6" t="s">
        <v>125</v>
      </c>
      <c r="C6">
        <v>1</v>
      </c>
      <c r="E6" s="3">
        <f>Tableau92218230[[#This Row],[Demande]]-Tableau92218230[[#This Row],[Présente dans la malle]]</f>
        <v>-1</v>
      </c>
      <c r="F6" s="5"/>
      <c r="H6" s="8">
        <f>Tableau92218230[[#This Row],[Quantités acheté rajouté]]*Tableau92218230[[#This Row],[CU du matos rajouté acheté]]</f>
        <v>0</v>
      </c>
    </row>
    <row r="7" spans="2:8" x14ac:dyDescent="0.25">
      <c r="B7" t="s">
        <v>124</v>
      </c>
      <c r="C7">
        <v>1</v>
      </c>
      <c r="E7" s="3">
        <f>Tableau92218230[[#This Row],[Demande]]-Tableau92218230[[#This Row],[Présente dans la malle]]</f>
        <v>-1</v>
      </c>
      <c r="F7" s="5"/>
      <c r="H7" s="8">
        <f>Tableau92218230[[#This Row],[Quantités acheté rajouté]]*Tableau92218230[[#This Row],[CU du matos rajouté acheté]]</f>
        <v>0</v>
      </c>
    </row>
    <row r="8" spans="2:8" x14ac:dyDescent="0.25">
      <c r="B8" t="s">
        <v>218</v>
      </c>
      <c r="C8">
        <v>1</v>
      </c>
      <c r="E8" s="3">
        <f>Tableau92218230[[#This Row],[Demande]]-Tableau92218230[[#This Row],[Présente dans la malle]]</f>
        <v>-1</v>
      </c>
      <c r="F8" s="5"/>
      <c r="H8" s="8">
        <f>Tableau92218230[[#This Row],[Quantités acheté rajouté]]*Tableau92218230[[#This Row],[CU du matos rajouté acheté]]</f>
        <v>0</v>
      </c>
    </row>
    <row r="9" spans="2:8" x14ac:dyDescent="0.25">
      <c r="E9" s="3">
        <f>Tableau92218230[[#This Row],[Demande]]-Tableau92218230[[#This Row],[Présente dans la malle]]</f>
        <v>0</v>
      </c>
      <c r="F9" s="5"/>
      <c r="H9" s="8">
        <f>Tableau92218230[[#This Row],[Quantités acheté rajouté]]*Tableau92218230[[#This Row],[CU du matos rajouté acheté]]</f>
        <v>0</v>
      </c>
    </row>
    <row r="10" spans="2:8" x14ac:dyDescent="0.25">
      <c r="E10" s="3">
        <f>Tableau92218230[[#This Row],[Demande]]-Tableau92218230[[#This Row],[Présente dans la malle]]</f>
        <v>0</v>
      </c>
      <c r="F10" s="5"/>
      <c r="H10" s="8">
        <f>Tableau92218230[[#This Row],[Quantités acheté rajouté]]*Tableau92218230[[#This Row],[CU du matos rajouté acheté]]</f>
        <v>0</v>
      </c>
    </row>
    <row r="11" spans="2:8" x14ac:dyDescent="0.25">
      <c r="E11" s="3">
        <f>Tableau92218230[[#This Row],[Demande]]-Tableau92218230[[#This Row],[Présente dans la malle]]</f>
        <v>0</v>
      </c>
      <c r="F11" s="5"/>
      <c r="H11" s="8">
        <f>Tableau92218230[[#This Row],[Quantités acheté rajouté]]*Tableau92218230[[#This Row],[CU du matos rajouté acheté]]</f>
        <v>0</v>
      </c>
    </row>
    <row r="12" spans="2:8" x14ac:dyDescent="0.25">
      <c r="E12" s="3">
        <f>Tableau92218230[[#This Row],[Demande]]-Tableau92218230[[#This Row],[Présente dans la malle]]</f>
        <v>0</v>
      </c>
      <c r="F12" s="5"/>
      <c r="H12" s="8">
        <f>Tableau92218230[[#This Row],[Quantités acheté rajouté]]*Tableau92218230[[#This Row],[CU du matos rajouté acheté]]</f>
        <v>0</v>
      </c>
    </row>
    <row r="13" spans="2:8" x14ac:dyDescent="0.25">
      <c r="E13" s="3">
        <f>Tableau92218230[[#This Row],[Demande]]-Tableau92218230[[#This Row],[Présente dans la malle]]</f>
        <v>0</v>
      </c>
      <c r="F13" s="5"/>
      <c r="H13" s="8">
        <f>Tableau92218230[[#This Row],[Quantités acheté rajouté]]*Tableau92218230[[#This Row],[CU du matos rajouté acheté]]</f>
        <v>0</v>
      </c>
    </row>
    <row r="14" spans="2:8" x14ac:dyDescent="0.25">
      <c r="E14" s="3">
        <f>Tableau92218230[[#This Row],[Demande]]-Tableau92218230[[#This Row],[Présente dans la malle]]</f>
        <v>0</v>
      </c>
      <c r="F14" s="5"/>
      <c r="H14" s="8">
        <f>Tableau92218230[[#This Row],[Quantités acheté rajouté]]*Tableau92218230[[#This Row],[CU du matos rajouté acheté]]</f>
        <v>0</v>
      </c>
    </row>
    <row r="15" spans="2:8" x14ac:dyDescent="0.25">
      <c r="E15" s="3">
        <f>Tableau92218230[[#This Row],[Demande]]-Tableau92218230[[#This Row],[Présente dans la malle]]</f>
        <v>0</v>
      </c>
      <c r="F15" s="7"/>
      <c r="G15" s="4"/>
      <c r="H15" s="8">
        <f>Tableau92218230[[#This Row],[Quantités acheté rajouté]]*Tableau92218230[[#This Row],[CU du matos rajouté acheté]]</f>
        <v>0</v>
      </c>
    </row>
    <row r="16" spans="2:8" x14ac:dyDescent="0.25">
      <c r="B16" t="s">
        <v>4</v>
      </c>
      <c r="C16">
        <f>SUM(Tableau92218230[Présente dans la malle])</f>
        <v>8</v>
      </c>
      <c r="D16">
        <f>SUM(Tableau92218230[Demande])</f>
        <v>0</v>
      </c>
      <c r="E16">
        <f>SUM(Tableau92218230[Manque])</f>
        <v>-8</v>
      </c>
      <c r="F16" s="6">
        <f>SUM(Tableau92218230[Quantités acheté rajouté])</f>
        <v>0</v>
      </c>
      <c r="G16" s="6"/>
      <c r="H16" s="10">
        <f>SUM(Tableau92218230[CT])</f>
        <v>0</v>
      </c>
    </row>
    <row r="19" spans="2:8" x14ac:dyDescent="0.25">
      <c r="B19" t="s">
        <v>5</v>
      </c>
      <c r="C19" t="s">
        <v>0</v>
      </c>
      <c r="D19" t="s">
        <v>1</v>
      </c>
      <c r="E19" t="s">
        <v>2</v>
      </c>
      <c r="F19" s="2" t="s">
        <v>15</v>
      </c>
      <c r="G19" s="2" t="s">
        <v>11</v>
      </c>
      <c r="H19" s="2" t="s">
        <v>10</v>
      </c>
    </row>
    <row r="20" spans="2:8" x14ac:dyDescent="0.25">
      <c r="E20" s="3">
        <f>Tableau9296219231[[#This Row],[Demande]]-Tableau9296219231[[#This Row],[Présente dans la malle]]</f>
        <v>0</v>
      </c>
      <c r="F20" s="5"/>
      <c r="H20" s="8">
        <f>Tableau9296219231[[#This Row],[Quantités acheté rajouté]]*Tableau9296219231[[#This Row],[CU du matos rajouté acheté]]</f>
        <v>0</v>
      </c>
    </row>
    <row r="21" spans="2:8" x14ac:dyDescent="0.25">
      <c r="E21" s="3">
        <f>Tableau9296219231[[#This Row],[Demande]]-Tableau9296219231[[#This Row],[Présente dans la malle]]</f>
        <v>0</v>
      </c>
      <c r="F21" s="5"/>
      <c r="H21" s="8">
        <f>Tableau9296219231[[#This Row],[Quantités acheté rajouté]]*Tableau9296219231[[#This Row],[CU du matos rajouté acheté]]</f>
        <v>0</v>
      </c>
    </row>
    <row r="22" spans="2:8" x14ac:dyDescent="0.25">
      <c r="E22" s="3">
        <f>Tableau9296219231[[#This Row],[Demande]]-Tableau9296219231[[#This Row],[Présente dans la malle]]</f>
        <v>0</v>
      </c>
      <c r="F22" s="5"/>
      <c r="H22" s="8">
        <f>Tableau9296219231[[#This Row],[Quantités acheté rajouté]]*Tableau9296219231[[#This Row],[CU du matos rajouté acheté]]</f>
        <v>0</v>
      </c>
    </row>
    <row r="23" spans="2:8" x14ac:dyDescent="0.25">
      <c r="E23" s="3">
        <f>Tableau9296219231[[#This Row],[Demande]]-Tableau9296219231[[#This Row],[Présente dans la malle]]</f>
        <v>0</v>
      </c>
      <c r="F23" s="5"/>
      <c r="H23" s="8">
        <f>Tableau9296219231[[#This Row],[Quantités acheté rajouté]]*Tableau9296219231[[#This Row],[CU du matos rajouté acheté]]</f>
        <v>0</v>
      </c>
    </row>
    <row r="24" spans="2:8" x14ac:dyDescent="0.25">
      <c r="E24" s="3">
        <f>Tableau9296219231[[#This Row],[Demande]]-Tableau9296219231[[#This Row],[Présente dans la malle]]</f>
        <v>0</v>
      </c>
      <c r="F24" s="5"/>
      <c r="H24" s="8">
        <f>Tableau9296219231[[#This Row],[Quantités acheté rajouté]]*Tableau9296219231[[#This Row],[CU du matos rajouté acheté]]</f>
        <v>0</v>
      </c>
    </row>
    <row r="25" spans="2:8" x14ac:dyDescent="0.25">
      <c r="E25" s="3">
        <f>Tableau9296219231[[#This Row],[Demande]]-Tableau9296219231[[#This Row],[Présente dans la malle]]</f>
        <v>0</v>
      </c>
      <c r="F25" s="5"/>
      <c r="H25" s="8">
        <f>Tableau9296219231[[#This Row],[Quantités acheté rajouté]]*Tableau9296219231[[#This Row],[CU du matos rajouté acheté]]</f>
        <v>0</v>
      </c>
    </row>
    <row r="26" spans="2:8" x14ac:dyDescent="0.25">
      <c r="E26" s="3">
        <f>Tableau9296219231[[#This Row],[Demande]]-Tableau9296219231[[#This Row],[Présente dans la malle]]</f>
        <v>0</v>
      </c>
      <c r="F26" s="5"/>
      <c r="H26" s="8">
        <f>Tableau9296219231[[#This Row],[Quantités acheté rajouté]]*Tableau9296219231[[#This Row],[CU du matos rajouté acheté]]</f>
        <v>0</v>
      </c>
    </row>
    <row r="27" spans="2:8" x14ac:dyDescent="0.25">
      <c r="E27" s="3">
        <f>Tableau9296219231[[#This Row],[Demande]]-Tableau9296219231[[#This Row],[Présente dans la malle]]</f>
        <v>0</v>
      </c>
      <c r="F27" s="5"/>
      <c r="H27" s="8">
        <f>Tableau9296219231[[#This Row],[Quantités acheté rajouté]]*Tableau9296219231[[#This Row],[CU du matos rajouté acheté]]</f>
        <v>0</v>
      </c>
    </row>
    <row r="28" spans="2:8" x14ac:dyDescent="0.25">
      <c r="E28" s="3">
        <f>Tableau9296219231[[#This Row],[Demande]]-Tableau9296219231[[#This Row],[Présente dans la malle]]</f>
        <v>0</v>
      </c>
      <c r="F28" s="5"/>
      <c r="H28" s="8">
        <f>Tableau9296219231[[#This Row],[Quantités acheté rajouté]]*Tableau9296219231[[#This Row],[CU du matos rajouté acheté]]</f>
        <v>0</v>
      </c>
    </row>
    <row r="29" spans="2:8" x14ac:dyDescent="0.25">
      <c r="E29" s="3">
        <f>Tableau9296219231[[#This Row],[Demande]]-Tableau9296219231[[#This Row],[Présente dans la malle]]</f>
        <v>0</v>
      </c>
      <c r="F29" s="5"/>
      <c r="H29" s="8">
        <f>Tableau9296219231[[#This Row],[Quantités acheté rajouté]]*Tableau9296219231[[#This Row],[CU du matos rajouté acheté]]</f>
        <v>0</v>
      </c>
    </row>
    <row r="30" spans="2:8" x14ac:dyDescent="0.25">
      <c r="E30" s="3">
        <f>Tableau9296219231[[#This Row],[Demande]]-Tableau9296219231[[#This Row],[Présente dans la malle]]</f>
        <v>0</v>
      </c>
      <c r="F30" s="5"/>
      <c r="H30" s="8">
        <f>Tableau9296219231[[#This Row],[Quantités acheté rajouté]]*Tableau9296219231[[#This Row],[CU du matos rajouté acheté]]</f>
        <v>0</v>
      </c>
    </row>
    <row r="31" spans="2:8" x14ac:dyDescent="0.25">
      <c r="E31" s="3">
        <f>Tableau9296219231[[#This Row],[Demande]]-Tableau9296219231[[#This Row],[Présente dans la malle]]</f>
        <v>0</v>
      </c>
      <c r="F31" s="5"/>
      <c r="H31" s="8">
        <f>Tableau9296219231[[#This Row],[Quantités acheté rajouté]]*Tableau9296219231[[#This Row],[CU du matos rajouté acheté]]</f>
        <v>0</v>
      </c>
    </row>
    <row r="32" spans="2:8" x14ac:dyDescent="0.25">
      <c r="E32" s="3">
        <f>Tableau9296219231[[#This Row],[Demande]]-Tableau9296219231[[#This Row],[Présente dans la malle]]</f>
        <v>0</v>
      </c>
      <c r="F32" s="7"/>
      <c r="G32" s="4"/>
      <c r="H32" s="8">
        <f>Tableau9296219231[[#This Row],[Quantités acheté rajouté]]*Tableau9296219231[[#This Row],[CU du matos rajouté acheté]]</f>
        <v>0</v>
      </c>
    </row>
    <row r="33" spans="2:8" x14ac:dyDescent="0.25">
      <c r="B33" t="s">
        <v>4</v>
      </c>
      <c r="C33">
        <f>SUM(Tableau9296219231[Présente dans la malle])</f>
        <v>0</v>
      </c>
      <c r="D33">
        <f>SUM(Tableau9296219231[Demande])</f>
        <v>0</v>
      </c>
      <c r="E33">
        <f>SUM(Tableau9296219231[Manque])</f>
        <v>0</v>
      </c>
      <c r="F33" s="6">
        <f>SUM(Tableau9296219231[Quantités acheté rajouté])</f>
        <v>0</v>
      </c>
      <c r="G33" s="6"/>
      <c r="H33" s="2">
        <f>SUM(Tableau9296219231[CT])</f>
        <v>0</v>
      </c>
    </row>
    <row r="35" spans="2:8" x14ac:dyDescent="0.25">
      <c r="H35" s="2"/>
    </row>
    <row r="36" spans="2:8" x14ac:dyDescent="0.25">
      <c r="B36" t="s">
        <v>6</v>
      </c>
      <c r="C36" t="s">
        <v>0</v>
      </c>
      <c r="D36" t="s">
        <v>1</v>
      </c>
      <c r="E36" t="s">
        <v>2</v>
      </c>
      <c r="F36" s="2" t="s">
        <v>15</v>
      </c>
      <c r="G36" s="2" t="s">
        <v>11</v>
      </c>
      <c r="H36" s="2" t="s">
        <v>10</v>
      </c>
    </row>
    <row r="37" spans="2:8" x14ac:dyDescent="0.25">
      <c r="E37" s="3">
        <f>Tableau9297220232[[#This Row],[Demande]]-Tableau9297220232[[#This Row],[Présente dans la malle]]</f>
        <v>0</v>
      </c>
      <c r="F37" s="5"/>
      <c r="H37" s="8">
        <f>Tableau9297220232[[#This Row],[Quantités acheté rajouté]]*Tableau9297220232[[#This Row],[CU du matos rajouté acheté]]</f>
        <v>0</v>
      </c>
    </row>
    <row r="38" spans="2:8" x14ac:dyDescent="0.25">
      <c r="E38" s="3">
        <f>Tableau9297220232[[#This Row],[Demande]]-Tableau9297220232[[#This Row],[Présente dans la malle]]</f>
        <v>0</v>
      </c>
      <c r="F38" s="5"/>
      <c r="H38" s="8">
        <f>Tableau9297220232[[#This Row],[Quantités acheté rajouté]]*Tableau9297220232[[#This Row],[CU du matos rajouté acheté]]</f>
        <v>0</v>
      </c>
    </row>
    <row r="39" spans="2:8" x14ac:dyDescent="0.25">
      <c r="E39" s="3">
        <f>Tableau9297220232[[#This Row],[Demande]]-Tableau9297220232[[#This Row],[Présente dans la malle]]</f>
        <v>0</v>
      </c>
      <c r="F39" s="5"/>
      <c r="H39" s="8">
        <f>Tableau9297220232[[#This Row],[Quantités acheté rajouté]]*Tableau9297220232[[#This Row],[CU du matos rajouté acheté]]</f>
        <v>0</v>
      </c>
    </row>
    <row r="40" spans="2:8" x14ac:dyDescent="0.25">
      <c r="E40" s="3">
        <f>Tableau9297220232[[#This Row],[Demande]]-Tableau9297220232[[#This Row],[Présente dans la malle]]</f>
        <v>0</v>
      </c>
      <c r="F40" s="5"/>
      <c r="H40" s="8">
        <f>Tableau9297220232[[#This Row],[Quantités acheté rajouté]]*Tableau9297220232[[#This Row],[CU du matos rajouté acheté]]</f>
        <v>0</v>
      </c>
    </row>
    <row r="41" spans="2:8" x14ac:dyDescent="0.25">
      <c r="E41" s="3">
        <f>Tableau9297220232[[#This Row],[Demande]]-Tableau9297220232[[#This Row],[Présente dans la malle]]</f>
        <v>0</v>
      </c>
      <c r="F41" s="5"/>
      <c r="H41" s="8">
        <f>Tableau9297220232[[#This Row],[Quantités acheté rajouté]]*Tableau9297220232[[#This Row],[CU du matos rajouté acheté]]</f>
        <v>0</v>
      </c>
    </row>
    <row r="42" spans="2:8" x14ac:dyDescent="0.25">
      <c r="E42" s="3">
        <f>Tableau9297220232[[#This Row],[Demande]]-Tableau9297220232[[#This Row],[Présente dans la malle]]</f>
        <v>0</v>
      </c>
      <c r="F42" s="5"/>
      <c r="H42" s="8">
        <f>Tableau9297220232[[#This Row],[Quantités acheté rajouté]]*Tableau9297220232[[#This Row],[CU du matos rajouté acheté]]</f>
        <v>0</v>
      </c>
    </row>
    <row r="43" spans="2:8" x14ac:dyDescent="0.25">
      <c r="E43" s="3">
        <f>Tableau9297220232[[#This Row],[Demande]]-Tableau9297220232[[#This Row],[Présente dans la malle]]</f>
        <v>0</v>
      </c>
      <c r="F43" s="5"/>
      <c r="H43" s="8">
        <f>Tableau9297220232[[#This Row],[Quantités acheté rajouté]]*Tableau9297220232[[#This Row],[CU du matos rajouté acheté]]</f>
        <v>0</v>
      </c>
    </row>
    <row r="44" spans="2:8" x14ac:dyDescent="0.25">
      <c r="E44" s="3">
        <f>Tableau9297220232[[#This Row],[Demande]]-Tableau9297220232[[#This Row],[Présente dans la malle]]</f>
        <v>0</v>
      </c>
      <c r="F44" s="5"/>
      <c r="H44" s="8">
        <f>Tableau9297220232[[#This Row],[Quantités acheté rajouté]]*Tableau9297220232[[#This Row],[CU du matos rajouté acheté]]</f>
        <v>0</v>
      </c>
    </row>
    <row r="45" spans="2:8" x14ac:dyDescent="0.25">
      <c r="E45" s="3">
        <f>Tableau9297220232[[#This Row],[Demande]]-Tableau9297220232[[#This Row],[Présente dans la malle]]</f>
        <v>0</v>
      </c>
      <c r="F45" s="5"/>
      <c r="H45" s="8">
        <f>Tableau9297220232[[#This Row],[Quantités acheté rajouté]]*Tableau9297220232[[#This Row],[CU du matos rajouté acheté]]</f>
        <v>0</v>
      </c>
    </row>
    <row r="46" spans="2:8" x14ac:dyDescent="0.25">
      <c r="E46" s="3">
        <f>Tableau9297220232[[#This Row],[Demande]]-Tableau9297220232[[#This Row],[Présente dans la malle]]</f>
        <v>0</v>
      </c>
      <c r="F46" s="5"/>
      <c r="H46" s="8">
        <f>Tableau9297220232[[#This Row],[Quantités acheté rajouté]]*Tableau9297220232[[#This Row],[CU du matos rajouté acheté]]</f>
        <v>0</v>
      </c>
    </row>
    <row r="47" spans="2:8" x14ac:dyDescent="0.25">
      <c r="E47" s="3">
        <f>Tableau9297220232[[#This Row],[Demande]]-Tableau9297220232[[#This Row],[Présente dans la malle]]</f>
        <v>0</v>
      </c>
      <c r="F47" s="5"/>
      <c r="H47" s="8">
        <f>Tableau9297220232[[#This Row],[Quantités acheté rajouté]]*Tableau9297220232[[#This Row],[CU du matos rajouté acheté]]</f>
        <v>0</v>
      </c>
    </row>
    <row r="48" spans="2:8" x14ac:dyDescent="0.25">
      <c r="E48" s="3">
        <f>Tableau9297220232[[#This Row],[Demande]]-Tableau9297220232[[#This Row],[Présente dans la malle]]</f>
        <v>0</v>
      </c>
      <c r="F48" s="5"/>
      <c r="H48" s="8">
        <f>Tableau9297220232[[#This Row],[Quantités acheté rajouté]]*Tableau9297220232[[#This Row],[CU du matos rajouté acheté]]</f>
        <v>0</v>
      </c>
    </row>
    <row r="49" spans="2:8" x14ac:dyDescent="0.25">
      <c r="E49" s="3">
        <f>Tableau9297220232[[#This Row],[Demande]]-Tableau9297220232[[#This Row],[Présente dans la malle]]</f>
        <v>0</v>
      </c>
      <c r="F49" s="7"/>
      <c r="G49" s="4"/>
      <c r="H49" s="8">
        <f>Tableau9297220232[[#This Row],[Quantités acheté rajouté]]*Tableau9297220232[[#This Row],[CU du matos rajouté acheté]]</f>
        <v>0</v>
      </c>
    </row>
    <row r="50" spans="2:8" x14ac:dyDescent="0.25">
      <c r="B50" t="s">
        <v>4</v>
      </c>
      <c r="C50">
        <f>SUM(Tableau9297220232[Présente dans la malle])</f>
        <v>0</v>
      </c>
      <c r="D50">
        <f>SUM(Tableau9297220232[Demande])</f>
        <v>0</v>
      </c>
      <c r="E50">
        <f>SUM(Tableau9297220232[Manque])</f>
        <v>0</v>
      </c>
      <c r="F50" s="6">
        <f>SUM(Tableau9297220232[Quantités acheté rajouté])</f>
        <v>0</v>
      </c>
      <c r="G50" s="6"/>
      <c r="H50" s="2">
        <f>SUM(Tableau9297220232[CT])</f>
        <v>0</v>
      </c>
    </row>
  </sheetData>
  <conditionalFormatting sqref="E3:E15">
    <cfRule type="cellIs" dxfId="896" priority="10" operator="equal">
      <formula>0</formula>
    </cfRule>
    <cfRule type="cellIs" dxfId="895" priority="11" operator="lessThan">
      <formula>0</formula>
    </cfRule>
    <cfRule type="cellIs" dxfId="894" priority="12" operator="greaterThan">
      <formula>0</formula>
    </cfRule>
  </conditionalFormatting>
  <conditionalFormatting sqref="E16">
    <cfRule type="cellIs" dxfId="893" priority="9" operator="equal">
      <formula>0</formula>
    </cfRule>
  </conditionalFormatting>
  <conditionalFormatting sqref="E50">
    <cfRule type="cellIs" dxfId="892" priority="1" operator="equal">
      <formula>0</formula>
    </cfRule>
  </conditionalFormatting>
  <conditionalFormatting sqref="E20:E32">
    <cfRule type="cellIs" dxfId="891" priority="6" operator="equal">
      <formula>0</formula>
    </cfRule>
    <cfRule type="cellIs" dxfId="890" priority="7" operator="lessThan">
      <formula>0</formula>
    </cfRule>
    <cfRule type="cellIs" dxfId="889" priority="8" operator="greaterThan">
      <formula>0</formula>
    </cfRule>
  </conditionalFormatting>
  <conditionalFormatting sqref="E33">
    <cfRule type="cellIs" dxfId="888" priority="5" operator="equal">
      <formula>0</formula>
    </cfRule>
  </conditionalFormatting>
  <conditionalFormatting sqref="E37:E49">
    <cfRule type="cellIs" dxfId="887" priority="2" operator="equal">
      <formula>0</formula>
    </cfRule>
    <cfRule type="cellIs" dxfId="886" priority="3" operator="lessThan">
      <formula>0</formula>
    </cfRule>
    <cfRule type="cellIs" dxfId="885" priority="4" operator="greaterThan">
      <formula>0</formula>
    </cfRule>
  </conditionalFormatting>
  <dataValidations count="7">
    <dataValidation type="list" allowBlank="1" showInputMessage="1" showErrorMessage="1" prompt="Insérez la fourniture désiré" sqref="B37:B48 B20:B31 B3 B9:B14" xr:uid="{B34677C2-5F92-4FF9-9326-6DC2B4B1295D}">
      <formula1>Fournitures</formula1>
    </dataValidation>
    <dataValidation allowBlank="1" showInputMessage="1" showErrorMessage="1" prompt="Si VERT_x000a_La fourniture est bien présente et la quantité est bonne_x000a_Si ROUGE_x000a_+ : Il faut rajouter la quantité de fourniture_x000a_- : Il faut enlevé la quantité de fourniture en trop_x000a_" sqref="E20:E32 E3:E15 E37:E49" xr:uid="{E413320D-3A6C-4DF1-BD3C-5E6B4AC5827D}"/>
    <dataValidation allowBlank="1" showInputMessage="1" showErrorMessage="1" prompt="Insérez la quantité présente dans les malles" sqref="C11:C14 C37:C43 C28:C31 C20:C26 C45:C48 C3:C7 C9" xr:uid="{DC12F22E-4426-47CE-AD69-5197AD3968B4}"/>
    <dataValidation allowBlank="1" showInputMessage="1" showErrorMessage="1" prompt="Insérez la quantité demandé" sqref="D11:D14 D3:D9 D28:D31 D20:D26 D45:D48 D37:D43" xr:uid="{6F0E3114-1B2E-4D12-A9E9-F79A29285B86}"/>
    <dataValidation allowBlank="1" showInputMessage="1" showErrorMessage="1" prompt="Quantité acheté rajouté * CU" sqref="H3 H20 H37" xr:uid="{0698A0EC-1380-47C2-ACCA-D3EAA442F684}"/>
    <dataValidation allowBlank="1" showInputMessage="1" showErrorMessage="1" prompt="CU = Cout unitaire" sqref="F35:G36 F2:G2 F19:G19" xr:uid="{FC688D16-02A1-4C4B-890C-661EDA012184}"/>
    <dataValidation allowBlank="1" showInputMessage="1" showErrorMessage="1" prompt="CT = Cout total" sqref="H35:H36 H2 H19" xr:uid="{51B989CA-5AFA-4D44-BF01-97DDC4875F83}"/>
  </dataValidations>
  <pageMargins left="0.7" right="0.7" top="0.75" bottom="0.75" header="0.3" footer="0.3"/>
  <tableParts count="3">
    <tablePart r:id="rId1"/>
    <tablePart r:id="rId2"/>
    <tablePart r:id="rId3"/>
  </tableParts>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5EC3DAD-2078-432F-BB5A-EBDBF6E71FD4}">
  <dimension ref="B2:H51"/>
  <sheetViews>
    <sheetView workbookViewId="0">
      <selection activeCell="F16" sqref="F16"/>
    </sheetView>
  </sheetViews>
  <sheetFormatPr baseColWidth="10" defaultRowHeight="15" x14ac:dyDescent="0.25"/>
  <cols>
    <col min="2" max="2" width="24.42578125" customWidth="1"/>
    <col min="3" max="3" width="23.140625" customWidth="1"/>
    <col min="4" max="4" width="11.7109375" customWidth="1"/>
    <col min="6" max="6" width="26.5703125" style="2" customWidth="1"/>
    <col min="7" max="7" width="28.28515625" style="2" customWidth="1"/>
  </cols>
  <sheetData>
    <row r="2" spans="2:8" x14ac:dyDescent="0.25">
      <c r="B2" t="s">
        <v>7</v>
      </c>
      <c r="C2" t="s">
        <v>0</v>
      </c>
      <c r="D2" t="s">
        <v>1</v>
      </c>
      <c r="E2" t="s">
        <v>2</v>
      </c>
      <c r="F2" s="2" t="s">
        <v>15</v>
      </c>
      <c r="G2" s="2" t="s">
        <v>11</v>
      </c>
      <c r="H2" s="2" t="s">
        <v>10</v>
      </c>
    </row>
    <row r="3" spans="2:8" x14ac:dyDescent="0.25">
      <c r="B3" t="s">
        <v>139</v>
      </c>
      <c r="C3">
        <v>1</v>
      </c>
      <c r="E3" s="3">
        <f>Tableau92218233[[#This Row],[Demande]]-Tableau92218233[[#This Row],[Présente dans la malle]]</f>
        <v>-1</v>
      </c>
      <c r="F3" s="5"/>
      <c r="H3" s="8">
        <f>Tableau92218233[[#This Row],[Quantités acheté rajouté]]*Tableau92218233[[#This Row],[CU du matos rajouté acheté]]</f>
        <v>0</v>
      </c>
    </row>
    <row r="4" spans="2:8" x14ac:dyDescent="0.25">
      <c r="B4" t="s">
        <v>90</v>
      </c>
      <c r="C4">
        <v>1</v>
      </c>
      <c r="E4" s="3">
        <f>Tableau92218233[[#This Row],[Demande]]-Tableau92218233[[#This Row],[Présente dans la malle]]</f>
        <v>-1</v>
      </c>
      <c r="F4" s="5"/>
      <c r="H4" s="8">
        <f>Tableau92218233[[#This Row],[Quantités acheté rajouté]]*Tableau92218233[[#This Row],[CU du matos rajouté acheté]]</f>
        <v>0</v>
      </c>
    </row>
    <row r="5" spans="2:8" x14ac:dyDescent="0.25">
      <c r="B5" t="s">
        <v>196</v>
      </c>
      <c r="C5">
        <v>1</v>
      </c>
      <c r="E5" s="3">
        <f>Tableau92218233[[#This Row],[Demande]]-Tableau92218233[[#This Row],[Présente dans la malle]]</f>
        <v>-1</v>
      </c>
      <c r="F5" s="5"/>
      <c r="H5" s="8">
        <f>Tableau92218233[[#This Row],[Quantités acheté rajouté]]*Tableau92218233[[#This Row],[CU du matos rajouté acheté]]</f>
        <v>0</v>
      </c>
    </row>
    <row r="6" spans="2:8" x14ac:dyDescent="0.25">
      <c r="B6" t="s">
        <v>73</v>
      </c>
      <c r="C6">
        <v>1</v>
      </c>
      <c r="E6" s="3">
        <f>Tableau92218233[[#This Row],[Demande]]-Tableau92218233[[#This Row],[Présente dans la malle]]</f>
        <v>-1</v>
      </c>
      <c r="F6" s="5"/>
      <c r="H6" s="8">
        <f>Tableau92218233[[#This Row],[Quantités acheté rajouté]]*Tableau92218233[[#This Row],[CU du matos rajouté acheté]]</f>
        <v>0</v>
      </c>
    </row>
    <row r="7" spans="2:8" x14ac:dyDescent="0.25">
      <c r="B7" t="s">
        <v>191</v>
      </c>
      <c r="C7">
        <v>1</v>
      </c>
      <c r="E7" s="3">
        <f>Tableau92218233[[#This Row],[Demande]]-Tableau92218233[[#This Row],[Présente dans la malle]]</f>
        <v>-1</v>
      </c>
      <c r="F7" s="5"/>
      <c r="H7" s="8">
        <f>Tableau92218233[[#This Row],[Quantités acheté rajouté]]*Tableau92218233[[#This Row],[CU du matos rajouté acheté]]</f>
        <v>0</v>
      </c>
    </row>
    <row r="8" spans="2:8" x14ac:dyDescent="0.25">
      <c r="B8" t="s">
        <v>121</v>
      </c>
      <c r="C8">
        <v>4</v>
      </c>
      <c r="E8" s="3">
        <f>Tableau92218233[[#This Row],[Demande]]-Tableau92218233[[#This Row],[Présente dans la malle]]</f>
        <v>-4</v>
      </c>
      <c r="F8" s="5"/>
      <c r="H8" s="8">
        <f>Tableau92218233[[#This Row],[Quantités acheté rajouté]]*Tableau92218233[[#This Row],[CU du matos rajouté acheté]]</f>
        <v>0</v>
      </c>
    </row>
    <row r="9" spans="2:8" x14ac:dyDescent="0.25">
      <c r="B9" t="s">
        <v>197</v>
      </c>
      <c r="C9">
        <v>2</v>
      </c>
      <c r="E9" s="3">
        <f>Tableau92218233[[#This Row],[Demande]]-Tableau92218233[[#This Row],[Présente dans la malle]]</f>
        <v>-2</v>
      </c>
      <c r="F9" s="5"/>
      <c r="H9" s="8">
        <f>Tableau92218233[[#This Row],[Quantités acheté rajouté]]*Tableau92218233[[#This Row],[CU du matos rajouté acheté]]</f>
        <v>0</v>
      </c>
    </row>
    <row r="10" spans="2:8" x14ac:dyDescent="0.25">
      <c r="B10" t="s">
        <v>58</v>
      </c>
      <c r="C10">
        <v>1</v>
      </c>
      <c r="E10" s="3">
        <f>Tableau92218233[[#This Row],[Demande]]-Tableau92218233[[#This Row],[Présente dans la malle]]</f>
        <v>-1</v>
      </c>
      <c r="F10" s="5"/>
      <c r="H10" s="8">
        <f>Tableau92218233[[#This Row],[Quantités acheté rajouté]]*Tableau92218233[[#This Row],[CU du matos rajouté acheté]]</f>
        <v>0</v>
      </c>
    </row>
    <row r="11" spans="2:8" x14ac:dyDescent="0.25">
      <c r="B11" t="s">
        <v>124</v>
      </c>
      <c r="C11">
        <v>1</v>
      </c>
      <c r="E11" s="3">
        <f>Tableau92218233[[#This Row],[Demande]]-Tableau92218233[[#This Row],[Présente dans la malle]]</f>
        <v>-1</v>
      </c>
      <c r="F11" s="5"/>
      <c r="H11" s="8">
        <f>Tableau92218233[[#This Row],[Quantités acheté rajouté]]*Tableau92218233[[#This Row],[CU du matos rajouté acheté]]</f>
        <v>0</v>
      </c>
    </row>
    <row r="12" spans="2:8" x14ac:dyDescent="0.25">
      <c r="B12" t="s">
        <v>199</v>
      </c>
      <c r="C12">
        <v>2</v>
      </c>
      <c r="E12" s="3">
        <f>Tableau92218233[[#This Row],[Demande]]-Tableau92218233[[#This Row],[Présente dans la malle]]</f>
        <v>-2</v>
      </c>
      <c r="F12" s="5"/>
      <c r="H12" s="8">
        <f>Tableau92218233[[#This Row],[Quantités acheté rajouté]]*Tableau92218233[[#This Row],[CU du matos rajouté acheté]]</f>
        <v>0</v>
      </c>
    </row>
    <row r="13" spans="2:8" x14ac:dyDescent="0.25">
      <c r="B13" t="s">
        <v>198</v>
      </c>
      <c r="C13">
        <v>1</v>
      </c>
      <c r="E13" s="3">
        <f>Tableau92218233[[#This Row],[Demande]]-Tableau92218233[[#This Row],[Présente dans la malle]]</f>
        <v>-1</v>
      </c>
      <c r="F13" s="5"/>
      <c r="H13" s="8">
        <f>Tableau92218233[[#This Row],[Quantités acheté rajouté]]*Tableau92218233[[#This Row],[CU du matos rajouté acheté]]</f>
        <v>0</v>
      </c>
    </row>
    <row r="14" spans="2:8" x14ac:dyDescent="0.25">
      <c r="B14" t="s">
        <v>200</v>
      </c>
      <c r="C14">
        <v>1</v>
      </c>
      <c r="E14" s="3">
        <f>Tableau92218233[[#This Row],[Demande]]-Tableau92218233[[#This Row],[Présente dans la malle]]</f>
        <v>-1</v>
      </c>
      <c r="F14" s="5"/>
      <c r="H14" s="8">
        <f>Tableau92218233[[#This Row],[Quantités acheté rajouté]]*Tableau92218233[[#This Row],[CU du matos rajouté acheté]]</f>
        <v>0</v>
      </c>
    </row>
    <row r="15" spans="2:8" x14ac:dyDescent="0.25">
      <c r="B15" t="s">
        <v>201</v>
      </c>
      <c r="C15">
        <v>1</v>
      </c>
      <c r="E15" s="3">
        <f>Tableau92218233[[#This Row],[Demande]]-Tableau92218233[[#This Row],[Présente dans la malle]]</f>
        <v>-1</v>
      </c>
      <c r="F15" s="7"/>
      <c r="G15" s="4"/>
      <c r="H15" s="8">
        <f>Tableau92218233[[#This Row],[Quantités acheté rajouté]]*Tableau92218233[[#This Row],[CU du matos rajouté acheté]]</f>
        <v>0</v>
      </c>
    </row>
    <row r="16" spans="2:8" x14ac:dyDescent="0.25">
      <c r="B16" t="s">
        <v>202</v>
      </c>
      <c r="C16">
        <v>1</v>
      </c>
      <c r="E16" s="1">
        <f>Tableau92218233[[#This Row],[Demande]]-Tableau92218233[[#This Row],[Présente dans la malle]]</f>
        <v>-1</v>
      </c>
      <c r="F16" s="5"/>
      <c r="H16" s="8">
        <f>Tableau92218233[[#This Row],[Quantités acheté rajouté]]*Tableau92218233[[#This Row],[CU du matos rajouté acheté]]</f>
        <v>0</v>
      </c>
    </row>
    <row r="17" spans="2:8" x14ac:dyDescent="0.25">
      <c r="B17" t="s">
        <v>4</v>
      </c>
      <c r="C17">
        <f>SUM(Tableau92218233[Présente dans la malle])</f>
        <v>19</v>
      </c>
      <c r="D17">
        <f>SUM(Tableau92218233[Demande])</f>
        <v>0</v>
      </c>
      <c r="E17">
        <f>SUM(Tableau92218233[Manque])</f>
        <v>-19</v>
      </c>
      <c r="F17" s="6">
        <f>SUM(Tableau92218233[Quantités acheté rajouté])</f>
        <v>0</v>
      </c>
      <c r="G17" s="6"/>
      <c r="H17" s="10">
        <f>SUM(Tableau92218233[CT])</f>
        <v>0</v>
      </c>
    </row>
    <row r="18" spans="2:8" x14ac:dyDescent="0.25">
      <c r="F18"/>
      <c r="G18" s="6"/>
      <c r="H18" s="10"/>
    </row>
    <row r="20" spans="2:8" x14ac:dyDescent="0.25">
      <c r="B20" t="s">
        <v>5</v>
      </c>
      <c r="C20" t="s">
        <v>0</v>
      </c>
      <c r="D20" t="s">
        <v>1</v>
      </c>
      <c r="E20" t="s">
        <v>2</v>
      </c>
      <c r="F20" s="2" t="s">
        <v>15</v>
      </c>
      <c r="G20" s="2" t="s">
        <v>11</v>
      </c>
      <c r="H20" s="2" t="s">
        <v>10</v>
      </c>
    </row>
    <row r="21" spans="2:8" x14ac:dyDescent="0.25">
      <c r="E21" s="3">
        <f>Tableau9296219234[[#This Row],[Demande]]-Tableau9296219234[[#This Row],[Présente dans la malle]]</f>
        <v>0</v>
      </c>
      <c r="F21" s="5"/>
      <c r="H21" s="8">
        <f>Tableau9296219234[[#This Row],[Quantités acheté rajouté]]*Tableau9296219234[[#This Row],[CU du matos rajouté acheté]]</f>
        <v>0</v>
      </c>
    </row>
    <row r="22" spans="2:8" x14ac:dyDescent="0.25">
      <c r="E22" s="3">
        <f>Tableau9296219234[[#This Row],[Demande]]-Tableau9296219234[[#This Row],[Présente dans la malle]]</f>
        <v>0</v>
      </c>
      <c r="F22" s="5"/>
      <c r="H22" s="8">
        <f>Tableau9296219234[[#This Row],[Quantités acheté rajouté]]*Tableau9296219234[[#This Row],[CU du matos rajouté acheté]]</f>
        <v>0</v>
      </c>
    </row>
    <row r="23" spans="2:8" x14ac:dyDescent="0.25">
      <c r="E23" s="3">
        <f>Tableau9296219234[[#This Row],[Demande]]-Tableau9296219234[[#This Row],[Présente dans la malle]]</f>
        <v>0</v>
      </c>
      <c r="F23" s="5"/>
      <c r="H23" s="8">
        <f>Tableau9296219234[[#This Row],[Quantités acheté rajouté]]*Tableau9296219234[[#This Row],[CU du matos rajouté acheté]]</f>
        <v>0</v>
      </c>
    </row>
    <row r="24" spans="2:8" x14ac:dyDescent="0.25">
      <c r="E24" s="3">
        <f>Tableau9296219234[[#This Row],[Demande]]-Tableau9296219234[[#This Row],[Présente dans la malle]]</f>
        <v>0</v>
      </c>
      <c r="F24" s="5"/>
      <c r="H24" s="8">
        <f>Tableau9296219234[[#This Row],[Quantités acheté rajouté]]*Tableau9296219234[[#This Row],[CU du matos rajouté acheté]]</f>
        <v>0</v>
      </c>
    </row>
    <row r="25" spans="2:8" x14ac:dyDescent="0.25">
      <c r="E25" s="3">
        <f>Tableau9296219234[[#This Row],[Demande]]-Tableau9296219234[[#This Row],[Présente dans la malle]]</f>
        <v>0</v>
      </c>
      <c r="F25" s="5"/>
      <c r="H25" s="8">
        <f>Tableau9296219234[[#This Row],[Quantités acheté rajouté]]*Tableau9296219234[[#This Row],[CU du matos rajouté acheté]]</f>
        <v>0</v>
      </c>
    </row>
    <row r="26" spans="2:8" x14ac:dyDescent="0.25">
      <c r="E26" s="3">
        <f>Tableau9296219234[[#This Row],[Demande]]-Tableau9296219234[[#This Row],[Présente dans la malle]]</f>
        <v>0</v>
      </c>
      <c r="F26" s="5"/>
      <c r="H26" s="8">
        <f>Tableau9296219234[[#This Row],[Quantités acheté rajouté]]*Tableau9296219234[[#This Row],[CU du matos rajouté acheté]]</f>
        <v>0</v>
      </c>
    </row>
    <row r="27" spans="2:8" x14ac:dyDescent="0.25">
      <c r="E27" s="3">
        <f>Tableau9296219234[[#This Row],[Demande]]-Tableau9296219234[[#This Row],[Présente dans la malle]]</f>
        <v>0</v>
      </c>
      <c r="F27" s="5"/>
      <c r="H27" s="8">
        <f>Tableau9296219234[[#This Row],[Quantités acheté rajouté]]*Tableau9296219234[[#This Row],[CU du matos rajouté acheté]]</f>
        <v>0</v>
      </c>
    </row>
    <row r="28" spans="2:8" x14ac:dyDescent="0.25">
      <c r="E28" s="3">
        <f>Tableau9296219234[[#This Row],[Demande]]-Tableau9296219234[[#This Row],[Présente dans la malle]]</f>
        <v>0</v>
      </c>
      <c r="F28" s="5"/>
      <c r="H28" s="8">
        <f>Tableau9296219234[[#This Row],[Quantités acheté rajouté]]*Tableau9296219234[[#This Row],[CU du matos rajouté acheté]]</f>
        <v>0</v>
      </c>
    </row>
    <row r="29" spans="2:8" x14ac:dyDescent="0.25">
      <c r="E29" s="3">
        <f>Tableau9296219234[[#This Row],[Demande]]-Tableau9296219234[[#This Row],[Présente dans la malle]]</f>
        <v>0</v>
      </c>
      <c r="F29" s="5"/>
      <c r="H29" s="8">
        <f>Tableau9296219234[[#This Row],[Quantités acheté rajouté]]*Tableau9296219234[[#This Row],[CU du matos rajouté acheté]]</f>
        <v>0</v>
      </c>
    </row>
    <row r="30" spans="2:8" x14ac:dyDescent="0.25">
      <c r="E30" s="3">
        <f>Tableau9296219234[[#This Row],[Demande]]-Tableau9296219234[[#This Row],[Présente dans la malle]]</f>
        <v>0</v>
      </c>
      <c r="F30" s="5"/>
      <c r="H30" s="8">
        <f>Tableau9296219234[[#This Row],[Quantités acheté rajouté]]*Tableau9296219234[[#This Row],[CU du matos rajouté acheté]]</f>
        <v>0</v>
      </c>
    </row>
    <row r="31" spans="2:8" x14ac:dyDescent="0.25">
      <c r="E31" s="3">
        <f>Tableau9296219234[[#This Row],[Demande]]-Tableau9296219234[[#This Row],[Présente dans la malle]]</f>
        <v>0</v>
      </c>
      <c r="F31" s="5"/>
      <c r="H31" s="8">
        <f>Tableau9296219234[[#This Row],[Quantités acheté rajouté]]*Tableau9296219234[[#This Row],[CU du matos rajouté acheté]]</f>
        <v>0</v>
      </c>
    </row>
    <row r="32" spans="2:8" x14ac:dyDescent="0.25">
      <c r="E32" s="3">
        <f>Tableau9296219234[[#This Row],[Demande]]-Tableau9296219234[[#This Row],[Présente dans la malle]]</f>
        <v>0</v>
      </c>
      <c r="F32" s="5"/>
      <c r="H32" s="8">
        <f>Tableau9296219234[[#This Row],[Quantités acheté rajouté]]*Tableau9296219234[[#This Row],[CU du matos rajouté acheté]]</f>
        <v>0</v>
      </c>
    </row>
    <row r="33" spans="2:8" x14ac:dyDescent="0.25">
      <c r="E33" s="3">
        <f>Tableau9296219234[[#This Row],[Demande]]-Tableau9296219234[[#This Row],[Présente dans la malle]]</f>
        <v>0</v>
      </c>
      <c r="F33" s="7"/>
      <c r="G33" s="4"/>
      <c r="H33" s="8">
        <f>Tableau9296219234[[#This Row],[Quantités acheté rajouté]]*Tableau9296219234[[#This Row],[CU du matos rajouté acheté]]</f>
        <v>0</v>
      </c>
    </row>
    <row r="34" spans="2:8" x14ac:dyDescent="0.25">
      <c r="B34" t="s">
        <v>4</v>
      </c>
      <c r="C34">
        <f>SUM(Tableau9296219234[Présente dans la malle])</f>
        <v>0</v>
      </c>
      <c r="D34">
        <f>SUM(Tableau9296219234[Demande])</f>
        <v>0</v>
      </c>
      <c r="E34">
        <f>SUM(Tableau9296219234[Manque])</f>
        <v>0</v>
      </c>
      <c r="F34" s="6">
        <f>SUM(Tableau9296219234[Quantités acheté rajouté])</f>
        <v>0</v>
      </c>
      <c r="G34" s="6"/>
      <c r="H34" s="2">
        <f>SUM(Tableau9296219234[CT])</f>
        <v>0</v>
      </c>
    </row>
    <row r="36" spans="2:8" x14ac:dyDescent="0.25">
      <c r="H36" s="2"/>
    </row>
    <row r="37" spans="2:8" x14ac:dyDescent="0.25">
      <c r="B37" t="s">
        <v>6</v>
      </c>
      <c r="C37" t="s">
        <v>0</v>
      </c>
      <c r="D37" t="s">
        <v>1</v>
      </c>
      <c r="E37" t="s">
        <v>2</v>
      </c>
      <c r="F37" s="2" t="s">
        <v>15</v>
      </c>
      <c r="G37" s="2" t="s">
        <v>11</v>
      </c>
      <c r="H37" s="2" t="s">
        <v>10</v>
      </c>
    </row>
    <row r="38" spans="2:8" x14ac:dyDescent="0.25">
      <c r="E38" s="3">
        <f>Tableau9297220235[[#This Row],[Demande]]-Tableau9297220235[[#This Row],[Présente dans la malle]]</f>
        <v>0</v>
      </c>
      <c r="F38" s="5"/>
      <c r="H38" s="8">
        <f>Tableau9297220235[[#This Row],[Quantités acheté rajouté]]*Tableau9297220235[[#This Row],[CU du matos rajouté acheté]]</f>
        <v>0</v>
      </c>
    </row>
    <row r="39" spans="2:8" x14ac:dyDescent="0.25">
      <c r="E39" s="3">
        <f>Tableau9297220235[[#This Row],[Demande]]-Tableau9297220235[[#This Row],[Présente dans la malle]]</f>
        <v>0</v>
      </c>
      <c r="F39" s="5"/>
      <c r="H39" s="8">
        <f>Tableau9297220235[[#This Row],[Quantités acheté rajouté]]*Tableau9297220235[[#This Row],[CU du matos rajouté acheté]]</f>
        <v>0</v>
      </c>
    </row>
    <row r="40" spans="2:8" x14ac:dyDescent="0.25">
      <c r="E40" s="3">
        <f>Tableau9297220235[[#This Row],[Demande]]-Tableau9297220235[[#This Row],[Présente dans la malle]]</f>
        <v>0</v>
      </c>
      <c r="F40" s="5"/>
      <c r="H40" s="8">
        <f>Tableau9297220235[[#This Row],[Quantités acheté rajouté]]*Tableau9297220235[[#This Row],[CU du matos rajouté acheté]]</f>
        <v>0</v>
      </c>
    </row>
    <row r="41" spans="2:8" x14ac:dyDescent="0.25">
      <c r="E41" s="3">
        <f>Tableau9297220235[[#This Row],[Demande]]-Tableau9297220235[[#This Row],[Présente dans la malle]]</f>
        <v>0</v>
      </c>
      <c r="F41" s="5"/>
      <c r="H41" s="8">
        <f>Tableau9297220235[[#This Row],[Quantités acheté rajouté]]*Tableau9297220235[[#This Row],[CU du matos rajouté acheté]]</f>
        <v>0</v>
      </c>
    </row>
    <row r="42" spans="2:8" x14ac:dyDescent="0.25">
      <c r="E42" s="3">
        <f>Tableau9297220235[[#This Row],[Demande]]-Tableau9297220235[[#This Row],[Présente dans la malle]]</f>
        <v>0</v>
      </c>
      <c r="F42" s="5"/>
      <c r="H42" s="8">
        <f>Tableau9297220235[[#This Row],[Quantités acheté rajouté]]*Tableau9297220235[[#This Row],[CU du matos rajouté acheté]]</f>
        <v>0</v>
      </c>
    </row>
    <row r="43" spans="2:8" x14ac:dyDescent="0.25">
      <c r="E43" s="3">
        <f>Tableau9297220235[[#This Row],[Demande]]-Tableau9297220235[[#This Row],[Présente dans la malle]]</f>
        <v>0</v>
      </c>
      <c r="F43" s="5"/>
      <c r="H43" s="8">
        <f>Tableau9297220235[[#This Row],[Quantités acheté rajouté]]*Tableau9297220235[[#This Row],[CU du matos rajouté acheté]]</f>
        <v>0</v>
      </c>
    </row>
    <row r="44" spans="2:8" x14ac:dyDescent="0.25">
      <c r="E44" s="3">
        <f>Tableau9297220235[[#This Row],[Demande]]-Tableau9297220235[[#This Row],[Présente dans la malle]]</f>
        <v>0</v>
      </c>
      <c r="F44" s="5"/>
      <c r="H44" s="8">
        <f>Tableau9297220235[[#This Row],[Quantités acheté rajouté]]*Tableau9297220235[[#This Row],[CU du matos rajouté acheté]]</f>
        <v>0</v>
      </c>
    </row>
    <row r="45" spans="2:8" x14ac:dyDescent="0.25">
      <c r="E45" s="3">
        <f>Tableau9297220235[[#This Row],[Demande]]-Tableau9297220235[[#This Row],[Présente dans la malle]]</f>
        <v>0</v>
      </c>
      <c r="F45" s="5"/>
      <c r="H45" s="8">
        <f>Tableau9297220235[[#This Row],[Quantités acheté rajouté]]*Tableau9297220235[[#This Row],[CU du matos rajouté acheté]]</f>
        <v>0</v>
      </c>
    </row>
    <row r="46" spans="2:8" x14ac:dyDescent="0.25">
      <c r="E46" s="3">
        <f>Tableau9297220235[[#This Row],[Demande]]-Tableau9297220235[[#This Row],[Présente dans la malle]]</f>
        <v>0</v>
      </c>
      <c r="F46" s="5"/>
      <c r="H46" s="8">
        <f>Tableau9297220235[[#This Row],[Quantités acheté rajouté]]*Tableau9297220235[[#This Row],[CU du matos rajouté acheté]]</f>
        <v>0</v>
      </c>
    </row>
    <row r="47" spans="2:8" x14ac:dyDescent="0.25">
      <c r="E47" s="3">
        <f>Tableau9297220235[[#This Row],[Demande]]-Tableau9297220235[[#This Row],[Présente dans la malle]]</f>
        <v>0</v>
      </c>
      <c r="F47" s="5"/>
      <c r="H47" s="8">
        <f>Tableau9297220235[[#This Row],[Quantités acheté rajouté]]*Tableau9297220235[[#This Row],[CU du matos rajouté acheté]]</f>
        <v>0</v>
      </c>
    </row>
    <row r="48" spans="2:8" x14ac:dyDescent="0.25">
      <c r="E48" s="3">
        <f>Tableau9297220235[[#This Row],[Demande]]-Tableau9297220235[[#This Row],[Présente dans la malle]]</f>
        <v>0</v>
      </c>
      <c r="F48" s="5"/>
      <c r="H48" s="8">
        <f>Tableau9297220235[[#This Row],[Quantités acheté rajouté]]*Tableau9297220235[[#This Row],[CU du matos rajouté acheté]]</f>
        <v>0</v>
      </c>
    </row>
    <row r="49" spans="2:8" x14ac:dyDescent="0.25">
      <c r="E49" s="3">
        <f>Tableau9297220235[[#This Row],[Demande]]-Tableau9297220235[[#This Row],[Présente dans la malle]]</f>
        <v>0</v>
      </c>
      <c r="F49" s="5"/>
      <c r="H49" s="8">
        <f>Tableau9297220235[[#This Row],[Quantités acheté rajouté]]*Tableau9297220235[[#This Row],[CU du matos rajouté acheté]]</f>
        <v>0</v>
      </c>
    </row>
    <row r="50" spans="2:8" x14ac:dyDescent="0.25">
      <c r="E50" s="3">
        <f>Tableau9297220235[[#This Row],[Demande]]-Tableau9297220235[[#This Row],[Présente dans la malle]]</f>
        <v>0</v>
      </c>
      <c r="F50" s="7"/>
      <c r="G50" s="4"/>
      <c r="H50" s="8">
        <f>Tableau9297220235[[#This Row],[Quantités acheté rajouté]]*Tableau9297220235[[#This Row],[CU du matos rajouté acheté]]</f>
        <v>0</v>
      </c>
    </row>
    <row r="51" spans="2:8" x14ac:dyDescent="0.25">
      <c r="B51" t="s">
        <v>4</v>
      </c>
      <c r="C51">
        <f>SUM(Tableau9297220235[Présente dans la malle])</f>
        <v>0</v>
      </c>
      <c r="D51">
        <f>SUM(Tableau9297220235[Demande])</f>
        <v>0</v>
      </c>
      <c r="E51">
        <f>SUM(Tableau9297220235[Manque])</f>
        <v>0</v>
      </c>
      <c r="F51" s="6">
        <f>SUM(Tableau9297220235[Quantités acheté rajouté])</f>
        <v>0</v>
      </c>
      <c r="G51" s="6"/>
      <c r="H51" s="2">
        <f>SUM(Tableau9297220235[CT])</f>
        <v>0</v>
      </c>
    </row>
  </sheetData>
  <conditionalFormatting sqref="E3:E16">
    <cfRule type="cellIs" dxfId="857" priority="10" operator="equal">
      <formula>0</formula>
    </cfRule>
    <cfRule type="cellIs" dxfId="856" priority="11" operator="lessThan">
      <formula>0</formula>
    </cfRule>
    <cfRule type="cellIs" dxfId="855" priority="12" operator="greaterThan">
      <formula>0</formula>
    </cfRule>
  </conditionalFormatting>
  <conditionalFormatting sqref="E17">
    <cfRule type="cellIs" dxfId="854" priority="9" operator="equal">
      <formula>0</formula>
    </cfRule>
  </conditionalFormatting>
  <conditionalFormatting sqref="E51">
    <cfRule type="cellIs" dxfId="853" priority="1" operator="equal">
      <formula>0</formula>
    </cfRule>
  </conditionalFormatting>
  <conditionalFormatting sqref="E21:E33">
    <cfRule type="cellIs" dxfId="852" priority="6" operator="equal">
      <formula>0</formula>
    </cfRule>
    <cfRule type="cellIs" dxfId="851" priority="7" operator="lessThan">
      <formula>0</formula>
    </cfRule>
    <cfRule type="cellIs" dxfId="850" priority="8" operator="greaterThan">
      <formula>0</formula>
    </cfRule>
  </conditionalFormatting>
  <conditionalFormatting sqref="E34">
    <cfRule type="cellIs" dxfId="849" priority="5" operator="equal">
      <formula>0</formula>
    </cfRule>
  </conditionalFormatting>
  <conditionalFormatting sqref="E38:E50">
    <cfRule type="cellIs" dxfId="848" priority="2" operator="equal">
      <formula>0</formula>
    </cfRule>
    <cfRule type="cellIs" dxfId="847" priority="3" operator="lessThan">
      <formula>0</formula>
    </cfRule>
    <cfRule type="cellIs" dxfId="846" priority="4" operator="greaterThan">
      <formula>0</formula>
    </cfRule>
  </conditionalFormatting>
  <dataValidations count="7">
    <dataValidation type="list" allowBlank="1" showInputMessage="1" showErrorMessage="1" prompt="Insérez la fourniture désiré" sqref="B38:B49 B21:B32" xr:uid="{EFD909E3-26F1-4C4D-B67D-F8E225D2808B}">
      <formula1>Fournitures</formula1>
    </dataValidation>
    <dataValidation allowBlank="1" showInputMessage="1" showErrorMessage="1" prompt="Si VERT_x000a_La fourniture est bien présente et la quantité est bonne_x000a_Si ROUGE_x000a_+ : Il faut rajouter la quantité de fourniture_x000a_- : Il faut enlevé la quantité de fourniture en trop_x000a_" sqref="E21:E33 E3:E16 E38:E50" xr:uid="{A12D7FFE-1F23-4743-B408-A7D3DFAE17CB}"/>
    <dataValidation allowBlank="1" showInputMessage="1" showErrorMessage="1" prompt="Insérez la quantité présente dans les malles" sqref="C8 C38:C44 C29:C32 C21:C27 C46:C49 C3:C4 C11" xr:uid="{18C720CA-94EB-48F9-90C2-7C883E8A979D}"/>
    <dataValidation allowBlank="1" showInputMessage="1" showErrorMessage="1" prompt="Insérez la quantité demandé" sqref="D11:D14 D3:D9 D29:D32 D21:D27 D46:D49 D38:D44" xr:uid="{03085562-7DA1-4418-A7B1-C7FE23E55978}"/>
    <dataValidation allowBlank="1" showInputMessage="1" showErrorMessage="1" prompt="Quantité acheté rajouté * CU" sqref="H3 H21 H38" xr:uid="{142025D1-98A0-4559-BEDF-2BB623EA597B}"/>
    <dataValidation allowBlank="1" showInputMessage="1" showErrorMessage="1" prompt="CU = Cout unitaire" sqref="F36:G37 F2:G2 F20:G20" xr:uid="{2178E237-94E9-49D8-B311-381CC6E12039}"/>
    <dataValidation allowBlank="1" showInputMessage="1" showErrorMessage="1" prompt="CT = Cout total" sqref="H36:H37 H2 H20" xr:uid="{2B44D73C-091E-4938-ABDC-4DC63BE84009}"/>
  </dataValidations>
  <pageMargins left="0.7" right="0.7" top="0.75" bottom="0.75" header="0.3" footer="0.3"/>
  <tableParts count="3">
    <tablePart r:id="rId1"/>
    <tablePart r:id="rId2"/>
    <tablePart r:id="rId3"/>
  </tableParts>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0B66F0A-C5D8-4107-B9BB-73977AF51569}">
  <dimension ref="B2:H60"/>
  <sheetViews>
    <sheetView topLeftCell="A4" workbookViewId="0">
      <selection activeCell="B25" sqref="B25:C25"/>
    </sheetView>
  </sheetViews>
  <sheetFormatPr baseColWidth="10" defaultRowHeight="15" x14ac:dyDescent="0.25"/>
  <cols>
    <col min="2" max="2" width="24.42578125" customWidth="1"/>
    <col min="3" max="3" width="23.140625" customWidth="1"/>
    <col min="4" max="4" width="11.7109375" customWidth="1"/>
    <col min="6" max="6" width="26.5703125" style="2" customWidth="1"/>
    <col min="7" max="7" width="28.28515625" style="2" customWidth="1"/>
  </cols>
  <sheetData>
    <row r="2" spans="2:8" x14ac:dyDescent="0.25">
      <c r="B2" t="s">
        <v>7</v>
      </c>
      <c r="C2" t="s">
        <v>0</v>
      </c>
      <c r="D2" t="s">
        <v>1</v>
      </c>
      <c r="E2" t="s">
        <v>2</v>
      </c>
      <c r="F2" s="2" t="s">
        <v>15</v>
      </c>
      <c r="G2" s="2" t="s">
        <v>11</v>
      </c>
      <c r="H2" s="2" t="s">
        <v>10</v>
      </c>
    </row>
    <row r="3" spans="2:8" x14ac:dyDescent="0.25">
      <c r="B3" t="s">
        <v>186</v>
      </c>
      <c r="C3">
        <v>10</v>
      </c>
      <c r="E3" s="3">
        <f>Tableau92209[[#This Row],[Demande]]-Tableau92209[[#This Row],[Présente dans la malle]]</f>
        <v>-10</v>
      </c>
      <c r="F3" s="5"/>
      <c r="H3" s="8">
        <f>Tableau92209[[#This Row],[Quantités acheté rajouté]]*Tableau92209[[#This Row],[CU du matos rajouté acheté]]</f>
        <v>0</v>
      </c>
    </row>
    <row r="4" spans="2:8" x14ac:dyDescent="0.25">
      <c r="B4" t="s">
        <v>56</v>
      </c>
      <c r="C4">
        <v>1</v>
      </c>
      <c r="E4" s="3">
        <f>Tableau92209[[#This Row],[Demande]]-Tableau92209[[#This Row],[Présente dans la malle]]</f>
        <v>-1</v>
      </c>
      <c r="F4" s="5"/>
      <c r="H4" s="8">
        <f>Tableau92209[[#This Row],[Quantités acheté rajouté]]*Tableau92209[[#This Row],[CU du matos rajouté acheté]]</f>
        <v>0</v>
      </c>
    </row>
    <row r="5" spans="2:8" x14ac:dyDescent="0.25">
      <c r="B5" t="s">
        <v>42</v>
      </c>
      <c r="C5">
        <v>1</v>
      </c>
      <c r="E5" s="3">
        <f>Tableau92209[[#This Row],[Demande]]-Tableau92209[[#This Row],[Présente dans la malle]]</f>
        <v>-1</v>
      </c>
      <c r="F5" s="5"/>
      <c r="H5" s="8">
        <f>Tableau92209[[#This Row],[Quantités acheté rajouté]]*Tableau92209[[#This Row],[CU du matos rajouté acheté]]</f>
        <v>0</v>
      </c>
    </row>
    <row r="6" spans="2:8" x14ac:dyDescent="0.25">
      <c r="B6" t="s">
        <v>137</v>
      </c>
      <c r="C6">
        <v>3</v>
      </c>
      <c r="E6" s="3">
        <f>Tableau92209[[#This Row],[Demande]]-Tableau92209[[#This Row],[Présente dans la malle]]</f>
        <v>-3</v>
      </c>
      <c r="F6" s="5"/>
      <c r="H6" s="8">
        <f>Tableau92209[[#This Row],[Quantités acheté rajouté]]*Tableau92209[[#This Row],[CU du matos rajouté acheté]]</f>
        <v>0</v>
      </c>
    </row>
    <row r="7" spans="2:8" x14ac:dyDescent="0.25">
      <c r="B7" t="s">
        <v>139</v>
      </c>
      <c r="C7">
        <v>1</v>
      </c>
      <c r="E7" s="3">
        <f>Tableau92209[[#This Row],[Demande]]-Tableau92209[[#This Row],[Présente dans la malle]]</f>
        <v>-1</v>
      </c>
      <c r="F7" s="5"/>
      <c r="H7" s="8">
        <f>Tableau92209[[#This Row],[Quantités acheté rajouté]]*Tableau92209[[#This Row],[CU du matos rajouté acheté]]</f>
        <v>0</v>
      </c>
    </row>
    <row r="8" spans="2:8" x14ac:dyDescent="0.25">
      <c r="B8" t="s">
        <v>187</v>
      </c>
      <c r="C8">
        <v>6</v>
      </c>
      <c r="E8" s="3">
        <f>Tableau92209[[#This Row],[Demande]]-Tableau92209[[#This Row],[Présente dans la malle]]</f>
        <v>-6</v>
      </c>
      <c r="F8" s="5"/>
      <c r="H8" s="8">
        <f>Tableau92209[[#This Row],[Quantités acheté rajouté]]*Tableau92209[[#This Row],[CU du matos rajouté acheté]]</f>
        <v>0</v>
      </c>
    </row>
    <row r="9" spans="2:8" x14ac:dyDescent="0.25">
      <c r="B9" t="s">
        <v>100</v>
      </c>
      <c r="C9">
        <v>2</v>
      </c>
      <c r="E9" s="3">
        <f>Tableau92209[[#This Row],[Demande]]-Tableau92209[[#This Row],[Présente dans la malle]]</f>
        <v>-2</v>
      </c>
      <c r="F9" s="5"/>
      <c r="H9" s="8">
        <f>Tableau92209[[#This Row],[Quantités acheté rajouté]]*Tableau92209[[#This Row],[CU du matos rajouté acheté]]</f>
        <v>0</v>
      </c>
    </row>
    <row r="10" spans="2:8" x14ac:dyDescent="0.25">
      <c r="B10" t="s">
        <v>73</v>
      </c>
      <c r="C10">
        <v>1</v>
      </c>
      <c r="E10" s="3">
        <f>Tableau92209[[#This Row],[Demande]]-Tableau92209[[#This Row],[Présente dans la malle]]</f>
        <v>-1</v>
      </c>
      <c r="F10" s="5"/>
      <c r="H10" s="8">
        <f>Tableau92209[[#This Row],[Quantités acheté rajouté]]*Tableau92209[[#This Row],[CU du matos rajouté acheté]]</f>
        <v>0</v>
      </c>
    </row>
    <row r="11" spans="2:8" x14ac:dyDescent="0.25">
      <c r="B11" t="s">
        <v>189</v>
      </c>
      <c r="C11">
        <v>1</v>
      </c>
      <c r="E11" s="3">
        <f>Tableau92209[[#This Row],[Demande]]-Tableau92209[[#This Row],[Présente dans la malle]]</f>
        <v>-1</v>
      </c>
      <c r="F11" s="5"/>
      <c r="H11" s="8">
        <f>Tableau92209[[#This Row],[Quantités acheté rajouté]]*Tableau92209[[#This Row],[CU du matos rajouté acheté]]</f>
        <v>0</v>
      </c>
    </row>
    <row r="12" spans="2:8" x14ac:dyDescent="0.25">
      <c r="B12" t="s">
        <v>190</v>
      </c>
      <c r="C12">
        <v>1</v>
      </c>
      <c r="E12" s="3">
        <f>Tableau92209[[#This Row],[Demande]]-Tableau92209[[#This Row],[Présente dans la malle]]</f>
        <v>-1</v>
      </c>
      <c r="F12" s="5"/>
      <c r="H12" s="8">
        <f>Tableau92209[[#This Row],[Quantités acheté rajouté]]*Tableau92209[[#This Row],[CU du matos rajouté acheté]]</f>
        <v>0</v>
      </c>
    </row>
    <row r="13" spans="2:8" x14ac:dyDescent="0.25">
      <c r="B13" t="s">
        <v>188</v>
      </c>
      <c r="C13">
        <v>10</v>
      </c>
      <c r="E13" s="3">
        <f>Tableau92209[[#This Row],[Demande]]-Tableau92209[[#This Row],[Présente dans la malle]]</f>
        <v>-10</v>
      </c>
      <c r="F13" s="5"/>
      <c r="H13" s="8">
        <f>Tableau92209[[#This Row],[Quantités acheté rajouté]]*Tableau92209[[#This Row],[CU du matos rajouté acheté]]</f>
        <v>0</v>
      </c>
    </row>
    <row r="14" spans="2:8" x14ac:dyDescent="0.25">
      <c r="B14" t="s">
        <v>191</v>
      </c>
      <c r="C14">
        <v>2</v>
      </c>
      <c r="E14" s="3">
        <f>Tableau92209[[#This Row],[Demande]]-Tableau92209[[#This Row],[Présente dans la malle]]</f>
        <v>-2</v>
      </c>
      <c r="F14" s="5"/>
      <c r="H14" s="8">
        <f>Tableau92209[[#This Row],[Quantités acheté rajouté]]*Tableau92209[[#This Row],[CU du matos rajouté acheté]]</f>
        <v>0</v>
      </c>
    </row>
    <row r="15" spans="2:8" x14ac:dyDescent="0.25">
      <c r="B15" t="s">
        <v>120</v>
      </c>
      <c r="C15">
        <v>4</v>
      </c>
      <c r="E15" s="3">
        <f>Tableau92209[[#This Row],[Demande]]-Tableau92209[[#This Row],[Présente dans la malle]]</f>
        <v>-4</v>
      </c>
      <c r="F15" s="7"/>
      <c r="G15" s="4"/>
      <c r="H15" s="8">
        <f>Tableau92209[[#This Row],[Quantités acheté rajouté]]*Tableau92209[[#This Row],[CU du matos rajouté acheté]]</f>
        <v>0</v>
      </c>
    </row>
    <row r="16" spans="2:8" x14ac:dyDescent="0.25">
      <c r="B16" t="s">
        <v>192</v>
      </c>
      <c r="C16">
        <v>11</v>
      </c>
      <c r="E16" s="11">
        <f>Tableau92209[[#This Row],[Demande]]-Tableau92209[[#This Row],[Présente dans la malle]]</f>
        <v>-11</v>
      </c>
      <c r="F16" s="5"/>
      <c r="H16" s="8">
        <f>Tableau92209[[#This Row],[Quantités acheté rajouté]]*Tableau92209[[#This Row],[CU du matos rajouté acheté]]</f>
        <v>0</v>
      </c>
    </row>
    <row r="17" spans="2:8" x14ac:dyDescent="0.25">
      <c r="B17" t="s">
        <v>68</v>
      </c>
      <c r="C17">
        <v>2</v>
      </c>
      <c r="E17" s="11">
        <f>Tableau92209[[#This Row],[Demande]]-Tableau92209[[#This Row],[Présente dans la malle]]</f>
        <v>-2</v>
      </c>
      <c r="F17" s="5"/>
      <c r="H17" s="8">
        <f>Tableau92209[[#This Row],[Quantités acheté rajouté]]*Tableau92209[[#This Row],[CU du matos rajouté acheté]]</f>
        <v>0</v>
      </c>
    </row>
    <row r="18" spans="2:8" x14ac:dyDescent="0.25">
      <c r="B18" t="s">
        <v>65</v>
      </c>
      <c r="C18">
        <v>12</v>
      </c>
      <c r="E18" s="11">
        <f>Tableau92209[[#This Row],[Demande]]-Tableau92209[[#This Row],[Présente dans la malle]]</f>
        <v>-12</v>
      </c>
      <c r="F18" s="5"/>
      <c r="H18" s="8">
        <f>Tableau92209[[#This Row],[Quantités acheté rajouté]]*Tableau92209[[#This Row],[CU du matos rajouté acheté]]</f>
        <v>0</v>
      </c>
    </row>
    <row r="19" spans="2:8" x14ac:dyDescent="0.25">
      <c r="B19" t="s">
        <v>121</v>
      </c>
      <c r="C19">
        <v>1</v>
      </c>
      <c r="E19" s="11">
        <f>Tableau92209[[#This Row],[Demande]]-Tableau92209[[#This Row],[Présente dans la malle]]</f>
        <v>-1</v>
      </c>
      <c r="F19" s="5"/>
      <c r="H19" s="8">
        <f>Tableau92209[[#This Row],[Quantités acheté rajouté]]*Tableau92209[[#This Row],[CU du matos rajouté acheté]]</f>
        <v>0</v>
      </c>
    </row>
    <row r="20" spans="2:8" x14ac:dyDescent="0.25">
      <c r="B20" t="s">
        <v>124</v>
      </c>
      <c r="C20">
        <v>5</v>
      </c>
      <c r="E20" s="11">
        <f>Tableau92209[[#This Row],[Demande]]-Tableau92209[[#This Row],[Présente dans la malle]]</f>
        <v>-5</v>
      </c>
      <c r="F20" s="5"/>
      <c r="H20" s="8">
        <f>Tableau92209[[#This Row],[Quantités acheté rajouté]]*Tableau92209[[#This Row],[CU du matos rajouté acheté]]</f>
        <v>0</v>
      </c>
    </row>
    <row r="21" spans="2:8" x14ac:dyDescent="0.25">
      <c r="B21" t="s">
        <v>46</v>
      </c>
      <c r="C21">
        <v>1</v>
      </c>
      <c r="E21" s="11">
        <f>Tableau92209[[#This Row],[Demande]]-Tableau92209[[#This Row],[Présente dans la malle]]</f>
        <v>-1</v>
      </c>
      <c r="F21" s="5"/>
      <c r="H21" s="8">
        <f>Tableau92209[[#This Row],[Quantités acheté rajouté]]*Tableau92209[[#This Row],[CU du matos rajouté acheté]]</f>
        <v>0</v>
      </c>
    </row>
    <row r="22" spans="2:8" x14ac:dyDescent="0.25">
      <c r="B22" t="s">
        <v>108</v>
      </c>
      <c r="C22">
        <v>1</v>
      </c>
      <c r="E22" s="11">
        <f>Tableau92209[[#This Row],[Demande]]-Tableau92209[[#This Row],[Présente dans la malle]]</f>
        <v>-1</v>
      </c>
      <c r="F22" s="5"/>
      <c r="H22" s="8">
        <f>Tableau92209[[#This Row],[Quantités acheté rajouté]]*Tableau92209[[#This Row],[CU du matos rajouté acheté]]</f>
        <v>0</v>
      </c>
    </row>
    <row r="23" spans="2:8" x14ac:dyDescent="0.25">
      <c r="B23" t="s">
        <v>193</v>
      </c>
      <c r="C23">
        <v>1</v>
      </c>
      <c r="E23" s="11">
        <f>Tableau92209[[#This Row],[Demande]]-Tableau92209[[#This Row],[Présente dans la malle]]</f>
        <v>-1</v>
      </c>
      <c r="F23" s="5"/>
      <c r="H23" s="8">
        <f>Tableau92209[[#This Row],[Quantités acheté rajouté]]*Tableau92209[[#This Row],[CU du matos rajouté acheté]]</f>
        <v>0</v>
      </c>
    </row>
    <row r="24" spans="2:8" x14ac:dyDescent="0.25">
      <c r="B24" t="s">
        <v>194</v>
      </c>
      <c r="C24">
        <v>4</v>
      </c>
      <c r="E24" s="11">
        <f>Tableau92209[[#This Row],[Demande]]-Tableau92209[[#This Row],[Présente dans la malle]]</f>
        <v>-4</v>
      </c>
      <c r="F24" s="5"/>
      <c r="H24" s="8">
        <f>Tableau92209[[#This Row],[Quantités acheté rajouté]]*Tableau92209[[#This Row],[CU du matos rajouté acheté]]</f>
        <v>0</v>
      </c>
    </row>
    <row r="25" spans="2:8" x14ac:dyDescent="0.25">
      <c r="B25" t="s">
        <v>195</v>
      </c>
      <c r="C25">
        <v>1</v>
      </c>
      <c r="E25" s="11">
        <f>Tableau92209[[#This Row],[Demande]]-Tableau92209[[#This Row],[Présente dans la malle]]</f>
        <v>-1</v>
      </c>
      <c r="F25" s="5"/>
      <c r="H25" s="8">
        <f>Tableau92209[[#This Row],[Quantités acheté rajouté]]*Tableau92209[[#This Row],[CU du matos rajouté acheté]]</f>
        <v>0</v>
      </c>
    </row>
    <row r="26" spans="2:8" x14ac:dyDescent="0.25">
      <c r="B26" t="s">
        <v>4</v>
      </c>
      <c r="C26">
        <f>SUM(Tableau92209[Présente dans la malle])</f>
        <v>82</v>
      </c>
      <c r="D26">
        <f>SUM(Tableau92209[Demande])</f>
        <v>0</v>
      </c>
      <c r="E26">
        <f>SUM(Tableau92209[Manque])</f>
        <v>-82</v>
      </c>
      <c r="F26" s="6">
        <f>SUM(Tableau92209[Quantités acheté rajouté])</f>
        <v>0</v>
      </c>
      <c r="G26" s="6"/>
      <c r="H26" s="10">
        <f>SUM(Tableau92209[CT])</f>
        <v>0</v>
      </c>
    </row>
    <row r="29" spans="2:8" x14ac:dyDescent="0.25">
      <c r="B29" t="s">
        <v>5</v>
      </c>
      <c r="C29" t="s">
        <v>0</v>
      </c>
      <c r="D29" t="s">
        <v>1</v>
      </c>
      <c r="E29" t="s">
        <v>2</v>
      </c>
      <c r="F29" s="2" t="s">
        <v>15</v>
      </c>
      <c r="G29" s="2" t="s">
        <v>11</v>
      </c>
      <c r="H29" s="2" t="s">
        <v>10</v>
      </c>
    </row>
    <row r="30" spans="2:8" x14ac:dyDescent="0.25">
      <c r="E30" s="3">
        <f>Tableau9296210[[#This Row],[Demande]]-Tableau9296210[[#This Row],[Présente dans la malle]]</f>
        <v>0</v>
      </c>
      <c r="F30" s="5"/>
      <c r="H30" s="8">
        <f>Tableau9296210[[#This Row],[Quantités acheté rajouté]]*Tableau9296210[[#This Row],[CU du matos rajouté acheté]]</f>
        <v>0</v>
      </c>
    </row>
    <row r="31" spans="2:8" x14ac:dyDescent="0.25">
      <c r="E31" s="3">
        <f>Tableau9296210[[#This Row],[Demande]]-Tableau9296210[[#This Row],[Présente dans la malle]]</f>
        <v>0</v>
      </c>
      <c r="F31" s="5"/>
      <c r="H31" s="8">
        <f>Tableau9296210[[#This Row],[Quantités acheté rajouté]]*Tableau9296210[[#This Row],[CU du matos rajouté acheté]]</f>
        <v>0</v>
      </c>
    </row>
    <row r="32" spans="2:8" x14ac:dyDescent="0.25">
      <c r="E32" s="3">
        <f>Tableau9296210[[#This Row],[Demande]]-Tableau9296210[[#This Row],[Présente dans la malle]]</f>
        <v>0</v>
      </c>
      <c r="F32" s="5"/>
      <c r="H32" s="8">
        <f>Tableau9296210[[#This Row],[Quantités acheté rajouté]]*Tableau9296210[[#This Row],[CU du matos rajouté acheté]]</f>
        <v>0</v>
      </c>
    </row>
    <row r="33" spans="2:8" x14ac:dyDescent="0.25">
      <c r="E33" s="3">
        <f>Tableau9296210[[#This Row],[Demande]]-Tableau9296210[[#This Row],[Présente dans la malle]]</f>
        <v>0</v>
      </c>
      <c r="F33" s="5"/>
      <c r="H33" s="8">
        <f>Tableau9296210[[#This Row],[Quantités acheté rajouté]]*Tableau9296210[[#This Row],[CU du matos rajouté acheté]]</f>
        <v>0</v>
      </c>
    </row>
    <row r="34" spans="2:8" x14ac:dyDescent="0.25">
      <c r="E34" s="3">
        <f>Tableau9296210[[#This Row],[Demande]]-Tableau9296210[[#This Row],[Présente dans la malle]]</f>
        <v>0</v>
      </c>
      <c r="F34" s="5"/>
      <c r="H34" s="8">
        <f>Tableau9296210[[#This Row],[Quantités acheté rajouté]]*Tableau9296210[[#This Row],[CU du matos rajouté acheté]]</f>
        <v>0</v>
      </c>
    </row>
    <row r="35" spans="2:8" x14ac:dyDescent="0.25">
      <c r="E35" s="3">
        <f>Tableau9296210[[#This Row],[Demande]]-Tableau9296210[[#This Row],[Présente dans la malle]]</f>
        <v>0</v>
      </c>
      <c r="F35" s="5"/>
      <c r="H35" s="8">
        <f>Tableau9296210[[#This Row],[Quantités acheté rajouté]]*Tableau9296210[[#This Row],[CU du matos rajouté acheté]]</f>
        <v>0</v>
      </c>
    </row>
    <row r="36" spans="2:8" x14ac:dyDescent="0.25">
      <c r="E36" s="3">
        <f>Tableau9296210[[#This Row],[Demande]]-Tableau9296210[[#This Row],[Présente dans la malle]]</f>
        <v>0</v>
      </c>
      <c r="F36" s="5"/>
      <c r="H36" s="8">
        <f>Tableau9296210[[#This Row],[Quantités acheté rajouté]]*Tableau9296210[[#This Row],[CU du matos rajouté acheté]]</f>
        <v>0</v>
      </c>
    </row>
    <row r="37" spans="2:8" x14ac:dyDescent="0.25">
      <c r="E37" s="3">
        <f>Tableau9296210[[#This Row],[Demande]]-Tableau9296210[[#This Row],[Présente dans la malle]]</f>
        <v>0</v>
      </c>
      <c r="F37" s="5"/>
      <c r="H37" s="8">
        <f>Tableau9296210[[#This Row],[Quantités acheté rajouté]]*Tableau9296210[[#This Row],[CU du matos rajouté acheté]]</f>
        <v>0</v>
      </c>
    </row>
    <row r="38" spans="2:8" x14ac:dyDescent="0.25">
      <c r="E38" s="3">
        <f>Tableau9296210[[#This Row],[Demande]]-Tableau9296210[[#This Row],[Présente dans la malle]]</f>
        <v>0</v>
      </c>
      <c r="F38" s="5"/>
      <c r="H38" s="8">
        <f>Tableau9296210[[#This Row],[Quantités acheté rajouté]]*Tableau9296210[[#This Row],[CU du matos rajouté acheté]]</f>
        <v>0</v>
      </c>
    </row>
    <row r="39" spans="2:8" x14ac:dyDescent="0.25">
      <c r="E39" s="3">
        <f>Tableau9296210[[#This Row],[Demande]]-Tableau9296210[[#This Row],[Présente dans la malle]]</f>
        <v>0</v>
      </c>
      <c r="F39" s="5"/>
      <c r="H39" s="8">
        <f>Tableau9296210[[#This Row],[Quantités acheté rajouté]]*Tableau9296210[[#This Row],[CU du matos rajouté acheté]]</f>
        <v>0</v>
      </c>
    </row>
    <row r="40" spans="2:8" x14ac:dyDescent="0.25">
      <c r="E40" s="3">
        <f>Tableau9296210[[#This Row],[Demande]]-Tableau9296210[[#This Row],[Présente dans la malle]]</f>
        <v>0</v>
      </c>
      <c r="F40" s="5"/>
      <c r="H40" s="8">
        <f>Tableau9296210[[#This Row],[Quantités acheté rajouté]]*Tableau9296210[[#This Row],[CU du matos rajouté acheté]]</f>
        <v>0</v>
      </c>
    </row>
    <row r="41" spans="2:8" x14ac:dyDescent="0.25">
      <c r="E41" s="3">
        <f>Tableau9296210[[#This Row],[Demande]]-Tableau9296210[[#This Row],[Présente dans la malle]]</f>
        <v>0</v>
      </c>
      <c r="F41" s="5"/>
      <c r="H41" s="8">
        <f>Tableau9296210[[#This Row],[Quantités acheté rajouté]]*Tableau9296210[[#This Row],[CU du matos rajouté acheté]]</f>
        <v>0</v>
      </c>
    </row>
    <row r="42" spans="2:8" x14ac:dyDescent="0.25">
      <c r="E42" s="3">
        <f>Tableau9296210[[#This Row],[Demande]]-Tableau9296210[[#This Row],[Présente dans la malle]]</f>
        <v>0</v>
      </c>
      <c r="F42" s="7"/>
      <c r="G42" s="4"/>
      <c r="H42" s="8">
        <f>Tableau9296210[[#This Row],[Quantités acheté rajouté]]*Tableau9296210[[#This Row],[CU du matos rajouté acheté]]</f>
        <v>0</v>
      </c>
    </row>
    <row r="43" spans="2:8" x14ac:dyDescent="0.25">
      <c r="B43" t="s">
        <v>4</v>
      </c>
      <c r="C43">
        <f>SUM(Tableau9296210[Présente dans la malle])</f>
        <v>0</v>
      </c>
      <c r="D43">
        <f>SUM(Tableau9296210[Demande])</f>
        <v>0</v>
      </c>
      <c r="E43">
        <f>SUM(Tableau9296210[Manque])</f>
        <v>0</v>
      </c>
      <c r="F43" s="6">
        <f>SUM(Tableau9296210[Quantités acheté rajouté])</f>
        <v>0</v>
      </c>
      <c r="G43" s="6"/>
      <c r="H43" s="2">
        <f>SUM(Tableau9296210[CT])</f>
        <v>0</v>
      </c>
    </row>
    <row r="45" spans="2:8" x14ac:dyDescent="0.25">
      <c r="H45" s="2"/>
    </row>
    <row r="46" spans="2:8" x14ac:dyDescent="0.25">
      <c r="B46" t="s">
        <v>6</v>
      </c>
      <c r="C46" t="s">
        <v>0</v>
      </c>
      <c r="D46" t="s">
        <v>1</v>
      </c>
      <c r="E46" t="s">
        <v>2</v>
      </c>
      <c r="F46" s="2" t="s">
        <v>15</v>
      </c>
      <c r="G46" s="2" t="s">
        <v>11</v>
      </c>
      <c r="H46" s="2" t="s">
        <v>10</v>
      </c>
    </row>
    <row r="47" spans="2:8" x14ac:dyDescent="0.25">
      <c r="E47" s="3">
        <f>Tableau9297211[[#This Row],[Demande]]-Tableau9297211[[#This Row],[Présente dans la malle]]</f>
        <v>0</v>
      </c>
      <c r="F47" s="5"/>
      <c r="H47" s="8">
        <f>Tableau9297211[[#This Row],[Quantités acheté rajouté]]*Tableau9297211[[#This Row],[CU du matos rajouté acheté]]</f>
        <v>0</v>
      </c>
    </row>
    <row r="48" spans="2:8" x14ac:dyDescent="0.25">
      <c r="E48" s="3">
        <f>Tableau9297211[[#This Row],[Demande]]-Tableau9297211[[#This Row],[Présente dans la malle]]</f>
        <v>0</v>
      </c>
      <c r="F48" s="5"/>
      <c r="H48" s="8">
        <f>Tableau9297211[[#This Row],[Quantités acheté rajouté]]*Tableau9297211[[#This Row],[CU du matos rajouté acheté]]</f>
        <v>0</v>
      </c>
    </row>
    <row r="49" spans="2:8" x14ac:dyDescent="0.25">
      <c r="E49" s="3">
        <f>Tableau9297211[[#This Row],[Demande]]-Tableau9297211[[#This Row],[Présente dans la malle]]</f>
        <v>0</v>
      </c>
      <c r="F49" s="5"/>
      <c r="H49" s="8">
        <f>Tableau9297211[[#This Row],[Quantités acheté rajouté]]*Tableau9297211[[#This Row],[CU du matos rajouté acheté]]</f>
        <v>0</v>
      </c>
    </row>
    <row r="50" spans="2:8" x14ac:dyDescent="0.25">
      <c r="E50" s="3">
        <f>Tableau9297211[[#This Row],[Demande]]-Tableau9297211[[#This Row],[Présente dans la malle]]</f>
        <v>0</v>
      </c>
      <c r="F50" s="5"/>
      <c r="H50" s="8">
        <f>Tableau9297211[[#This Row],[Quantités acheté rajouté]]*Tableau9297211[[#This Row],[CU du matos rajouté acheté]]</f>
        <v>0</v>
      </c>
    </row>
    <row r="51" spans="2:8" x14ac:dyDescent="0.25">
      <c r="E51" s="3">
        <f>Tableau9297211[[#This Row],[Demande]]-Tableau9297211[[#This Row],[Présente dans la malle]]</f>
        <v>0</v>
      </c>
      <c r="F51" s="5"/>
      <c r="H51" s="8">
        <f>Tableau9297211[[#This Row],[Quantités acheté rajouté]]*Tableau9297211[[#This Row],[CU du matos rajouté acheté]]</f>
        <v>0</v>
      </c>
    </row>
    <row r="52" spans="2:8" x14ac:dyDescent="0.25">
      <c r="E52" s="3">
        <f>Tableau9297211[[#This Row],[Demande]]-Tableau9297211[[#This Row],[Présente dans la malle]]</f>
        <v>0</v>
      </c>
      <c r="F52" s="5"/>
      <c r="H52" s="8">
        <f>Tableau9297211[[#This Row],[Quantités acheté rajouté]]*Tableau9297211[[#This Row],[CU du matos rajouté acheté]]</f>
        <v>0</v>
      </c>
    </row>
    <row r="53" spans="2:8" x14ac:dyDescent="0.25">
      <c r="E53" s="3">
        <f>Tableau9297211[[#This Row],[Demande]]-Tableau9297211[[#This Row],[Présente dans la malle]]</f>
        <v>0</v>
      </c>
      <c r="F53" s="5"/>
      <c r="H53" s="8">
        <f>Tableau9297211[[#This Row],[Quantités acheté rajouté]]*Tableau9297211[[#This Row],[CU du matos rajouté acheté]]</f>
        <v>0</v>
      </c>
    </row>
    <row r="54" spans="2:8" x14ac:dyDescent="0.25">
      <c r="E54" s="3">
        <f>Tableau9297211[[#This Row],[Demande]]-Tableau9297211[[#This Row],[Présente dans la malle]]</f>
        <v>0</v>
      </c>
      <c r="F54" s="5"/>
      <c r="H54" s="8">
        <f>Tableau9297211[[#This Row],[Quantités acheté rajouté]]*Tableau9297211[[#This Row],[CU du matos rajouté acheté]]</f>
        <v>0</v>
      </c>
    </row>
    <row r="55" spans="2:8" x14ac:dyDescent="0.25">
      <c r="E55" s="3">
        <f>Tableau9297211[[#This Row],[Demande]]-Tableau9297211[[#This Row],[Présente dans la malle]]</f>
        <v>0</v>
      </c>
      <c r="F55" s="5"/>
      <c r="H55" s="8">
        <f>Tableau9297211[[#This Row],[Quantités acheté rajouté]]*Tableau9297211[[#This Row],[CU du matos rajouté acheté]]</f>
        <v>0</v>
      </c>
    </row>
    <row r="56" spans="2:8" x14ac:dyDescent="0.25">
      <c r="E56" s="3">
        <f>Tableau9297211[[#This Row],[Demande]]-Tableau9297211[[#This Row],[Présente dans la malle]]</f>
        <v>0</v>
      </c>
      <c r="F56" s="5"/>
      <c r="H56" s="8">
        <f>Tableau9297211[[#This Row],[Quantités acheté rajouté]]*Tableau9297211[[#This Row],[CU du matos rajouté acheté]]</f>
        <v>0</v>
      </c>
    </row>
    <row r="57" spans="2:8" x14ac:dyDescent="0.25">
      <c r="E57" s="3">
        <f>Tableau9297211[[#This Row],[Demande]]-Tableau9297211[[#This Row],[Présente dans la malle]]</f>
        <v>0</v>
      </c>
      <c r="F57" s="5"/>
      <c r="H57" s="8">
        <f>Tableau9297211[[#This Row],[Quantités acheté rajouté]]*Tableau9297211[[#This Row],[CU du matos rajouté acheté]]</f>
        <v>0</v>
      </c>
    </row>
    <row r="58" spans="2:8" x14ac:dyDescent="0.25">
      <c r="E58" s="3">
        <f>Tableau9297211[[#This Row],[Demande]]-Tableau9297211[[#This Row],[Présente dans la malle]]</f>
        <v>0</v>
      </c>
      <c r="F58" s="5"/>
      <c r="H58" s="8">
        <f>Tableau9297211[[#This Row],[Quantités acheté rajouté]]*Tableau9297211[[#This Row],[CU du matos rajouté acheté]]</f>
        <v>0</v>
      </c>
    </row>
    <row r="59" spans="2:8" x14ac:dyDescent="0.25">
      <c r="E59" s="3">
        <f>Tableau9297211[[#This Row],[Demande]]-Tableau9297211[[#This Row],[Présente dans la malle]]</f>
        <v>0</v>
      </c>
      <c r="F59" s="7"/>
      <c r="G59" s="4"/>
      <c r="H59" s="8">
        <f>Tableau9297211[[#This Row],[Quantités acheté rajouté]]*Tableau9297211[[#This Row],[CU du matos rajouté acheté]]</f>
        <v>0</v>
      </c>
    </row>
    <row r="60" spans="2:8" x14ac:dyDescent="0.25">
      <c r="B60" t="s">
        <v>4</v>
      </c>
      <c r="C60">
        <f>SUM(Tableau9297211[Présente dans la malle])</f>
        <v>0</v>
      </c>
      <c r="D60">
        <f>SUM(Tableau9297211[Demande])</f>
        <v>0</v>
      </c>
      <c r="E60">
        <f>SUM(Tableau9297211[Manque])</f>
        <v>0</v>
      </c>
      <c r="F60" s="6">
        <f>SUM(Tableau9297211[Quantités acheté rajouté])</f>
        <v>0</v>
      </c>
      <c r="G60" s="6"/>
      <c r="H60" s="2">
        <f>SUM(Tableau9297211[CT])</f>
        <v>0</v>
      </c>
    </row>
  </sheetData>
  <conditionalFormatting sqref="E3:E25">
    <cfRule type="cellIs" dxfId="818" priority="10" operator="equal">
      <formula>0</formula>
    </cfRule>
    <cfRule type="cellIs" dxfId="817" priority="11" operator="lessThan">
      <formula>0</formula>
    </cfRule>
    <cfRule type="cellIs" dxfId="816" priority="12" operator="greaterThan">
      <formula>0</formula>
    </cfRule>
  </conditionalFormatting>
  <conditionalFormatting sqref="E26">
    <cfRule type="cellIs" dxfId="815" priority="9" operator="equal">
      <formula>0</formula>
    </cfRule>
  </conditionalFormatting>
  <conditionalFormatting sqref="E60">
    <cfRule type="cellIs" dxfId="814" priority="1" operator="equal">
      <formula>0</formula>
    </cfRule>
  </conditionalFormatting>
  <conditionalFormatting sqref="E30:E42">
    <cfRule type="cellIs" dxfId="813" priority="6" operator="equal">
      <formula>0</formula>
    </cfRule>
    <cfRule type="cellIs" dxfId="812" priority="7" operator="lessThan">
      <formula>0</formula>
    </cfRule>
    <cfRule type="cellIs" dxfId="811" priority="8" operator="greaterThan">
      <formula>0</formula>
    </cfRule>
  </conditionalFormatting>
  <conditionalFormatting sqref="E43">
    <cfRule type="cellIs" dxfId="810" priority="5" operator="equal">
      <formula>0</formula>
    </cfRule>
  </conditionalFormatting>
  <conditionalFormatting sqref="E47:E59">
    <cfRule type="cellIs" dxfId="809" priority="2" operator="equal">
      <formula>0</formula>
    </cfRule>
    <cfRule type="cellIs" dxfId="808" priority="3" operator="lessThan">
      <formula>0</formula>
    </cfRule>
    <cfRule type="cellIs" dxfId="807" priority="4" operator="greaterThan">
      <formula>0</formula>
    </cfRule>
  </conditionalFormatting>
  <dataValidations count="7">
    <dataValidation allowBlank="1" showInputMessage="1" showErrorMessage="1" prompt="CT = Cout total" sqref="H45:H46 H2 H29" xr:uid="{5A4B654A-2A91-4899-8065-80D289BD83D5}"/>
    <dataValidation allowBlank="1" showInputMessage="1" showErrorMessage="1" prompt="CU = Cout unitaire" sqref="F45:G46 F2:G2 F29:G29" xr:uid="{9E0DE81E-72E4-4286-A0C8-1A9AC1DE936D}"/>
    <dataValidation allowBlank="1" showInputMessage="1" showErrorMessage="1" prompt="Quantité acheté rajouté * CU" sqref="H3 H30 H47" xr:uid="{EAA5DF45-A551-4ACB-AA8D-F45283078A17}"/>
    <dataValidation allowBlank="1" showInputMessage="1" showErrorMessage="1" prompt="Insérez la quantité demandé" sqref="D11:D14 D3:D9 D38:D41 D30:D36 D55:D58 D47:D53" xr:uid="{C37AE11A-83E3-4210-A36E-6046693D7DEC}"/>
    <dataValidation allowBlank="1" showInputMessage="1" showErrorMessage="1" prompt="Insérez la quantité présente dans les malles" sqref="C47:C53 C3:C9 C38:C41 C30:C36 C55:C58" xr:uid="{EF2C0FBE-1585-4361-89A8-9EF7BFC42458}"/>
    <dataValidation allowBlank="1" showInputMessage="1" showErrorMessage="1" prompt="Si VERT_x000a_La fourniture est bien présente et la quantité est bonne_x000a_Si ROUGE_x000a_+ : Il faut rajouter la quantité de fourniture_x000a_- : Il faut enlevé la quantité de fourniture en trop_x000a_" sqref="E30:E42 E47:E59 E3:E25" xr:uid="{BF1511DB-0F24-425D-BF2B-9E0ABCC98AB8}"/>
    <dataValidation type="list" allowBlank="1" showInputMessage="1" showErrorMessage="1" prompt="Insérez la fourniture désiré" sqref="B47:B58 B30:B41 B22" xr:uid="{0B8C655F-54B9-4597-9CA0-CB2805829825}">
      <formula1>Fournitures</formula1>
    </dataValidation>
  </dataValidations>
  <pageMargins left="0.7" right="0.7" top="0.75" bottom="0.75" header="0.3" footer="0.3"/>
  <tableParts count="3">
    <tablePart r:id="rId1"/>
    <tablePart r:id="rId2"/>
    <tablePart r:id="rId3"/>
  </tableParts>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4923DCB-A2EA-4040-87BD-90504195BEE0}">
  <dimension ref="B2:H65"/>
  <sheetViews>
    <sheetView topLeftCell="A14" workbookViewId="0">
      <selection activeCell="C36" sqref="C36"/>
    </sheetView>
  </sheetViews>
  <sheetFormatPr baseColWidth="10" defaultRowHeight="15" x14ac:dyDescent="0.25"/>
  <cols>
    <col min="2" max="2" width="24.42578125" customWidth="1"/>
    <col min="3" max="3" width="23.140625" customWidth="1"/>
    <col min="4" max="4" width="11.7109375" customWidth="1"/>
    <col min="6" max="6" width="26.5703125" style="2" customWidth="1"/>
    <col min="7" max="7" width="28.28515625" style="2" customWidth="1"/>
  </cols>
  <sheetData>
    <row r="2" spans="2:8" x14ac:dyDescent="0.25">
      <c r="B2" t="s">
        <v>7</v>
      </c>
      <c r="C2" t="s">
        <v>0</v>
      </c>
      <c r="D2" t="s">
        <v>1</v>
      </c>
      <c r="E2" t="s">
        <v>2</v>
      </c>
      <c r="F2" s="2" t="s">
        <v>15</v>
      </c>
      <c r="G2" s="2" t="s">
        <v>11</v>
      </c>
      <c r="H2" s="2" t="s">
        <v>10</v>
      </c>
    </row>
    <row r="3" spans="2:8" x14ac:dyDescent="0.25">
      <c r="B3" t="s">
        <v>56</v>
      </c>
      <c r="C3">
        <v>2</v>
      </c>
      <c r="E3" s="3">
        <f>Tableau92218242[[#This Row],[Demande]]-Tableau92218242[[#This Row],[Présente dans la malle]]</f>
        <v>-2</v>
      </c>
      <c r="F3" s="5"/>
      <c r="H3" s="8">
        <f>Tableau92218242[[#This Row],[Quantités acheté rajouté]]*Tableau92218242[[#This Row],[CU du matos rajouté acheté]]</f>
        <v>0</v>
      </c>
    </row>
    <row r="4" spans="2:8" x14ac:dyDescent="0.25">
      <c r="B4" t="s">
        <v>152</v>
      </c>
      <c r="C4">
        <v>4</v>
      </c>
      <c r="E4" s="3">
        <f>Tableau92218242[[#This Row],[Demande]]-Tableau92218242[[#This Row],[Présente dans la malle]]</f>
        <v>-4</v>
      </c>
      <c r="F4" s="5"/>
      <c r="H4" s="8">
        <f>Tableau92218242[[#This Row],[Quantités acheté rajouté]]*Tableau92218242[[#This Row],[CU du matos rajouté acheté]]</f>
        <v>0</v>
      </c>
    </row>
    <row r="5" spans="2:8" x14ac:dyDescent="0.25">
      <c r="B5" t="s">
        <v>42</v>
      </c>
      <c r="C5">
        <v>1</v>
      </c>
      <c r="E5" s="3">
        <f>Tableau92218242[[#This Row],[Demande]]-Tableau92218242[[#This Row],[Présente dans la malle]]</f>
        <v>-1</v>
      </c>
      <c r="F5" s="5"/>
      <c r="H5" s="8">
        <f>Tableau92218242[[#This Row],[Quantités acheté rajouté]]*Tableau92218242[[#This Row],[CU du matos rajouté acheté]]</f>
        <v>0</v>
      </c>
    </row>
    <row r="6" spans="2:8" x14ac:dyDescent="0.25">
      <c r="B6" t="s">
        <v>100</v>
      </c>
      <c r="C6">
        <v>25</v>
      </c>
      <c r="E6" s="3">
        <f>Tableau92218242[[#This Row],[Demande]]-Tableau92218242[[#This Row],[Présente dans la malle]]</f>
        <v>-25</v>
      </c>
      <c r="F6" s="5"/>
      <c r="H6" s="8">
        <f>Tableau92218242[[#This Row],[Quantités acheté rajouté]]*Tableau92218242[[#This Row],[CU du matos rajouté acheté]]</f>
        <v>0</v>
      </c>
    </row>
    <row r="7" spans="2:8" x14ac:dyDescent="0.25">
      <c r="B7" t="s">
        <v>173</v>
      </c>
      <c r="C7">
        <v>10</v>
      </c>
      <c r="E7" s="3">
        <f>Tableau92218242[[#This Row],[Demande]]-Tableau92218242[[#This Row],[Présente dans la malle]]</f>
        <v>-10</v>
      </c>
      <c r="F7" s="5"/>
      <c r="H7" s="8">
        <f>Tableau92218242[[#This Row],[Quantités acheté rajouté]]*Tableau92218242[[#This Row],[CU du matos rajouté acheté]]</f>
        <v>0</v>
      </c>
    </row>
    <row r="8" spans="2:8" x14ac:dyDescent="0.25">
      <c r="B8" t="s">
        <v>174</v>
      </c>
      <c r="C8">
        <v>20</v>
      </c>
      <c r="E8" s="3">
        <f>Tableau92218242[[#This Row],[Demande]]-Tableau92218242[[#This Row],[Présente dans la malle]]</f>
        <v>-20</v>
      </c>
      <c r="F8" s="5"/>
      <c r="H8" s="8">
        <f>Tableau92218242[[#This Row],[Quantités acheté rajouté]]*Tableau92218242[[#This Row],[CU du matos rajouté acheté]]</f>
        <v>0</v>
      </c>
    </row>
    <row r="9" spans="2:8" x14ac:dyDescent="0.25">
      <c r="B9" t="s">
        <v>119</v>
      </c>
      <c r="C9">
        <v>7</v>
      </c>
      <c r="E9" s="3">
        <f>Tableau92218242[[#This Row],[Demande]]-Tableau92218242[[#This Row],[Présente dans la malle]]</f>
        <v>-7</v>
      </c>
      <c r="F9" s="5"/>
      <c r="H9" s="8">
        <f>Tableau92218242[[#This Row],[Quantités acheté rajouté]]*Tableau92218242[[#This Row],[CU du matos rajouté acheté]]</f>
        <v>0</v>
      </c>
    </row>
    <row r="10" spans="2:8" x14ac:dyDescent="0.25">
      <c r="B10" t="s">
        <v>73</v>
      </c>
      <c r="C10">
        <v>1</v>
      </c>
      <c r="E10" s="3">
        <f>Tableau92218242[[#This Row],[Demande]]-Tableau92218242[[#This Row],[Présente dans la malle]]</f>
        <v>-1</v>
      </c>
      <c r="F10" s="5"/>
      <c r="H10" s="8">
        <f>Tableau92218242[[#This Row],[Quantités acheté rajouté]]*Tableau92218242[[#This Row],[CU du matos rajouté acheté]]</f>
        <v>0</v>
      </c>
    </row>
    <row r="11" spans="2:8" x14ac:dyDescent="0.25">
      <c r="B11" t="s">
        <v>175</v>
      </c>
      <c r="C11">
        <v>2</v>
      </c>
      <c r="E11" s="3">
        <f>Tableau92218242[[#This Row],[Demande]]-Tableau92218242[[#This Row],[Présente dans la malle]]</f>
        <v>-2</v>
      </c>
      <c r="F11" s="5"/>
      <c r="H11" s="8">
        <f>Tableau92218242[[#This Row],[Quantités acheté rajouté]]*Tableau92218242[[#This Row],[CU du matos rajouté acheté]]</f>
        <v>0</v>
      </c>
    </row>
    <row r="12" spans="2:8" x14ac:dyDescent="0.25">
      <c r="B12" t="s">
        <v>176</v>
      </c>
      <c r="C12">
        <v>3</v>
      </c>
      <c r="E12" s="3">
        <f>Tableau92218242[[#This Row],[Demande]]-Tableau92218242[[#This Row],[Présente dans la malle]]</f>
        <v>-3</v>
      </c>
      <c r="F12" s="5"/>
      <c r="H12" s="8">
        <f>Tableau92218242[[#This Row],[Quantités acheté rajouté]]*Tableau92218242[[#This Row],[CU du matos rajouté acheté]]</f>
        <v>0</v>
      </c>
    </row>
    <row r="13" spans="2:8" x14ac:dyDescent="0.25">
      <c r="B13" t="s">
        <v>96</v>
      </c>
      <c r="C13">
        <v>13</v>
      </c>
      <c r="E13" s="3">
        <f>Tableau92218242[[#This Row],[Demande]]-Tableau92218242[[#This Row],[Présente dans la malle]]</f>
        <v>-13</v>
      </c>
      <c r="F13" s="5"/>
      <c r="H13" s="8">
        <f>Tableau92218242[[#This Row],[Quantités acheté rajouté]]*Tableau92218242[[#This Row],[CU du matos rajouté acheté]]</f>
        <v>0</v>
      </c>
    </row>
    <row r="14" spans="2:8" x14ac:dyDescent="0.25">
      <c r="B14" t="s">
        <v>63</v>
      </c>
      <c r="C14">
        <v>30</v>
      </c>
      <c r="E14" s="3">
        <f>Tableau92218242[[#This Row],[Demande]]-Tableau92218242[[#This Row],[Présente dans la malle]]</f>
        <v>-30</v>
      </c>
      <c r="F14" s="5"/>
      <c r="H14" s="8">
        <f>Tableau92218242[[#This Row],[Quantités acheté rajouté]]*Tableau92218242[[#This Row],[CU du matos rajouté acheté]]</f>
        <v>0</v>
      </c>
    </row>
    <row r="15" spans="2:8" x14ac:dyDescent="0.25">
      <c r="B15" t="s">
        <v>127</v>
      </c>
      <c r="C15">
        <v>4</v>
      </c>
      <c r="E15" s="3">
        <f>Tableau92218242[[#This Row],[Demande]]-Tableau92218242[[#This Row],[Présente dans la malle]]</f>
        <v>-4</v>
      </c>
      <c r="F15" s="7"/>
      <c r="G15" s="4"/>
      <c r="H15" s="8">
        <f>Tableau92218242[[#This Row],[Quantités acheté rajouté]]*Tableau92218242[[#This Row],[CU du matos rajouté acheté]]</f>
        <v>0</v>
      </c>
    </row>
    <row r="16" spans="2:8" x14ac:dyDescent="0.25">
      <c r="B16" t="s">
        <v>95</v>
      </c>
      <c r="C16">
        <v>20</v>
      </c>
      <c r="E16" s="11">
        <f>Tableau92218242[[#This Row],[Demande]]-Tableau92218242[[#This Row],[Présente dans la malle]]</f>
        <v>-20</v>
      </c>
      <c r="F16" s="5"/>
      <c r="H16" s="8">
        <f>Tableau92218242[[#This Row],[Quantités acheté rajouté]]*Tableau92218242[[#This Row],[CU du matos rajouté acheté]]</f>
        <v>0</v>
      </c>
    </row>
    <row r="17" spans="2:8" x14ac:dyDescent="0.25">
      <c r="B17" t="s">
        <v>180</v>
      </c>
      <c r="C17">
        <v>2</v>
      </c>
      <c r="E17" s="11">
        <f>Tableau92218242[[#This Row],[Demande]]-Tableau92218242[[#This Row],[Présente dans la malle]]</f>
        <v>-2</v>
      </c>
      <c r="F17" s="5"/>
      <c r="H17" s="8">
        <f>Tableau92218242[[#This Row],[Quantités acheté rajouté]]*Tableau92218242[[#This Row],[CU du matos rajouté acheté]]</f>
        <v>0</v>
      </c>
    </row>
    <row r="18" spans="2:8" x14ac:dyDescent="0.25">
      <c r="B18" t="s">
        <v>58</v>
      </c>
      <c r="C18">
        <v>3</v>
      </c>
      <c r="E18" s="11">
        <f>Tableau92218242[[#This Row],[Demande]]-Tableau92218242[[#This Row],[Présente dans la malle]]</f>
        <v>-3</v>
      </c>
      <c r="F18" s="5"/>
      <c r="H18" s="8">
        <f>Tableau92218242[[#This Row],[Quantités acheté rajouté]]*Tableau92218242[[#This Row],[CU du matos rajouté acheté]]</f>
        <v>0</v>
      </c>
    </row>
    <row r="19" spans="2:8" x14ac:dyDescent="0.25">
      <c r="B19" t="s">
        <v>181</v>
      </c>
      <c r="C19">
        <v>8</v>
      </c>
      <c r="E19" s="11">
        <f>Tableau92218242[[#This Row],[Demande]]-Tableau92218242[[#This Row],[Présente dans la malle]]</f>
        <v>-8</v>
      </c>
      <c r="F19" s="5"/>
      <c r="H19" s="8">
        <f>Tableau92218242[[#This Row],[Quantités acheté rajouté]]*Tableau92218242[[#This Row],[CU du matos rajouté acheté]]</f>
        <v>0</v>
      </c>
    </row>
    <row r="20" spans="2:8" x14ac:dyDescent="0.25">
      <c r="B20" t="s">
        <v>182</v>
      </c>
      <c r="C20">
        <v>8</v>
      </c>
      <c r="E20" s="11">
        <f>Tableau92218242[[#This Row],[Demande]]-Tableau92218242[[#This Row],[Présente dans la malle]]</f>
        <v>-8</v>
      </c>
      <c r="F20" s="5"/>
      <c r="H20" s="8">
        <f>Tableau92218242[[#This Row],[Quantités acheté rajouté]]*Tableau92218242[[#This Row],[CU du matos rajouté acheté]]</f>
        <v>0</v>
      </c>
    </row>
    <row r="21" spans="2:8" x14ac:dyDescent="0.25">
      <c r="B21" t="s">
        <v>124</v>
      </c>
      <c r="C21">
        <v>2</v>
      </c>
      <c r="E21" s="11">
        <f>Tableau92218242[[#This Row],[Demande]]-Tableau92218242[[#This Row],[Présente dans la malle]]</f>
        <v>-2</v>
      </c>
      <c r="F21" s="5"/>
      <c r="H21" s="8">
        <f>Tableau92218242[[#This Row],[Quantités acheté rajouté]]*Tableau92218242[[#This Row],[CU du matos rajouté acheté]]</f>
        <v>0</v>
      </c>
    </row>
    <row r="22" spans="2:8" x14ac:dyDescent="0.25">
      <c r="B22" t="s">
        <v>46</v>
      </c>
      <c r="C22">
        <v>2</v>
      </c>
      <c r="E22" s="11">
        <f>Tableau92218242[[#This Row],[Demande]]-Tableau92218242[[#This Row],[Présente dans la malle]]</f>
        <v>-2</v>
      </c>
      <c r="F22" s="5"/>
      <c r="H22" s="8">
        <f>Tableau92218242[[#This Row],[Quantités acheté rajouté]]*Tableau92218242[[#This Row],[CU du matos rajouté acheté]]</f>
        <v>0</v>
      </c>
    </row>
    <row r="23" spans="2:8" x14ac:dyDescent="0.25">
      <c r="B23" t="s">
        <v>183</v>
      </c>
      <c r="C23">
        <v>2</v>
      </c>
      <c r="E23" s="11">
        <f>Tableau92218242[[#This Row],[Demande]]-Tableau92218242[[#This Row],[Présente dans la malle]]</f>
        <v>-2</v>
      </c>
      <c r="F23" s="5"/>
      <c r="H23" s="8">
        <f>Tableau92218242[[#This Row],[Quantités acheté rajouté]]*Tableau92218242[[#This Row],[CU du matos rajouté acheté]]</f>
        <v>0</v>
      </c>
    </row>
    <row r="24" spans="2:8" x14ac:dyDescent="0.25">
      <c r="B24" t="s">
        <v>158</v>
      </c>
      <c r="C24">
        <v>1</v>
      </c>
      <c r="E24" s="11">
        <f>Tableau92218242[[#This Row],[Demande]]-Tableau92218242[[#This Row],[Présente dans la malle]]</f>
        <v>-1</v>
      </c>
      <c r="F24" s="5"/>
      <c r="H24" s="8">
        <f>Tableau92218242[[#This Row],[Quantités acheté rajouté]]*Tableau92218242[[#This Row],[CU du matos rajouté acheté]]</f>
        <v>0</v>
      </c>
    </row>
    <row r="25" spans="2:8" x14ac:dyDescent="0.25">
      <c r="B25" t="s">
        <v>47</v>
      </c>
      <c r="C25">
        <v>7</v>
      </c>
      <c r="E25" s="11">
        <f>Tableau92218242[[#This Row],[Demande]]-Tableau92218242[[#This Row],[Présente dans la malle]]</f>
        <v>-7</v>
      </c>
      <c r="F25" s="5"/>
      <c r="H25" s="8">
        <f>Tableau92218242[[#This Row],[Quantités acheté rajouté]]*Tableau92218242[[#This Row],[CU du matos rajouté acheté]]</f>
        <v>0</v>
      </c>
    </row>
    <row r="26" spans="2:8" x14ac:dyDescent="0.25">
      <c r="B26" t="s">
        <v>60</v>
      </c>
      <c r="C26">
        <v>1</v>
      </c>
      <c r="E26" s="11">
        <f>Tableau92218242[[#This Row],[Demande]]-Tableau92218242[[#This Row],[Présente dans la malle]]</f>
        <v>-1</v>
      </c>
      <c r="F26" s="5"/>
      <c r="H26" s="8">
        <f>Tableau92218242[[#This Row],[Quantités acheté rajouté]]*Tableau92218242[[#This Row],[CU du matos rajouté acheté]]</f>
        <v>0</v>
      </c>
    </row>
    <row r="27" spans="2:8" x14ac:dyDescent="0.25">
      <c r="B27" t="s">
        <v>184</v>
      </c>
      <c r="C27">
        <v>2</v>
      </c>
      <c r="E27" s="11">
        <f>Tableau92218242[[#This Row],[Demande]]-Tableau92218242[[#This Row],[Présente dans la malle]]</f>
        <v>-2</v>
      </c>
      <c r="F27" s="5"/>
      <c r="H27" s="8">
        <f>Tableau92218242[[#This Row],[Quantités acheté rajouté]]*Tableau92218242[[#This Row],[CU du matos rajouté acheté]]</f>
        <v>0</v>
      </c>
    </row>
    <row r="28" spans="2:8" x14ac:dyDescent="0.25">
      <c r="B28" t="s">
        <v>185</v>
      </c>
      <c r="C28">
        <v>4</v>
      </c>
      <c r="E28" s="11">
        <f>Tableau92218242[[#This Row],[Demande]]-Tableau92218242[[#This Row],[Présente dans la malle]]</f>
        <v>-4</v>
      </c>
      <c r="F28" s="5"/>
      <c r="H28" s="8">
        <f>Tableau92218242[[#This Row],[Quantités acheté rajouté]]*Tableau92218242[[#This Row],[CU du matos rajouté acheté]]</f>
        <v>0</v>
      </c>
    </row>
    <row r="29" spans="2:8" x14ac:dyDescent="0.25">
      <c r="E29" s="11">
        <f>Tableau92218242[[#This Row],[Demande]]-Tableau92218242[[#This Row],[Présente dans la malle]]</f>
        <v>0</v>
      </c>
      <c r="F29" s="5"/>
      <c r="H29" s="8">
        <f>Tableau92218242[[#This Row],[Quantités acheté rajouté]]*Tableau92218242[[#This Row],[CU du matos rajouté acheté]]</f>
        <v>0</v>
      </c>
    </row>
    <row r="30" spans="2:8" x14ac:dyDescent="0.25">
      <c r="E30" s="11">
        <f>Tableau92218242[[#This Row],[Demande]]-Tableau92218242[[#This Row],[Présente dans la malle]]</f>
        <v>0</v>
      </c>
      <c r="F30" s="5"/>
      <c r="H30" s="8">
        <f>Tableau92218242[[#This Row],[Quantités acheté rajouté]]*Tableau92218242[[#This Row],[CU du matos rajouté acheté]]</f>
        <v>0</v>
      </c>
    </row>
    <row r="31" spans="2:8" x14ac:dyDescent="0.25">
      <c r="B31" t="s">
        <v>4</v>
      </c>
      <c r="C31">
        <f>SUM(Tableau92218242[Présente dans la malle])</f>
        <v>184</v>
      </c>
      <c r="D31">
        <f>SUM(Tableau92218242[Demande])</f>
        <v>0</v>
      </c>
      <c r="E31">
        <f>SUM(Tableau92218242[Manque])</f>
        <v>-184</v>
      </c>
      <c r="F31" s="6">
        <f>SUM(Tableau92218242[Quantités acheté rajouté])</f>
        <v>0</v>
      </c>
      <c r="G31" s="6"/>
      <c r="H31" s="10">
        <f>SUM(Tableau92218242[CT])</f>
        <v>0</v>
      </c>
    </row>
    <row r="34" spans="2:8" x14ac:dyDescent="0.25">
      <c r="B34" t="s">
        <v>5</v>
      </c>
      <c r="C34" t="s">
        <v>0</v>
      </c>
      <c r="D34" t="s">
        <v>1</v>
      </c>
      <c r="E34" t="s">
        <v>2</v>
      </c>
      <c r="F34" s="2" t="s">
        <v>15</v>
      </c>
      <c r="G34" s="2" t="s">
        <v>11</v>
      </c>
      <c r="H34" s="2" t="s">
        <v>10</v>
      </c>
    </row>
    <row r="35" spans="2:8" x14ac:dyDescent="0.25">
      <c r="E35" s="3">
        <f>Tableau9296219243[[#This Row],[Demande]]-Tableau9296219243[[#This Row],[Présente dans la malle]]</f>
        <v>0</v>
      </c>
      <c r="F35" s="5"/>
      <c r="H35" s="8">
        <f>Tableau9296219243[[#This Row],[Quantités acheté rajouté]]*Tableau9296219243[[#This Row],[CU du matos rajouté acheté]]</f>
        <v>0</v>
      </c>
    </row>
    <row r="36" spans="2:8" x14ac:dyDescent="0.25">
      <c r="E36" s="3">
        <f>Tableau9296219243[[#This Row],[Demande]]-Tableau9296219243[[#This Row],[Présente dans la malle]]</f>
        <v>0</v>
      </c>
      <c r="F36" s="5"/>
      <c r="H36" s="8">
        <f>Tableau9296219243[[#This Row],[Quantités acheté rajouté]]*Tableau9296219243[[#This Row],[CU du matos rajouté acheté]]</f>
        <v>0</v>
      </c>
    </row>
    <row r="37" spans="2:8" x14ac:dyDescent="0.25">
      <c r="E37" s="3">
        <f>Tableau9296219243[[#This Row],[Demande]]-Tableau9296219243[[#This Row],[Présente dans la malle]]</f>
        <v>0</v>
      </c>
      <c r="F37" s="5"/>
      <c r="H37" s="8">
        <f>Tableau9296219243[[#This Row],[Quantités acheté rajouté]]*Tableau9296219243[[#This Row],[CU du matos rajouté acheté]]</f>
        <v>0</v>
      </c>
    </row>
    <row r="38" spans="2:8" x14ac:dyDescent="0.25">
      <c r="E38" s="3">
        <f>Tableau9296219243[[#This Row],[Demande]]-Tableau9296219243[[#This Row],[Présente dans la malle]]</f>
        <v>0</v>
      </c>
      <c r="F38" s="5"/>
      <c r="H38" s="8">
        <f>Tableau9296219243[[#This Row],[Quantités acheté rajouté]]*Tableau9296219243[[#This Row],[CU du matos rajouté acheté]]</f>
        <v>0</v>
      </c>
    </row>
    <row r="39" spans="2:8" x14ac:dyDescent="0.25">
      <c r="E39" s="3">
        <f>Tableau9296219243[[#This Row],[Demande]]-Tableau9296219243[[#This Row],[Présente dans la malle]]</f>
        <v>0</v>
      </c>
      <c r="F39" s="5"/>
      <c r="H39" s="8">
        <f>Tableau9296219243[[#This Row],[Quantités acheté rajouté]]*Tableau9296219243[[#This Row],[CU du matos rajouté acheté]]</f>
        <v>0</v>
      </c>
    </row>
    <row r="40" spans="2:8" x14ac:dyDescent="0.25">
      <c r="E40" s="3">
        <f>Tableau9296219243[[#This Row],[Demande]]-Tableau9296219243[[#This Row],[Présente dans la malle]]</f>
        <v>0</v>
      </c>
      <c r="F40" s="5"/>
      <c r="H40" s="8">
        <f>Tableau9296219243[[#This Row],[Quantités acheté rajouté]]*Tableau9296219243[[#This Row],[CU du matos rajouté acheté]]</f>
        <v>0</v>
      </c>
    </row>
    <row r="41" spans="2:8" x14ac:dyDescent="0.25">
      <c r="E41" s="3">
        <f>Tableau9296219243[[#This Row],[Demande]]-Tableau9296219243[[#This Row],[Présente dans la malle]]</f>
        <v>0</v>
      </c>
      <c r="F41" s="5"/>
      <c r="H41" s="8">
        <f>Tableau9296219243[[#This Row],[Quantités acheté rajouté]]*Tableau9296219243[[#This Row],[CU du matos rajouté acheté]]</f>
        <v>0</v>
      </c>
    </row>
    <row r="42" spans="2:8" x14ac:dyDescent="0.25">
      <c r="E42" s="3">
        <f>Tableau9296219243[[#This Row],[Demande]]-Tableau9296219243[[#This Row],[Présente dans la malle]]</f>
        <v>0</v>
      </c>
      <c r="F42" s="5"/>
      <c r="H42" s="8">
        <f>Tableau9296219243[[#This Row],[Quantités acheté rajouté]]*Tableau9296219243[[#This Row],[CU du matos rajouté acheté]]</f>
        <v>0</v>
      </c>
    </row>
    <row r="43" spans="2:8" x14ac:dyDescent="0.25">
      <c r="E43" s="3">
        <f>Tableau9296219243[[#This Row],[Demande]]-Tableau9296219243[[#This Row],[Présente dans la malle]]</f>
        <v>0</v>
      </c>
      <c r="F43" s="5"/>
      <c r="H43" s="8">
        <f>Tableau9296219243[[#This Row],[Quantités acheté rajouté]]*Tableau9296219243[[#This Row],[CU du matos rajouté acheté]]</f>
        <v>0</v>
      </c>
    </row>
    <row r="44" spans="2:8" x14ac:dyDescent="0.25">
      <c r="E44" s="3">
        <f>Tableau9296219243[[#This Row],[Demande]]-Tableau9296219243[[#This Row],[Présente dans la malle]]</f>
        <v>0</v>
      </c>
      <c r="F44" s="5"/>
      <c r="H44" s="8">
        <f>Tableau9296219243[[#This Row],[Quantités acheté rajouté]]*Tableau9296219243[[#This Row],[CU du matos rajouté acheté]]</f>
        <v>0</v>
      </c>
    </row>
    <row r="45" spans="2:8" x14ac:dyDescent="0.25">
      <c r="E45" s="3">
        <f>Tableau9296219243[[#This Row],[Demande]]-Tableau9296219243[[#This Row],[Présente dans la malle]]</f>
        <v>0</v>
      </c>
      <c r="F45" s="5"/>
      <c r="H45" s="8">
        <f>Tableau9296219243[[#This Row],[Quantités acheté rajouté]]*Tableau9296219243[[#This Row],[CU du matos rajouté acheté]]</f>
        <v>0</v>
      </c>
    </row>
    <row r="46" spans="2:8" x14ac:dyDescent="0.25">
      <c r="E46" s="3">
        <f>Tableau9296219243[[#This Row],[Demande]]-Tableau9296219243[[#This Row],[Présente dans la malle]]</f>
        <v>0</v>
      </c>
      <c r="F46" s="5"/>
      <c r="H46" s="8">
        <f>Tableau9296219243[[#This Row],[Quantités acheté rajouté]]*Tableau9296219243[[#This Row],[CU du matos rajouté acheté]]</f>
        <v>0</v>
      </c>
    </row>
    <row r="47" spans="2:8" x14ac:dyDescent="0.25">
      <c r="E47" s="3">
        <f>Tableau9296219243[[#This Row],[Demande]]-Tableau9296219243[[#This Row],[Présente dans la malle]]</f>
        <v>0</v>
      </c>
      <c r="F47" s="7"/>
      <c r="G47" s="4"/>
      <c r="H47" s="8">
        <f>Tableau9296219243[[#This Row],[Quantités acheté rajouté]]*Tableau9296219243[[#This Row],[CU du matos rajouté acheté]]</f>
        <v>0</v>
      </c>
    </row>
    <row r="48" spans="2:8" x14ac:dyDescent="0.25">
      <c r="B48" t="s">
        <v>4</v>
      </c>
      <c r="C48">
        <f>SUM(Tableau9296219243[Présente dans la malle])</f>
        <v>0</v>
      </c>
      <c r="D48">
        <f>SUM(Tableau9296219243[Demande])</f>
        <v>0</v>
      </c>
      <c r="E48">
        <f>SUM(Tableau9296219243[Manque])</f>
        <v>0</v>
      </c>
      <c r="F48" s="6">
        <f>SUM(Tableau9296219243[Quantités acheté rajouté])</f>
        <v>0</v>
      </c>
      <c r="G48" s="6"/>
      <c r="H48" s="2">
        <f>SUM(Tableau9296219243[CT])</f>
        <v>0</v>
      </c>
    </row>
    <row r="50" spans="2:8" x14ac:dyDescent="0.25">
      <c r="H50" s="2"/>
    </row>
    <row r="51" spans="2:8" x14ac:dyDescent="0.25">
      <c r="B51" t="s">
        <v>6</v>
      </c>
      <c r="C51" t="s">
        <v>0</v>
      </c>
      <c r="D51" t="s">
        <v>1</v>
      </c>
      <c r="E51" t="s">
        <v>2</v>
      </c>
      <c r="F51" s="2" t="s">
        <v>15</v>
      </c>
      <c r="G51" s="2" t="s">
        <v>11</v>
      </c>
      <c r="H51" s="2" t="s">
        <v>10</v>
      </c>
    </row>
    <row r="52" spans="2:8" x14ac:dyDescent="0.25">
      <c r="E52" s="3">
        <f>Tableau9297220244[[#This Row],[Demande]]-Tableau9297220244[[#This Row],[Présente dans la malle]]</f>
        <v>0</v>
      </c>
      <c r="F52" s="5"/>
      <c r="H52" s="8">
        <f>Tableau9297220244[[#This Row],[Quantités acheté rajouté]]*Tableau9297220244[[#This Row],[CU du matos rajouté acheté]]</f>
        <v>0</v>
      </c>
    </row>
    <row r="53" spans="2:8" x14ac:dyDescent="0.25">
      <c r="E53" s="3">
        <f>Tableau9297220244[[#This Row],[Demande]]-Tableau9297220244[[#This Row],[Présente dans la malle]]</f>
        <v>0</v>
      </c>
      <c r="F53" s="5"/>
      <c r="H53" s="8">
        <f>Tableau9297220244[[#This Row],[Quantités acheté rajouté]]*Tableau9297220244[[#This Row],[CU du matos rajouté acheté]]</f>
        <v>0</v>
      </c>
    </row>
    <row r="54" spans="2:8" x14ac:dyDescent="0.25">
      <c r="E54" s="3">
        <f>Tableau9297220244[[#This Row],[Demande]]-Tableau9297220244[[#This Row],[Présente dans la malle]]</f>
        <v>0</v>
      </c>
      <c r="F54" s="5"/>
      <c r="H54" s="8">
        <f>Tableau9297220244[[#This Row],[Quantités acheté rajouté]]*Tableau9297220244[[#This Row],[CU du matos rajouté acheté]]</f>
        <v>0</v>
      </c>
    </row>
    <row r="55" spans="2:8" x14ac:dyDescent="0.25">
      <c r="E55" s="3">
        <f>Tableau9297220244[[#This Row],[Demande]]-Tableau9297220244[[#This Row],[Présente dans la malle]]</f>
        <v>0</v>
      </c>
      <c r="F55" s="5"/>
      <c r="H55" s="8">
        <f>Tableau9297220244[[#This Row],[Quantités acheté rajouté]]*Tableau9297220244[[#This Row],[CU du matos rajouté acheté]]</f>
        <v>0</v>
      </c>
    </row>
    <row r="56" spans="2:8" x14ac:dyDescent="0.25">
      <c r="E56" s="3">
        <f>Tableau9297220244[[#This Row],[Demande]]-Tableau9297220244[[#This Row],[Présente dans la malle]]</f>
        <v>0</v>
      </c>
      <c r="F56" s="5"/>
      <c r="H56" s="8">
        <f>Tableau9297220244[[#This Row],[Quantités acheté rajouté]]*Tableau9297220244[[#This Row],[CU du matos rajouté acheté]]</f>
        <v>0</v>
      </c>
    </row>
    <row r="57" spans="2:8" x14ac:dyDescent="0.25">
      <c r="E57" s="3">
        <f>Tableau9297220244[[#This Row],[Demande]]-Tableau9297220244[[#This Row],[Présente dans la malle]]</f>
        <v>0</v>
      </c>
      <c r="F57" s="5"/>
      <c r="H57" s="8">
        <f>Tableau9297220244[[#This Row],[Quantités acheté rajouté]]*Tableau9297220244[[#This Row],[CU du matos rajouté acheté]]</f>
        <v>0</v>
      </c>
    </row>
    <row r="58" spans="2:8" x14ac:dyDescent="0.25">
      <c r="E58" s="3">
        <f>Tableau9297220244[[#This Row],[Demande]]-Tableau9297220244[[#This Row],[Présente dans la malle]]</f>
        <v>0</v>
      </c>
      <c r="F58" s="5"/>
      <c r="H58" s="8">
        <f>Tableau9297220244[[#This Row],[Quantités acheté rajouté]]*Tableau9297220244[[#This Row],[CU du matos rajouté acheté]]</f>
        <v>0</v>
      </c>
    </row>
    <row r="59" spans="2:8" x14ac:dyDescent="0.25">
      <c r="E59" s="3">
        <f>Tableau9297220244[[#This Row],[Demande]]-Tableau9297220244[[#This Row],[Présente dans la malle]]</f>
        <v>0</v>
      </c>
      <c r="F59" s="5"/>
      <c r="H59" s="8">
        <f>Tableau9297220244[[#This Row],[Quantités acheté rajouté]]*Tableau9297220244[[#This Row],[CU du matos rajouté acheté]]</f>
        <v>0</v>
      </c>
    </row>
    <row r="60" spans="2:8" x14ac:dyDescent="0.25">
      <c r="E60" s="3">
        <f>Tableau9297220244[[#This Row],[Demande]]-Tableau9297220244[[#This Row],[Présente dans la malle]]</f>
        <v>0</v>
      </c>
      <c r="F60" s="5"/>
      <c r="H60" s="8">
        <f>Tableau9297220244[[#This Row],[Quantités acheté rajouté]]*Tableau9297220244[[#This Row],[CU du matos rajouté acheté]]</f>
        <v>0</v>
      </c>
    </row>
    <row r="61" spans="2:8" x14ac:dyDescent="0.25">
      <c r="E61" s="3">
        <f>Tableau9297220244[[#This Row],[Demande]]-Tableau9297220244[[#This Row],[Présente dans la malle]]</f>
        <v>0</v>
      </c>
      <c r="F61" s="5"/>
      <c r="H61" s="8">
        <f>Tableau9297220244[[#This Row],[Quantités acheté rajouté]]*Tableau9297220244[[#This Row],[CU du matos rajouté acheté]]</f>
        <v>0</v>
      </c>
    </row>
    <row r="62" spans="2:8" x14ac:dyDescent="0.25">
      <c r="E62" s="3">
        <f>Tableau9297220244[[#This Row],[Demande]]-Tableau9297220244[[#This Row],[Présente dans la malle]]</f>
        <v>0</v>
      </c>
      <c r="F62" s="5"/>
      <c r="H62" s="8">
        <f>Tableau9297220244[[#This Row],[Quantités acheté rajouté]]*Tableau9297220244[[#This Row],[CU du matos rajouté acheté]]</f>
        <v>0</v>
      </c>
    </row>
    <row r="63" spans="2:8" x14ac:dyDescent="0.25">
      <c r="E63" s="3">
        <f>Tableau9297220244[[#This Row],[Demande]]-Tableau9297220244[[#This Row],[Présente dans la malle]]</f>
        <v>0</v>
      </c>
      <c r="F63" s="5"/>
      <c r="H63" s="8">
        <f>Tableau9297220244[[#This Row],[Quantités acheté rajouté]]*Tableau9297220244[[#This Row],[CU du matos rajouté acheté]]</f>
        <v>0</v>
      </c>
    </row>
    <row r="64" spans="2:8" x14ac:dyDescent="0.25">
      <c r="E64" s="3">
        <f>Tableau9297220244[[#This Row],[Demande]]-Tableau9297220244[[#This Row],[Présente dans la malle]]</f>
        <v>0</v>
      </c>
      <c r="F64" s="7"/>
      <c r="G64" s="4"/>
      <c r="H64" s="8">
        <f>Tableau9297220244[[#This Row],[Quantités acheté rajouté]]*Tableau9297220244[[#This Row],[CU du matos rajouté acheté]]</f>
        <v>0</v>
      </c>
    </row>
    <row r="65" spans="2:8" x14ac:dyDescent="0.25">
      <c r="B65" t="s">
        <v>4</v>
      </c>
      <c r="C65">
        <f>SUM(Tableau9297220244[Présente dans la malle])</f>
        <v>0</v>
      </c>
      <c r="D65">
        <f>SUM(Tableau9297220244[Demande])</f>
        <v>0</v>
      </c>
      <c r="E65">
        <f>SUM(Tableau9297220244[Manque])</f>
        <v>0</v>
      </c>
      <c r="F65" s="6">
        <f>SUM(Tableau9297220244[Quantités acheté rajouté])</f>
        <v>0</v>
      </c>
      <c r="G65" s="6"/>
      <c r="H65" s="2">
        <f>SUM(Tableau9297220244[CT])</f>
        <v>0</v>
      </c>
    </row>
  </sheetData>
  <conditionalFormatting sqref="E3:E30">
    <cfRule type="cellIs" dxfId="779" priority="10" operator="equal">
      <formula>0</formula>
    </cfRule>
    <cfRule type="cellIs" dxfId="778" priority="11" operator="lessThan">
      <formula>0</formula>
    </cfRule>
    <cfRule type="cellIs" dxfId="777" priority="12" operator="greaterThan">
      <formula>0</formula>
    </cfRule>
  </conditionalFormatting>
  <conditionalFormatting sqref="E31">
    <cfRule type="cellIs" dxfId="776" priority="9" operator="equal">
      <formula>0</formula>
    </cfRule>
  </conditionalFormatting>
  <conditionalFormatting sqref="E65">
    <cfRule type="cellIs" dxfId="775" priority="1" operator="equal">
      <formula>0</formula>
    </cfRule>
  </conditionalFormatting>
  <conditionalFormatting sqref="E35:E47">
    <cfRule type="cellIs" dxfId="774" priority="6" operator="equal">
      <formula>0</formula>
    </cfRule>
    <cfRule type="cellIs" dxfId="773" priority="7" operator="lessThan">
      <formula>0</formula>
    </cfRule>
    <cfRule type="cellIs" dxfId="772" priority="8" operator="greaterThan">
      <formula>0</formula>
    </cfRule>
  </conditionalFormatting>
  <conditionalFormatting sqref="E48">
    <cfRule type="cellIs" dxfId="771" priority="5" operator="equal">
      <formula>0</formula>
    </cfRule>
  </conditionalFormatting>
  <conditionalFormatting sqref="E52:E64">
    <cfRule type="cellIs" dxfId="770" priority="2" operator="equal">
      <formula>0</formula>
    </cfRule>
    <cfRule type="cellIs" dxfId="769" priority="3" operator="lessThan">
      <formula>0</formula>
    </cfRule>
    <cfRule type="cellIs" dxfId="768" priority="4" operator="greaterThan">
      <formula>0</formula>
    </cfRule>
  </conditionalFormatting>
  <dataValidations count="7">
    <dataValidation type="list" allowBlank="1" showInputMessage="1" showErrorMessage="1" prompt="Insérez la fourniture désiré" sqref="B52:B63 B35:B46" xr:uid="{5D1A1A44-5C70-447B-98DD-0FF131A8E3D7}">
      <formula1>Fournitures</formula1>
    </dataValidation>
    <dataValidation allowBlank="1" showInputMessage="1" showErrorMessage="1" prompt="Si VERT_x000a_La fourniture est bien présente et la quantité est bonne_x000a_Si ROUGE_x000a_+ : Il faut rajouter la quantité de fourniture_x000a_- : Il faut enlevé la quantité de fourniture en trop_x000a_" sqref="E35:E47 E52:E64 E3:E30" xr:uid="{629E95A4-42EE-4FEC-A9AE-AB1B88AC8958}"/>
    <dataValidation allowBlank="1" showInputMessage="1" showErrorMessage="1" prompt="Insérez la quantité présente dans les malles" sqref="C52:C58 C3:C9 C43:C46 C35:C41 C60:C63 C13:C14" xr:uid="{66BD286D-6BD9-4864-A58D-48D80EAFFB1D}"/>
    <dataValidation allowBlank="1" showInputMessage="1" showErrorMessage="1" prompt="Insérez la quantité demandé" sqref="D11:D14 D3:D9 D43:D46 D35:D41 D60:D63 D52:D58" xr:uid="{23EC970F-1FC7-436D-B620-4B2C620EBE4D}"/>
    <dataValidation allowBlank="1" showInputMessage="1" showErrorMessage="1" prompt="Quantité acheté rajouté * CU" sqref="H3 H35 H52" xr:uid="{DEAAA65C-E516-4DE6-9F46-EA2B8C831AFA}"/>
    <dataValidation allowBlank="1" showInputMessage="1" showErrorMessage="1" prompt="CU = Cout unitaire" sqref="F50:G51 F2:G2 F34:G34" xr:uid="{91B75D0A-AFC4-4EB5-BD64-E513917EE061}"/>
    <dataValidation allowBlank="1" showInputMessage="1" showErrorMessage="1" prompt="CT = Cout total" sqref="H50:H51 H2 H34" xr:uid="{C6D35BD9-61AB-43AE-8CE6-1829B40483BE}"/>
  </dataValidations>
  <pageMargins left="0.7" right="0.7" top="0.75" bottom="0.75" header="0.3" footer="0.3"/>
  <tableParts count="3">
    <tablePart r:id="rId1"/>
    <tablePart r:id="rId2"/>
    <tablePart r:id="rId3"/>
  </tableParts>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0015F1A-EA78-4688-814E-4E5B6A6AC038}">
  <dimension ref="B2:H50"/>
  <sheetViews>
    <sheetView workbookViewId="0">
      <selection activeCell="B13" sqref="B13"/>
    </sheetView>
  </sheetViews>
  <sheetFormatPr baseColWidth="10" defaultRowHeight="15" x14ac:dyDescent="0.25"/>
  <cols>
    <col min="2" max="2" width="24.42578125" customWidth="1"/>
    <col min="3" max="3" width="23.140625" customWidth="1"/>
    <col min="4" max="4" width="11.7109375" customWidth="1"/>
    <col min="6" max="6" width="26.5703125" style="2" customWidth="1"/>
    <col min="7" max="7" width="28.28515625" style="2" customWidth="1"/>
  </cols>
  <sheetData>
    <row r="2" spans="2:8" x14ac:dyDescent="0.25">
      <c r="B2" t="s">
        <v>7</v>
      </c>
      <c r="C2" t="s">
        <v>0</v>
      </c>
      <c r="D2" t="s">
        <v>1</v>
      </c>
      <c r="E2" t="s">
        <v>2</v>
      </c>
      <c r="F2" s="2" t="s">
        <v>15</v>
      </c>
      <c r="G2" s="2" t="s">
        <v>11</v>
      </c>
      <c r="H2" s="2" t="s">
        <v>10</v>
      </c>
    </row>
    <row r="3" spans="2:8" x14ac:dyDescent="0.25">
      <c r="B3" t="s">
        <v>136</v>
      </c>
      <c r="C3">
        <v>1</v>
      </c>
      <c r="E3" s="3">
        <f>Tableau92218227[[#This Row],[Demande]]-Tableau92218227[[#This Row],[Présente dans la malle]]</f>
        <v>-1</v>
      </c>
      <c r="F3" s="5"/>
      <c r="H3" s="8">
        <f>Tableau92218227[[#This Row],[Quantités acheté rajouté]]*Tableau92218227[[#This Row],[CU du matos rajouté acheté]]</f>
        <v>0</v>
      </c>
    </row>
    <row r="4" spans="2:8" x14ac:dyDescent="0.25">
      <c r="B4" t="s">
        <v>150</v>
      </c>
      <c r="C4">
        <v>1</v>
      </c>
      <c r="E4" s="3">
        <f>Tableau92218227[[#This Row],[Demande]]-Tableau92218227[[#This Row],[Présente dans la malle]]</f>
        <v>-1</v>
      </c>
      <c r="F4" s="5"/>
      <c r="H4" s="8">
        <f>Tableau92218227[[#This Row],[Quantités acheté rajouté]]*Tableau92218227[[#This Row],[CU du matos rajouté acheté]]</f>
        <v>0</v>
      </c>
    </row>
    <row r="5" spans="2:8" x14ac:dyDescent="0.25">
      <c r="B5" t="s">
        <v>56</v>
      </c>
      <c r="C5">
        <v>1</v>
      </c>
      <c r="E5" s="3">
        <f>Tableau92218227[[#This Row],[Demande]]-Tableau92218227[[#This Row],[Présente dans la malle]]</f>
        <v>-1</v>
      </c>
      <c r="F5" s="5"/>
      <c r="H5" s="8">
        <f>Tableau92218227[[#This Row],[Quantités acheté rajouté]]*Tableau92218227[[#This Row],[CU du matos rajouté acheté]]</f>
        <v>0</v>
      </c>
    </row>
    <row r="6" spans="2:8" x14ac:dyDescent="0.25">
      <c r="B6" t="s">
        <v>42</v>
      </c>
      <c r="C6">
        <v>1</v>
      </c>
      <c r="E6" s="3">
        <f>Tableau92218227[[#This Row],[Demande]]-Tableau92218227[[#This Row],[Présente dans la malle]]</f>
        <v>-1</v>
      </c>
      <c r="F6" s="5"/>
      <c r="H6" s="8">
        <f>Tableau92218227[[#This Row],[Quantités acheté rajouté]]*Tableau92218227[[#This Row],[CU du matos rajouté acheté]]</f>
        <v>0</v>
      </c>
    </row>
    <row r="7" spans="2:8" x14ac:dyDescent="0.25">
      <c r="B7" t="s">
        <v>139</v>
      </c>
      <c r="C7">
        <v>1</v>
      </c>
      <c r="E7" s="3">
        <f>Tableau92218227[[#This Row],[Demande]]-Tableau92218227[[#This Row],[Présente dans la malle]]</f>
        <v>-1</v>
      </c>
      <c r="F7" s="5"/>
      <c r="H7" s="8">
        <f>Tableau92218227[[#This Row],[Quantités acheté rajouté]]*Tableau92218227[[#This Row],[CU du matos rajouté acheté]]</f>
        <v>0</v>
      </c>
    </row>
    <row r="8" spans="2:8" x14ac:dyDescent="0.25">
      <c r="B8" t="s">
        <v>116</v>
      </c>
      <c r="C8">
        <v>1</v>
      </c>
      <c r="E8" s="3">
        <f>Tableau92218227[[#This Row],[Demande]]-Tableau92218227[[#This Row],[Présente dans la malle]]</f>
        <v>-1</v>
      </c>
      <c r="F8" s="5"/>
      <c r="H8" s="8">
        <f>Tableau92218227[[#This Row],[Quantités acheté rajouté]]*Tableau92218227[[#This Row],[CU du matos rajouté acheté]]</f>
        <v>0</v>
      </c>
    </row>
    <row r="9" spans="2:8" x14ac:dyDescent="0.25">
      <c r="B9" t="s">
        <v>58</v>
      </c>
      <c r="C9">
        <v>1</v>
      </c>
      <c r="E9" s="3">
        <f>Tableau92218227[[#This Row],[Demande]]-Tableau92218227[[#This Row],[Présente dans la malle]]</f>
        <v>-1</v>
      </c>
      <c r="F9" s="5"/>
      <c r="H9" s="8">
        <f>Tableau92218227[[#This Row],[Quantités acheté rajouté]]*Tableau92218227[[#This Row],[CU du matos rajouté acheté]]</f>
        <v>0</v>
      </c>
    </row>
    <row r="10" spans="2:8" x14ac:dyDescent="0.25">
      <c r="B10" t="s">
        <v>103</v>
      </c>
      <c r="C10">
        <v>4</v>
      </c>
      <c r="E10" s="3">
        <f>Tableau92218227[[#This Row],[Demande]]-Tableau92218227[[#This Row],[Présente dans la malle]]</f>
        <v>-4</v>
      </c>
      <c r="F10" s="5"/>
      <c r="H10" s="8">
        <f>Tableau92218227[[#This Row],[Quantités acheté rajouté]]*Tableau92218227[[#This Row],[CU du matos rajouté acheté]]</f>
        <v>0</v>
      </c>
    </row>
    <row r="11" spans="2:8" x14ac:dyDescent="0.25">
      <c r="B11" t="s">
        <v>125</v>
      </c>
      <c r="C11">
        <v>3</v>
      </c>
      <c r="E11" s="3">
        <f>Tableau92218227[[#This Row],[Demande]]-Tableau92218227[[#This Row],[Présente dans la malle]]</f>
        <v>-3</v>
      </c>
      <c r="F11" s="5"/>
      <c r="H11" s="8">
        <f>Tableau92218227[[#This Row],[Quantités acheté rajouté]]*Tableau92218227[[#This Row],[CU du matos rajouté acheté]]</f>
        <v>0</v>
      </c>
    </row>
    <row r="12" spans="2:8" x14ac:dyDescent="0.25">
      <c r="B12" t="s">
        <v>124</v>
      </c>
      <c r="C12">
        <v>1</v>
      </c>
      <c r="E12" s="3">
        <f>Tableau92218227[[#This Row],[Demande]]-Tableau92218227[[#This Row],[Présente dans la malle]]</f>
        <v>-1</v>
      </c>
      <c r="F12" s="5"/>
      <c r="H12" s="8">
        <f>Tableau92218227[[#This Row],[Quantités acheté rajouté]]*Tableau92218227[[#This Row],[CU du matos rajouté acheté]]</f>
        <v>0</v>
      </c>
    </row>
    <row r="13" spans="2:8" x14ac:dyDescent="0.25">
      <c r="E13" s="3">
        <f>Tableau92218227[[#This Row],[Demande]]-Tableau92218227[[#This Row],[Présente dans la malle]]</f>
        <v>0</v>
      </c>
      <c r="F13" s="5"/>
      <c r="H13" s="8">
        <f>Tableau92218227[[#This Row],[Quantités acheté rajouté]]*Tableau92218227[[#This Row],[CU du matos rajouté acheté]]</f>
        <v>0</v>
      </c>
    </row>
    <row r="14" spans="2:8" x14ac:dyDescent="0.25">
      <c r="E14" s="3">
        <f>Tableau92218227[[#This Row],[Demande]]-Tableau92218227[[#This Row],[Présente dans la malle]]</f>
        <v>0</v>
      </c>
      <c r="F14" s="5"/>
      <c r="H14" s="8">
        <f>Tableau92218227[[#This Row],[Quantités acheté rajouté]]*Tableau92218227[[#This Row],[CU du matos rajouté acheté]]</f>
        <v>0</v>
      </c>
    </row>
    <row r="15" spans="2:8" x14ac:dyDescent="0.25">
      <c r="E15" s="3">
        <f>Tableau92218227[[#This Row],[Demande]]-Tableau92218227[[#This Row],[Présente dans la malle]]</f>
        <v>0</v>
      </c>
      <c r="F15" s="7"/>
      <c r="G15" s="4"/>
      <c r="H15" s="8">
        <f>Tableau92218227[[#This Row],[Quantités acheté rajouté]]*Tableau92218227[[#This Row],[CU du matos rajouté acheté]]</f>
        <v>0</v>
      </c>
    </row>
    <row r="16" spans="2:8" x14ac:dyDescent="0.25">
      <c r="B16" t="s">
        <v>4</v>
      </c>
      <c r="C16">
        <f>SUM(Tableau92218227[Présente dans la malle])</f>
        <v>15</v>
      </c>
      <c r="D16">
        <f>SUM(Tableau92218227[Demande])</f>
        <v>0</v>
      </c>
      <c r="E16">
        <f>SUM(Tableau92218227[Manque])</f>
        <v>-15</v>
      </c>
      <c r="F16" s="6">
        <f>SUM(Tableau92218227[Quantités acheté rajouté])</f>
        <v>0</v>
      </c>
      <c r="G16" s="6"/>
      <c r="H16" s="10">
        <f>SUM(Tableau92218227[CT])</f>
        <v>0</v>
      </c>
    </row>
    <row r="19" spans="2:8" x14ac:dyDescent="0.25">
      <c r="B19" t="s">
        <v>5</v>
      </c>
      <c r="C19" t="s">
        <v>0</v>
      </c>
      <c r="D19" t="s">
        <v>1</v>
      </c>
      <c r="E19" t="s">
        <v>2</v>
      </c>
      <c r="F19" s="2" t="s">
        <v>15</v>
      </c>
      <c r="G19" s="2" t="s">
        <v>11</v>
      </c>
      <c r="H19" s="2" t="s">
        <v>10</v>
      </c>
    </row>
    <row r="20" spans="2:8" x14ac:dyDescent="0.25">
      <c r="E20" s="3">
        <f>Tableau9296219228[[#This Row],[Demande]]-Tableau9296219228[[#This Row],[Présente dans la malle]]</f>
        <v>0</v>
      </c>
      <c r="F20" s="5"/>
      <c r="H20" s="8">
        <f>Tableau9296219228[[#This Row],[Quantités acheté rajouté]]*Tableau9296219228[[#This Row],[CU du matos rajouté acheté]]</f>
        <v>0</v>
      </c>
    </row>
    <row r="21" spans="2:8" x14ac:dyDescent="0.25">
      <c r="E21" s="3">
        <f>Tableau9296219228[[#This Row],[Demande]]-Tableau9296219228[[#This Row],[Présente dans la malle]]</f>
        <v>0</v>
      </c>
      <c r="F21" s="5"/>
      <c r="H21" s="8">
        <f>Tableau9296219228[[#This Row],[Quantités acheté rajouté]]*Tableau9296219228[[#This Row],[CU du matos rajouté acheté]]</f>
        <v>0</v>
      </c>
    </row>
    <row r="22" spans="2:8" x14ac:dyDescent="0.25">
      <c r="E22" s="3">
        <f>Tableau9296219228[[#This Row],[Demande]]-Tableau9296219228[[#This Row],[Présente dans la malle]]</f>
        <v>0</v>
      </c>
      <c r="F22" s="5"/>
      <c r="H22" s="8">
        <f>Tableau9296219228[[#This Row],[Quantités acheté rajouté]]*Tableau9296219228[[#This Row],[CU du matos rajouté acheté]]</f>
        <v>0</v>
      </c>
    </row>
    <row r="23" spans="2:8" x14ac:dyDescent="0.25">
      <c r="E23" s="3">
        <f>Tableau9296219228[[#This Row],[Demande]]-Tableau9296219228[[#This Row],[Présente dans la malle]]</f>
        <v>0</v>
      </c>
      <c r="F23" s="5"/>
      <c r="H23" s="8">
        <f>Tableau9296219228[[#This Row],[Quantités acheté rajouté]]*Tableau9296219228[[#This Row],[CU du matos rajouté acheté]]</f>
        <v>0</v>
      </c>
    </row>
    <row r="24" spans="2:8" x14ac:dyDescent="0.25">
      <c r="E24" s="3">
        <f>Tableau9296219228[[#This Row],[Demande]]-Tableau9296219228[[#This Row],[Présente dans la malle]]</f>
        <v>0</v>
      </c>
      <c r="F24" s="5"/>
      <c r="H24" s="8">
        <f>Tableau9296219228[[#This Row],[Quantités acheté rajouté]]*Tableau9296219228[[#This Row],[CU du matos rajouté acheté]]</f>
        <v>0</v>
      </c>
    </row>
    <row r="25" spans="2:8" x14ac:dyDescent="0.25">
      <c r="E25" s="3">
        <f>Tableau9296219228[[#This Row],[Demande]]-Tableau9296219228[[#This Row],[Présente dans la malle]]</f>
        <v>0</v>
      </c>
      <c r="F25" s="5"/>
      <c r="H25" s="8">
        <f>Tableau9296219228[[#This Row],[Quantités acheté rajouté]]*Tableau9296219228[[#This Row],[CU du matos rajouté acheté]]</f>
        <v>0</v>
      </c>
    </row>
    <row r="26" spans="2:8" x14ac:dyDescent="0.25">
      <c r="E26" s="3">
        <f>Tableau9296219228[[#This Row],[Demande]]-Tableau9296219228[[#This Row],[Présente dans la malle]]</f>
        <v>0</v>
      </c>
      <c r="F26" s="5"/>
      <c r="H26" s="8">
        <f>Tableau9296219228[[#This Row],[Quantités acheté rajouté]]*Tableau9296219228[[#This Row],[CU du matos rajouté acheté]]</f>
        <v>0</v>
      </c>
    </row>
    <row r="27" spans="2:8" x14ac:dyDescent="0.25">
      <c r="E27" s="3">
        <f>Tableau9296219228[[#This Row],[Demande]]-Tableau9296219228[[#This Row],[Présente dans la malle]]</f>
        <v>0</v>
      </c>
      <c r="F27" s="5"/>
      <c r="H27" s="8">
        <f>Tableau9296219228[[#This Row],[Quantités acheté rajouté]]*Tableau9296219228[[#This Row],[CU du matos rajouté acheté]]</f>
        <v>0</v>
      </c>
    </row>
    <row r="28" spans="2:8" x14ac:dyDescent="0.25">
      <c r="E28" s="3">
        <f>Tableau9296219228[[#This Row],[Demande]]-Tableau9296219228[[#This Row],[Présente dans la malle]]</f>
        <v>0</v>
      </c>
      <c r="F28" s="5"/>
      <c r="H28" s="8">
        <f>Tableau9296219228[[#This Row],[Quantités acheté rajouté]]*Tableau9296219228[[#This Row],[CU du matos rajouté acheté]]</f>
        <v>0</v>
      </c>
    </row>
    <row r="29" spans="2:8" x14ac:dyDescent="0.25">
      <c r="E29" s="3">
        <f>Tableau9296219228[[#This Row],[Demande]]-Tableau9296219228[[#This Row],[Présente dans la malle]]</f>
        <v>0</v>
      </c>
      <c r="F29" s="5"/>
      <c r="H29" s="8">
        <f>Tableau9296219228[[#This Row],[Quantités acheté rajouté]]*Tableau9296219228[[#This Row],[CU du matos rajouté acheté]]</f>
        <v>0</v>
      </c>
    </row>
    <row r="30" spans="2:8" x14ac:dyDescent="0.25">
      <c r="E30" s="3">
        <f>Tableau9296219228[[#This Row],[Demande]]-Tableau9296219228[[#This Row],[Présente dans la malle]]</f>
        <v>0</v>
      </c>
      <c r="F30" s="5"/>
      <c r="H30" s="8">
        <f>Tableau9296219228[[#This Row],[Quantités acheté rajouté]]*Tableau9296219228[[#This Row],[CU du matos rajouté acheté]]</f>
        <v>0</v>
      </c>
    </row>
    <row r="31" spans="2:8" x14ac:dyDescent="0.25">
      <c r="E31" s="3">
        <f>Tableau9296219228[[#This Row],[Demande]]-Tableau9296219228[[#This Row],[Présente dans la malle]]</f>
        <v>0</v>
      </c>
      <c r="F31" s="5"/>
      <c r="H31" s="8">
        <f>Tableau9296219228[[#This Row],[Quantités acheté rajouté]]*Tableau9296219228[[#This Row],[CU du matos rajouté acheté]]</f>
        <v>0</v>
      </c>
    </row>
    <row r="32" spans="2:8" x14ac:dyDescent="0.25">
      <c r="E32" s="3">
        <f>Tableau9296219228[[#This Row],[Demande]]-Tableau9296219228[[#This Row],[Présente dans la malle]]</f>
        <v>0</v>
      </c>
      <c r="F32" s="7"/>
      <c r="G32" s="4"/>
      <c r="H32" s="8">
        <f>Tableau9296219228[[#This Row],[Quantités acheté rajouté]]*Tableau9296219228[[#This Row],[CU du matos rajouté acheté]]</f>
        <v>0</v>
      </c>
    </row>
    <row r="33" spans="2:8" x14ac:dyDescent="0.25">
      <c r="B33" t="s">
        <v>4</v>
      </c>
      <c r="C33">
        <f>SUM(Tableau9296219228[Présente dans la malle])</f>
        <v>0</v>
      </c>
      <c r="D33">
        <f>SUM(Tableau9296219228[Demande])</f>
        <v>0</v>
      </c>
      <c r="E33">
        <f>SUM(Tableau9296219228[Manque])</f>
        <v>0</v>
      </c>
      <c r="F33" s="6">
        <f>SUM(Tableau9296219228[Quantités acheté rajouté])</f>
        <v>0</v>
      </c>
      <c r="G33" s="6"/>
      <c r="H33" s="2">
        <f>SUM(Tableau9296219228[CT])</f>
        <v>0</v>
      </c>
    </row>
    <row r="35" spans="2:8" x14ac:dyDescent="0.25">
      <c r="H35" s="2"/>
    </row>
    <row r="36" spans="2:8" x14ac:dyDescent="0.25">
      <c r="B36" t="s">
        <v>6</v>
      </c>
      <c r="C36" t="s">
        <v>0</v>
      </c>
      <c r="D36" t="s">
        <v>1</v>
      </c>
      <c r="E36" t="s">
        <v>2</v>
      </c>
      <c r="F36" s="2" t="s">
        <v>15</v>
      </c>
      <c r="G36" s="2" t="s">
        <v>11</v>
      </c>
      <c r="H36" s="2" t="s">
        <v>10</v>
      </c>
    </row>
    <row r="37" spans="2:8" x14ac:dyDescent="0.25">
      <c r="E37" s="3">
        <f>Tableau9297220229[[#This Row],[Demande]]-Tableau9297220229[[#This Row],[Présente dans la malle]]</f>
        <v>0</v>
      </c>
      <c r="F37" s="5"/>
      <c r="H37" s="8">
        <f>Tableau9297220229[[#This Row],[Quantités acheté rajouté]]*Tableau9297220229[[#This Row],[CU du matos rajouté acheté]]</f>
        <v>0</v>
      </c>
    </row>
    <row r="38" spans="2:8" x14ac:dyDescent="0.25">
      <c r="E38" s="3">
        <f>Tableau9297220229[[#This Row],[Demande]]-Tableau9297220229[[#This Row],[Présente dans la malle]]</f>
        <v>0</v>
      </c>
      <c r="F38" s="5"/>
      <c r="H38" s="8">
        <f>Tableau9297220229[[#This Row],[Quantités acheté rajouté]]*Tableau9297220229[[#This Row],[CU du matos rajouté acheté]]</f>
        <v>0</v>
      </c>
    </row>
    <row r="39" spans="2:8" x14ac:dyDescent="0.25">
      <c r="E39" s="3">
        <f>Tableau9297220229[[#This Row],[Demande]]-Tableau9297220229[[#This Row],[Présente dans la malle]]</f>
        <v>0</v>
      </c>
      <c r="F39" s="5"/>
      <c r="H39" s="8">
        <f>Tableau9297220229[[#This Row],[Quantités acheté rajouté]]*Tableau9297220229[[#This Row],[CU du matos rajouté acheté]]</f>
        <v>0</v>
      </c>
    </row>
    <row r="40" spans="2:8" x14ac:dyDescent="0.25">
      <c r="E40" s="3">
        <f>Tableau9297220229[[#This Row],[Demande]]-Tableau9297220229[[#This Row],[Présente dans la malle]]</f>
        <v>0</v>
      </c>
      <c r="F40" s="5"/>
      <c r="H40" s="8">
        <f>Tableau9297220229[[#This Row],[Quantités acheté rajouté]]*Tableau9297220229[[#This Row],[CU du matos rajouté acheté]]</f>
        <v>0</v>
      </c>
    </row>
    <row r="41" spans="2:8" x14ac:dyDescent="0.25">
      <c r="E41" s="3">
        <f>Tableau9297220229[[#This Row],[Demande]]-Tableau9297220229[[#This Row],[Présente dans la malle]]</f>
        <v>0</v>
      </c>
      <c r="F41" s="5"/>
      <c r="H41" s="8">
        <f>Tableau9297220229[[#This Row],[Quantités acheté rajouté]]*Tableau9297220229[[#This Row],[CU du matos rajouté acheté]]</f>
        <v>0</v>
      </c>
    </row>
    <row r="42" spans="2:8" x14ac:dyDescent="0.25">
      <c r="E42" s="3">
        <f>Tableau9297220229[[#This Row],[Demande]]-Tableau9297220229[[#This Row],[Présente dans la malle]]</f>
        <v>0</v>
      </c>
      <c r="F42" s="5"/>
      <c r="H42" s="8">
        <f>Tableau9297220229[[#This Row],[Quantités acheté rajouté]]*Tableau9297220229[[#This Row],[CU du matos rajouté acheté]]</f>
        <v>0</v>
      </c>
    </row>
    <row r="43" spans="2:8" x14ac:dyDescent="0.25">
      <c r="E43" s="3">
        <f>Tableau9297220229[[#This Row],[Demande]]-Tableau9297220229[[#This Row],[Présente dans la malle]]</f>
        <v>0</v>
      </c>
      <c r="F43" s="5"/>
      <c r="H43" s="8">
        <f>Tableau9297220229[[#This Row],[Quantités acheté rajouté]]*Tableau9297220229[[#This Row],[CU du matos rajouté acheté]]</f>
        <v>0</v>
      </c>
    </row>
    <row r="44" spans="2:8" x14ac:dyDescent="0.25">
      <c r="E44" s="3">
        <f>Tableau9297220229[[#This Row],[Demande]]-Tableau9297220229[[#This Row],[Présente dans la malle]]</f>
        <v>0</v>
      </c>
      <c r="F44" s="5"/>
      <c r="H44" s="8">
        <f>Tableau9297220229[[#This Row],[Quantités acheté rajouté]]*Tableau9297220229[[#This Row],[CU du matos rajouté acheté]]</f>
        <v>0</v>
      </c>
    </row>
    <row r="45" spans="2:8" x14ac:dyDescent="0.25">
      <c r="E45" s="3">
        <f>Tableau9297220229[[#This Row],[Demande]]-Tableau9297220229[[#This Row],[Présente dans la malle]]</f>
        <v>0</v>
      </c>
      <c r="F45" s="5"/>
      <c r="H45" s="8">
        <f>Tableau9297220229[[#This Row],[Quantités acheté rajouté]]*Tableau9297220229[[#This Row],[CU du matos rajouté acheté]]</f>
        <v>0</v>
      </c>
    </row>
    <row r="46" spans="2:8" x14ac:dyDescent="0.25">
      <c r="E46" s="3">
        <f>Tableau9297220229[[#This Row],[Demande]]-Tableau9297220229[[#This Row],[Présente dans la malle]]</f>
        <v>0</v>
      </c>
      <c r="F46" s="5"/>
      <c r="H46" s="8">
        <f>Tableau9297220229[[#This Row],[Quantités acheté rajouté]]*Tableau9297220229[[#This Row],[CU du matos rajouté acheté]]</f>
        <v>0</v>
      </c>
    </row>
    <row r="47" spans="2:8" x14ac:dyDescent="0.25">
      <c r="E47" s="3">
        <f>Tableau9297220229[[#This Row],[Demande]]-Tableau9297220229[[#This Row],[Présente dans la malle]]</f>
        <v>0</v>
      </c>
      <c r="F47" s="5"/>
      <c r="H47" s="8">
        <f>Tableau9297220229[[#This Row],[Quantités acheté rajouté]]*Tableau9297220229[[#This Row],[CU du matos rajouté acheté]]</f>
        <v>0</v>
      </c>
    </row>
    <row r="48" spans="2:8" x14ac:dyDescent="0.25">
      <c r="E48" s="3">
        <f>Tableau9297220229[[#This Row],[Demande]]-Tableau9297220229[[#This Row],[Présente dans la malle]]</f>
        <v>0</v>
      </c>
      <c r="F48" s="5"/>
      <c r="H48" s="8">
        <f>Tableau9297220229[[#This Row],[Quantités acheté rajouté]]*Tableau9297220229[[#This Row],[CU du matos rajouté acheté]]</f>
        <v>0</v>
      </c>
    </row>
    <row r="49" spans="2:8" x14ac:dyDescent="0.25">
      <c r="E49" s="3">
        <f>Tableau9297220229[[#This Row],[Demande]]-Tableau9297220229[[#This Row],[Présente dans la malle]]</f>
        <v>0</v>
      </c>
      <c r="F49" s="7"/>
      <c r="G49" s="4"/>
      <c r="H49" s="8">
        <f>Tableau9297220229[[#This Row],[Quantités acheté rajouté]]*Tableau9297220229[[#This Row],[CU du matos rajouté acheté]]</f>
        <v>0</v>
      </c>
    </row>
    <row r="50" spans="2:8" x14ac:dyDescent="0.25">
      <c r="B50" t="s">
        <v>4</v>
      </c>
      <c r="C50">
        <f>SUM(Tableau9297220229[Présente dans la malle])</f>
        <v>0</v>
      </c>
      <c r="D50">
        <f>SUM(Tableau9297220229[Demande])</f>
        <v>0</v>
      </c>
      <c r="E50">
        <f>SUM(Tableau9297220229[Manque])</f>
        <v>0</v>
      </c>
      <c r="F50" s="6">
        <f>SUM(Tableau9297220229[Quantités acheté rajouté])</f>
        <v>0</v>
      </c>
      <c r="G50" s="6"/>
      <c r="H50" s="2">
        <f>SUM(Tableau9297220229[CT])</f>
        <v>0</v>
      </c>
    </row>
  </sheetData>
  <conditionalFormatting sqref="E3:E15">
    <cfRule type="cellIs" dxfId="740" priority="10" operator="equal">
      <formula>0</formula>
    </cfRule>
    <cfRule type="cellIs" dxfId="739" priority="11" operator="lessThan">
      <formula>0</formula>
    </cfRule>
    <cfRule type="cellIs" dxfId="738" priority="12" operator="greaterThan">
      <formula>0</formula>
    </cfRule>
  </conditionalFormatting>
  <conditionalFormatting sqref="E16">
    <cfRule type="cellIs" dxfId="737" priority="9" operator="equal">
      <formula>0</formula>
    </cfRule>
  </conditionalFormatting>
  <conditionalFormatting sqref="E50">
    <cfRule type="cellIs" dxfId="736" priority="1" operator="equal">
      <formula>0</formula>
    </cfRule>
  </conditionalFormatting>
  <conditionalFormatting sqref="E20:E32">
    <cfRule type="cellIs" dxfId="735" priority="6" operator="equal">
      <formula>0</formula>
    </cfRule>
    <cfRule type="cellIs" dxfId="734" priority="7" operator="lessThan">
      <formula>0</formula>
    </cfRule>
    <cfRule type="cellIs" dxfId="733" priority="8" operator="greaterThan">
      <formula>0</formula>
    </cfRule>
  </conditionalFormatting>
  <conditionalFormatting sqref="E33">
    <cfRule type="cellIs" dxfId="732" priority="5" operator="equal">
      <formula>0</formula>
    </cfRule>
  </conditionalFormatting>
  <conditionalFormatting sqref="E37:E49">
    <cfRule type="cellIs" dxfId="731" priority="2" operator="equal">
      <formula>0</formula>
    </cfRule>
    <cfRule type="cellIs" dxfId="730" priority="3" operator="lessThan">
      <formula>0</formula>
    </cfRule>
    <cfRule type="cellIs" dxfId="729" priority="4" operator="greaterThan">
      <formula>0</formula>
    </cfRule>
  </conditionalFormatting>
  <dataValidations count="7">
    <dataValidation type="list" allowBlank="1" showInputMessage="1" showErrorMessage="1" prompt="Insérez la fourniture désiré" sqref="B37:B48 B20:B31 B3:B4 B13:B14" xr:uid="{16040C8F-683B-4514-8A97-DBA41B22C8E1}">
      <formula1>Fournitures</formula1>
    </dataValidation>
    <dataValidation allowBlank="1" showInputMessage="1" showErrorMessage="1" prompt="Si VERT_x000a_La fourniture est bien présente et la quantité est bonne_x000a_Si ROUGE_x000a_+ : Il faut rajouter la quantité de fourniture_x000a_- : Il faut enlevé la quantité de fourniture en trop_x000a_" sqref="E20:E32 E3:E15 E37:E49" xr:uid="{03F4F653-4955-4DF5-A0F1-D7043248D2D1}"/>
    <dataValidation allowBlank="1" showInputMessage="1" showErrorMessage="1" prompt="Insérez la quantité présente dans les malles" sqref="C11:C14 C3:C9 C28:C31 C20:C26 C45:C48 C37:C43" xr:uid="{81358203-604B-4417-B359-8E977D577F84}"/>
    <dataValidation allowBlank="1" showInputMessage="1" showErrorMessage="1" prompt="Insérez la quantité demandé" sqref="D11:D14 D3:D9 D28:D31 D20:D26 D45:D48 D37:D43" xr:uid="{CBF65E91-C28E-4C98-9930-8F6A3AFE12BC}"/>
    <dataValidation allowBlank="1" showInputMessage="1" showErrorMessage="1" prompt="Quantité acheté rajouté * CU" sqref="H3 H20 H37" xr:uid="{602D74DA-F051-4F8E-91AA-A7C66316844E}"/>
    <dataValidation allowBlank="1" showInputMessage="1" showErrorMessage="1" prompt="CU = Cout unitaire" sqref="F35:G36 F2:G2 F19:G19" xr:uid="{40F02C9C-8E43-45A1-913D-F57F078094A1}"/>
    <dataValidation allowBlank="1" showInputMessage="1" showErrorMessage="1" prompt="CT = Cout total" sqref="H35:H36 H2 H19" xr:uid="{F75FD90C-E019-4552-B168-B9FC1D76CB15}"/>
  </dataValidations>
  <pageMargins left="0.7" right="0.7" top="0.75" bottom="0.75" header="0.3" footer="0.3"/>
  <tableParts count="3">
    <tablePart r:id="rId1"/>
    <tablePart r:id="rId2"/>
    <tablePart r:id="rId3"/>
  </tableParts>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3941547-5214-4269-8EC6-B6D2D09B3746}">
  <dimension ref="B2:H50"/>
  <sheetViews>
    <sheetView workbookViewId="0">
      <selection activeCell="C4" sqref="C4"/>
    </sheetView>
  </sheetViews>
  <sheetFormatPr baseColWidth="10" defaultRowHeight="15" x14ac:dyDescent="0.25"/>
  <cols>
    <col min="2" max="2" width="24.42578125" customWidth="1"/>
    <col min="3" max="3" width="23.140625" customWidth="1"/>
    <col min="4" max="4" width="11.7109375" customWidth="1"/>
    <col min="6" max="6" width="26.5703125" style="2" customWidth="1"/>
    <col min="7" max="7" width="28.28515625" style="2" customWidth="1"/>
  </cols>
  <sheetData>
    <row r="2" spans="2:8" x14ac:dyDescent="0.25">
      <c r="B2" t="s">
        <v>7</v>
      </c>
      <c r="C2" t="s">
        <v>0</v>
      </c>
      <c r="D2" t="s">
        <v>1</v>
      </c>
      <c r="E2" t="s">
        <v>2</v>
      </c>
      <c r="F2" s="2" t="s">
        <v>15</v>
      </c>
      <c r="G2" s="2" t="s">
        <v>11</v>
      </c>
      <c r="H2" s="2" t="s">
        <v>10</v>
      </c>
    </row>
    <row r="3" spans="2:8" x14ac:dyDescent="0.25">
      <c r="B3" t="s">
        <v>123</v>
      </c>
      <c r="C3">
        <v>1</v>
      </c>
      <c r="E3" s="3">
        <f>Tableau92188[[#This Row],[Demande]]-Tableau92188[[#This Row],[Présente dans la malle]]</f>
        <v>-1</v>
      </c>
      <c r="F3" s="5"/>
      <c r="H3" s="8">
        <f>Tableau92188[[#This Row],[Quantités acheté rajouté]]*Tableau92188[[#This Row],[CU du matos rajouté acheté]]</f>
        <v>0</v>
      </c>
    </row>
    <row r="4" spans="2:8" x14ac:dyDescent="0.25">
      <c r="E4" s="3">
        <f>Tableau92188[[#This Row],[Demande]]-Tableau92188[[#This Row],[Présente dans la malle]]</f>
        <v>0</v>
      </c>
      <c r="F4" s="5"/>
      <c r="H4" s="8">
        <f>Tableau92188[[#This Row],[Quantités acheté rajouté]]*Tableau92188[[#This Row],[CU du matos rajouté acheté]]</f>
        <v>0</v>
      </c>
    </row>
    <row r="5" spans="2:8" x14ac:dyDescent="0.25">
      <c r="E5" s="3">
        <f>Tableau92188[[#This Row],[Demande]]-Tableau92188[[#This Row],[Présente dans la malle]]</f>
        <v>0</v>
      </c>
      <c r="F5" s="5"/>
      <c r="H5" s="8">
        <f>Tableau92188[[#This Row],[Quantités acheté rajouté]]*Tableau92188[[#This Row],[CU du matos rajouté acheté]]</f>
        <v>0</v>
      </c>
    </row>
    <row r="6" spans="2:8" x14ac:dyDescent="0.25">
      <c r="E6" s="3">
        <f>Tableau92188[[#This Row],[Demande]]-Tableau92188[[#This Row],[Présente dans la malle]]</f>
        <v>0</v>
      </c>
      <c r="F6" s="5"/>
      <c r="H6" s="8">
        <f>Tableau92188[[#This Row],[Quantités acheté rajouté]]*Tableau92188[[#This Row],[CU du matos rajouté acheté]]</f>
        <v>0</v>
      </c>
    </row>
    <row r="7" spans="2:8" x14ac:dyDescent="0.25">
      <c r="E7" s="3">
        <f>Tableau92188[[#This Row],[Demande]]-Tableau92188[[#This Row],[Présente dans la malle]]</f>
        <v>0</v>
      </c>
      <c r="F7" s="5"/>
      <c r="H7" s="8">
        <f>Tableau92188[[#This Row],[Quantités acheté rajouté]]*Tableau92188[[#This Row],[CU du matos rajouté acheté]]</f>
        <v>0</v>
      </c>
    </row>
    <row r="8" spans="2:8" x14ac:dyDescent="0.25">
      <c r="E8" s="3">
        <f>Tableau92188[[#This Row],[Demande]]-Tableau92188[[#This Row],[Présente dans la malle]]</f>
        <v>0</v>
      </c>
      <c r="F8" s="5"/>
      <c r="H8" s="8">
        <f>Tableau92188[[#This Row],[Quantités acheté rajouté]]*Tableau92188[[#This Row],[CU du matos rajouté acheté]]</f>
        <v>0</v>
      </c>
    </row>
    <row r="9" spans="2:8" x14ac:dyDescent="0.25">
      <c r="E9" s="3">
        <f>Tableau92188[[#This Row],[Demande]]-Tableau92188[[#This Row],[Présente dans la malle]]</f>
        <v>0</v>
      </c>
      <c r="F9" s="5"/>
      <c r="H9" s="8">
        <f>Tableau92188[[#This Row],[Quantités acheté rajouté]]*Tableau92188[[#This Row],[CU du matos rajouté acheté]]</f>
        <v>0</v>
      </c>
    </row>
    <row r="10" spans="2:8" x14ac:dyDescent="0.25">
      <c r="E10" s="3">
        <f>Tableau92188[[#This Row],[Demande]]-Tableau92188[[#This Row],[Présente dans la malle]]</f>
        <v>0</v>
      </c>
      <c r="F10" s="5"/>
      <c r="H10" s="8">
        <f>Tableau92188[[#This Row],[Quantités acheté rajouté]]*Tableau92188[[#This Row],[CU du matos rajouté acheté]]</f>
        <v>0</v>
      </c>
    </row>
    <row r="11" spans="2:8" x14ac:dyDescent="0.25">
      <c r="E11" s="3">
        <f>Tableau92188[[#This Row],[Demande]]-Tableau92188[[#This Row],[Présente dans la malle]]</f>
        <v>0</v>
      </c>
      <c r="F11" s="5"/>
      <c r="H11" s="8">
        <f>Tableau92188[[#This Row],[Quantités acheté rajouté]]*Tableau92188[[#This Row],[CU du matos rajouté acheté]]</f>
        <v>0</v>
      </c>
    </row>
    <row r="12" spans="2:8" x14ac:dyDescent="0.25">
      <c r="E12" s="3">
        <f>Tableau92188[[#This Row],[Demande]]-Tableau92188[[#This Row],[Présente dans la malle]]</f>
        <v>0</v>
      </c>
      <c r="F12" s="5"/>
      <c r="H12" s="8">
        <f>Tableau92188[[#This Row],[Quantités acheté rajouté]]*Tableau92188[[#This Row],[CU du matos rajouté acheté]]</f>
        <v>0</v>
      </c>
    </row>
    <row r="13" spans="2:8" x14ac:dyDescent="0.25">
      <c r="E13" s="3">
        <f>Tableau92188[[#This Row],[Demande]]-Tableau92188[[#This Row],[Présente dans la malle]]</f>
        <v>0</v>
      </c>
      <c r="F13" s="5"/>
      <c r="H13" s="8">
        <f>Tableau92188[[#This Row],[Quantités acheté rajouté]]*Tableau92188[[#This Row],[CU du matos rajouté acheté]]</f>
        <v>0</v>
      </c>
    </row>
    <row r="14" spans="2:8" x14ac:dyDescent="0.25">
      <c r="E14" s="3">
        <f>Tableau92188[[#This Row],[Demande]]-Tableau92188[[#This Row],[Présente dans la malle]]</f>
        <v>0</v>
      </c>
      <c r="F14" s="5"/>
      <c r="H14" s="8">
        <f>Tableau92188[[#This Row],[Quantités acheté rajouté]]*Tableau92188[[#This Row],[CU du matos rajouté acheté]]</f>
        <v>0</v>
      </c>
    </row>
    <row r="15" spans="2:8" x14ac:dyDescent="0.25">
      <c r="E15" s="3">
        <f>Tableau92188[[#This Row],[Demande]]-Tableau92188[[#This Row],[Présente dans la malle]]</f>
        <v>0</v>
      </c>
      <c r="F15" s="7"/>
      <c r="G15" s="4"/>
      <c r="H15" s="8">
        <f>Tableau92188[[#This Row],[Quantités acheté rajouté]]*Tableau92188[[#This Row],[CU du matos rajouté acheté]]</f>
        <v>0</v>
      </c>
    </row>
    <row r="16" spans="2:8" x14ac:dyDescent="0.25">
      <c r="B16" t="s">
        <v>4</v>
      </c>
      <c r="C16">
        <f>SUM(Tableau92188[Présente dans la malle])</f>
        <v>1</v>
      </c>
      <c r="D16">
        <f>SUM(Tableau92188[Demande])</f>
        <v>0</v>
      </c>
      <c r="E16">
        <f>SUM(Tableau92188[Manque])</f>
        <v>-1</v>
      </c>
      <c r="F16" s="6">
        <f>SUM(Tableau92188[Quantités acheté rajouté])</f>
        <v>0</v>
      </c>
      <c r="G16" s="6"/>
      <c r="H16" s="9">
        <f>SUM(Tableau92188[CT])</f>
        <v>0</v>
      </c>
    </row>
    <row r="19" spans="2:8" x14ac:dyDescent="0.25">
      <c r="B19" t="s">
        <v>5</v>
      </c>
      <c r="C19" t="s">
        <v>0</v>
      </c>
      <c r="D19" t="s">
        <v>1</v>
      </c>
      <c r="E19" t="s">
        <v>2</v>
      </c>
      <c r="F19" s="2" t="s">
        <v>15</v>
      </c>
      <c r="G19" s="2" t="s">
        <v>11</v>
      </c>
      <c r="H19" s="2" t="s">
        <v>10</v>
      </c>
    </row>
    <row r="20" spans="2:8" x14ac:dyDescent="0.25">
      <c r="E20" s="3">
        <f>Tableau9296189[[#This Row],[Demande]]-Tableau9296189[[#This Row],[Présente dans la malle]]</f>
        <v>0</v>
      </c>
      <c r="F20" s="5"/>
      <c r="H20" s="8">
        <f>Tableau9296189[[#This Row],[Quantités acheté rajouté]]*Tableau9296189[[#This Row],[CU du matos rajouté acheté]]</f>
        <v>0</v>
      </c>
    </row>
    <row r="21" spans="2:8" x14ac:dyDescent="0.25">
      <c r="E21" s="3">
        <f>Tableau9296189[[#This Row],[Demande]]-Tableau9296189[[#This Row],[Présente dans la malle]]</f>
        <v>0</v>
      </c>
      <c r="F21" s="5"/>
      <c r="H21" s="8">
        <f>Tableau9296189[[#This Row],[Quantités acheté rajouté]]*Tableau9296189[[#This Row],[CU du matos rajouté acheté]]</f>
        <v>0</v>
      </c>
    </row>
    <row r="22" spans="2:8" x14ac:dyDescent="0.25">
      <c r="E22" s="3">
        <f>Tableau9296189[[#This Row],[Demande]]-Tableau9296189[[#This Row],[Présente dans la malle]]</f>
        <v>0</v>
      </c>
      <c r="F22" s="5"/>
      <c r="H22" s="8">
        <f>Tableau9296189[[#This Row],[Quantités acheté rajouté]]*Tableau9296189[[#This Row],[CU du matos rajouté acheté]]</f>
        <v>0</v>
      </c>
    </row>
    <row r="23" spans="2:8" x14ac:dyDescent="0.25">
      <c r="E23" s="3">
        <f>Tableau9296189[[#This Row],[Demande]]-Tableau9296189[[#This Row],[Présente dans la malle]]</f>
        <v>0</v>
      </c>
      <c r="F23" s="5"/>
      <c r="H23" s="8">
        <f>Tableau9296189[[#This Row],[Quantités acheté rajouté]]*Tableau9296189[[#This Row],[CU du matos rajouté acheté]]</f>
        <v>0</v>
      </c>
    </row>
    <row r="24" spans="2:8" x14ac:dyDescent="0.25">
      <c r="E24" s="3">
        <f>Tableau9296189[[#This Row],[Demande]]-Tableau9296189[[#This Row],[Présente dans la malle]]</f>
        <v>0</v>
      </c>
      <c r="F24" s="5"/>
      <c r="H24" s="8">
        <f>Tableau9296189[[#This Row],[Quantités acheté rajouté]]*Tableau9296189[[#This Row],[CU du matos rajouté acheté]]</f>
        <v>0</v>
      </c>
    </row>
    <row r="25" spans="2:8" x14ac:dyDescent="0.25">
      <c r="E25" s="3">
        <f>Tableau9296189[[#This Row],[Demande]]-Tableau9296189[[#This Row],[Présente dans la malle]]</f>
        <v>0</v>
      </c>
      <c r="F25" s="5"/>
      <c r="H25" s="8">
        <f>Tableau9296189[[#This Row],[Quantités acheté rajouté]]*Tableau9296189[[#This Row],[CU du matos rajouté acheté]]</f>
        <v>0</v>
      </c>
    </row>
    <row r="26" spans="2:8" x14ac:dyDescent="0.25">
      <c r="E26" s="3">
        <f>Tableau9296189[[#This Row],[Demande]]-Tableau9296189[[#This Row],[Présente dans la malle]]</f>
        <v>0</v>
      </c>
      <c r="F26" s="5"/>
      <c r="H26" s="8">
        <f>Tableau9296189[[#This Row],[Quantités acheté rajouté]]*Tableau9296189[[#This Row],[CU du matos rajouté acheté]]</f>
        <v>0</v>
      </c>
    </row>
    <row r="27" spans="2:8" x14ac:dyDescent="0.25">
      <c r="E27" s="3">
        <f>Tableau9296189[[#This Row],[Demande]]-Tableau9296189[[#This Row],[Présente dans la malle]]</f>
        <v>0</v>
      </c>
      <c r="F27" s="5"/>
      <c r="H27" s="8">
        <f>Tableau9296189[[#This Row],[Quantités acheté rajouté]]*Tableau9296189[[#This Row],[CU du matos rajouté acheté]]</f>
        <v>0</v>
      </c>
    </row>
    <row r="28" spans="2:8" x14ac:dyDescent="0.25">
      <c r="E28" s="3">
        <f>Tableau9296189[[#This Row],[Demande]]-Tableau9296189[[#This Row],[Présente dans la malle]]</f>
        <v>0</v>
      </c>
      <c r="F28" s="5"/>
      <c r="H28" s="8">
        <f>Tableau9296189[[#This Row],[Quantités acheté rajouté]]*Tableau9296189[[#This Row],[CU du matos rajouté acheté]]</f>
        <v>0</v>
      </c>
    </row>
    <row r="29" spans="2:8" x14ac:dyDescent="0.25">
      <c r="E29" s="3">
        <f>Tableau9296189[[#This Row],[Demande]]-Tableau9296189[[#This Row],[Présente dans la malle]]</f>
        <v>0</v>
      </c>
      <c r="F29" s="5"/>
      <c r="H29" s="8">
        <f>Tableau9296189[[#This Row],[Quantités acheté rajouté]]*Tableau9296189[[#This Row],[CU du matos rajouté acheté]]</f>
        <v>0</v>
      </c>
    </row>
    <row r="30" spans="2:8" x14ac:dyDescent="0.25">
      <c r="E30" s="3">
        <f>Tableau9296189[[#This Row],[Demande]]-Tableau9296189[[#This Row],[Présente dans la malle]]</f>
        <v>0</v>
      </c>
      <c r="F30" s="5"/>
      <c r="H30" s="8">
        <f>Tableau9296189[[#This Row],[Quantités acheté rajouté]]*Tableau9296189[[#This Row],[CU du matos rajouté acheté]]</f>
        <v>0</v>
      </c>
    </row>
    <row r="31" spans="2:8" x14ac:dyDescent="0.25">
      <c r="E31" s="3">
        <f>Tableau9296189[[#This Row],[Demande]]-Tableau9296189[[#This Row],[Présente dans la malle]]</f>
        <v>0</v>
      </c>
      <c r="F31" s="5"/>
      <c r="H31" s="8">
        <f>Tableau9296189[[#This Row],[Quantités acheté rajouté]]*Tableau9296189[[#This Row],[CU du matos rajouté acheté]]</f>
        <v>0</v>
      </c>
    </row>
    <row r="32" spans="2:8" x14ac:dyDescent="0.25">
      <c r="E32" s="3">
        <f>Tableau9296189[[#This Row],[Demande]]-Tableau9296189[[#This Row],[Présente dans la malle]]</f>
        <v>0</v>
      </c>
      <c r="F32" s="7"/>
      <c r="G32" s="4"/>
      <c r="H32" s="8">
        <f>Tableau9296189[[#This Row],[Quantités acheté rajouté]]*Tableau9296189[[#This Row],[CU du matos rajouté acheté]]</f>
        <v>0</v>
      </c>
    </row>
    <row r="33" spans="2:8" x14ac:dyDescent="0.25">
      <c r="B33" t="s">
        <v>4</v>
      </c>
      <c r="C33">
        <f>SUM(Tableau9296189[Présente dans la malle])</f>
        <v>0</v>
      </c>
      <c r="D33">
        <f>SUM(Tableau9296189[Demande])</f>
        <v>0</v>
      </c>
      <c r="E33">
        <f>SUM(Tableau9296189[Manque])</f>
        <v>0</v>
      </c>
      <c r="F33" s="6">
        <f>SUM(Tableau9296189[Quantités acheté rajouté])</f>
        <v>0</v>
      </c>
      <c r="G33" s="6"/>
      <c r="H33" s="2">
        <f>SUM(Tableau9296189[CT])</f>
        <v>0</v>
      </c>
    </row>
    <row r="35" spans="2:8" x14ac:dyDescent="0.25">
      <c r="H35" s="2"/>
    </row>
    <row r="36" spans="2:8" x14ac:dyDescent="0.25">
      <c r="B36" t="s">
        <v>6</v>
      </c>
      <c r="C36" t="s">
        <v>0</v>
      </c>
      <c r="D36" t="s">
        <v>1</v>
      </c>
      <c r="E36" t="s">
        <v>2</v>
      </c>
      <c r="F36" s="2" t="s">
        <v>15</v>
      </c>
      <c r="G36" s="2" t="s">
        <v>11</v>
      </c>
      <c r="H36" s="2" t="s">
        <v>10</v>
      </c>
    </row>
    <row r="37" spans="2:8" x14ac:dyDescent="0.25">
      <c r="E37" s="3">
        <f>Tableau9297190[[#This Row],[Demande]]-Tableau9297190[[#This Row],[Présente dans la malle]]</f>
        <v>0</v>
      </c>
      <c r="F37" s="5"/>
      <c r="H37" s="8">
        <f>Tableau9297190[[#This Row],[Quantités acheté rajouté]]*Tableau9297190[[#This Row],[CU du matos rajouté acheté]]</f>
        <v>0</v>
      </c>
    </row>
    <row r="38" spans="2:8" x14ac:dyDescent="0.25">
      <c r="E38" s="3">
        <f>Tableau9297190[[#This Row],[Demande]]-Tableau9297190[[#This Row],[Présente dans la malle]]</f>
        <v>0</v>
      </c>
      <c r="F38" s="5"/>
      <c r="H38" s="8">
        <f>Tableau9297190[[#This Row],[Quantités acheté rajouté]]*Tableau9297190[[#This Row],[CU du matos rajouté acheté]]</f>
        <v>0</v>
      </c>
    </row>
    <row r="39" spans="2:8" x14ac:dyDescent="0.25">
      <c r="E39" s="3">
        <f>Tableau9297190[[#This Row],[Demande]]-Tableau9297190[[#This Row],[Présente dans la malle]]</f>
        <v>0</v>
      </c>
      <c r="F39" s="5"/>
      <c r="H39" s="8">
        <f>Tableau9297190[[#This Row],[Quantités acheté rajouté]]*Tableau9297190[[#This Row],[CU du matos rajouté acheté]]</f>
        <v>0</v>
      </c>
    </row>
    <row r="40" spans="2:8" x14ac:dyDescent="0.25">
      <c r="E40" s="3">
        <f>Tableau9297190[[#This Row],[Demande]]-Tableau9297190[[#This Row],[Présente dans la malle]]</f>
        <v>0</v>
      </c>
      <c r="F40" s="5"/>
      <c r="H40" s="8">
        <f>Tableau9297190[[#This Row],[Quantités acheté rajouté]]*Tableau9297190[[#This Row],[CU du matos rajouté acheté]]</f>
        <v>0</v>
      </c>
    </row>
    <row r="41" spans="2:8" x14ac:dyDescent="0.25">
      <c r="E41" s="3">
        <f>Tableau9297190[[#This Row],[Demande]]-Tableau9297190[[#This Row],[Présente dans la malle]]</f>
        <v>0</v>
      </c>
      <c r="F41" s="5"/>
      <c r="H41" s="8">
        <f>Tableau9297190[[#This Row],[Quantités acheté rajouté]]*Tableau9297190[[#This Row],[CU du matos rajouté acheté]]</f>
        <v>0</v>
      </c>
    </row>
    <row r="42" spans="2:8" x14ac:dyDescent="0.25">
      <c r="E42" s="3">
        <f>Tableau9297190[[#This Row],[Demande]]-Tableau9297190[[#This Row],[Présente dans la malle]]</f>
        <v>0</v>
      </c>
      <c r="F42" s="5"/>
      <c r="H42" s="8">
        <f>Tableau9297190[[#This Row],[Quantités acheté rajouté]]*Tableau9297190[[#This Row],[CU du matos rajouté acheté]]</f>
        <v>0</v>
      </c>
    </row>
    <row r="43" spans="2:8" x14ac:dyDescent="0.25">
      <c r="E43" s="3">
        <f>Tableau9297190[[#This Row],[Demande]]-Tableau9297190[[#This Row],[Présente dans la malle]]</f>
        <v>0</v>
      </c>
      <c r="F43" s="5"/>
      <c r="H43" s="8">
        <f>Tableau9297190[[#This Row],[Quantités acheté rajouté]]*Tableau9297190[[#This Row],[CU du matos rajouté acheté]]</f>
        <v>0</v>
      </c>
    </row>
    <row r="44" spans="2:8" x14ac:dyDescent="0.25">
      <c r="E44" s="3">
        <f>Tableau9297190[[#This Row],[Demande]]-Tableau9297190[[#This Row],[Présente dans la malle]]</f>
        <v>0</v>
      </c>
      <c r="F44" s="5"/>
      <c r="H44" s="8">
        <f>Tableau9297190[[#This Row],[Quantités acheté rajouté]]*Tableau9297190[[#This Row],[CU du matos rajouté acheté]]</f>
        <v>0</v>
      </c>
    </row>
    <row r="45" spans="2:8" x14ac:dyDescent="0.25">
      <c r="E45" s="3">
        <f>Tableau9297190[[#This Row],[Demande]]-Tableau9297190[[#This Row],[Présente dans la malle]]</f>
        <v>0</v>
      </c>
      <c r="F45" s="5"/>
      <c r="H45" s="8">
        <f>Tableau9297190[[#This Row],[Quantités acheté rajouté]]*Tableau9297190[[#This Row],[CU du matos rajouté acheté]]</f>
        <v>0</v>
      </c>
    </row>
    <row r="46" spans="2:8" x14ac:dyDescent="0.25">
      <c r="E46" s="3">
        <f>Tableau9297190[[#This Row],[Demande]]-Tableau9297190[[#This Row],[Présente dans la malle]]</f>
        <v>0</v>
      </c>
      <c r="F46" s="5"/>
      <c r="H46" s="8">
        <f>Tableau9297190[[#This Row],[Quantités acheté rajouté]]*Tableau9297190[[#This Row],[CU du matos rajouté acheté]]</f>
        <v>0</v>
      </c>
    </row>
    <row r="47" spans="2:8" x14ac:dyDescent="0.25">
      <c r="E47" s="3">
        <f>Tableau9297190[[#This Row],[Demande]]-Tableau9297190[[#This Row],[Présente dans la malle]]</f>
        <v>0</v>
      </c>
      <c r="F47" s="5"/>
      <c r="H47" s="8">
        <f>Tableau9297190[[#This Row],[Quantités acheté rajouté]]*Tableau9297190[[#This Row],[CU du matos rajouté acheté]]</f>
        <v>0</v>
      </c>
    </row>
    <row r="48" spans="2:8" x14ac:dyDescent="0.25">
      <c r="E48" s="3">
        <f>Tableau9297190[[#This Row],[Demande]]-Tableau9297190[[#This Row],[Présente dans la malle]]</f>
        <v>0</v>
      </c>
      <c r="F48" s="5"/>
      <c r="H48" s="8">
        <f>Tableau9297190[[#This Row],[Quantités acheté rajouté]]*Tableau9297190[[#This Row],[CU du matos rajouté acheté]]</f>
        <v>0</v>
      </c>
    </row>
    <row r="49" spans="2:8" x14ac:dyDescent="0.25">
      <c r="E49" s="3">
        <f>Tableau9297190[[#This Row],[Demande]]-Tableau9297190[[#This Row],[Présente dans la malle]]</f>
        <v>0</v>
      </c>
      <c r="F49" s="7"/>
      <c r="G49" s="4"/>
      <c r="H49" s="8">
        <f>Tableau9297190[[#This Row],[Quantités acheté rajouté]]*Tableau9297190[[#This Row],[CU du matos rajouté acheté]]</f>
        <v>0</v>
      </c>
    </row>
    <row r="50" spans="2:8" x14ac:dyDescent="0.25">
      <c r="B50" t="s">
        <v>4</v>
      </c>
      <c r="C50">
        <f>SUM(Tableau9297190[Présente dans la malle])</f>
        <v>0</v>
      </c>
      <c r="D50">
        <f>SUM(Tableau9297190[Demande])</f>
        <v>0</v>
      </c>
      <c r="E50">
        <f>SUM(Tableau9297190[Manque])</f>
        <v>0</v>
      </c>
      <c r="F50" s="6">
        <f>SUM(Tableau9297190[Quantités acheté rajouté])</f>
        <v>0</v>
      </c>
      <c r="G50" s="6"/>
      <c r="H50" s="2">
        <f>SUM(Tableau9297190[CT])</f>
        <v>0</v>
      </c>
    </row>
  </sheetData>
  <conditionalFormatting sqref="E3:E15">
    <cfRule type="cellIs" dxfId="701" priority="10" operator="equal">
      <formula>0</formula>
    </cfRule>
    <cfRule type="cellIs" dxfId="700" priority="11" operator="lessThan">
      <formula>0</formula>
    </cfRule>
    <cfRule type="cellIs" dxfId="699" priority="12" operator="greaterThan">
      <formula>0</formula>
    </cfRule>
  </conditionalFormatting>
  <conditionalFormatting sqref="E16">
    <cfRule type="cellIs" dxfId="698" priority="9" operator="equal">
      <formula>0</formula>
    </cfRule>
  </conditionalFormatting>
  <conditionalFormatting sqref="E50">
    <cfRule type="cellIs" dxfId="697" priority="1" operator="equal">
      <formula>0</formula>
    </cfRule>
  </conditionalFormatting>
  <conditionalFormatting sqref="E20:E32">
    <cfRule type="cellIs" dxfId="696" priority="6" operator="equal">
      <formula>0</formula>
    </cfRule>
    <cfRule type="cellIs" dxfId="695" priority="7" operator="lessThan">
      <formula>0</formula>
    </cfRule>
    <cfRule type="cellIs" dxfId="694" priority="8" operator="greaterThan">
      <formula>0</formula>
    </cfRule>
  </conditionalFormatting>
  <conditionalFormatting sqref="E33">
    <cfRule type="cellIs" dxfId="693" priority="5" operator="equal">
      <formula>0</formula>
    </cfRule>
  </conditionalFormatting>
  <conditionalFormatting sqref="E37:E49">
    <cfRule type="cellIs" dxfId="692" priority="2" operator="equal">
      <formula>0</formula>
    </cfRule>
    <cfRule type="cellIs" dxfId="691" priority="3" operator="lessThan">
      <formula>0</formula>
    </cfRule>
    <cfRule type="cellIs" dxfId="690" priority="4" operator="greaterThan">
      <formula>0</formula>
    </cfRule>
  </conditionalFormatting>
  <dataValidations count="7">
    <dataValidation allowBlank="1" showInputMessage="1" showErrorMessage="1" prompt="CT = Cout total" sqref="H35:H36 H2 H19" xr:uid="{621425AD-2060-47C2-8E65-FCBC58E56F4B}"/>
    <dataValidation allowBlank="1" showInputMessage="1" showErrorMessage="1" prompt="CU = Cout unitaire" sqref="F35:G36 F2:G2 F19:G19" xr:uid="{04975957-3FF5-436E-8783-8BC813C25D59}"/>
    <dataValidation allowBlank="1" showInputMessage="1" showErrorMessage="1" prompt="Quantité acheté rajouté * CU" sqref="H3 H20 H37" xr:uid="{0A2411B9-0B34-4912-8860-7C4BD33EF1F0}"/>
    <dataValidation allowBlank="1" showInputMessage="1" showErrorMessage="1" prompt="Insérez la quantité demandé" sqref="D11:D14 D3:D9 D28:D31 D20:D26 D45:D48 D37:D43" xr:uid="{BDB7101F-7BB1-4787-9E62-DA894B6915F6}"/>
    <dataValidation allowBlank="1" showInputMessage="1" showErrorMessage="1" prompt="Insérez la quantité présente dans les malles" sqref="C11:C14 C3:C9 C28:C31 C20:C26 C45:C48 C37:C43" xr:uid="{7662B66E-5BF5-4EC7-9B11-B56AE40437B4}"/>
    <dataValidation allowBlank="1" showInputMessage="1" showErrorMessage="1" prompt="Si VERT_x000a_La fourniture est bien présente et la quantité est bonne_x000a_Si ROUGE_x000a_+ : Il faut rajouter la quantité de fourniture_x000a_- : Il faut enlevé la quantité de fourniture en trop_x000a_" sqref="E20:E32 E3:E15 E37:E49" xr:uid="{5DA94A96-613E-44D4-877C-61180D77F118}"/>
    <dataValidation type="list" allowBlank="1" showInputMessage="1" showErrorMessage="1" prompt="Insérez la fourniture désiré" sqref="B37:B48 B20:B31 B4:B14" xr:uid="{3EBB020B-8FB4-4B4B-A038-8299557083C8}">
      <formula1>Fournitures</formula1>
    </dataValidation>
  </dataValidations>
  <pageMargins left="0.7" right="0.7" top="0.75" bottom="0.75" header="0.3" footer="0.3"/>
  <tableParts count="3">
    <tablePart r:id="rId1"/>
    <tablePart r:id="rId2"/>
    <tablePart r:id="rId3"/>
  </tableParts>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077BB57-CE4A-4A92-8D3F-C82AD0C3A7AC}">
  <dimension ref="B2:H50"/>
  <sheetViews>
    <sheetView workbookViewId="0">
      <selection activeCell="C18" sqref="C18"/>
    </sheetView>
  </sheetViews>
  <sheetFormatPr baseColWidth="10" defaultRowHeight="15" x14ac:dyDescent="0.25"/>
  <cols>
    <col min="2" max="2" width="24.42578125" customWidth="1"/>
    <col min="3" max="3" width="23.140625" customWidth="1"/>
    <col min="4" max="4" width="11.7109375" customWidth="1"/>
    <col min="6" max="6" width="26.5703125" style="2" customWidth="1"/>
    <col min="7" max="7" width="28.28515625" style="2" customWidth="1"/>
  </cols>
  <sheetData>
    <row r="2" spans="2:8" x14ac:dyDescent="0.25">
      <c r="B2" t="s">
        <v>7</v>
      </c>
      <c r="C2" t="s">
        <v>0</v>
      </c>
      <c r="D2" t="s">
        <v>1</v>
      </c>
      <c r="E2" t="s">
        <v>2</v>
      </c>
      <c r="F2" s="2" t="s">
        <v>15</v>
      </c>
      <c r="G2" s="2" t="s">
        <v>11</v>
      </c>
      <c r="H2" s="2" t="s">
        <v>10</v>
      </c>
    </row>
    <row r="3" spans="2:8" x14ac:dyDescent="0.25">
      <c r="E3" s="3">
        <f>Tableau92185[[#This Row],[Demande]]-Tableau92185[[#This Row],[Présente dans la malle]]</f>
        <v>0</v>
      </c>
      <c r="F3" s="5"/>
      <c r="H3" s="8">
        <f>Tableau92185[[#This Row],[Quantités acheté rajouté]]*Tableau92185[[#This Row],[CU du matos rajouté acheté]]</f>
        <v>0</v>
      </c>
    </row>
    <row r="4" spans="2:8" x14ac:dyDescent="0.25">
      <c r="E4" s="3">
        <f>Tableau92185[[#This Row],[Demande]]-Tableau92185[[#This Row],[Présente dans la malle]]</f>
        <v>0</v>
      </c>
      <c r="F4" s="5"/>
      <c r="H4" s="8">
        <f>Tableau92185[[#This Row],[Quantités acheté rajouté]]*Tableau92185[[#This Row],[CU du matos rajouté acheté]]</f>
        <v>0</v>
      </c>
    </row>
    <row r="5" spans="2:8" x14ac:dyDescent="0.25">
      <c r="E5" s="3">
        <f>Tableau92185[[#This Row],[Demande]]-Tableau92185[[#This Row],[Présente dans la malle]]</f>
        <v>0</v>
      </c>
      <c r="F5" s="5"/>
      <c r="H5" s="8">
        <f>Tableau92185[[#This Row],[Quantités acheté rajouté]]*Tableau92185[[#This Row],[CU du matos rajouté acheté]]</f>
        <v>0</v>
      </c>
    </row>
    <row r="6" spans="2:8" x14ac:dyDescent="0.25">
      <c r="E6" s="3">
        <f>Tableau92185[[#This Row],[Demande]]-Tableau92185[[#This Row],[Présente dans la malle]]</f>
        <v>0</v>
      </c>
      <c r="F6" s="5"/>
      <c r="H6" s="8">
        <f>Tableau92185[[#This Row],[Quantités acheté rajouté]]*Tableau92185[[#This Row],[CU du matos rajouté acheté]]</f>
        <v>0</v>
      </c>
    </row>
    <row r="7" spans="2:8" x14ac:dyDescent="0.25">
      <c r="E7" s="3">
        <f>Tableau92185[[#This Row],[Demande]]-Tableau92185[[#This Row],[Présente dans la malle]]</f>
        <v>0</v>
      </c>
      <c r="F7" s="5"/>
      <c r="H7" s="8">
        <f>Tableau92185[[#This Row],[Quantités acheté rajouté]]*Tableau92185[[#This Row],[CU du matos rajouté acheté]]</f>
        <v>0</v>
      </c>
    </row>
    <row r="8" spans="2:8" x14ac:dyDescent="0.25">
      <c r="E8" s="3">
        <f>Tableau92185[[#This Row],[Demande]]-Tableau92185[[#This Row],[Présente dans la malle]]</f>
        <v>0</v>
      </c>
      <c r="F8" s="5"/>
      <c r="H8" s="8">
        <f>Tableau92185[[#This Row],[Quantités acheté rajouté]]*Tableau92185[[#This Row],[CU du matos rajouté acheté]]</f>
        <v>0</v>
      </c>
    </row>
    <row r="9" spans="2:8" x14ac:dyDescent="0.25">
      <c r="E9" s="3">
        <f>Tableau92185[[#This Row],[Demande]]-Tableau92185[[#This Row],[Présente dans la malle]]</f>
        <v>0</v>
      </c>
      <c r="F9" s="5"/>
      <c r="H9" s="8">
        <f>Tableau92185[[#This Row],[Quantités acheté rajouté]]*Tableau92185[[#This Row],[CU du matos rajouté acheté]]</f>
        <v>0</v>
      </c>
    </row>
    <row r="10" spans="2:8" x14ac:dyDescent="0.25">
      <c r="E10" s="3">
        <f>Tableau92185[[#This Row],[Demande]]-Tableau92185[[#This Row],[Présente dans la malle]]</f>
        <v>0</v>
      </c>
      <c r="F10" s="5"/>
      <c r="H10" s="8">
        <f>Tableau92185[[#This Row],[Quantités acheté rajouté]]*Tableau92185[[#This Row],[CU du matos rajouté acheté]]</f>
        <v>0</v>
      </c>
    </row>
    <row r="11" spans="2:8" x14ac:dyDescent="0.25">
      <c r="E11" s="3">
        <f>Tableau92185[[#This Row],[Demande]]-Tableau92185[[#This Row],[Présente dans la malle]]</f>
        <v>0</v>
      </c>
      <c r="F11" s="5"/>
      <c r="H11" s="8">
        <f>Tableau92185[[#This Row],[Quantités acheté rajouté]]*Tableau92185[[#This Row],[CU du matos rajouté acheté]]</f>
        <v>0</v>
      </c>
    </row>
    <row r="12" spans="2:8" x14ac:dyDescent="0.25">
      <c r="E12" s="3">
        <f>Tableau92185[[#This Row],[Demande]]-Tableau92185[[#This Row],[Présente dans la malle]]</f>
        <v>0</v>
      </c>
      <c r="F12" s="5"/>
      <c r="H12" s="8">
        <f>Tableau92185[[#This Row],[Quantités acheté rajouté]]*Tableau92185[[#This Row],[CU du matos rajouté acheté]]</f>
        <v>0</v>
      </c>
    </row>
    <row r="13" spans="2:8" x14ac:dyDescent="0.25">
      <c r="E13" s="3">
        <f>Tableau92185[[#This Row],[Demande]]-Tableau92185[[#This Row],[Présente dans la malle]]</f>
        <v>0</v>
      </c>
      <c r="F13" s="5"/>
      <c r="H13" s="8">
        <f>Tableau92185[[#This Row],[Quantités acheté rajouté]]*Tableau92185[[#This Row],[CU du matos rajouté acheté]]</f>
        <v>0</v>
      </c>
    </row>
    <row r="14" spans="2:8" x14ac:dyDescent="0.25">
      <c r="E14" s="3">
        <f>Tableau92185[[#This Row],[Demande]]-Tableau92185[[#This Row],[Présente dans la malle]]</f>
        <v>0</v>
      </c>
      <c r="F14" s="5"/>
      <c r="H14" s="8">
        <f>Tableau92185[[#This Row],[Quantités acheté rajouté]]*Tableau92185[[#This Row],[CU du matos rajouté acheté]]</f>
        <v>0</v>
      </c>
    </row>
    <row r="15" spans="2:8" x14ac:dyDescent="0.25">
      <c r="E15" s="3">
        <f>Tableau92185[[#This Row],[Demande]]-Tableau92185[[#This Row],[Présente dans la malle]]</f>
        <v>0</v>
      </c>
      <c r="F15" s="7"/>
      <c r="G15" s="4"/>
      <c r="H15" s="8">
        <f>Tableau92185[[#This Row],[Quantités acheté rajouté]]*Tableau92185[[#This Row],[CU du matos rajouté acheté]]</f>
        <v>0</v>
      </c>
    </row>
    <row r="16" spans="2:8" x14ac:dyDescent="0.25">
      <c r="B16" t="s">
        <v>4</v>
      </c>
      <c r="C16">
        <f>SUM(Tableau92185[Présente dans la malle])</f>
        <v>0</v>
      </c>
      <c r="D16">
        <f>SUM(Tableau92185[Demande])</f>
        <v>0</v>
      </c>
      <c r="E16">
        <f>SUM(Tableau92185[Manque])</f>
        <v>0</v>
      </c>
      <c r="F16" s="6">
        <f>SUM(Tableau92185[Quantités acheté rajouté])</f>
        <v>0</v>
      </c>
      <c r="G16" s="6"/>
      <c r="H16" s="2">
        <f>SUM(Tableau92185[CT])</f>
        <v>0</v>
      </c>
    </row>
    <row r="19" spans="2:8" x14ac:dyDescent="0.25">
      <c r="B19" t="s">
        <v>5</v>
      </c>
      <c r="C19" t="s">
        <v>0</v>
      </c>
      <c r="D19" t="s">
        <v>1</v>
      </c>
      <c r="E19" t="s">
        <v>2</v>
      </c>
      <c r="F19" s="2" t="s">
        <v>15</v>
      </c>
      <c r="G19" s="2" t="s">
        <v>11</v>
      </c>
      <c r="H19" s="2" t="s">
        <v>10</v>
      </c>
    </row>
    <row r="20" spans="2:8" x14ac:dyDescent="0.25">
      <c r="E20" s="3">
        <f>Tableau9296186[[#This Row],[Demande]]-Tableau9296186[[#This Row],[Présente dans la malle]]</f>
        <v>0</v>
      </c>
      <c r="F20" s="5"/>
      <c r="H20" s="8">
        <f>Tableau9296186[[#This Row],[Quantités acheté rajouté]]*Tableau9296186[[#This Row],[CU du matos rajouté acheté]]</f>
        <v>0</v>
      </c>
    </row>
    <row r="21" spans="2:8" x14ac:dyDescent="0.25">
      <c r="E21" s="3">
        <f>Tableau9296186[[#This Row],[Demande]]-Tableau9296186[[#This Row],[Présente dans la malle]]</f>
        <v>0</v>
      </c>
      <c r="F21" s="5"/>
      <c r="H21" s="8">
        <f>Tableau9296186[[#This Row],[Quantités acheté rajouté]]*Tableau9296186[[#This Row],[CU du matos rajouté acheté]]</f>
        <v>0</v>
      </c>
    </row>
    <row r="22" spans="2:8" x14ac:dyDescent="0.25">
      <c r="E22" s="3">
        <f>Tableau9296186[[#This Row],[Demande]]-Tableau9296186[[#This Row],[Présente dans la malle]]</f>
        <v>0</v>
      </c>
      <c r="F22" s="5"/>
      <c r="H22" s="8">
        <f>Tableau9296186[[#This Row],[Quantités acheté rajouté]]*Tableau9296186[[#This Row],[CU du matos rajouté acheté]]</f>
        <v>0</v>
      </c>
    </row>
    <row r="23" spans="2:8" x14ac:dyDescent="0.25">
      <c r="E23" s="3">
        <f>Tableau9296186[[#This Row],[Demande]]-Tableau9296186[[#This Row],[Présente dans la malle]]</f>
        <v>0</v>
      </c>
      <c r="F23" s="5"/>
      <c r="H23" s="8">
        <f>Tableau9296186[[#This Row],[Quantités acheté rajouté]]*Tableau9296186[[#This Row],[CU du matos rajouté acheté]]</f>
        <v>0</v>
      </c>
    </row>
    <row r="24" spans="2:8" x14ac:dyDescent="0.25">
      <c r="E24" s="3">
        <f>Tableau9296186[[#This Row],[Demande]]-Tableau9296186[[#This Row],[Présente dans la malle]]</f>
        <v>0</v>
      </c>
      <c r="F24" s="5"/>
      <c r="H24" s="8">
        <f>Tableau9296186[[#This Row],[Quantités acheté rajouté]]*Tableau9296186[[#This Row],[CU du matos rajouté acheté]]</f>
        <v>0</v>
      </c>
    </row>
    <row r="25" spans="2:8" x14ac:dyDescent="0.25">
      <c r="E25" s="3">
        <f>Tableau9296186[[#This Row],[Demande]]-Tableau9296186[[#This Row],[Présente dans la malle]]</f>
        <v>0</v>
      </c>
      <c r="F25" s="5"/>
      <c r="H25" s="8">
        <f>Tableau9296186[[#This Row],[Quantités acheté rajouté]]*Tableau9296186[[#This Row],[CU du matos rajouté acheté]]</f>
        <v>0</v>
      </c>
    </row>
    <row r="26" spans="2:8" x14ac:dyDescent="0.25">
      <c r="E26" s="3">
        <f>Tableau9296186[[#This Row],[Demande]]-Tableau9296186[[#This Row],[Présente dans la malle]]</f>
        <v>0</v>
      </c>
      <c r="F26" s="5"/>
      <c r="H26" s="8">
        <f>Tableau9296186[[#This Row],[Quantités acheté rajouté]]*Tableau9296186[[#This Row],[CU du matos rajouté acheté]]</f>
        <v>0</v>
      </c>
    </row>
    <row r="27" spans="2:8" x14ac:dyDescent="0.25">
      <c r="E27" s="3">
        <f>Tableau9296186[[#This Row],[Demande]]-Tableau9296186[[#This Row],[Présente dans la malle]]</f>
        <v>0</v>
      </c>
      <c r="F27" s="5"/>
      <c r="H27" s="8">
        <f>Tableau9296186[[#This Row],[Quantités acheté rajouté]]*Tableau9296186[[#This Row],[CU du matos rajouté acheté]]</f>
        <v>0</v>
      </c>
    </row>
    <row r="28" spans="2:8" x14ac:dyDescent="0.25">
      <c r="E28" s="3">
        <f>Tableau9296186[[#This Row],[Demande]]-Tableau9296186[[#This Row],[Présente dans la malle]]</f>
        <v>0</v>
      </c>
      <c r="F28" s="5"/>
      <c r="H28" s="8">
        <f>Tableau9296186[[#This Row],[Quantités acheté rajouté]]*Tableau9296186[[#This Row],[CU du matos rajouté acheté]]</f>
        <v>0</v>
      </c>
    </row>
    <row r="29" spans="2:8" x14ac:dyDescent="0.25">
      <c r="E29" s="3">
        <f>Tableau9296186[[#This Row],[Demande]]-Tableau9296186[[#This Row],[Présente dans la malle]]</f>
        <v>0</v>
      </c>
      <c r="F29" s="5"/>
      <c r="H29" s="8">
        <f>Tableau9296186[[#This Row],[Quantités acheté rajouté]]*Tableau9296186[[#This Row],[CU du matos rajouté acheté]]</f>
        <v>0</v>
      </c>
    </row>
    <row r="30" spans="2:8" x14ac:dyDescent="0.25">
      <c r="E30" s="3">
        <f>Tableau9296186[[#This Row],[Demande]]-Tableau9296186[[#This Row],[Présente dans la malle]]</f>
        <v>0</v>
      </c>
      <c r="F30" s="5"/>
      <c r="H30" s="8">
        <f>Tableau9296186[[#This Row],[Quantités acheté rajouté]]*Tableau9296186[[#This Row],[CU du matos rajouté acheté]]</f>
        <v>0</v>
      </c>
    </row>
    <row r="31" spans="2:8" x14ac:dyDescent="0.25">
      <c r="E31" s="3">
        <f>Tableau9296186[[#This Row],[Demande]]-Tableau9296186[[#This Row],[Présente dans la malle]]</f>
        <v>0</v>
      </c>
      <c r="F31" s="5"/>
      <c r="H31" s="8">
        <f>Tableau9296186[[#This Row],[Quantités acheté rajouté]]*Tableau9296186[[#This Row],[CU du matos rajouté acheté]]</f>
        <v>0</v>
      </c>
    </row>
    <row r="32" spans="2:8" x14ac:dyDescent="0.25">
      <c r="E32" s="3">
        <f>Tableau9296186[[#This Row],[Demande]]-Tableau9296186[[#This Row],[Présente dans la malle]]</f>
        <v>0</v>
      </c>
      <c r="F32" s="7"/>
      <c r="G32" s="4"/>
      <c r="H32" s="8">
        <f>Tableau9296186[[#This Row],[Quantités acheté rajouté]]*Tableau9296186[[#This Row],[CU du matos rajouté acheté]]</f>
        <v>0</v>
      </c>
    </row>
    <row r="33" spans="2:8" x14ac:dyDescent="0.25">
      <c r="B33" t="s">
        <v>4</v>
      </c>
      <c r="C33">
        <f>SUM(Tableau9296186[Présente dans la malle])</f>
        <v>0</v>
      </c>
      <c r="D33">
        <f>SUM(Tableau9296186[Demande])</f>
        <v>0</v>
      </c>
      <c r="E33">
        <f>SUM(Tableau9296186[Manque])</f>
        <v>0</v>
      </c>
      <c r="F33" s="6">
        <f>SUM(Tableau9296186[Quantités acheté rajouté])</f>
        <v>0</v>
      </c>
      <c r="G33" s="6"/>
      <c r="H33" s="2">
        <f>SUM(Tableau9296186[CT])</f>
        <v>0</v>
      </c>
    </row>
    <row r="35" spans="2:8" x14ac:dyDescent="0.25">
      <c r="H35" s="2"/>
    </row>
    <row r="36" spans="2:8" x14ac:dyDescent="0.25">
      <c r="B36" t="s">
        <v>6</v>
      </c>
      <c r="C36" t="s">
        <v>0</v>
      </c>
      <c r="D36" t="s">
        <v>1</v>
      </c>
      <c r="E36" t="s">
        <v>2</v>
      </c>
      <c r="F36" s="2" t="s">
        <v>15</v>
      </c>
      <c r="G36" s="2" t="s">
        <v>11</v>
      </c>
      <c r="H36" s="2" t="s">
        <v>10</v>
      </c>
    </row>
    <row r="37" spans="2:8" x14ac:dyDescent="0.25">
      <c r="E37" s="3">
        <f>Tableau9297187[[#This Row],[Demande]]-Tableau9297187[[#This Row],[Présente dans la malle]]</f>
        <v>0</v>
      </c>
      <c r="F37" s="5"/>
      <c r="H37" s="8">
        <f>Tableau9297187[[#This Row],[Quantités acheté rajouté]]*Tableau9297187[[#This Row],[CU du matos rajouté acheté]]</f>
        <v>0</v>
      </c>
    </row>
    <row r="38" spans="2:8" x14ac:dyDescent="0.25">
      <c r="E38" s="3">
        <f>Tableau9297187[[#This Row],[Demande]]-Tableau9297187[[#This Row],[Présente dans la malle]]</f>
        <v>0</v>
      </c>
      <c r="F38" s="5"/>
      <c r="H38" s="8">
        <f>Tableau9297187[[#This Row],[Quantités acheté rajouté]]*Tableau9297187[[#This Row],[CU du matos rajouté acheté]]</f>
        <v>0</v>
      </c>
    </row>
    <row r="39" spans="2:8" x14ac:dyDescent="0.25">
      <c r="E39" s="3">
        <f>Tableau9297187[[#This Row],[Demande]]-Tableau9297187[[#This Row],[Présente dans la malle]]</f>
        <v>0</v>
      </c>
      <c r="F39" s="5"/>
      <c r="H39" s="8">
        <f>Tableau9297187[[#This Row],[Quantités acheté rajouté]]*Tableau9297187[[#This Row],[CU du matos rajouté acheté]]</f>
        <v>0</v>
      </c>
    </row>
    <row r="40" spans="2:8" x14ac:dyDescent="0.25">
      <c r="E40" s="3">
        <f>Tableau9297187[[#This Row],[Demande]]-Tableau9297187[[#This Row],[Présente dans la malle]]</f>
        <v>0</v>
      </c>
      <c r="F40" s="5"/>
      <c r="H40" s="8">
        <f>Tableau9297187[[#This Row],[Quantités acheté rajouté]]*Tableau9297187[[#This Row],[CU du matos rajouté acheté]]</f>
        <v>0</v>
      </c>
    </row>
    <row r="41" spans="2:8" x14ac:dyDescent="0.25">
      <c r="E41" s="3">
        <f>Tableau9297187[[#This Row],[Demande]]-Tableau9297187[[#This Row],[Présente dans la malle]]</f>
        <v>0</v>
      </c>
      <c r="F41" s="5"/>
      <c r="H41" s="8">
        <f>Tableau9297187[[#This Row],[Quantités acheté rajouté]]*Tableau9297187[[#This Row],[CU du matos rajouté acheté]]</f>
        <v>0</v>
      </c>
    </row>
    <row r="42" spans="2:8" x14ac:dyDescent="0.25">
      <c r="E42" s="3">
        <f>Tableau9297187[[#This Row],[Demande]]-Tableau9297187[[#This Row],[Présente dans la malle]]</f>
        <v>0</v>
      </c>
      <c r="F42" s="5"/>
      <c r="H42" s="8">
        <f>Tableau9297187[[#This Row],[Quantités acheté rajouté]]*Tableau9297187[[#This Row],[CU du matos rajouté acheté]]</f>
        <v>0</v>
      </c>
    </row>
    <row r="43" spans="2:8" x14ac:dyDescent="0.25">
      <c r="E43" s="3">
        <f>Tableau9297187[[#This Row],[Demande]]-Tableau9297187[[#This Row],[Présente dans la malle]]</f>
        <v>0</v>
      </c>
      <c r="F43" s="5"/>
      <c r="H43" s="8">
        <f>Tableau9297187[[#This Row],[Quantités acheté rajouté]]*Tableau9297187[[#This Row],[CU du matos rajouté acheté]]</f>
        <v>0</v>
      </c>
    </row>
    <row r="44" spans="2:8" x14ac:dyDescent="0.25">
      <c r="E44" s="3">
        <f>Tableau9297187[[#This Row],[Demande]]-Tableau9297187[[#This Row],[Présente dans la malle]]</f>
        <v>0</v>
      </c>
      <c r="F44" s="5"/>
      <c r="H44" s="8">
        <f>Tableau9297187[[#This Row],[Quantités acheté rajouté]]*Tableau9297187[[#This Row],[CU du matos rajouté acheté]]</f>
        <v>0</v>
      </c>
    </row>
    <row r="45" spans="2:8" x14ac:dyDescent="0.25">
      <c r="E45" s="3">
        <f>Tableau9297187[[#This Row],[Demande]]-Tableau9297187[[#This Row],[Présente dans la malle]]</f>
        <v>0</v>
      </c>
      <c r="F45" s="5"/>
      <c r="H45" s="8">
        <f>Tableau9297187[[#This Row],[Quantités acheté rajouté]]*Tableau9297187[[#This Row],[CU du matos rajouté acheté]]</f>
        <v>0</v>
      </c>
    </row>
    <row r="46" spans="2:8" x14ac:dyDescent="0.25">
      <c r="E46" s="3">
        <f>Tableau9297187[[#This Row],[Demande]]-Tableau9297187[[#This Row],[Présente dans la malle]]</f>
        <v>0</v>
      </c>
      <c r="F46" s="5"/>
      <c r="H46" s="8">
        <f>Tableau9297187[[#This Row],[Quantités acheté rajouté]]*Tableau9297187[[#This Row],[CU du matos rajouté acheté]]</f>
        <v>0</v>
      </c>
    </row>
    <row r="47" spans="2:8" x14ac:dyDescent="0.25">
      <c r="E47" s="3">
        <f>Tableau9297187[[#This Row],[Demande]]-Tableau9297187[[#This Row],[Présente dans la malle]]</f>
        <v>0</v>
      </c>
      <c r="F47" s="5"/>
      <c r="H47" s="8">
        <f>Tableau9297187[[#This Row],[Quantités acheté rajouté]]*Tableau9297187[[#This Row],[CU du matos rajouté acheté]]</f>
        <v>0</v>
      </c>
    </row>
    <row r="48" spans="2:8" x14ac:dyDescent="0.25">
      <c r="E48" s="3">
        <f>Tableau9297187[[#This Row],[Demande]]-Tableau9297187[[#This Row],[Présente dans la malle]]</f>
        <v>0</v>
      </c>
      <c r="F48" s="5"/>
      <c r="H48" s="8">
        <f>Tableau9297187[[#This Row],[Quantités acheté rajouté]]*Tableau9297187[[#This Row],[CU du matos rajouté acheté]]</f>
        <v>0</v>
      </c>
    </row>
    <row r="49" spans="2:8" x14ac:dyDescent="0.25">
      <c r="E49" s="3">
        <f>Tableau9297187[[#This Row],[Demande]]-Tableau9297187[[#This Row],[Présente dans la malle]]</f>
        <v>0</v>
      </c>
      <c r="F49" s="7"/>
      <c r="G49" s="4"/>
      <c r="H49" s="8">
        <f>Tableau9297187[[#This Row],[Quantités acheté rajouté]]*Tableau9297187[[#This Row],[CU du matos rajouté acheté]]</f>
        <v>0</v>
      </c>
    </row>
    <row r="50" spans="2:8" x14ac:dyDescent="0.25">
      <c r="B50" t="s">
        <v>4</v>
      </c>
      <c r="C50">
        <f>SUM(Tableau9297187[Présente dans la malle])</f>
        <v>0</v>
      </c>
      <c r="D50">
        <f>SUM(Tableau9297187[Demande])</f>
        <v>0</v>
      </c>
      <c r="E50">
        <f>SUM(Tableau9297187[Manque])</f>
        <v>0</v>
      </c>
      <c r="F50" s="6">
        <f>SUM(Tableau9297187[Quantités acheté rajouté])</f>
        <v>0</v>
      </c>
      <c r="G50" s="6"/>
      <c r="H50" s="2">
        <f>SUM(Tableau9297187[CT])</f>
        <v>0</v>
      </c>
    </row>
  </sheetData>
  <conditionalFormatting sqref="E3:E15">
    <cfRule type="cellIs" dxfId="662" priority="10" operator="equal">
      <formula>0</formula>
    </cfRule>
    <cfRule type="cellIs" dxfId="661" priority="11" operator="lessThan">
      <formula>0</formula>
    </cfRule>
    <cfRule type="cellIs" dxfId="660" priority="12" operator="greaterThan">
      <formula>0</formula>
    </cfRule>
  </conditionalFormatting>
  <conditionalFormatting sqref="E16">
    <cfRule type="cellIs" dxfId="659" priority="9" operator="equal">
      <formula>0</formula>
    </cfRule>
  </conditionalFormatting>
  <conditionalFormatting sqref="E50">
    <cfRule type="cellIs" dxfId="658" priority="1" operator="equal">
      <formula>0</formula>
    </cfRule>
  </conditionalFormatting>
  <conditionalFormatting sqref="E20:E32">
    <cfRule type="cellIs" dxfId="657" priority="6" operator="equal">
      <formula>0</formula>
    </cfRule>
    <cfRule type="cellIs" dxfId="656" priority="7" operator="lessThan">
      <formula>0</formula>
    </cfRule>
    <cfRule type="cellIs" dxfId="655" priority="8" operator="greaterThan">
      <formula>0</formula>
    </cfRule>
  </conditionalFormatting>
  <conditionalFormatting sqref="E33">
    <cfRule type="cellIs" dxfId="654" priority="5" operator="equal">
      <formula>0</formula>
    </cfRule>
  </conditionalFormatting>
  <conditionalFormatting sqref="E37:E49">
    <cfRule type="cellIs" dxfId="653" priority="2" operator="equal">
      <formula>0</formula>
    </cfRule>
    <cfRule type="cellIs" dxfId="652" priority="3" operator="lessThan">
      <formula>0</formula>
    </cfRule>
    <cfRule type="cellIs" dxfId="651" priority="4" operator="greaterThan">
      <formula>0</formula>
    </cfRule>
  </conditionalFormatting>
  <dataValidations count="7">
    <dataValidation allowBlank="1" showInputMessage="1" showErrorMessage="1" prompt="CT = Cout total" sqref="H35:H36 H2 H19" xr:uid="{AE93512E-4E03-491A-A2F6-81E4E29013BD}"/>
    <dataValidation allowBlank="1" showInputMessage="1" showErrorMessage="1" prompt="CU = Cout unitaire" sqref="F35:G36 F2:G2 F19:G19" xr:uid="{ED8CE8CD-9134-4048-8933-BD666C9D6C03}"/>
    <dataValidation allowBlank="1" showInputMessage="1" showErrorMessage="1" prompt="Quantité acheté rajouté * CU" sqref="H3 H20 H37" xr:uid="{636B0424-69E3-404D-9733-001F2EE88FA6}"/>
    <dataValidation allowBlank="1" showInputMessage="1" showErrorMessage="1" prompt="Insérez la quantité demandé" sqref="D11:D14 D3:D9 D28:D31 D20:D26 D45:D48 D37:D43" xr:uid="{1B288779-F8E6-4CE9-BA4B-4A4B9D3CFFF2}"/>
    <dataValidation allowBlank="1" showInputMessage="1" showErrorMessage="1" prompt="Insérez la quantité présente dans les malles" sqref="C11:C14 C3:C9 C28:C31 C20:C26 C45:C48 C37:C43" xr:uid="{58F97F3B-04FC-4EA3-9615-28BA6F832EA0}"/>
    <dataValidation allowBlank="1" showInputMessage="1" showErrorMessage="1" prompt="Si VERT_x000a_La fourniture est bien présente et la quantité est bonne_x000a_Si ROUGE_x000a_+ : Il faut rajouter la quantité de fourniture_x000a_- : Il faut enlevé la quantité de fourniture en trop_x000a_" sqref="E20:E32 E3:E15 E37:E49" xr:uid="{59A34552-759A-4E99-A944-17F72E37A992}"/>
    <dataValidation type="list" allowBlank="1" showInputMessage="1" showErrorMessage="1" prompt="Insérez la fourniture désiré" sqref="B3:B14 B20:B31 B37:B48" xr:uid="{E08B4530-07AA-4B41-9C22-96AD7A15E006}">
      <formula1>Fournitures</formula1>
    </dataValidation>
  </dataValidations>
  <pageMargins left="0.7" right="0.7" top="0.75" bottom="0.75" header="0.3" footer="0.3"/>
  <tableParts count="3">
    <tablePart r:id="rId1"/>
    <tablePart r:id="rId2"/>
    <tablePart r:id="rId3"/>
  </tableParts>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2603FA6-6E9F-472D-85A9-35A347D3CD27}">
  <dimension ref="B2:H53"/>
  <sheetViews>
    <sheetView workbookViewId="0">
      <selection activeCell="C3" sqref="C3"/>
    </sheetView>
  </sheetViews>
  <sheetFormatPr baseColWidth="10" defaultRowHeight="15" x14ac:dyDescent="0.25"/>
  <cols>
    <col min="2" max="2" width="26.42578125" customWidth="1"/>
    <col min="3" max="3" width="23.140625" customWidth="1"/>
    <col min="4" max="4" width="11.7109375" customWidth="1"/>
    <col min="6" max="6" width="26.5703125" style="2" customWidth="1"/>
    <col min="7" max="7" width="28.28515625" style="2" customWidth="1"/>
  </cols>
  <sheetData>
    <row r="2" spans="2:8" x14ac:dyDescent="0.25">
      <c r="B2" t="s">
        <v>7</v>
      </c>
      <c r="C2" t="s">
        <v>0</v>
      </c>
      <c r="D2" t="s">
        <v>1</v>
      </c>
      <c r="E2" t="s">
        <v>2</v>
      </c>
      <c r="F2" s="2" t="s">
        <v>15</v>
      </c>
      <c r="G2" s="2" t="s">
        <v>11</v>
      </c>
      <c r="H2" s="2" t="s">
        <v>10</v>
      </c>
    </row>
    <row r="3" spans="2:8" x14ac:dyDescent="0.25">
      <c r="B3" t="s">
        <v>162</v>
      </c>
      <c r="C3">
        <v>3</v>
      </c>
      <c r="E3" s="3">
        <f>Tableau92191[[#This Row],[Demande]]-Tableau92191[[#This Row],[Présente dans la malle]]</f>
        <v>-3</v>
      </c>
      <c r="F3" s="5"/>
      <c r="H3" s="8">
        <f>Tableau92191[[#This Row],[Quantités acheté rajouté]]*Tableau92191[[#This Row],[CU du matos rajouté acheté]]</f>
        <v>0</v>
      </c>
    </row>
    <row r="4" spans="2:8" x14ac:dyDescent="0.25">
      <c r="B4" t="s">
        <v>152</v>
      </c>
      <c r="C4">
        <v>1</v>
      </c>
      <c r="E4" s="3">
        <f>Tableau92191[[#This Row],[Demande]]-Tableau92191[[#This Row],[Présente dans la malle]]</f>
        <v>-1</v>
      </c>
      <c r="F4" s="5"/>
      <c r="H4" s="8">
        <f>Tableau92191[[#This Row],[Quantités acheté rajouté]]*Tableau92191[[#This Row],[CU du matos rajouté acheté]]</f>
        <v>0</v>
      </c>
    </row>
    <row r="5" spans="2:8" x14ac:dyDescent="0.25">
      <c r="B5" t="s">
        <v>137</v>
      </c>
      <c r="C5">
        <v>3</v>
      </c>
      <c r="E5" s="3">
        <f>Tableau92191[[#This Row],[Demande]]-Tableau92191[[#This Row],[Présente dans la malle]]</f>
        <v>-3</v>
      </c>
      <c r="F5" s="5"/>
      <c r="H5" s="8">
        <f>Tableau92191[[#This Row],[Quantités acheté rajouté]]*Tableau92191[[#This Row],[CU du matos rajouté acheté]]</f>
        <v>0</v>
      </c>
    </row>
    <row r="6" spans="2:8" x14ac:dyDescent="0.25">
      <c r="B6" t="s">
        <v>118</v>
      </c>
      <c r="C6">
        <v>1</v>
      </c>
      <c r="E6" s="3">
        <f>Tableau92191[[#This Row],[Demande]]-Tableau92191[[#This Row],[Présente dans la malle]]</f>
        <v>-1</v>
      </c>
      <c r="F6" s="5"/>
      <c r="H6" s="8">
        <f>Tableau92191[[#This Row],[Quantités acheté rajouté]]*Tableau92191[[#This Row],[CU du matos rajouté acheté]]</f>
        <v>0</v>
      </c>
    </row>
    <row r="7" spans="2:8" x14ac:dyDescent="0.25">
      <c r="B7" t="s">
        <v>73</v>
      </c>
      <c r="C7">
        <v>1</v>
      </c>
      <c r="E7" s="3">
        <f>Tableau92191[[#This Row],[Demande]]-Tableau92191[[#This Row],[Présente dans la malle]]</f>
        <v>-1</v>
      </c>
      <c r="F7" s="5"/>
      <c r="H7" s="8">
        <f>Tableau92191[[#This Row],[Quantités acheté rajouté]]*Tableau92191[[#This Row],[CU du matos rajouté acheté]]</f>
        <v>0</v>
      </c>
    </row>
    <row r="8" spans="2:8" x14ac:dyDescent="0.25">
      <c r="B8" t="s">
        <v>22</v>
      </c>
      <c r="C8">
        <v>1</v>
      </c>
      <c r="E8" s="3">
        <f>Tableau92191[[#This Row],[Demande]]-Tableau92191[[#This Row],[Présente dans la malle]]</f>
        <v>-1</v>
      </c>
      <c r="F8" s="5"/>
      <c r="H8" s="8">
        <f>Tableau92191[[#This Row],[Quantités acheté rajouté]]*Tableau92191[[#This Row],[CU du matos rajouté acheté]]</f>
        <v>0</v>
      </c>
    </row>
    <row r="9" spans="2:8" x14ac:dyDescent="0.25">
      <c r="B9" t="s">
        <v>155</v>
      </c>
      <c r="C9">
        <v>2</v>
      </c>
      <c r="E9" s="3">
        <f>Tableau92191[[#This Row],[Demande]]-Tableau92191[[#This Row],[Présente dans la malle]]</f>
        <v>-2</v>
      </c>
      <c r="F9" s="5"/>
      <c r="H9" s="8">
        <f>Tableau92191[[#This Row],[Quantités acheté rajouté]]*Tableau92191[[#This Row],[CU du matos rajouté acheté]]</f>
        <v>0</v>
      </c>
    </row>
    <row r="10" spans="2:8" x14ac:dyDescent="0.25">
      <c r="B10" t="s">
        <v>59</v>
      </c>
      <c r="C10">
        <v>1</v>
      </c>
      <c r="E10" s="3">
        <f>Tableau92191[[#This Row],[Demande]]-Tableau92191[[#This Row],[Présente dans la malle]]</f>
        <v>-1</v>
      </c>
      <c r="F10" s="5"/>
      <c r="H10" s="8">
        <f>Tableau92191[[#This Row],[Quantités acheté rajouté]]*Tableau92191[[#This Row],[CU du matos rajouté acheté]]</f>
        <v>0</v>
      </c>
    </row>
    <row r="11" spans="2:8" x14ac:dyDescent="0.25">
      <c r="B11" t="s">
        <v>116</v>
      </c>
      <c r="C11">
        <v>1</v>
      </c>
      <c r="E11" s="3">
        <f>Tableau92191[[#This Row],[Demande]]-Tableau92191[[#This Row],[Présente dans la malle]]</f>
        <v>-1</v>
      </c>
      <c r="F11" s="5"/>
      <c r="H11" s="8">
        <f>Tableau92191[[#This Row],[Quantités acheté rajouté]]*Tableau92191[[#This Row],[CU du matos rajouté acheté]]</f>
        <v>0</v>
      </c>
    </row>
    <row r="12" spans="2:8" x14ac:dyDescent="0.25">
      <c r="B12" t="s">
        <v>123</v>
      </c>
      <c r="C12">
        <v>1</v>
      </c>
      <c r="E12" s="3">
        <f>Tableau92191[[#This Row],[Demande]]-Tableau92191[[#This Row],[Présente dans la malle]]</f>
        <v>-1</v>
      </c>
      <c r="F12" s="5"/>
      <c r="H12" s="8">
        <f>Tableau92191[[#This Row],[Quantités acheté rajouté]]*Tableau92191[[#This Row],[CU du matos rajouté acheté]]</f>
        <v>0</v>
      </c>
    </row>
    <row r="13" spans="2:8" x14ac:dyDescent="0.25">
      <c r="B13" t="s">
        <v>172</v>
      </c>
      <c r="C13">
        <v>1</v>
      </c>
      <c r="E13" s="3">
        <f>Tableau92191[[#This Row],[Demande]]-Tableau92191[[#This Row],[Présente dans la malle]]</f>
        <v>-1</v>
      </c>
      <c r="F13" s="5"/>
      <c r="H13" s="8">
        <f>Tableau92191[[#This Row],[Quantités acheté rajouté]]*Tableau92191[[#This Row],[CU du matos rajouté acheté]]</f>
        <v>0</v>
      </c>
    </row>
    <row r="14" spans="2:8" x14ac:dyDescent="0.25">
      <c r="B14" t="s">
        <v>103</v>
      </c>
      <c r="C14">
        <v>4</v>
      </c>
      <c r="E14" s="3">
        <f>Tableau92191[[#This Row],[Demande]]-Tableau92191[[#This Row],[Présente dans la malle]]</f>
        <v>-4</v>
      </c>
      <c r="F14" s="5"/>
      <c r="H14" s="8">
        <f>Tableau92191[[#This Row],[Quantités acheté rajouté]]*Tableau92191[[#This Row],[CU du matos rajouté acheté]]</f>
        <v>0</v>
      </c>
    </row>
    <row r="15" spans="2:8" x14ac:dyDescent="0.25">
      <c r="B15" t="s">
        <v>125</v>
      </c>
      <c r="C15">
        <v>4</v>
      </c>
      <c r="E15" s="3">
        <f>Tableau92191[[#This Row],[Demande]]-Tableau92191[[#This Row],[Présente dans la malle]]</f>
        <v>-4</v>
      </c>
      <c r="F15" s="7"/>
      <c r="G15" s="4"/>
      <c r="H15" s="8">
        <f>Tableau92191[[#This Row],[Quantités acheté rajouté]]*Tableau92191[[#This Row],[CU du matos rajouté acheté]]</f>
        <v>0</v>
      </c>
    </row>
    <row r="16" spans="2:8" x14ac:dyDescent="0.25">
      <c r="B16" t="s">
        <v>124</v>
      </c>
      <c r="C16">
        <v>20</v>
      </c>
      <c r="E16" s="11">
        <f>Tableau92191[[#This Row],[Demande]]-Tableau92191[[#This Row],[Présente dans la malle]]</f>
        <v>-20</v>
      </c>
      <c r="F16" s="5"/>
      <c r="H16" s="8">
        <f>Tableau92191[[#This Row],[Quantités acheté rajouté]]*Tableau92191[[#This Row],[CU du matos rajouté acheté]]</f>
        <v>0</v>
      </c>
    </row>
    <row r="17" spans="2:8" x14ac:dyDescent="0.25">
      <c r="B17" t="s">
        <v>144</v>
      </c>
      <c r="C17">
        <v>1</v>
      </c>
      <c r="E17" s="11">
        <f>Tableau92191[[#This Row],[Demande]]-Tableau92191[[#This Row],[Présente dans la malle]]</f>
        <v>-1</v>
      </c>
      <c r="F17" s="5"/>
      <c r="H17" s="8">
        <f>Tableau92191[[#This Row],[Quantités acheté rajouté]]*Tableau92191[[#This Row],[CU du matos rajouté acheté]]</f>
        <v>0</v>
      </c>
    </row>
    <row r="18" spans="2:8" x14ac:dyDescent="0.25">
      <c r="B18" t="s">
        <v>47</v>
      </c>
      <c r="C18">
        <v>11</v>
      </c>
      <c r="E18" s="11">
        <f>Tableau92191[[#This Row],[Demande]]-Tableau92191[[#This Row],[Présente dans la malle]]</f>
        <v>-11</v>
      </c>
      <c r="F18" s="5"/>
      <c r="H18" s="8">
        <f>Tableau92191[[#This Row],[Quantités acheté rajouté]]*Tableau92191[[#This Row],[CU du matos rajouté acheté]]</f>
        <v>0</v>
      </c>
    </row>
    <row r="19" spans="2:8" x14ac:dyDescent="0.25">
      <c r="B19" t="s">
        <v>4</v>
      </c>
      <c r="C19">
        <f>SUM(Tableau92191[Présente dans la malle])</f>
        <v>56</v>
      </c>
      <c r="D19">
        <f>SUM(Tableau92191[Demande])</f>
        <v>0</v>
      </c>
      <c r="E19">
        <f>SUM(Tableau92191[Manque])</f>
        <v>-56</v>
      </c>
      <c r="F19" s="6">
        <f>SUM(Tableau92191[Quantités acheté rajouté])</f>
        <v>0</v>
      </c>
      <c r="G19" s="6"/>
      <c r="H19" s="10">
        <f>SUM(Tableau92191[CT])</f>
        <v>0</v>
      </c>
    </row>
    <row r="22" spans="2:8" x14ac:dyDescent="0.25">
      <c r="B22" t="s">
        <v>5</v>
      </c>
      <c r="C22" t="s">
        <v>0</v>
      </c>
      <c r="D22" t="s">
        <v>1</v>
      </c>
      <c r="E22" t="s">
        <v>2</v>
      </c>
      <c r="F22" s="2" t="s">
        <v>15</v>
      </c>
      <c r="G22" s="2" t="s">
        <v>11</v>
      </c>
      <c r="H22" s="2" t="s">
        <v>10</v>
      </c>
    </row>
    <row r="23" spans="2:8" x14ac:dyDescent="0.25">
      <c r="E23" s="3">
        <f>Tableau9296192[[#This Row],[Demande]]-Tableau9296192[[#This Row],[Présente dans la malle]]</f>
        <v>0</v>
      </c>
      <c r="F23" s="5"/>
      <c r="H23" s="8">
        <f>Tableau9296192[[#This Row],[Quantités acheté rajouté]]*Tableau9296192[[#This Row],[CU du matos rajouté acheté]]</f>
        <v>0</v>
      </c>
    </row>
    <row r="24" spans="2:8" x14ac:dyDescent="0.25">
      <c r="E24" s="3">
        <f>Tableau9296192[[#This Row],[Demande]]-Tableau9296192[[#This Row],[Présente dans la malle]]</f>
        <v>0</v>
      </c>
      <c r="F24" s="5"/>
      <c r="H24" s="8">
        <f>Tableau9296192[[#This Row],[Quantités acheté rajouté]]*Tableau9296192[[#This Row],[CU du matos rajouté acheté]]</f>
        <v>0</v>
      </c>
    </row>
    <row r="25" spans="2:8" x14ac:dyDescent="0.25">
      <c r="E25" s="3">
        <f>Tableau9296192[[#This Row],[Demande]]-Tableau9296192[[#This Row],[Présente dans la malle]]</f>
        <v>0</v>
      </c>
      <c r="F25" s="5"/>
      <c r="H25" s="8">
        <f>Tableau9296192[[#This Row],[Quantités acheté rajouté]]*Tableau9296192[[#This Row],[CU du matos rajouté acheté]]</f>
        <v>0</v>
      </c>
    </row>
    <row r="26" spans="2:8" x14ac:dyDescent="0.25">
      <c r="E26" s="3">
        <f>Tableau9296192[[#This Row],[Demande]]-Tableau9296192[[#This Row],[Présente dans la malle]]</f>
        <v>0</v>
      </c>
      <c r="F26" s="5"/>
      <c r="H26" s="8">
        <f>Tableau9296192[[#This Row],[Quantités acheté rajouté]]*Tableau9296192[[#This Row],[CU du matos rajouté acheté]]</f>
        <v>0</v>
      </c>
    </row>
    <row r="27" spans="2:8" x14ac:dyDescent="0.25">
      <c r="E27" s="3">
        <f>Tableau9296192[[#This Row],[Demande]]-Tableau9296192[[#This Row],[Présente dans la malle]]</f>
        <v>0</v>
      </c>
      <c r="F27" s="5"/>
      <c r="H27" s="8">
        <f>Tableau9296192[[#This Row],[Quantités acheté rajouté]]*Tableau9296192[[#This Row],[CU du matos rajouté acheté]]</f>
        <v>0</v>
      </c>
    </row>
    <row r="28" spans="2:8" x14ac:dyDescent="0.25">
      <c r="E28" s="3">
        <f>Tableau9296192[[#This Row],[Demande]]-Tableau9296192[[#This Row],[Présente dans la malle]]</f>
        <v>0</v>
      </c>
      <c r="F28" s="5"/>
      <c r="H28" s="8">
        <f>Tableau9296192[[#This Row],[Quantités acheté rajouté]]*Tableau9296192[[#This Row],[CU du matos rajouté acheté]]</f>
        <v>0</v>
      </c>
    </row>
    <row r="29" spans="2:8" x14ac:dyDescent="0.25">
      <c r="E29" s="3">
        <f>Tableau9296192[[#This Row],[Demande]]-Tableau9296192[[#This Row],[Présente dans la malle]]</f>
        <v>0</v>
      </c>
      <c r="F29" s="5"/>
      <c r="H29" s="8">
        <f>Tableau9296192[[#This Row],[Quantités acheté rajouté]]*Tableau9296192[[#This Row],[CU du matos rajouté acheté]]</f>
        <v>0</v>
      </c>
    </row>
    <row r="30" spans="2:8" x14ac:dyDescent="0.25">
      <c r="E30" s="3">
        <f>Tableau9296192[[#This Row],[Demande]]-Tableau9296192[[#This Row],[Présente dans la malle]]</f>
        <v>0</v>
      </c>
      <c r="F30" s="5"/>
      <c r="H30" s="8">
        <f>Tableau9296192[[#This Row],[Quantités acheté rajouté]]*Tableau9296192[[#This Row],[CU du matos rajouté acheté]]</f>
        <v>0</v>
      </c>
    </row>
    <row r="31" spans="2:8" x14ac:dyDescent="0.25">
      <c r="E31" s="3">
        <f>Tableau9296192[[#This Row],[Demande]]-Tableau9296192[[#This Row],[Présente dans la malle]]</f>
        <v>0</v>
      </c>
      <c r="F31" s="5"/>
      <c r="H31" s="8">
        <f>Tableau9296192[[#This Row],[Quantités acheté rajouté]]*Tableau9296192[[#This Row],[CU du matos rajouté acheté]]</f>
        <v>0</v>
      </c>
    </row>
    <row r="32" spans="2:8" x14ac:dyDescent="0.25">
      <c r="E32" s="3">
        <f>Tableau9296192[[#This Row],[Demande]]-Tableau9296192[[#This Row],[Présente dans la malle]]</f>
        <v>0</v>
      </c>
      <c r="F32" s="5"/>
      <c r="H32" s="8">
        <f>Tableau9296192[[#This Row],[Quantités acheté rajouté]]*Tableau9296192[[#This Row],[CU du matos rajouté acheté]]</f>
        <v>0</v>
      </c>
    </row>
    <row r="33" spans="2:8" x14ac:dyDescent="0.25">
      <c r="E33" s="3">
        <f>Tableau9296192[[#This Row],[Demande]]-Tableau9296192[[#This Row],[Présente dans la malle]]</f>
        <v>0</v>
      </c>
      <c r="F33" s="5"/>
      <c r="H33" s="8">
        <f>Tableau9296192[[#This Row],[Quantités acheté rajouté]]*Tableau9296192[[#This Row],[CU du matos rajouté acheté]]</f>
        <v>0</v>
      </c>
    </row>
    <row r="34" spans="2:8" x14ac:dyDescent="0.25">
      <c r="E34" s="3">
        <f>Tableau9296192[[#This Row],[Demande]]-Tableau9296192[[#This Row],[Présente dans la malle]]</f>
        <v>0</v>
      </c>
      <c r="F34" s="5"/>
      <c r="H34" s="8">
        <f>Tableau9296192[[#This Row],[Quantités acheté rajouté]]*Tableau9296192[[#This Row],[CU du matos rajouté acheté]]</f>
        <v>0</v>
      </c>
    </row>
    <row r="35" spans="2:8" x14ac:dyDescent="0.25">
      <c r="E35" s="3">
        <f>Tableau9296192[[#This Row],[Demande]]-Tableau9296192[[#This Row],[Présente dans la malle]]</f>
        <v>0</v>
      </c>
      <c r="F35" s="7"/>
      <c r="G35" s="4"/>
      <c r="H35" s="8">
        <f>Tableau9296192[[#This Row],[Quantités acheté rajouté]]*Tableau9296192[[#This Row],[CU du matos rajouté acheté]]</f>
        <v>0</v>
      </c>
    </row>
    <row r="36" spans="2:8" x14ac:dyDescent="0.25">
      <c r="B36" t="s">
        <v>4</v>
      </c>
      <c r="C36">
        <f>SUM(Tableau9296192[Présente dans la malle])</f>
        <v>0</v>
      </c>
      <c r="D36">
        <f>SUM(Tableau9296192[Demande])</f>
        <v>0</v>
      </c>
      <c r="E36">
        <f>SUM(Tableau9296192[Manque])</f>
        <v>0</v>
      </c>
      <c r="F36" s="6">
        <f>SUM(Tableau9296192[Quantités acheté rajouté])</f>
        <v>0</v>
      </c>
      <c r="G36" s="6"/>
      <c r="H36" s="2">
        <f>SUM(Tableau9296192[CT])</f>
        <v>0</v>
      </c>
    </row>
    <row r="38" spans="2:8" x14ac:dyDescent="0.25">
      <c r="H38" s="2"/>
    </row>
    <row r="39" spans="2:8" x14ac:dyDescent="0.25">
      <c r="B39" t="s">
        <v>6</v>
      </c>
      <c r="C39" t="s">
        <v>0</v>
      </c>
      <c r="D39" t="s">
        <v>1</v>
      </c>
      <c r="E39" t="s">
        <v>2</v>
      </c>
      <c r="F39" s="2" t="s">
        <v>15</v>
      </c>
      <c r="G39" s="2" t="s">
        <v>11</v>
      </c>
      <c r="H39" s="2" t="s">
        <v>10</v>
      </c>
    </row>
    <row r="40" spans="2:8" x14ac:dyDescent="0.25">
      <c r="E40" s="3">
        <f>Tableau9297193[[#This Row],[Demande]]-Tableau9297193[[#This Row],[Présente dans la malle]]</f>
        <v>0</v>
      </c>
      <c r="F40" s="5"/>
      <c r="H40" s="8">
        <f>Tableau9297193[[#This Row],[Quantités acheté rajouté]]*Tableau9297193[[#This Row],[CU du matos rajouté acheté]]</f>
        <v>0</v>
      </c>
    </row>
    <row r="41" spans="2:8" x14ac:dyDescent="0.25">
      <c r="E41" s="3">
        <f>Tableau9297193[[#This Row],[Demande]]-Tableau9297193[[#This Row],[Présente dans la malle]]</f>
        <v>0</v>
      </c>
      <c r="F41" s="5"/>
      <c r="H41" s="8">
        <f>Tableau9297193[[#This Row],[Quantités acheté rajouté]]*Tableau9297193[[#This Row],[CU du matos rajouté acheté]]</f>
        <v>0</v>
      </c>
    </row>
    <row r="42" spans="2:8" x14ac:dyDescent="0.25">
      <c r="E42" s="3">
        <f>Tableau9297193[[#This Row],[Demande]]-Tableau9297193[[#This Row],[Présente dans la malle]]</f>
        <v>0</v>
      </c>
      <c r="F42" s="5"/>
      <c r="H42" s="8">
        <f>Tableau9297193[[#This Row],[Quantités acheté rajouté]]*Tableau9297193[[#This Row],[CU du matos rajouté acheté]]</f>
        <v>0</v>
      </c>
    </row>
    <row r="43" spans="2:8" x14ac:dyDescent="0.25">
      <c r="E43" s="3">
        <f>Tableau9297193[[#This Row],[Demande]]-Tableau9297193[[#This Row],[Présente dans la malle]]</f>
        <v>0</v>
      </c>
      <c r="F43" s="5"/>
      <c r="H43" s="8">
        <f>Tableau9297193[[#This Row],[Quantités acheté rajouté]]*Tableau9297193[[#This Row],[CU du matos rajouté acheté]]</f>
        <v>0</v>
      </c>
    </row>
    <row r="44" spans="2:8" x14ac:dyDescent="0.25">
      <c r="E44" s="3">
        <f>Tableau9297193[[#This Row],[Demande]]-Tableau9297193[[#This Row],[Présente dans la malle]]</f>
        <v>0</v>
      </c>
      <c r="F44" s="5"/>
      <c r="H44" s="8">
        <f>Tableau9297193[[#This Row],[Quantités acheté rajouté]]*Tableau9297193[[#This Row],[CU du matos rajouté acheté]]</f>
        <v>0</v>
      </c>
    </row>
    <row r="45" spans="2:8" x14ac:dyDescent="0.25">
      <c r="E45" s="3">
        <f>Tableau9297193[[#This Row],[Demande]]-Tableau9297193[[#This Row],[Présente dans la malle]]</f>
        <v>0</v>
      </c>
      <c r="F45" s="5"/>
      <c r="H45" s="8">
        <f>Tableau9297193[[#This Row],[Quantités acheté rajouté]]*Tableau9297193[[#This Row],[CU du matos rajouté acheté]]</f>
        <v>0</v>
      </c>
    </row>
    <row r="46" spans="2:8" x14ac:dyDescent="0.25">
      <c r="E46" s="3">
        <f>Tableau9297193[[#This Row],[Demande]]-Tableau9297193[[#This Row],[Présente dans la malle]]</f>
        <v>0</v>
      </c>
      <c r="F46" s="5"/>
      <c r="H46" s="8">
        <f>Tableau9297193[[#This Row],[Quantités acheté rajouté]]*Tableau9297193[[#This Row],[CU du matos rajouté acheté]]</f>
        <v>0</v>
      </c>
    </row>
    <row r="47" spans="2:8" x14ac:dyDescent="0.25">
      <c r="E47" s="3">
        <f>Tableau9297193[[#This Row],[Demande]]-Tableau9297193[[#This Row],[Présente dans la malle]]</f>
        <v>0</v>
      </c>
      <c r="F47" s="5"/>
      <c r="H47" s="8">
        <f>Tableau9297193[[#This Row],[Quantités acheté rajouté]]*Tableau9297193[[#This Row],[CU du matos rajouté acheté]]</f>
        <v>0</v>
      </c>
    </row>
    <row r="48" spans="2:8" x14ac:dyDescent="0.25">
      <c r="E48" s="3">
        <f>Tableau9297193[[#This Row],[Demande]]-Tableau9297193[[#This Row],[Présente dans la malle]]</f>
        <v>0</v>
      </c>
      <c r="F48" s="5"/>
      <c r="H48" s="8">
        <f>Tableau9297193[[#This Row],[Quantités acheté rajouté]]*Tableau9297193[[#This Row],[CU du matos rajouté acheté]]</f>
        <v>0</v>
      </c>
    </row>
    <row r="49" spans="2:8" x14ac:dyDescent="0.25">
      <c r="E49" s="3">
        <f>Tableau9297193[[#This Row],[Demande]]-Tableau9297193[[#This Row],[Présente dans la malle]]</f>
        <v>0</v>
      </c>
      <c r="F49" s="5"/>
      <c r="H49" s="8">
        <f>Tableau9297193[[#This Row],[Quantités acheté rajouté]]*Tableau9297193[[#This Row],[CU du matos rajouté acheté]]</f>
        <v>0</v>
      </c>
    </row>
    <row r="50" spans="2:8" x14ac:dyDescent="0.25">
      <c r="E50" s="3">
        <f>Tableau9297193[[#This Row],[Demande]]-Tableau9297193[[#This Row],[Présente dans la malle]]</f>
        <v>0</v>
      </c>
      <c r="F50" s="5"/>
      <c r="H50" s="8">
        <f>Tableau9297193[[#This Row],[Quantités acheté rajouté]]*Tableau9297193[[#This Row],[CU du matos rajouté acheté]]</f>
        <v>0</v>
      </c>
    </row>
    <row r="51" spans="2:8" x14ac:dyDescent="0.25">
      <c r="E51" s="3">
        <f>Tableau9297193[[#This Row],[Demande]]-Tableau9297193[[#This Row],[Présente dans la malle]]</f>
        <v>0</v>
      </c>
      <c r="F51" s="5"/>
      <c r="H51" s="8">
        <f>Tableau9297193[[#This Row],[Quantités acheté rajouté]]*Tableau9297193[[#This Row],[CU du matos rajouté acheté]]</f>
        <v>0</v>
      </c>
    </row>
    <row r="52" spans="2:8" x14ac:dyDescent="0.25">
      <c r="E52" s="3">
        <f>Tableau9297193[[#This Row],[Demande]]-Tableau9297193[[#This Row],[Présente dans la malle]]</f>
        <v>0</v>
      </c>
      <c r="F52" s="7"/>
      <c r="G52" s="4"/>
      <c r="H52" s="8">
        <f>Tableau9297193[[#This Row],[Quantités acheté rajouté]]*Tableau9297193[[#This Row],[CU du matos rajouté acheté]]</f>
        <v>0</v>
      </c>
    </row>
    <row r="53" spans="2:8" x14ac:dyDescent="0.25">
      <c r="B53" t="s">
        <v>4</v>
      </c>
      <c r="C53">
        <f>SUM(Tableau9297193[Présente dans la malle])</f>
        <v>0</v>
      </c>
      <c r="D53">
        <f>SUM(Tableau9297193[Demande])</f>
        <v>0</v>
      </c>
      <c r="E53">
        <f>SUM(Tableau9297193[Manque])</f>
        <v>0</v>
      </c>
      <c r="F53" s="6">
        <f>SUM(Tableau9297193[Quantités acheté rajouté])</f>
        <v>0</v>
      </c>
      <c r="G53" s="6"/>
      <c r="H53" s="2">
        <f>SUM(Tableau9297193[CT])</f>
        <v>0</v>
      </c>
    </row>
  </sheetData>
  <conditionalFormatting sqref="E3:E18">
    <cfRule type="cellIs" dxfId="623" priority="10" operator="equal">
      <formula>0</formula>
    </cfRule>
    <cfRule type="cellIs" dxfId="622" priority="11" operator="lessThan">
      <formula>0</formula>
    </cfRule>
    <cfRule type="cellIs" dxfId="621" priority="12" operator="greaterThan">
      <formula>0</formula>
    </cfRule>
  </conditionalFormatting>
  <conditionalFormatting sqref="E19">
    <cfRule type="cellIs" dxfId="620" priority="9" operator="equal">
      <formula>0</formula>
    </cfRule>
  </conditionalFormatting>
  <conditionalFormatting sqref="E53">
    <cfRule type="cellIs" dxfId="619" priority="1" operator="equal">
      <formula>0</formula>
    </cfRule>
  </conditionalFormatting>
  <conditionalFormatting sqref="E23:E35">
    <cfRule type="cellIs" dxfId="618" priority="6" operator="equal">
      <formula>0</formula>
    </cfRule>
    <cfRule type="cellIs" dxfId="617" priority="7" operator="lessThan">
      <formula>0</formula>
    </cfRule>
    <cfRule type="cellIs" dxfId="616" priority="8" operator="greaterThan">
      <formula>0</formula>
    </cfRule>
  </conditionalFormatting>
  <conditionalFormatting sqref="E36">
    <cfRule type="cellIs" dxfId="615" priority="5" operator="equal">
      <formula>0</formula>
    </cfRule>
  </conditionalFormatting>
  <conditionalFormatting sqref="E40:E52">
    <cfRule type="cellIs" dxfId="614" priority="2" operator="equal">
      <formula>0</formula>
    </cfRule>
    <cfRule type="cellIs" dxfId="613" priority="3" operator="lessThan">
      <formula>0</formula>
    </cfRule>
    <cfRule type="cellIs" dxfId="612" priority="4" operator="greaterThan">
      <formula>0</formula>
    </cfRule>
  </conditionalFormatting>
  <dataValidations count="7">
    <dataValidation allowBlank="1" showInputMessage="1" showErrorMessage="1" prompt="CT = Cout total" sqref="H38:H39 H2 H22" xr:uid="{FE1B0088-C41B-424A-B306-2A98907C7449}"/>
    <dataValidation allowBlank="1" showInputMessage="1" showErrorMessage="1" prompt="CU = Cout unitaire" sqref="F38:G39 F2:G2 F22:G22" xr:uid="{412FC240-C58F-4340-B467-EA38A2ED7916}"/>
    <dataValidation allowBlank="1" showInputMessage="1" showErrorMessage="1" prompt="Quantité acheté rajouté * CU" sqref="H3 H23 H40" xr:uid="{0F36BA66-E7FD-4E18-951A-85192277299E}"/>
    <dataValidation allowBlank="1" showInputMessage="1" showErrorMessage="1" prompt="Insérez la quantité demandé" sqref="D11:D14 D3:D9 D31:D34 D23:D29 D48:D51 D40:D46" xr:uid="{B9050AA2-DE80-4EB3-8EF2-DC46D90C99C3}"/>
    <dataValidation allowBlank="1" showInputMessage="1" showErrorMessage="1" prompt="Insérez la quantité présente dans les malles" sqref="C11:C14 C3:C9 C31:C34 C23:C29 C48:C51 C40:C46" xr:uid="{761E3E90-CB16-411C-97B7-8FF173534F43}"/>
    <dataValidation allowBlank="1" showInputMessage="1" showErrorMessage="1" prompt="Si VERT_x000a_La fourniture est bien présente et la quantité est bonne_x000a_Si ROUGE_x000a_+ : Il faut rajouter la quantité de fourniture_x000a_- : Il faut enlevé la quantité de fourniture en trop_x000a_" sqref="E23:E35 E3:E18 E40:E52" xr:uid="{8D6A50B0-77C1-40B6-9E94-78013E41C03D}"/>
    <dataValidation type="list" allowBlank="1" showInputMessage="1" showErrorMessage="1" prompt="Insérez la fourniture désiré" sqref="B40:B51 B23:B34" xr:uid="{6735B248-DCD4-4DF5-BF47-97F3301283B8}">
      <formula1>Fournitures</formula1>
    </dataValidation>
  </dataValidations>
  <pageMargins left="0.7" right="0.7" top="0.75" bottom="0.75" header="0.3" footer="0.3"/>
  <tableParts count="3">
    <tablePart r:id="rId1"/>
    <tablePart r:id="rId2"/>
    <tablePart r:id="rId3"/>
  </tableParts>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7A7972D-F54D-44BF-95EB-0FA29EB1340F}">
  <dimension ref="B2:H63"/>
  <sheetViews>
    <sheetView topLeftCell="A5" workbookViewId="0">
      <selection activeCell="B10" sqref="B10"/>
    </sheetView>
  </sheetViews>
  <sheetFormatPr baseColWidth="10" defaultRowHeight="15" x14ac:dyDescent="0.25"/>
  <cols>
    <col min="2" max="2" width="28.85546875" customWidth="1"/>
    <col min="3" max="3" width="23.140625" customWidth="1"/>
    <col min="4" max="4" width="11.7109375" customWidth="1"/>
    <col min="6" max="6" width="26.5703125" style="2" customWidth="1"/>
    <col min="7" max="7" width="28.28515625" style="2" customWidth="1"/>
  </cols>
  <sheetData>
    <row r="2" spans="2:8" x14ac:dyDescent="0.25">
      <c r="B2" t="s">
        <v>7</v>
      </c>
      <c r="C2" t="s">
        <v>0</v>
      </c>
      <c r="D2" t="s">
        <v>1</v>
      </c>
      <c r="E2" t="s">
        <v>2</v>
      </c>
      <c r="F2" s="2" t="s">
        <v>15</v>
      </c>
      <c r="G2" s="2" t="s">
        <v>11</v>
      </c>
      <c r="H2" s="2" t="s">
        <v>10</v>
      </c>
    </row>
    <row r="3" spans="2:8" x14ac:dyDescent="0.25">
      <c r="B3" t="s">
        <v>162</v>
      </c>
      <c r="C3">
        <v>2</v>
      </c>
      <c r="E3" s="3">
        <f>Tableau92[[#This Row],[Demande]]-Tableau92[[#This Row],[Présente dans la malle]]</f>
        <v>-2</v>
      </c>
      <c r="F3" s="5"/>
      <c r="H3" s="8">
        <f>Tableau92[[#This Row],[Quantités acheté rajouté]]*Tableau92[[#This Row],[CU du matos rajouté acheté]]</f>
        <v>0</v>
      </c>
    </row>
    <row r="4" spans="2:8" x14ac:dyDescent="0.25">
      <c r="B4" t="s">
        <v>136</v>
      </c>
      <c r="C4">
        <v>2</v>
      </c>
      <c r="E4" s="3">
        <f>Tableau92[[#This Row],[Demande]]-Tableau92[[#This Row],[Présente dans la malle]]</f>
        <v>-2</v>
      </c>
      <c r="F4" s="5"/>
      <c r="H4" s="8">
        <f>Tableau92[[#This Row],[Quantités acheté rajouté]]*Tableau92[[#This Row],[CU du matos rajouté acheté]]</f>
        <v>0</v>
      </c>
    </row>
    <row r="5" spans="2:8" x14ac:dyDescent="0.25">
      <c r="B5" t="s">
        <v>150</v>
      </c>
      <c r="C5">
        <v>2</v>
      </c>
      <c r="E5" s="3">
        <f>Tableau92[[#This Row],[Demande]]-Tableau92[[#This Row],[Présente dans la malle]]</f>
        <v>-2</v>
      </c>
      <c r="F5" s="5"/>
      <c r="H5" s="8">
        <f>Tableau92[[#This Row],[Quantités acheté rajouté]]*Tableau92[[#This Row],[CU du matos rajouté acheté]]</f>
        <v>0</v>
      </c>
    </row>
    <row r="6" spans="2:8" x14ac:dyDescent="0.25">
      <c r="B6" t="s">
        <v>56</v>
      </c>
      <c r="C6">
        <v>2</v>
      </c>
      <c r="E6" s="3">
        <f>Tableau92[[#This Row],[Demande]]-Tableau92[[#This Row],[Présente dans la malle]]</f>
        <v>-2</v>
      </c>
      <c r="F6" s="5"/>
      <c r="H6" s="8">
        <f>Tableau92[[#This Row],[Quantités acheté rajouté]]*Tableau92[[#This Row],[CU du matos rajouté acheté]]</f>
        <v>0</v>
      </c>
    </row>
    <row r="7" spans="2:8" x14ac:dyDescent="0.25">
      <c r="B7" t="s">
        <v>163</v>
      </c>
      <c r="C7">
        <v>4</v>
      </c>
      <c r="E7" s="3">
        <f>Tableau92[[#This Row],[Demande]]-Tableau92[[#This Row],[Présente dans la malle]]</f>
        <v>-4</v>
      </c>
      <c r="F7" s="5"/>
      <c r="H7" s="8">
        <f>Tableau92[[#This Row],[Quantités acheté rajouté]]*Tableau92[[#This Row],[CU du matos rajouté acheté]]</f>
        <v>0</v>
      </c>
    </row>
    <row r="8" spans="2:8" x14ac:dyDescent="0.25">
      <c r="B8" t="s">
        <v>42</v>
      </c>
      <c r="C8">
        <v>2</v>
      </c>
      <c r="E8" s="3">
        <f>Tableau92[[#This Row],[Demande]]-Tableau92[[#This Row],[Présente dans la malle]]</f>
        <v>-2</v>
      </c>
      <c r="F8" s="5"/>
      <c r="H8" s="8">
        <f>Tableau92[[#This Row],[Quantités acheté rajouté]]*Tableau92[[#This Row],[CU du matos rajouté acheté]]</f>
        <v>0</v>
      </c>
    </row>
    <row r="9" spans="2:8" x14ac:dyDescent="0.25">
      <c r="B9" t="s">
        <v>137</v>
      </c>
      <c r="C9">
        <v>2</v>
      </c>
      <c r="E9" s="3">
        <f>Tableau92[[#This Row],[Demande]]-Tableau92[[#This Row],[Présente dans la malle]]</f>
        <v>-2</v>
      </c>
      <c r="F9" s="5"/>
      <c r="H9" s="8">
        <f>Tableau92[[#This Row],[Quantités acheté rajouté]]*Tableau92[[#This Row],[CU du matos rajouté acheté]]</f>
        <v>0</v>
      </c>
    </row>
    <row r="10" spans="2:8" x14ac:dyDescent="0.25">
      <c r="B10" t="s">
        <v>139</v>
      </c>
      <c r="C10">
        <v>3</v>
      </c>
      <c r="E10" s="3">
        <f>Tableau92[[#This Row],[Demande]]-Tableau92[[#This Row],[Présente dans la malle]]</f>
        <v>-3</v>
      </c>
      <c r="F10" s="5"/>
      <c r="H10" s="8">
        <f>Tableau92[[#This Row],[Quantités acheté rajouté]]*Tableau92[[#This Row],[CU du matos rajouté acheté]]</f>
        <v>0</v>
      </c>
    </row>
    <row r="11" spans="2:8" x14ac:dyDescent="0.25">
      <c r="B11" t="s">
        <v>164</v>
      </c>
      <c r="C11">
        <v>1</v>
      </c>
      <c r="E11" s="3">
        <f>Tableau92[[#This Row],[Demande]]-Tableau92[[#This Row],[Présente dans la malle]]</f>
        <v>-1</v>
      </c>
      <c r="F11" s="5"/>
      <c r="H11" s="8">
        <f>Tableau92[[#This Row],[Quantités acheté rajouté]]*Tableau92[[#This Row],[CU du matos rajouté acheté]]</f>
        <v>0</v>
      </c>
    </row>
    <row r="12" spans="2:8" x14ac:dyDescent="0.25">
      <c r="B12" t="s">
        <v>165</v>
      </c>
      <c r="C12">
        <v>23</v>
      </c>
      <c r="E12" s="3">
        <f>Tableau92[[#This Row],[Demande]]-Tableau92[[#This Row],[Présente dans la malle]]</f>
        <v>-23</v>
      </c>
      <c r="F12" s="5"/>
      <c r="H12" s="8">
        <f>Tableau92[[#This Row],[Quantités acheté rajouté]]*Tableau92[[#This Row],[CU du matos rajouté acheté]]</f>
        <v>0</v>
      </c>
    </row>
    <row r="13" spans="2:8" x14ac:dyDescent="0.25">
      <c r="B13" t="s">
        <v>100</v>
      </c>
      <c r="C13">
        <v>13</v>
      </c>
      <c r="E13" s="3">
        <f>Tableau92[[#This Row],[Demande]]-Tableau92[[#This Row],[Présente dans la malle]]</f>
        <v>-13</v>
      </c>
      <c r="F13" s="5"/>
      <c r="H13" s="8">
        <f>Tableau92[[#This Row],[Quantités acheté rajouté]]*Tableau92[[#This Row],[CU du matos rajouté acheté]]</f>
        <v>0</v>
      </c>
    </row>
    <row r="14" spans="2:8" x14ac:dyDescent="0.25">
      <c r="B14" t="s">
        <v>166</v>
      </c>
      <c r="C14">
        <v>1</v>
      </c>
      <c r="E14" s="3">
        <f>Tableau92[[#This Row],[Demande]]-Tableau92[[#This Row],[Présente dans la malle]]</f>
        <v>-1</v>
      </c>
      <c r="F14" s="5"/>
      <c r="H14" s="8">
        <f>Tableau92[[#This Row],[Quantités acheté rajouté]]*Tableau92[[#This Row],[CU du matos rajouté acheté]]</f>
        <v>0</v>
      </c>
    </row>
    <row r="15" spans="2:8" x14ac:dyDescent="0.25">
      <c r="B15" t="s">
        <v>96</v>
      </c>
      <c r="C15">
        <v>8</v>
      </c>
      <c r="E15" s="3">
        <f>Tableau92[[#This Row],[Demande]]-Tableau92[[#This Row],[Présente dans la malle]]</f>
        <v>-8</v>
      </c>
      <c r="F15" s="7"/>
      <c r="G15" s="4"/>
      <c r="H15" s="8">
        <f>Tableau92[[#This Row],[Quantités acheté rajouté]]*Tableau92[[#This Row],[CU du matos rajouté acheté]]</f>
        <v>0</v>
      </c>
    </row>
    <row r="16" spans="2:8" x14ac:dyDescent="0.25">
      <c r="B16" t="s">
        <v>167</v>
      </c>
      <c r="C16">
        <v>2</v>
      </c>
      <c r="E16" s="11">
        <f>Tableau92[[#This Row],[Demande]]-Tableau92[[#This Row],[Présente dans la malle]]</f>
        <v>-2</v>
      </c>
      <c r="F16" s="5"/>
      <c r="H16" s="8">
        <f>Tableau92[[#This Row],[Quantités acheté rajouté]]*Tableau92[[#This Row],[CU du matos rajouté acheté]]</f>
        <v>0</v>
      </c>
    </row>
    <row r="17" spans="2:8" x14ac:dyDescent="0.25">
      <c r="B17" t="s">
        <v>116</v>
      </c>
      <c r="C17">
        <v>1</v>
      </c>
      <c r="E17" s="11">
        <f>Tableau92[[#This Row],[Demande]]-Tableau92[[#This Row],[Présente dans la malle]]</f>
        <v>-1</v>
      </c>
      <c r="F17" s="5"/>
      <c r="H17" s="8">
        <f>Tableau92[[#This Row],[Quantités acheté rajouté]]*Tableau92[[#This Row],[CU du matos rajouté acheté]]</f>
        <v>0</v>
      </c>
    </row>
    <row r="18" spans="2:8" x14ac:dyDescent="0.25">
      <c r="B18" t="s">
        <v>103</v>
      </c>
      <c r="C18">
        <v>1</v>
      </c>
      <c r="E18" s="11">
        <f>Tableau92[[#This Row],[Demande]]-Tableau92[[#This Row],[Présente dans la malle]]</f>
        <v>-1</v>
      </c>
      <c r="F18" s="5"/>
      <c r="H18" s="8">
        <f>Tableau92[[#This Row],[Quantités acheté rajouté]]*Tableau92[[#This Row],[CU du matos rajouté acheté]]</f>
        <v>0</v>
      </c>
    </row>
    <row r="19" spans="2:8" x14ac:dyDescent="0.25">
      <c r="B19" t="s">
        <v>125</v>
      </c>
      <c r="C19">
        <v>1</v>
      </c>
      <c r="E19" s="11">
        <f>Tableau92[[#This Row],[Demande]]-Tableau92[[#This Row],[Présente dans la malle]]</f>
        <v>-1</v>
      </c>
      <c r="F19" s="5"/>
      <c r="H19" s="8">
        <f>Tableau92[[#This Row],[Quantités acheté rajouté]]*Tableau92[[#This Row],[CU du matos rajouté acheté]]</f>
        <v>0</v>
      </c>
    </row>
    <row r="20" spans="2:8" x14ac:dyDescent="0.25">
      <c r="B20" t="s">
        <v>46</v>
      </c>
      <c r="C20">
        <v>3</v>
      </c>
      <c r="E20" s="11">
        <f>Tableau92[[#This Row],[Demande]]-Tableau92[[#This Row],[Présente dans la malle]]</f>
        <v>-3</v>
      </c>
      <c r="F20" s="5"/>
      <c r="H20" s="8">
        <f>Tableau92[[#This Row],[Quantités acheté rajouté]]*Tableau92[[#This Row],[CU du matos rajouté acheté]]</f>
        <v>0</v>
      </c>
    </row>
    <row r="21" spans="2:8" x14ac:dyDescent="0.25">
      <c r="B21" t="s">
        <v>114</v>
      </c>
      <c r="C21">
        <v>3</v>
      </c>
      <c r="E21" s="11">
        <f>Tableau92[[#This Row],[Demande]]-Tableau92[[#This Row],[Présente dans la malle]]</f>
        <v>-3</v>
      </c>
      <c r="F21" s="5"/>
      <c r="H21" s="8">
        <f>Tableau92[[#This Row],[Quantités acheté rajouté]]*Tableau92[[#This Row],[CU du matos rajouté acheté]]</f>
        <v>0</v>
      </c>
    </row>
    <row r="22" spans="2:8" x14ac:dyDescent="0.25">
      <c r="B22" t="s">
        <v>141</v>
      </c>
      <c r="C22">
        <v>1</v>
      </c>
      <c r="E22" s="11">
        <f>Tableau92[[#This Row],[Demande]]-Tableau92[[#This Row],[Présente dans la malle]]</f>
        <v>-1</v>
      </c>
      <c r="F22" s="5"/>
      <c r="H22" s="8">
        <f>Tableau92[[#This Row],[Quantités acheté rajouté]]*Tableau92[[#This Row],[CU du matos rajouté acheté]]</f>
        <v>0</v>
      </c>
    </row>
    <row r="23" spans="2:8" x14ac:dyDescent="0.25">
      <c r="B23" t="s">
        <v>143</v>
      </c>
      <c r="C23">
        <v>3</v>
      </c>
      <c r="E23" s="11">
        <f>Tableau92[[#This Row],[Demande]]-Tableau92[[#This Row],[Présente dans la malle]]</f>
        <v>-3</v>
      </c>
      <c r="F23" s="5"/>
      <c r="H23" s="8">
        <f>Tableau92[[#This Row],[Quantités acheté rajouté]]*Tableau92[[#This Row],[CU du matos rajouté acheté]]</f>
        <v>0</v>
      </c>
    </row>
    <row r="24" spans="2:8" x14ac:dyDescent="0.25">
      <c r="B24" t="s">
        <v>169</v>
      </c>
      <c r="C24">
        <v>3</v>
      </c>
      <c r="E24" s="11">
        <f>Tableau92[[#This Row],[Demande]]-Tableau92[[#This Row],[Présente dans la malle]]</f>
        <v>-3</v>
      </c>
      <c r="F24" s="5"/>
      <c r="H24" s="8">
        <f>Tableau92[[#This Row],[Quantités acheté rajouté]]*Tableau92[[#This Row],[CU du matos rajouté acheté]]</f>
        <v>0</v>
      </c>
    </row>
    <row r="25" spans="2:8" x14ac:dyDescent="0.25">
      <c r="B25" t="s">
        <v>170</v>
      </c>
      <c r="C25">
        <v>5</v>
      </c>
      <c r="E25" s="11">
        <f>Tableau92[[#This Row],[Demande]]-Tableau92[[#This Row],[Présente dans la malle]]</f>
        <v>-5</v>
      </c>
      <c r="F25" s="5"/>
      <c r="H25" s="8">
        <f>Tableau92[[#This Row],[Quantités acheté rajouté]]*Tableau92[[#This Row],[CU du matos rajouté acheté]]</f>
        <v>0</v>
      </c>
    </row>
    <row r="26" spans="2:8" x14ac:dyDescent="0.25">
      <c r="B26" t="s">
        <v>171</v>
      </c>
      <c r="C26">
        <v>2</v>
      </c>
      <c r="E26" s="11">
        <f>Tableau92[[#This Row],[Demande]]-Tableau92[[#This Row],[Présente dans la malle]]</f>
        <v>-2</v>
      </c>
      <c r="F26" s="5"/>
      <c r="H26" s="8">
        <f>Tableau92[[#This Row],[Quantités acheté rajouté]]*Tableau92[[#This Row],[CU du matos rajouté acheté]]</f>
        <v>0</v>
      </c>
    </row>
    <row r="27" spans="2:8" x14ac:dyDescent="0.25">
      <c r="E27" s="11">
        <f>Tableau92[[#This Row],[Demande]]-Tableau92[[#This Row],[Présente dans la malle]]</f>
        <v>0</v>
      </c>
      <c r="F27" s="5"/>
      <c r="H27" s="8">
        <f>Tableau92[[#This Row],[Quantités acheté rajouté]]*Tableau92[[#This Row],[CU du matos rajouté acheté]]</f>
        <v>0</v>
      </c>
    </row>
    <row r="28" spans="2:8" x14ac:dyDescent="0.25">
      <c r="E28" s="11">
        <f>Tableau92[[#This Row],[Demande]]-Tableau92[[#This Row],[Présente dans la malle]]</f>
        <v>0</v>
      </c>
      <c r="F28" s="5"/>
      <c r="H28" s="8">
        <f>Tableau92[[#This Row],[Quantités acheté rajouté]]*Tableau92[[#This Row],[CU du matos rajouté acheté]]</f>
        <v>0</v>
      </c>
    </row>
    <row r="29" spans="2:8" x14ac:dyDescent="0.25">
      <c r="B29" t="s">
        <v>4</v>
      </c>
      <c r="C29">
        <f>SUM(Tableau92[Présente dans la malle])</f>
        <v>90</v>
      </c>
      <c r="D29">
        <f>SUM(Tableau92[Demande])</f>
        <v>0</v>
      </c>
      <c r="E29">
        <f>SUM(Tableau92[Manque])</f>
        <v>-90</v>
      </c>
      <c r="F29" s="6">
        <f>SUM(Tableau92[Quantités acheté rajouté])</f>
        <v>0</v>
      </c>
      <c r="G29" s="6"/>
      <c r="H29" s="10">
        <f>SUM(Tableau92[CT])</f>
        <v>0</v>
      </c>
    </row>
    <row r="32" spans="2:8" x14ac:dyDescent="0.25">
      <c r="B32" t="s">
        <v>5</v>
      </c>
      <c r="C32" t="s">
        <v>0</v>
      </c>
      <c r="D32" t="s">
        <v>1</v>
      </c>
      <c r="E32" t="s">
        <v>2</v>
      </c>
      <c r="F32" s="2" t="s">
        <v>15</v>
      </c>
      <c r="G32" s="2" t="s">
        <v>11</v>
      </c>
      <c r="H32" s="2" t="s">
        <v>10</v>
      </c>
    </row>
    <row r="33" spans="2:8" x14ac:dyDescent="0.25">
      <c r="C33">
        <v>3</v>
      </c>
      <c r="D33">
        <v>5</v>
      </c>
      <c r="E33" s="3">
        <f>Tableau9296[[#This Row],[Demande]]-Tableau9296[[#This Row],[Présente dans la malle]]</f>
        <v>2</v>
      </c>
      <c r="F33" s="5"/>
      <c r="H33" s="8">
        <f>Tableau9296[[#This Row],[Quantités acheté rajouté]]*Tableau9296[[#This Row],[CU du matos rajouté acheté]]</f>
        <v>0</v>
      </c>
    </row>
    <row r="34" spans="2:8" x14ac:dyDescent="0.25">
      <c r="E34" s="3">
        <f>Tableau9296[[#This Row],[Demande]]-Tableau9296[[#This Row],[Présente dans la malle]]</f>
        <v>0</v>
      </c>
      <c r="F34" s="5"/>
      <c r="H34" s="8">
        <f>Tableau9296[[#This Row],[Quantités acheté rajouté]]*Tableau9296[[#This Row],[CU du matos rajouté acheté]]</f>
        <v>0</v>
      </c>
    </row>
    <row r="35" spans="2:8" x14ac:dyDescent="0.25">
      <c r="E35" s="3">
        <f>Tableau9296[[#This Row],[Demande]]-Tableau9296[[#This Row],[Présente dans la malle]]</f>
        <v>0</v>
      </c>
      <c r="F35" s="5"/>
      <c r="H35" s="8">
        <f>Tableau9296[[#This Row],[Quantités acheté rajouté]]*Tableau9296[[#This Row],[CU du matos rajouté acheté]]</f>
        <v>0</v>
      </c>
    </row>
    <row r="36" spans="2:8" x14ac:dyDescent="0.25">
      <c r="E36" s="3">
        <f>Tableau9296[[#This Row],[Demande]]-Tableau9296[[#This Row],[Présente dans la malle]]</f>
        <v>0</v>
      </c>
      <c r="F36" s="5"/>
      <c r="H36" s="8">
        <f>Tableau9296[[#This Row],[Quantités acheté rajouté]]*Tableau9296[[#This Row],[CU du matos rajouté acheté]]</f>
        <v>0</v>
      </c>
    </row>
    <row r="37" spans="2:8" x14ac:dyDescent="0.25">
      <c r="E37" s="3">
        <f>Tableau9296[[#This Row],[Demande]]-Tableau9296[[#This Row],[Présente dans la malle]]</f>
        <v>0</v>
      </c>
      <c r="F37" s="5"/>
      <c r="H37" s="8">
        <f>Tableau9296[[#This Row],[Quantités acheté rajouté]]*Tableau9296[[#This Row],[CU du matos rajouté acheté]]</f>
        <v>0</v>
      </c>
    </row>
    <row r="38" spans="2:8" x14ac:dyDescent="0.25">
      <c r="E38" s="3">
        <f>Tableau9296[[#This Row],[Demande]]-Tableau9296[[#This Row],[Présente dans la malle]]</f>
        <v>0</v>
      </c>
      <c r="F38" s="5"/>
      <c r="H38" s="8">
        <f>Tableau9296[[#This Row],[Quantités acheté rajouté]]*Tableau9296[[#This Row],[CU du matos rajouté acheté]]</f>
        <v>0</v>
      </c>
    </row>
    <row r="39" spans="2:8" x14ac:dyDescent="0.25">
      <c r="E39" s="3">
        <f>Tableau9296[[#This Row],[Demande]]-Tableau9296[[#This Row],[Présente dans la malle]]</f>
        <v>0</v>
      </c>
      <c r="F39" s="5"/>
      <c r="H39" s="8">
        <f>Tableau9296[[#This Row],[Quantités acheté rajouté]]*Tableau9296[[#This Row],[CU du matos rajouté acheté]]</f>
        <v>0</v>
      </c>
    </row>
    <row r="40" spans="2:8" x14ac:dyDescent="0.25">
      <c r="E40" s="3">
        <f>Tableau9296[[#This Row],[Demande]]-Tableau9296[[#This Row],[Présente dans la malle]]</f>
        <v>0</v>
      </c>
      <c r="F40" s="5"/>
      <c r="H40" s="8">
        <f>Tableau9296[[#This Row],[Quantités acheté rajouté]]*Tableau9296[[#This Row],[CU du matos rajouté acheté]]</f>
        <v>0</v>
      </c>
    </row>
    <row r="41" spans="2:8" x14ac:dyDescent="0.25">
      <c r="E41" s="3">
        <f>Tableau9296[[#This Row],[Demande]]-Tableau9296[[#This Row],[Présente dans la malle]]</f>
        <v>0</v>
      </c>
      <c r="F41" s="5"/>
      <c r="H41" s="8">
        <f>Tableau9296[[#This Row],[Quantités acheté rajouté]]*Tableau9296[[#This Row],[CU du matos rajouté acheté]]</f>
        <v>0</v>
      </c>
    </row>
    <row r="42" spans="2:8" x14ac:dyDescent="0.25">
      <c r="E42" s="3">
        <f>Tableau9296[[#This Row],[Demande]]-Tableau9296[[#This Row],[Présente dans la malle]]</f>
        <v>0</v>
      </c>
      <c r="F42" s="5"/>
      <c r="H42" s="8">
        <f>Tableau9296[[#This Row],[Quantités acheté rajouté]]*Tableau9296[[#This Row],[CU du matos rajouté acheté]]</f>
        <v>0</v>
      </c>
    </row>
    <row r="43" spans="2:8" x14ac:dyDescent="0.25">
      <c r="E43" s="3">
        <f>Tableau9296[[#This Row],[Demande]]-Tableau9296[[#This Row],[Présente dans la malle]]</f>
        <v>0</v>
      </c>
      <c r="F43" s="5"/>
      <c r="H43" s="8">
        <f>Tableau9296[[#This Row],[Quantités acheté rajouté]]*Tableau9296[[#This Row],[CU du matos rajouté acheté]]</f>
        <v>0</v>
      </c>
    </row>
    <row r="44" spans="2:8" x14ac:dyDescent="0.25">
      <c r="E44" s="3">
        <f>Tableau9296[[#This Row],[Demande]]-Tableau9296[[#This Row],[Présente dans la malle]]</f>
        <v>0</v>
      </c>
      <c r="F44" s="5"/>
      <c r="H44" s="8">
        <f>Tableau9296[[#This Row],[Quantités acheté rajouté]]*Tableau9296[[#This Row],[CU du matos rajouté acheté]]</f>
        <v>0</v>
      </c>
    </row>
    <row r="45" spans="2:8" x14ac:dyDescent="0.25">
      <c r="E45" s="3">
        <f>Tableau9296[[#This Row],[Demande]]-Tableau9296[[#This Row],[Présente dans la malle]]</f>
        <v>0</v>
      </c>
      <c r="F45" s="7"/>
      <c r="G45" s="4"/>
      <c r="H45" s="8">
        <f>Tableau9296[[#This Row],[Quantités acheté rajouté]]*Tableau9296[[#This Row],[CU du matos rajouté acheté]]</f>
        <v>0</v>
      </c>
    </row>
    <row r="46" spans="2:8" x14ac:dyDescent="0.25">
      <c r="B46" t="s">
        <v>4</v>
      </c>
      <c r="C46">
        <f>SUM(Tableau9296[Présente dans la malle])</f>
        <v>3</v>
      </c>
      <c r="D46">
        <f>SUM(Tableau9296[Demande])</f>
        <v>5</v>
      </c>
      <c r="E46">
        <f>SUM(Tableau9296[Manque])</f>
        <v>2</v>
      </c>
      <c r="F46" s="6">
        <f>SUM(Tableau9296[Quantités acheté rajouté])</f>
        <v>0</v>
      </c>
      <c r="G46" s="6"/>
      <c r="H46" s="2">
        <f>SUM(Tableau9296[CT])</f>
        <v>0</v>
      </c>
    </row>
    <row r="48" spans="2:8" x14ac:dyDescent="0.25">
      <c r="H48" s="2"/>
    </row>
    <row r="49" spans="2:8" x14ac:dyDescent="0.25">
      <c r="B49" t="s">
        <v>6</v>
      </c>
      <c r="C49" t="s">
        <v>0</v>
      </c>
      <c r="D49" t="s">
        <v>1</v>
      </c>
      <c r="E49" t="s">
        <v>2</v>
      </c>
      <c r="F49" s="2" t="s">
        <v>15</v>
      </c>
      <c r="G49" s="2" t="s">
        <v>11</v>
      </c>
      <c r="H49" s="2" t="s">
        <v>10</v>
      </c>
    </row>
    <row r="50" spans="2:8" x14ac:dyDescent="0.25">
      <c r="E50" s="3">
        <f>Tableau9297[[#This Row],[Demande]]-Tableau9297[[#This Row],[Présente dans la malle]]</f>
        <v>0</v>
      </c>
      <c r="F50" s="5"/>
      <c r="H50" s="8">
        <f>Tableau9297[[#This Row],[Quantités acheté rajouté]]*Tableau9297[[#This Row],[CU du matos rajouté acheté]]</f>
        <v>0</v>
      </c>
    </row>
    <row r="51" spans="2:8" x14ac:dyDescent="0.25">
      <c r="E51" s="3">
        <f>Tableau9297[[#This Row],[Demande]]-Tableau9297[[#This Row],[Présente dans la malle]]</f>
        <v>0</v>
      </c>
      <c r="F51" s="5"/>
      <c r="H51" s="8">
        <f>Tableau9297[[#This Row],[Quantités acheté rajouté]]*Tableau9297[[#This Row],[CU du matos rajouté acheté]]</f>
        <v>0</v>
      </c>
    </row>
    <row r="52" spans="2:8" x14ac:dyDescent="0.25">
      <c r="E52" s="3">
        <f>Tableau9297[[#This Row],[Demande]]-Tableau9297[[#This Row],[Présente dans la malle]]</f>
        <v>0</v>
      </c>
      <c r="F52" s="5"/>
      <c r="H52" s="8">
        <f>Tableau9297[[#This Row],[Quantités acheté rajouté]]*Tableau9297[[#This Row],[CU du matos rajouté acheté]]</f>
        <v>0</v>
      </c>
    </row>
    <row r="53" spans="2:8" x14ac:dyDescent="0.25">
      <c r="E53" s="3">
        <f>Tableau9297[[#This Row],[Demande]]-Tableau9297[[#This Row],[Présente dans la malle]]</f>
        <v>0</v>
      </c>
      <c r="F53" s="5"/>
      <c r="H53" s="8">
        <f>Tableau9297[[#This Row],[Quantités acheté rajouté]]*Tableau9297[[#This Row],[CU du matos rajouté acheté]]</f>
        <v>0</v>
      </c>
    </row>
    <row r="54" spans="2:8" x14ac:dyDescent="0.25">
      <c r="E54" s="3">
        <f>Tableau9297[[#This Row],[Demande]]-Tableau9297[[#This Row],[Présente dans la malle]]</f>
        <v>0</v>
      </c>
      <c r="F54" s="5"/>
      <c r="H54" s="8">
        <f>Tableau9297[[#This Row],[Quantités acheté rajouté]]*Tableau9297[[#This Row],[CU du matos rajouté acheté]]</f>
        <v>0</v>
      </c>
    </row>
    <row r="55" spans="2:8" x14ac:dyDescent="0.25">
      <c r="E55" s="3">
        <f>Tableau9297[[#This Row],[Demande]]-Tableau9297[[#This Row],[Présente dans la malle]]</f>
        <v>0</v>
      </c>
      <c r="F55" s="5"/>
      <c r="H55" s="8">
        <f>Tableau9297[[#This Row],[Quantités acheté rajouté]]*Tableau9297[[#This Row],[CU du matos rajouté acheté]]</f>
        <v>0</v>
      </c>
    </row>
    <row r="56" spans="2:8" x14ac:dyDescent="0.25">
      <c r="E56" s="3">
        <f>Tableau9297[[#This Row],[Demande]]-Tableau9297[[#This Row],[Présente dans la malle]]</f>
        <v>0</v>
      </c>
      <c r="F56" s="5"/>
      <c r="H56" s="8">
        <f>Tableau9297[[#This Row],[Quantités acheté rajouté]]*Tableau9297[[#This Row],[CU du matos rajouté acheté]]</f>
        <v>0</v>
      </c>
    </row>
    <row r="57" spans="2:8" x14ac:dyDescent="0.25">
      <c r="E57" s="3">
        <f>Tableau9297[[#This Row],[Demande]]-Tableau9297[[#This Row],[Présente dans la malle]]</f>
        <v>0</v>
      </c>
      <c r="F57" s="5"/>
      <c r="H57" s="8">
        <f>Tableau9297[[#This Row],[Quantités acheté rajouté]]*Tableau9297[[#This Row],[CU du matos rajouté acheté]]</f>
        <v>0</v>
      </c>
    </row>
    <row r="58" spans="2:8" x14ac:dyDescent="0.25">
      <c r="E58" s="3">
        <f>Tableau9297[[#This Row],[Demande]]-Tableau9297[[#This Row],[Présente dans la malle]]</f>
        <v>0</v>
      </c>
      <c r="F58" s="5"/>
      <c r="H58" s="8">
        <f>Tableau9297[[#This Row],[Quantités acheté rajouté]]*Tableau9297[[#This Row],[CU du matos rajouté acheté]]</f>
        <v>0</v>
      </c>
    </row>
    <row r="59" spans="2:8" x14ac:dyDescent="0.25">
      <c r="E59" s="3">
        <f>Tableau9297[[#This Row],[Demande]]-Tableau9297[[#This Row],[Présente dans la malle]]</f>
        <v>0</v>
      </c>
      <c r="F59" s="5"/>
      <c r="H59" s="8">
        <f>Tableau9297[[#This Row],[Quantités acheté rajouté]]*Tableau9297[[#This Row],[CU du matos rajouté acheté]]</f>
        <v>0</v>
      </c>
    </row>
    <row r="60" spans="2:8" x14ac:dyDescent="0.25">
      <c r="E60" s="3">
        <f>Tableau9297[[#This Row],[Demande]]-Tableau9297[[#This Row],[Présente dans la malle]]</f>
        <v>0</v>
      </c>
      <c r="F60" s="5"/>
      <c r="H60" s="8">
        <f>Tableau9297[[#This Row],[Quantités acheté rajouté]]*Tableau9297[[#This Row],[CU du matos rajouté acheté]]</f>
        <v>0</v>
      </c>
    </row>
    <row r="61" spans="2:8" x14ac:dyDescent="0.25">
      <c r="E61" s="3">
        <f>Tableau9297[[#This Row],[Demande]]-Tableau9297[[#This Row],[Présente dans la malle]]</f>
        <v>0</v>
      </c>
      <c r="F61" s="5"/>
      <c r="H61" s="8">
        <f>Tableau9297[[#This Row],[Quantités acheté rajouté]]*Tableau9297[[#This Row],[CU du matos rajouté acheté]]</f>
        <v>0</v>
      </c>
    </row>
    <row r="62" spans="2:8" x14ac:dyDescent="0.25">
      <c r="E62" s="3">
        <f>Tableau9297[[#This Row],[Demande]]-Tableau9297[[#This Row],[Présente dans la malle]]</f>
        <v>0</v>
      </c>
      <c r="F62" s="7"/>
      <c r="G62" s="4"/>
      <c r="H62" s="8">
        <f>Tableau9297[[#This Row],[Quantités acheté rajouté]]*Tableau9297[[#This Row],[CU du matos rajouté acheté]]</f>
        <v>0</v>
      </c>
    </row>
    <row r="63" spans="2:8" x14ac:dyDescent="0.25">
      <c r="B63" t="s">
        <v>4</v>
      </c>
      <c r="C63">
        <f>SUM(Tableau9297[Présente dans la malle])</f>
        <v>0</v>
      </c>
      <c r="D63">
        <f>SUM(Tableau9297[Demande])</f>
        <v>0</v>
      </c>
      <c r="E63">
        <f>SUM(Tableau9297[Manque])</f>
        <v>0</v>
      </c>
      <c r="F63" s="6">
        <f>SUM(Tableau9297[Quantités acheté rajouté])</f>
        <v>0</v>
      </c>
      <c r="G63" s="6"/>
      <c r="H63" s="2">
        <f>SUM(Tableau9297[CT])</f>
        <v>0</v>
      </c>
    </row>
  </sheetData>
  <conditionalFormatting sqref="E3:E28">
    <cfRule type="cellIs" dxfId="584" priority="10" operator="equal">
      <formula>0</formula>
    </cfRule>
    <cfRule type="cellIs" dxfId="583" priority="11" operator="lessThan">
      <formula>0</formula>
    </cfRule>
    <cfRule type="cellIs" dxfId="582" priority="12" operator="greaterThan">
      <formula>0</formula>
    </cfRule>
  </conditionalFormatting>
  <conditionalFormatting sqref="E29">
    <cfRule type="cellIs" dxfId="581" priority="9" operator="equal">
      <formula>0</formula>
    </cfRule>
  </conditionalFormatting>
  <conditionalFormatting sqref="E63">
    <cfRule type="cellIs" dxfId="580" priority="1" operator="equal">
      <formula>0</formula>
    </cfRule>
  </conditionalFormatting>
  <conditionalFormatting sqref="E33:E45">
    <cfRule type="cellIs" dxfId="579" priority="6" operator="equal">
      <formula>0</formula>
    </cfRule>
    <cfRule type="cellIs" dxfId="578" priority="7" operator="lessThan">
      <formula>0</formula>
    </cfRule>
    <cfRule type="cellIs" dxfId="577" priority="8" operator="greaterThan">
      <formula>0</formula>
    </cfRule>
  </conditionalFormatting>
  <conditionalFormatting sqref="E46">
    <cfRule type="cellIs" dxfId="576" priority="5" operator="equal">
      <formula>0</formula>
    </cfRule>
  </conditionalFormatting>
  <conditionalFormatting sqref="E50:E62">
    <cfRule type="cellIs" dxfId="575" priority="2" operator="equal">
      <formula>0</formula>
    </cfRule>
    <cfRule type="cellIs" dxfId="574" priority="3" operator="lessThan">
      <formula>0</formula>
    </cfRule>
    <cfRule type="cellIs" dxfId="573" priority="4" operator="greaterThan">
      <formula>0</formula>
    </cfRule>
  </conditionalFormatting>
  <dataValidations xWindow="785" yWindow="253" count="7">
    <dataValidation type="list" allowBlank="1" showInputMessage="1" showErrorMessage="1" prompt="Insérez la fourniture désiré" sqref="B50:B61 B33:B44 B4:B5 B11 B14" xr:uid="{356A8E9A-877F-4653-8013-C79F64FE9B33}">
      <formula1>Fournitures</formula1>
    </dataValidation>
    <dataValidation allowBlank="1" showInputMessage="1" showErrorMessage="1" prompt="Si VERT_x000a_La fourniture est bien présente et la quantité est bonne_x000a_Si ROUGE_x000a_+ : Il faut rajouter la quantité de fourniture_x000a_- : Il faut enlevé la quantité de fourniture en trop_x000a_" sqref="E33:E45 E50:E62 E3:E28" xr:uid="{4C9CB413-36E6-48EF-ABEC-BC307567D8CF}"/>
    <dataValidation allowBlank="1" showInputMessage="1" showErrorMessage="1" prompt="Insérez la quantité présente dans les malles" sqref="C11:C14 C3:C9 C41:C44 C33:C39 C58:C61 C50:C56" xr:uid="{CE4968D7-2FD7-4A2A-9D65-CDBC1A3778AF}"/>
    <dataValidation allowBlank="1" showInputMessage="1" showErrorMessage="1" prompt="Insérez la quantité demandé" sqref="D11:D14 D3:D9 D41:D44 D33:D39 D58:D61 D50:D56" xr:uid="{8C0AFD86-54A1-4C33-A982-B1F9A5D73EDA}"/>
    <dataValidation allowBlank="1" showInputMessage="1" showErrorMessage="1" prompt="Quantité acheté rajouté * CU" sqref="H3 H33 H50" xr:uid="{5679EE67-D77A-4599-9B16-1E86AD571D31}"/>
    <dataValidation allowBlank="1" showInputMessage="1" showErrorMessage="1" prompt="CU = Cout unitaire" sqref="F48:G49 F2:G2 F32:G32" xr:uid="{15F12455-27DB-4B2B-9890-0E36361527D4}"/>
    <dataValidation allowBlank="1" showInputMessage="1" showErrorMessage="1" prompt="CT = Cout total" sqref="H48:H49 H2 H32" xr:uid="{AC514531-6712-4E79-9312-3DE02D33DDDA}"/>
  </dataValidations>
  <pageMargins left="0.7" right="0.7" top="0.75" bottom="0.75" header="0.3" footer="0.3"/>
  <pageSetup paperSize="9" orientation="portrait" horizontalDpi="4294967293" verticalDpi="4294967293" r:id="rId1"/>
  <tableParts count="3">
    <tablePart r:id="rId2"/>
    <tablePart r:id="rId3"/>
    <tablePart r:id="rId4"/>
  </tableParts>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E0E2D7E-DCC1-4A10-ADE0-FA5675E61065}">
  <dimension ref="B2:H56"/>
  <sheetViews>
    <sheetView workbookViewId="0">
      <selection activeCell="E1" sqref="E1"/>
    </sheetView>
  </sheetViews>
  <sheetFormatPr baseColWidth="10" defaultRowHeight="15" x14ac:dyDescent="0.25"/>
  <cols>
    <col min="2" max="2" width="24.42578125" customWidth="1"/>
    <col min="3" max="3" width="23.140625" customWidth="1"/>
    <col min="4" max="4" width="11.7109375" customWidth="1"/>
    <col min="6" max="6" width="26.5703125" style="2" customWidth="1"/>
    <col min="7" max="7" width="28.28515625" style="2" customWidth="1"/>
  </cols>
  <sheetData>
    <row r="2" spans="2:8" x14ac:dyDescent="0.25">
      <c r="B2" t="s">
        <v>7</v>
      </c>
      <c r="C2" t="s">
        <v>0</v>
      </c>
      <c r="D2" t="s">
        <v>1</v>
      </c>
      <c r="E2" t="s">
        <v>2</v>
      </c>
      <c r="F2" s="2" t="s">
        <v>15</v>
      </c>
      <c r="G2" s="2" t="s">
        <v>11</v>
      </c>
      <c r="H2" s="2" t="s">
        <v>10</v>
      </c>
    </row>
    <row r="3" spans="2:8" x14ac:dyDescent="0.25">
      <c r="B3" t="s">
        <v>152</v>
      </c>
      <c r="C3">
        <v>1</v>
      </c>
      <c r="E3" s="3">
        <f>Tableau92218224[[#This Row],[Demande]]-Tableau92218224[[#This Row],[Présente dans la malle]]</f>
        <v>-1</v>
      </c>
      <c r="F3" s="5"/>
      <c r="H3" s="8">
        <f>Tableau92218224[[#This Row],[Quantités acheté rajouté]]*Tableau92218224[[#This Row],[CU du matos rajouté acheté]]</f>
        <v>0</v>
      </c>
    </row>
    <row r="4" spans="2:8" x14ac:dyDescent="0.25">
      <c r="B4" t="s">
        <v>137</v>
      </c>
      <c r="C4">
        <v>1</v>
      </c>
      <c r="E4" s="3">
        <f>Tableau92218224[[#This Row],[Demande]]-Tableau92218224[[#This Row],[Présente dans la malle]]</f>
        <v>-1</v>
      </c>
      <c r="F4" s="5"/>
      <c r="H4" s="8">
        <f>Tableau92218224[[#This Row],[Quantités acheté rajouté]]*Tableau92218224[[#This Row],[CU du matos rajouté acheté]]</f>
        <v>0</v>
      </c>
    </row>
    <row r="5" spans="2:8" x14ac:dyDescent="0.25">
      <c r="B5" t="s">
        <v>159</v>
      </c>
      <c r="C5">
        <v>19</v>
      </c>
      <c r="E5" s="3">
        <f>Tableau92218224[[#This Row],[Demande]]-Tableau92218224[[#This Row],[Présente dans la malle]]</f>
        <v>-19</v>
      </c>
      <c r="F5" s="5"/>
      <c r="H5" s="8">
        <f>Tableau92218224[[#This Row],[Quantités acheté rajouté]]*Tableau92218224[[#This Row],[CU du matos rajouté acheté]]</f>
        <v>0</v>
      </c>
    </row>
    <row r="6" spans="2:8" x14ac:dyDescent="0.25">
      <c r="B6" t="s">
        <v>79</v>
      </c>
      <c r="C6">
        <v>1</v>
      </c>
      <c r="E6" s="3">
        <f>Tableau92218224[[#This Row],[Demande]]-Tableau92218224[[#This Row],[Présente dans la malle]]</f>
        <v>-1</v>
      </c>
      <c r="F6" s="5"/>
      <c r="H6" s="8">
        <f>Tableau92218224[[#This Row],[Quantités acheté rajouté]]*Tableau92218224[[#This Row],[CU du matos rajouté acheté]]</f>
        <v>0</v>
      </c>
    </row>
    <row r="7" spans="2:8" x14ac:dyDescent="0.25">
      <c r="B7" t="s">
        <v>118</v>
      </c>
      <c r="C7">
        <v>1</v>
      </c>
      <c r="E7" s="3">
        <f>Tableau92218224[[#This Row],[Demande]]-Tableau92218224[[#This Row],[Présente dans la malle]]</f>
        <v>-1</v>
      </c>
      <c r="F7" s="5"/>
      <c r="H7" s="8">
        <f>Tableau92218224[[#This Row],[Quantités acheté rajouté]]*Tableau92218224[[#This Row],[CU du matos rajouté acheté]]</f>
        <v>0</v>
      </c>
    </row>
    <row r="8" spans="2:8" x14ac:dyDescent="0.25">
      <c r="B8" t="s">
        <v>81</v>
      </c>
      <c r="C8">
        <v>2</v>
      </c>
      <c r="E8" s="3">
        <f>Tableau92218224[[#This Row],[Demande]]-Tableau92218224[[#This Row],[Présente dans la malle]]</f>
        <v>-2</v>
      </c>
      <c r="F8" s="5"/>
      <c r="H8" s="8">
        <f>Tableau92218224[[#This Row],[Quantités acheté rajouté]]*Tableau92218224[[#This Row],[CU du matos rajouté acheté]]</f>
        <v>0</v>
      </c>
    </row>
    <row r="9" spans="2:8" x14ac:dyDescent="0.25">
      <c r="B9" t="s">
        <v>119</v>
      </c>
      <c r="C9">
        <v>2</v>
      </c>
      <c r="E9" s="3">
        <f>Tableau92218224[[#This Row],[Demande]]-Tableau92218224[[#This Row],[Présente dans la malle]]</f>
        <v>-2</v>
      </c>
      <c r="F9" s="5"/>
      <c r="H9" s="8">
        <f>Tableau92218224[[#This Row],[Quantités acheté rajouté]]*Tableau92218224[[#This Row],[CU du matos rajouté acheté]]</f>
        <v>0</v>
      </c>
    </row>
    <row r="10" spans="2:8" x14ac:dyDescent="0.25">
      <c r="B10" t="s">
        <v>73</v>
      </c>
      <c r="C10">
        <v>1</v>
      </c>
      <c r="E10" s="3">
        <f>Tableau92218224[[#This Row],[Demande]]-Tableau92218224[[#This Row],[Présente dans la malle]]</f>
        <v>-1</v>
      </c>
      <c r="F10" s="5"/>
      <c r="H10" s="8">
        <f>Tableau92218224[[#This Row],[Quantités acheté rajouté]]*Tableau92218224[[#This Row],[CU du matos rajouté acheté]]</f>
        <v>0</v>
      </c>
    </row>
    <row r="11" spans="2:8" x14ac:dyDescent="0.25">
      <c r="B11" t="s">
        <v>127</v>
      </c>
      <c r="C11">
        <v>1</v>
      </c>
      <c r="E11" s="3">
        <f>Tableau92218224[[#This Row],[Demande]]-Tableau92218224[[#This Row],[Présente dans la malle]]</f>
        <v>-1</v>
      </c>
      <c r="F11" s="5"/>
      <c r="H11" s="8">
        <f>Tableau92218224[[#This Row],[Quantités acheté rajouté]]*Tableau92218224[[#This Row],[CU du matos rajouté acheté]]</f>
        <v>0</v>
      </c>
    </row>
    <row r="12" spans="2:8" x14ac:dyDescent="0.25">
      <c r="B12" t="s">
        <v>154</v>
      </c>
      <c r="C12">
        <v>2</v>
      </c>
      <c r="E12" s="3">
        <f>Tableau92218224[[#This Row],[Demande]]-Tableau92218224[[#This Row],[Présente dans la malle]]</f>
        <v>-2</v>
      </c>
      <c r="F12" s="5"/>
      <c r="H12" s="8">
        <f>Tableau92218224[[#This Row],[Quantités acheté rajouté]]*Tableau92218224[[#This Row],[CU du matos rajouté acheté]]</f>
        <v>0</v>
      </c>
    </row>
    <row r="13" spans="2:8" x14ac:dyDescent="0.25">
      <c r="B13" t="s">
        <v>155</v>
      </c>
      <c r="C13">
        <v>3</v>
      </c>
      <c r="E13" s="3">
        <f>Tableau92218224[[#This Row],[Demande]]-Tableau92218224[[#This Row],[Présente dans la malle]]</f>
        <v>-3</v>
      </c>
      <c r="F13" s="5"/>
      <c r="H13" s="8">
        <f>Tableau92218224[[#This Row],[Quantités acheté rajouté]]*Tableau92218224[[#This Row],[CU du matos rajouté acheté]]</f>
        <v>0</v>
      </c>
    </row>
    <row r="14" spans="2:8" x14ac:dyDescent="0.25">
      <c r="B14" t="s">
        <v>125</v>
      </c>
      <c r="C14">
        <v>2</v>
      </c>
      <c r="E14" s="3">
        <f>Tableau92218224[[#This Row],[Demande]]-Tableau92218224[[#This Row],[Présente dans la malle]]</f>
        <v>-2</v>
      </c>
      <c r="F14" s="5"/>
      <c r="H14" s="8">
        <f>Tableau92218224[[#This Row],[Quantités acheté rajouté]]*Tableau92218224[[#This Row],[CU du matos rajouté acheté]]</f>
        <v>0</v>
      </c>
    </row>
    <row r="15" spans="2:8" x14ac:dyDescent="0.25">
      <c r="B15" t="s">
        <v>156</v>
      </c>
      <c r="C15">
        <v>3</v>
      </c>
      <c r="E15" s="3">
        <f>Tableau92218224[[#This Row],[Demande]]-Tableau92218224[[#This Row],[Présente dans la malle]]</f>
        <v>-3</v>
      </c>
      <c r="F15" s="7"/>
      <c r="G15" s="4"/>
      <c r="H15" s="8">
        <f>Tableau92218224[[#This Row],[Quantités acheté rajouté]]*Tableau92218224[[#This Row],[CU du matos rajouté acheté]]</f>
        <v>0</v>
      </c>
    </row>
    <row r="16" spans="2:8" x14ac:dyDescent="0.25">
      <c r="B16" t="s">
        <v>157</v>
      </c>
      <c r="C16">
        <v>3</v>
      </c>
      <c r="E16" s="11">
        <f>Tableau92218224[[#This Row],[Demande]]-Tableau92218224[[#This Row],[Présente dans la malle]]</f>
        <v>-3</v>
      </c>
      <c r="F16" s="5"/>
      <c r="H16" s="8">
        <f>Tableau92218224[[#This Row],[Quantités acheté rajouté]]*Tableau92218224[[#This Row],[CU du matos rajouté acheté]]</f>
        <v>0</v>
      </c>
    </row>
    <row r="17" spans="2:8" x14ac:dyDescent="0.25">
      <c r="B17" t="s">
        <v>143</v>
      </c>
      <c r="C17">
        <v>2</v>
      </c>
      <c r="E17" s="11">
        <f>Tableau92218224[[#This Row],[Demande]]-Tableau92218224[[#This Row],[Présente dans la malle]]</f>
        <v>-2</v>
      </c>
      <c r="F17" s="5"/>
      <c r="H17" s="8">
        <f>Tableau92218224[[#This Row],[Quantités acheté rajouté]]*Tableau92218224[[#This Row],[CU du matos rajouté acheté]]</f>
        <v>0</v>
      </c>
    </row>
    <row r="18" spans="2:8" x14ac:dyDescent="0.25">
      <c r="B18" t="s">
        <v>158</v>
      </c>
      <c r="C18">
        <v>1</v>
      </c>
      <c r="E18" s="11">
        <f>Tableau92218224[[#This Row],[Demande]]-Tableau92218224[[#This Row],[Présente dans la malle]]</f>
        <v>-1</v>
      </c>
      <c r="F18" s="5"/>
      <c r="H18" s="8">
        <f>Tableau92218224[[#This Row],[Quantités acheté rajouté]]*Tableau92218224[[#This Row],[CU du matos rajouté acheté]]</f>
        <v>0</v>
      </c>
    </row>
    <row r="19" spans="2:8" x14ac:dyDescent="0.25">
      <c r="B19" t="s">
        <v>160</v>
      </c>
      <c r="C19">
        <v>1</v>
      </c>
      <c r="E19" s="11">
        <f>Tableau92218224[[#This Row],[Demande]]-Tableau92218224[[#This Row],[Présente dans la malle]]</f>
        <v>-1</v>
      </c>
      <c r="F19" s="5"/>
      <c r="H19" s="8">
        <f>Tableau92218224[[#This Row],[Quantités acheté rajouté]]*Tableau92218224[[#This Row],[CU du matos rajouté acheté]]</f>
        <v>0</v>
      </c>
    </row>
    <row r="20" spans="2:8" x14ac:dyDescent="0.25">
      <c r="B20" t="s">
        <v>63</v>
      </c>
      <c r="C20">
        <v>2</v>
      </c>
      <c r="E20" s="11">
        <f>Tableau92218224[[#This Row],[Demande]]-Tableau92218224[[#This Row],[Présente dans la malle]]</f>
        <v>-2</v>
      </c>
      <c r="F20" s="5"/>
      <c r="H20" s="8">
        <f>Tableau92218224[[#This Row],[Quantités acheté rajouté]]*Tableau92218224[[#This Row],[CU du matos rajouté acheté]]</f>
        <v>0</v>
      </c>
    </row>
    <row r="21" spans="2:8" x14ac:dyDescent="0.25">
      <c r="B21" t="s">
        <v>161</v>
      </c>
      <c r="C21">
        <v>1</v>
      </c>
      <c r="E21" s="11">
        <f>Tableau92218224[[#This Row],[Demande]]-Tableau92218224[[#This Row],[Présente dans la malle]]</f>
        <v>-1</v>
      </c>
      <c r="F21" s="5"/>
      <c r="H21" s="8">
        <f>Tableau92218224[[#This Row],[Quantités acheté rajouté]]*Tableau92218224[[#This Row],[CU du matos rajouté acheté]]</f>
        <v>0</v>
      </c>
    </row>
    <row r="22" spans="2:8" x14ac:dyDescent="0.25">
      <c r="B22" t="s">
        <v>4</v>
      </c>
      <c r="C22">
        <f>SUM(Tableau92218224[Présente dans la malle])</f>
        <v>49</v>
      </c>
      <c r="D22">
        <f>SUM(Tableau92218224[Demande])</f>
        <v>0</v>
      </c>
      <c r="E22">
        <f>SUM(Tableau92218224[Manque])</f>
        <v>-49</v>
      </c>
      <c r="F22" s="6">
        <f>SUM(Tableau92218224[Quantités acheté rajouté])</f>
        <v>0</v>
      </c>
      <c r="G22" s="6"/>
      <c r="H22" s="10">
        <f>SUM(Tableau92218224[CT])</f>
        <v>0</v>
      </c>
    </row>
    <row r="25" spans="2:8" x14ac:dyDescent="0.25">
      <c r="B25" t="s">
        <v>5</v>
      </c>
      <c r="C25" t="s">
        <v>0</v>
      </c>
      <c r="D25" t="s">
        <v>1</v>
      </c>
      <c r="E25" t="s">
        <v>2</v>
      </c>
      <c r="F25" s="2" t="s">
        <v>15</v>
      </c>
      <c r="G25" s="2" t="s">
        <v>11</v>
      </c>
      <c r="H25" s="2" t="s">
        <v>10</v>
      </c>
    </row>
    <row r="26" spans="2:8" x14ac:dyDescent="0.25">
      <c r="E26" s="3">
        <f>Tableau9296219225[[#This Row],[Demande]]-Tableau9296219225[[#This Row],[Présente dans la malle]]</f>
        <v>0</v>
      </c>
      <c r="F26" s="5"/>
      <c r="H26" s="8">
        <f>Tableau9296219225[[#This Row],[Quantités acheté rajouté]]*Tableau9296219225[[#This Row],[CU du matos rajouté acheté]]</f>
        <v>0</v>
      </c>
    </row>
    <row r="27" spans="2:8" x14ac:dyDescent="0.25">
      <c r="E27" s="3">
        <f>Tableau9296219225[[#This Row],[Demande]]-Tableau9296219225[[#This Row],[Présente dans la malle]]</f>
        <v>0</v>
      </c>
      <c r="F27" s="5"/>
      <c r="H27" s="8">
        <f>Tableau9296219225[[#This Row],[Quantités acheté rajouté]]*Tableau9296219225[[#This Row],[CU du matos rajouté acheté]]</f>
        <v>0</v>
      </c>
    </row>
    <row r="28" spans="2:8" x14ac:dyDescent="0.25">
      <c r="E28" s="3">
        <f>Tableau9296219225[[#This Row],[Demande]]-Tableau9296219225[[#This Row],[Présente dans la malle]]</f>
        <v>0</v>
      </c>
      <c r="F28" s="5"/>
      <c r="H28" s="8">
        <f>Tableau9296219225[[#This Row],[Quantités acheté rajouté]]*Tableau9296219225[[#This Row],[CU du matos rajouté acheté]]</f>
        <v>0</v>
      </c>
    </row>
    <row r="29" spans="2:8" x14ac:dyDescent="0.25">
      <c r="E29" s="3">
        <f>Tableau9296219225[[#This Row],[Demande]]-Tableau9296219225[[#This Row],[Présente dans la malle]]</f>
        <v>0</v>
      </c>
      <c r="F29" s="5"/>
      <c r="H29" s="8">
        <f>Tableau9296219225[[#This Row],[Quantités acheté rajouté]]*Tableau9296219225[[#This Row],[CU du matos rajouté acheté]]</f>
        <v>0</v>
      </c>
    </row>
    <row r="30" spans="2:8" x14ac:dyDescent="0.25">
      <c r="E30" s="3">
        <f>Tableau9296219225[[#This Row],[Demande]]-Tableau9296219225[[#This Row],[Présente dans la malle]]</f>
        <v>0</v>
      </c>
      <c r="F30" s="5"/>
      <c r="H30" s="8">
        <f>Tableau9296219225[[#This Row],[Quantités acheté rajouté]]*Tableau9296219225[[#This Row],[CU du matos rajouté acheté]]</f>
        <v>0</v>
      </c>
    </row>
    <row r="31" spans="2:8" x14ac:dyDescent="0.25">
      <c r="E31" s="3">
        <f>Tableau9296219225[[#This Row],[Demande]]-Tableau9296219225[[#This Row],[Présente dans la malle]]</f>
        <v>0</v>
      </c>
      <c r="F31" s="5"/>
      <c r="H31" s="8">
        <f>Tableau9296219225[[#This Row],[Quantités acheté rajouté]]*Tableau9296219225[[#This Row],[CU du matos rajouté acheté]]</f>
        <v>0</v>
      </c>
    </row>
    <row r="32" spans="2:8" x14ac:dyDescent="0.25">
      <c r="E32" s="3">
        <f>Tableau9296219225[[#This Row],[Demande]]-Tableau9296219225[[#This Row],[Présente dans la malle]]</f>
        <v>0</v>
      </c>
      <c r="F32" s="5"/>
      <c r="H32" s="8">
        <f>Tableau9296219225[[#This Row],[Quantités acheté rajouté]]*Tableau9296219225[[#This Row],[CU du matos rajouté acheté]]</f>
        <v>0</v>
      </c>
    </row>
    <row r="33" spans="2:8" x14ac:dyDescent="0.25">
      <c r="E33" s="3">
        <f>Tableau9296219225[[#This Row],[Demande]]-Tableau9296219225[[#This Row],[Présente dans la malle]]</f>
        <v>0</v>
      </c>
      <c r="F33" s="5"/>
      <c r="H33" s="8">
        <f>Tableau9296219225[[#This Row],[Quantités acheté rajouté]]*Tableau9296219225[[#This Row],[CU du matos rajouté acheté]]</f>
        <v>0</v>
      </c>
    </row>
    <row r="34" spans="2:8" x14ac:dyDescent="0.25">
      <c r="E34" s="3">
        <f>Tableau9296219225[[#This Row],[Demande]]-Tableau9296219225[[#This Row],[Présente dans la malle]]</f>
        <v>0</v>
      </c>
      <c r="F34" s="5"/>
      <c r="H34" s="8">
        <f>Tableau9296219225[[#This Row],[Quantités acheté rajouté]]*Tableau9296219225[[#This Row],[CU du matos rajouté acheté]]</f>
        <v>0</v>
      </c>
    </row>
    <row r="35" spans="2:8" x14ac:dyDescent="0.25">
      <c r="E35" s="3">
        <f>Tableau9296219225[[#This Row],[Demande]]-Tableau9296219225[[#This Row],[Présente dans la malle]]</f>
        <v>0</v>
      </c>
      <c r="F35" s="5"/>
      <c r="H35" s="8">
        <f>Tableau9296219225[[#This Row],[Quantités acheté rajouté]]*Tableau9296219225[[#This Row],[CU du matos rajouté acheté]]</f>
        <v>0</v>
      </c>
    </row>
    <row r="36" spans="2:8" x14ac:dyDescent="0.25">
      <c r="E36" s="3">
        <f>Tableau9296219225[[#This Row],[Demande]]-Tableau9296219225[[#This Row],[Présente dans la malle]]</f>
        <v>0</v>
      </c>
      <c r="F36" s="5"/>
      <c r="H36" s="8">
        <f>Tableau9296219225[[#This Row],[Quantités acheté rajouté]]*Tableau9296219225[[#This Row],[CU du matos rajouté acheté]]</f>
        <v>0</v>
      </c>
    </row>
    <row r="37" spans="2:8" x14ac:dyDescent="0.25">
      <c r="E37" s="3">
        <f>Tableau9296219225[[#This Row],[Demande]]-Tableau9296219225[[#This Row],[Présente dans la malle]]</f>
        <v>0</v>
      </c>
      <c r="F37" s="5"/>
      <c r="H37" s="8">
        <f>Tableau9296219225[[#This Row],[Quantités acheté rajouté]]*Tableau9296219225[[#This Row],[CU du matos rajouté acheté]]</f>
        <v>0</v>
      </c>
    </row>
    <row r="38" spans="2:8" x14ac:dyDescent="0.25">
      <c r="E38" s="3">
        <f>Tableau9296219225[[#This Row],[Demande]]-Tableau9296219225[[#This Row],[Présente dans la malle]]</f>
        <v>0</v>
      </c>
      <c r="F38" s="7"/>
      <c r="G38" s="4"/>
      <c r="H38" s="8">
        <f>Tableau9296219225[[#This Row],[Quantités acheté rajouté]]*Tableau9296219225[[#This Row],[CU du matos rajouté acheté]]</f>
        <v>0</v>
      </c>
    </row>
    <row r="39" spans="2:8" x14ac:dyDescent="0.25">
      <c r="B39" t="s">
        <v>4</v>
      </c>
      <c r="C39">
        <f>SUM(Tableau9296219225[Présente dans la malle])</f>
        <v>0</v>
      </c>
      <c r="D39">
        <f>SUM(Tableau9296219225[Demande])</f>
        <v>0</v>
      </c>
      <c r="E39">
        <f>SUM(Tableau9296219225[Manque])</f>
        <v>0</v>
      </c>
      <c r="F39" s="6">
        <f>SUM(Tableau9296219225[Quantités acheté rajouté])</f>
        <v>0</v>
      </c>
      <c r="G39" s="6"/>
      <c r="H39" s="2">
        <f>SUM(Tableau9296219225[CT])</f>
        <v>0</v>
      </c>
    </row>
    <row r="41" spans="2:8" x14ac:dyDescent="0.25">
      <c r="H41" s="2"/>
    </row>
    <row r="42" spans="2:8" x14ac:dyDescent="0.25">
      <c r="B42" t="s">
        <v>6</v>
      </c>
      <c r="C42" t="s">
        <v>0</v>
      </c>
      <c r="D42" t="s">
        <v>1</v>
      </c>
      <c r="E42" t="s">
        <v>2</v>
      </c>
      <c r="F42" s="2" t="s">
        <v>15</v>
      </c>
      <c r="G42" s="2" t="s">
        <v>11</v>
      </c>
      <c r="H42" s="2" t="s">
        <v>10</v>
      </c>
    </row>
    <row r="43" spans="2:8" x14ac:dyDescent="0.25">
      <c r="E43" s="3">
        <f>Tableau9297220226[[#This Row],[Demande]]-Tableau9297220226[[#This Row],[Présente dans la malle]]</f>
        <v>0</v>
      </c>
      <c r="F43" s="5"/>
      <c r="H43" s="8">
        <f>Tableau9297220226[[#This Row],[Quantités acheté rajouté]]*Tableau9297220226[[#This Row],[CU du matos rajouté acheté]]</f>
        <v>0</v>
      </c>
    </row>
    <row r="44" spans="2:8" x14ac:dyDescent="0.25">
      <c r="E44" s="3">
        <f>Tableau9297220226[[#This Row],[Demande]]-Tableau9297220226[[#This Row],[Présente dans la malle]]</f>
        <v>0</v>
      </c>
      <c r="F44" s="5"/>
      <c r="H44" s="8">
        <f>Tableau9297220226[[#This Row],[Quantités acheté rajouté]]*Tableau9297220226[[#This Row],[CU du matos rajouté acheté]]</f>
        <v>0</v>
      </c>
    </row>
    <row r="45" spans="2:8" x14ac:dyDescent="0.25">
      <c r="E45" s="3">
        <f>Tableau9297220226[[#This Row],[Demande]]-Tableau9297220226[[#This Row],[Présente dans la malle]]</f>
        <v>0</v>
      </c>
      <c r="F45" s="5"/>
      <c r="H45" s="8">
        <f>Tableau9297220226[[#This Row],[Quantités acheté rajouté]]*Tableau9297220226[[#This Row],[CU du matos rajouté acheté]]</f>
        <v>0</v>
      </c>
    </row>
    <row r="46" spans="2:8" x14ac:dyDescent="0.25">
      <c r="E46" s="3">
        <f>Tableau9297220226[[#This Row],[Demande]]-Tableau9297220226[[#This Row],[Présente dans la malle]]</f>
        <v>0</v>
      </c>
      <c r="F46" s="5"/>
      <c r="H46" s="8">
        <f>Tableau9297220226[[#This Row],[Quantités acheté rajouté]]*Tableau9297220226[[#This Row],[CU du matos rajouté acheté]]</f>
        <v>0</v>
      </c>
    </row>
    <row r="47" spans="2:8" x14ac:dyDescent="0.25">
      <c r="E47" s="3">
        <f>Tableau9297220226[[#This Row],[Demande]]-Tableau9297220226[[#This Row],[Présente dans la malle]]</f>
        <v>0</v>
      </c>
      <c r="F47" s="5"/>
      <c r="H47" s="8">
        <f>Tableau9297220226[[#This Row],[Quantités acheté rajouté]]*Tableau9297220226[[#This Row],[CU du matos rajouté acheté]]</f>
        <v>0</v>
      </c>
    </row>
    <row r="48" spans="2:8" x14ac:dyDescent="0.25">
      <c r="E48" s="3">
        <f>Tableau9297220226[[#This Row],[Demande]]-Tableau9297220226[[#This Row],[Présente dans la malle]]</f>
        <v>0</v>
      </c>
      <c r="F48" s="5"/>
      <c r="H48" s="8">
        <f>Tableau9297220226[[#This Row],[Quantités acheté rajouté]]*Tableau9297220226[[#This Row],[CU du matos rajouté acheté]]</f>
        <v>0</v>
      </c>
    </row>
    <row r="49" spans="2:8" x14ac:dyDescent="0.25">
      <c r="E49" s="3">
        <f>Tableau9297220226[[#This Row],[Demande]]-Tableau9297220226[[#This Row],[Présente dans la malle]]</f>
        <v>0</v>
      </c>
      <c r="F49" s="5"/>
      <c r="H49" s="8">
        <f>Tableau9297220226[[#This Row],[Quantités acheté rajouté]]*Tableau9297220226[[#This Row],[CU du matos rajouté acheté]]</f>
        <v>0</v>
      </c>
    </row>
    <row r="50" spans="2:8" x14ac:dyDescent="0.25">
      <c r="E50" s="3">
        <f>Tableau9297220226[[#This Row],[Demande]]-Tableau9297220226[[#This Row],[Présente dans la malle]]</f>
        <v>0</v>
      </c>
      <c r="F50" s="5"/>
      <c r="H50" s="8">
        <f>Tableau9297220226[[#This Row],[Quantités acheté rajouté]]*Tableau9297220226[[#This Row],[CU du matos rajouté acheté]]</f>
        <v>0</v>
      </c>
    </row>
    <row r="51" spans="2:8" x14ac:dyDescent="0.25">
      <c r="E51" s="3">
        <f>Tableau9297220226[[#This Row],[Demande]]-Tableau9297220226[[#This Row],[Présente dans la malle]]</f>
        <v>0</v>
      </c>
      <c r="F51" s="5"/>
      <c r="H51" s="8">
        <f>Tableau9297220226[[#This Row],[Quantités acheté rajouté]]*Tableau9297220226[[#This Row],[CU du matos rajouté acheté]]</f>
        <v>0</v>
      </c>
    </row>
    <row r="52" spans="2:8" x14ac:dyDescent="0.25">
      <c r="E52" s="3">
        <f>Tableau9297220226[[#This Row],[Demande]]-Tableau9297220226[[#This Row],[Présente dans la malle]]</f>
        <v>0</v>
      </c>
      <c r="F52" s="5"/>
      <c r="H52" s="8">
        <f>Tableau9297220226[[#This Row],[Quantités acheté rajouté]]*Tableau9297220226[[#This Row],[CU du matos rajouté acheté]]</f>
        <v>0</v>
      </c>
    </row>
    <row r="53" spans="2:8" x14ac:dyDescent="0.25">
      <c r="E53" s="3">
        <f>Tableau9297220226[[#This Row],[Demande]]-Tableau9297220226[[#This Row],[Présente dans la malle]]</f>
        <v>0</v>
      </c>
      <c r="F53" s="5"/>
      <c r="H53" s="8">
        <f>Tableau9297220226[[#This Row],[Quantités acheté rajouté]]*Tableau9297220226[[#This Row],[CU du matos rajouté acheté]]</f>
        <v>0</v>
      </c>
    </row>
    <row r="54" spans="2:8" x14ac:dyDescent="0.25">
      <c r="E54" s="3">
        <f>Tableau9297220226[[#This Row],[Demande]]-Tableau9297220226[[#This Row],[Présente dans la malle]]</f>
        <v>0</v>
      </c>
      <c r="F54" s="5"/>
      <c r="H54" s="8">
        <f>Tableau9297220226[[#This Row],[Quantités acheté rajouté]]*Tableau9297220226[[#This Row],[CU du matos rajouté acheté]]</f>
        <v>0</v>
      </c>
    </row>
    <row r="55" spans="2:8" x14ac:dyDescent="0.25">
      <c r="E55" s="3">
        <f>Tableau9297220226[[#This Row],[Demande]]-Tableau9297220226[[#This Row],[Présente dans la malle]]</f>
        <v>0</v>
      </c>
      <c r="F55" s="7"/>
      <c r="G55" s="4"/>
      <c r="H55" s="8">
        <f>Tableau9297220226[[#This Row],[Quantités acheté rajouté]]*Tableau9297220226[[#This Row],[CU du matos rajouté acheté]]</f>
        <v>0</v>
      </c>
    </row>
    <row r="56" spans="2:8" x14ac:dyDescent="0.25">
      <c r="B56" t="s">
        <v>4</v>
      </c>
      <c r="C56">
        <f>SUM(Tableau9297220226[Présente dans la malle])</f>
        <v>0</v>
      </c>
      <c r="D56">
        <f>SUM(Tableau9297220226[Demande])</f>
        <v>0</v>
      </c>
      <c r="E56">
        <f>SUM(Tableau9297220226[Manque])</f>
        <v>0</v>
      </c>
      <c r="F56" s="6">
        <f>SUM(Tableau9297220226[Quantités acheté rajouté])</f>
        <v>0</v>
      </c>
      <c r="G56" s="6"/>
      <c r="H56" s="2">
        <f>SUM(Tableau9297220226[CT])</f>
        <v>0</v>
      </c>
    </row>
  </sheetData>
  <conditionalFormatting sqref="E3:E21">
    <cfRule type="cellIs" dxfId="545" priority="10" operator="equal">
      <formula>0</formula>
    </cfRule>
    <cfRule type="cellIs" dxfId="544" priority="11" operator="lessThan">
      <formula>0</formula>
    </cfRule>
    <cfRule type="cellIs" dxfId="543" priority="12" operator="greaterThan">
      <formula>0</formula>
    </cfRule>
  </conditionalFormatting>
  <conditionalFormatting sqref="E22">
    <cfRule type="cellIs" dxfId="542" priority="9" operator="equal">
      <formula>0</formula>
    </cfRule>
  </conditionalFormatting>
  <conditionalFormatting sqref="E56">
    <cfRule type="cellIs" dxfId="541" priority="1" operator="equal">
      <formula>0</formula>
    </cfRule>
  </conditionalFormatting>
  <conditionalFormatting sqref="E26:E38">
    <cfRule type="cellIs" dxfId="540" priority="6" operator="equal">
      <formula>0</formula>
    </cfRule>
    <cfRule type="cellIs" dxfId="539" priority="7" operator="lessThan">
      <formula>0</formula>
    </cfRule>
    <cfRule type="cellIs" dxfId="538" priority="8" operator="greaterThan">
      <formula>0</formula>
    </cfRule>
  </conditionalFormatting>
  <conditionalFormatting sqref="E39">
    <cfRule type="cellIs" dxfId="537" priority="5" operator="equal">
      <formula>0</formula>
    </cfRule>
  </conditionalFormatting>
  <conditionalFormatting sqref="E43:E55">
    <cfRule type="cellIs" dxfId="536" priority="2" operator="equal">
      <formula>0</formula>
    </cfRule>
    <cfRule type="cellIs" dxfId="535" priority="3" operator="lessThan">
      <formula>0</formula>
    </cfRule>
    <cfRule type="cellIs" dxfId="534" priority="4" operator="greaterThan">
      <formula>0</formula>
    </cfRule>
  </conditionalFormatting>
  <dataValidations count="7">
    <dataValidation type="list" allowBlank="1" showInputMessage="1" showErrorMessage="1" prompt="Insérez la fourniture désiré" sqref="B43:B54 B26:B37 B3 B5:B9 B13" xr:uid="{2256BE65-E53C-4CD0-A028-885E78688FB4}">
      <formula1>Fournitures</formula1>
    </dataValidation>
    <dataValidation allowBlank="1" showInputMessage="1" showErrorMessage="1" prompt="Si VERT_x000a_La fourniture est bien présente et la quantité est bonne_x000a_Si ROUGE_x000a_+ : Il faut rajouter la quantité de fourniture_x000a_- : Il faut enlevé la quantité de fourniture en trop_x000a_" sqref="E26:E38 E3:E21 E43:E55" xr:uid="{A96D1D18-7E51-4C97-8AAA-9FC96B139903}"/>
    <dataValidation allowBlank="1" showInputMessage="1" showErrorMessage="1" prompt="Insérez la quantité présente dans les malles" sqref="C11:C14 C3:C9 C34:C37 C26:C32 C51:C54 C43:C49" xr:uid="{EFD4AC51-CB27-4289-85E4-A88111269A71}"/>
    <dataValidation allowBlank="1" showInputMessage="1" showErrorMessage="1" prompt="Insérez la quantité demandé" sqref="D11:D14 D3:D9 D34:D37 D26:D32 D51:D54 D43:D49" xr:uid="{5C7E7F7C-98C8-49A0-8B5C-9E37E611BAC7}"/>
    <dataValidation allowBlank="1" showInputMessage="1" showErrorMessage="1" prompt="Quantité acheté rajouté * CU" sqref="H3 H26 H43" xr:uid="{D9C9073E-D7E9-407D-A25D-0D47104B9DA6}"/>
    <dataValidation allowBlank="1" showInputMessage="1" showErrorMessage="1" prompt="CU = Cout unitaire" sqref="F41:G42 F2:G2 F25:G25" xr:uid="{540A282C-0EC5-4855-BFF9-DDF6CDBCD345}"/>
    <dataValidation allowBlank="1" showInputMessage="1" showErrorMessage="1" prompt="CT = Cout total" sqref="H41:H42 H2 H25" xr:uid="{4A878113-29FD-4047-AEF1-F3D9FC79F753}"/>
  </dataValidations>
  <pageMargins left="0.7" right="0.7" top="0.75" bottom="0.75" header="0.3" footer="0.3"/>
  <tableParts count="3">
    <tablePart r:id="rId1"/>
    <tablePart r:id="rId2"/>
    <tablePart r:id="rId3"/>
  </tableParts>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47F111F-0B6D-4E37-846E-E548824FFC0D}">
  <dimension ref="B2:H54"/>
  <sheetViews>
    <sheetView workbookViewId="0">
      <selection activeCell="B19" sqref="B19"/>
    </sheetView>
  </sheetViews>
  <sheetFormatPr baseColWidth="10" defaultRowHeight="15" x14ac:dyDescent="0.25"/>
  <cols>
    <col min="2" max="2" width="24.42578125" customWidth="1"/>
    <col min="3" max="3" width="23.140625" customWidth="1"/>
    <col min="4" max="4" width="11.7109375" customWidth="1"/>
    <col min="6" max="6" width="26.5703125" style="2" customWidth="1"/>
    <col min="7" max="7" width="28.28515625" style="2" customWidth="1"/>
  </cols>
  <sheetData>
    <row r="2" spans="2:8" x14ac:dyDescent="0.25">
      <c r="B2" t="s">
        <v>7</v>
      </c>
      <c r="C2" t="s">
        <v>0</v>
      </c>
      <c r="D2" t="s">
        <v>1</v>
      </c>
      <c r="E2" t="s">
        <v>2</v>
      </c>
      <c r="F2" s="2" t="s">
        <v>15</v>
      </c>
      <c r="G2" s="2" t="s">
        <v>11</v>
      </c>
      <c r="H2" s="2" t="s">
        <v>10</v>
      </c>
    </row>
    <row r="3" spans="2:8" x14ac:dyDescent="0.25">
      <c r="B3" t="s">
        <v>42</v>
      </c>
      <c r="C3">
        <v>1</v>
      </c>
      <c r="E3" s="3">
        <f>Tableau92200[[#This Row],[Demande]]-Tableau92200[[#This Row],[Présente dans la malle]]</f>
        <v>-1</v>
      </c>
      <c r="F3" s="5"/>
      <c r="H3" s="8">
        <f>Tableau92200[[#This Row],[Quantités acheté rajouté]]*Tableau92200[[#This Row],[CU du matos rajouté acheté]]</f>
        <v>0</v>
      </c>
    </row>
    <row r="4" spans="2:8" x14ac:dyDescent="0.25">
      <c r="B4" t="s">
        <v>44</v>
      </c>
      <c r="C4">
        <v>2</v>
      </c>
      <c r="E4" s="3">
        <f>Tableau92200[[#This Row],[Demande]]-Tableau92200[[#This Row],[Présente dans la malle]]</f>
        <v>-2</v>
      </c>
      <c r="F4" s="5"/>
      <c r="H4" s="8">
        <f>Tableau92200[[#This Row],[Quantités acheté rajouté]]*Tableau92200[[#This Row],[CU du matos rajouté acheté]]</f>
        <v>0</v>
      </c>
    </row>
    <row r="5" spans="2:8" x14ac:dyDescent="0.25">
      <c r="B5" t="s">
        <v>139</v>
      </c>
      <c r="C5">
        <v>1</v>
      </c>
      <c r="E5" s="3">
        <f>Tableau92200[[#This Row],[Demande]]-Tableau92200[[#This Row],[Présente dans la malle]]</f>
        <v>-1</v>
      </c>
      <c r="F5" s="5"/>
      <c r="H5" s="8">
        <f>Tableau92200[[#This Row],[Quantités acheté rajouté]]*Tableau92200[[#This Row],[CU du matos rajouté acheté]]</f>
        <v>0</v>
      </c>
    </row>
    <row r="6" spans="2:8" x14ac:dyDescent="0.25">
      <c r="B6" t="s">
        <v>119</v>
      </c>
      <c r="C6">
        <v>1</v>
      </c>
      <c r="E6" s="3">
        <f>Tableau92200[[#This Row],[Demande]]-Tableau92200[[#This Row],[Présente dans la malle]]</f>
        <v>-1</v>
      </c>
      <c r="F6" s="5"/>
      <c r="H6" s="8">
        <f>Tableau92200[[#This Row],[Quantités acheté rajouté]]*Tableau92200[[#This Row],[CU du matos rajouté acheté]]</f>
        <v>0</v>
      </c>
    </row>
    <row r="7" spans="2:8" x14ac:dyDescent="0.25">
      <c r="B7" t="s">
        <v>33</v>
      </c>
      <c r="C7">
        <v>1</v>
      </c>
      <c r="E7" s="3">
        <f>Tableau92200[[#This Row],[Demande]]-Tableau92200[[#This Row],[Présente dans la malle]]</f>
        <v>-1</v>
      </c>
      <c r="F7" s="5"/>
      <c r="H7" s="8">
        <f>Tableau92200[[#This Row],[Quantités acheté rajouté]]*Tableau92200[[#This Row],[CU du matos rajouté acheté]]</f>
        <v>0</v>
      </c>
    </row>
    <row r="8" spans="2:8" x14ac:dyDescent="0.25">
      <c r="B8" t="s">
        <v>22</v>
      </c>
      <c r="C8">
        <v>2</v>
      </c>
      <c r="E8" s="3">
        <f>Tableau92200[[#This Row],[Demande]]-Tableau92200[[#This Row],[Présente dans la malle]]</f>
        <v>-2</v>
      </c>
      <c r="F8" s="5"/>
      <c r="H8" s="8">
        <f>Tableau92200[[#This Row],[Quantités acheté rajouté]]*Tableau92200[[#This Row],[CU du matos rajouté acheté]]</f>
        <v>0</v>
      </c>
    </row>
    <row r="9" spans="2:8" x14ac:dyDescent="0.25">
      <c r="B9" t="s">
        <v>23</v>
      </c>
      <c r="C9">
        <v>1</v>
      </c>
      <c r="E9" s="3">
        <f>Tableau92200[[#This Row],[Demande]]-Tableau92200[[#This Row],[Présente dans la malle]]</f>
        <v>-1</v>
      </c>
      <c r="F9" s="5"/>
      <c r="H9" s="8">
        <f>Tableau92200[[#This Row],[Quantités acheté rajouté]]*Tableau92200[[#This Row],[CU du matos rajouté acheté]]</f>
        <v>0</v>
      </c>
    </row>
    <row r="10" spans="2:8" x14ac:dyDescent="0.25">
      <c r="B10" t="s">
        <v>63</v>
      </c>
      <c r="C10">
        <v>8</v>
      </c>
      <c r="E10" s="3">
        <f>Tableau92200[[#This Row],[Demande]]-Tableau92200[[#This Row],[Présente dans la malle]]</f>
        <v>-8</v>
      </c>
      <c r="F10" s="5"/>
      <c r="H10" s="8">
        <f>Tableau92200[[#This Row],[Quantités acheté rajouté]]*Tableau92200[[#This Row],[CU du matos rajouté acheté]]</f>
        <v>0</v>
      </c>
    </row>
    <row r="11" spans="2:8" x14ac:dyDescent="0.25">
      <c r="B11" t="s">
        <v>99</v>
      </c>
      <c r="C11">
        <v>1</v>
      </c>
      <c r="E11" s="3">
        <f>Tableau92200[[#This Row],[Demande]]-Tableau92200[[#This Row],[Présente dans la malle]]</f>
        <v>-1</v>
      </c>
      <c r="F11" s="5"/>
      <c r="H11" s="8">
        <f>Tableau92200[[#This Row],[Quantités acheté rajouté]]*Tableau92200[[#This Row],[CU du matos rajouté acheté]]</f>
        <v>0</v>
      </c>
    </row>
    <row r="12" spans="2:8" x14ac:dyDescent="0.25">
      <c r="B12" t="s">
        <v>46</v>
      </c>
      <c r="C12">
        <v>1</v>
      </c>
      <c r="E12" s="3">
        <f>Tableau92200[[#This Row],[Demande]]-Tableau92200[[#This Row],[Présente dans la malle]]</f>
        <v>-1</v>
      </c>
      <c r="F12" s="5"/>
      <c r="H12" s="8">
        <f>Tableau92200[[#This Row],[Quantités acheté rajouté]]*Tableau92200[[#This Row],[CU du matos rajouté acheté]]</f>
        <v>0</v>
      </c>
    </row>
    <row r="13" spans="2:8" x14ac:dyDescent="0.25">
      <c r="B13" t="s">
        <v>36</v>
      </c>
      <c r="C13">
        <v>5</v>
      </c>
      <c r="E13" s="3">
        <f>Tableau92200[[#This Row],[Demande]]-Tableau92200[[#This Row],[Présente dans la malle]]</f>
        <v>-5</v>
      </c>
      <c r="F13" s="5"/>
      <c r="H13" s="8">
        <f>Tableau92200[[#This Row],[Quantités acheté rajouté]]*Tableau92200[[#This Row],[CU du matos rajouté acheté]]</f>
        <v>0</v>
      </c>
    </row>
    <row r="14" spans="2:8" x14ac:dyDescent="0.25">
      <c r="B14" t="s">
        <v>58</v>
      </c>
      <c r="C14">
        <v>1</v>
      </c>
      <c r="E14" s="3">
        <f>Tableau92200[[#This Row],[Demande]]-Tableau92200[[#This Row],[Présente dans la malle]]</f>
        <v>-1</v>
      </c>
      <c r="F14" s="5"/>
      <c r="H14" s="8">
        <f>Tableau92200[[#This Row],[Quantités acheté rajouté]]*Tableau92200[[#This Row],[CU du matos rajouté acheté]]</f>
        <v>0</v>
      </c>
    </row>
    <row r="15" spans="2:8" x14ac:dyDescent="0.25">
      <c r="B15" t="s">
        <v>30</v>
      </c>
      <c r="C15">
        <v>5</v>
      </c>
      <c r="E15" s="3">
        <f>Tableau92200[[#This Row],[Demande]]-Tableau92200[[#This Row],[Présente dans la malle]]</f>
        <v>-5</v>
      </c>
      <c r="F15" s="7"/>
      <c r="G15" s="4"/>
      <c r="H15" s="8">
        <f>Tableau92200[[#This Row],[Quantités acheté rajouté]]*Tableau92200[[#This Row],[CU du matos rajouté acheté]]</f>
        <v>0</v>
      </c>
    </row>
    <row r="16" spans="2:8" x14ac:dyDescent="0.25">
      <c r="B16" t="s">
        <v>151</v>
      </c>
      <c r="C16">
        <v>1</v>
      </c>
      <c r="E16" s="11">
        <f>Tableau92200[[#This Row],[Demande]]-Tableau92200[[#This Row],[Présente dans la malle]]</f>
        <v>-1</v>
      </c>
      <c r="F16" s="5"/>
      <c r="H16" s="8">
        <f>Tableau92200[[#This Row],[Quantités acheté rajouté]]*Tableau92200[[#This Row],[CU du matos rajouté acheté]]</f>
        <v>0</v>
      </c>
    </row>
    <row r="17" spans="2:8" x14ac:dyDescent="0.25">
      <c r="B17" t="s">
        <v>47</v>
      </c>
      <c r="C17">
        <v>1</v>
      </c>
      <c r="E17" s="11">
        <f>Tableau92200[[#This Row],[Demande]]-Tableau92200[[#This Row],[Présente dans la malle]]</f>
        <v>-1</v>
      </c>
      <c r="F17" s="5"/>
      <c r="H17" s="8">
        <f>Tableau92200[[#This Row],[Quantités acheté rajouté]]*Tableau92200[[#This Row],[CU du matos rajouté acheté]]</f>
        <v>0</v>
      </c>
    </row>
    <row r="18" spans="2:8" x14ac:dyDescent="0.25">
      <c r="B18" t="s">
        <v>28</v>
      </c>
      <c r="C18">
        <v>1</v>
      </c>
      <c r="E18" s="11">
        <f>Tableau92200[[#This Row],[Demande]]-Tableau92200[[#This Row],[Présente dans la malle]]</f>
        <v>-1</v>
      </c>
      <c r="F18" s="5"/>
      <c r="H18" s="8">
        <f>Tableau92200[[#This Row],[Quantités acheté rajouté]]*Tableau92200[[#This Row],[CU du matos rajouté acheté]]</f>
        <v>0</v>
      </c>
    </row>
    <row r="19" spans="2:8" x14ac:dyDescent="0.25">
      <c r="B19" t="s">
        <v>144</v>
      </c>
      <c r="C19">
        <v>1</v>
      </c>
      <c r="E19" s="11">
        <f>Tableau92200[[#This Row],[Demande]]-Tableau92200[[#This Row],[Présente dans la malle]]</f>
        <v>-1</v>
      </c>
      <c r="F19" s="5"/>
      <c r="H19" s="8">
        <f>Tableau92200[[#This Row],[Quantités acheté rajouté]]*Tableau92200[[#This Row],[CU du matos rajouté acheté]]</f>
        <v>0</v>
      </c>
    </row>
    <row r="20" spans="2:8" x14ac:dyDescent="0.25">
      <c r="B20" t="s">
        <v>4</v>
      </c>
      <c r="C20">
        <f>SUM(Tableau92200[Présente dans la malle])</f>
        <v>34</v>
      </c>
      <c r="D20">
        <f>SUM(Tableau92200[Demande])</f>
        <v>0</v>
      </c>
      <c r="E20">
        <f>SUM(Tableau92200[Manque])</f>
        <v>-34</v>
      </c>
      <c r="F20" s="6">
        <f>SUM(Tableau92200[Quantités acheté rajouté])</f>
        <v>0</v>
      </c>
      <c r="G20" s="6"/>
      <c r="H20" s="10">
        <f>SUM(Tableau92200[CT])</f>
        <v>0</v>
      </c>
    </row>
    <row r="23" spans="2:8" x14ac:dyDescent="0.25">
      <c r="B23" t="s">
        <v>5</v>
      </c>
      <c r="C23" t="s">
        <v>0</v>
      </c>
      <c r="D23" t="s">
        <v>1</v>
      </c>
      <c r="E23" t="s">
        <v>2</v>
      </c>
      <c r="F23" s="2" t="s">
        <v>15</v>
      </c>
      <c r="G23" s="2" t="s">
        <v>11</v>
      </c>
      <c r="H23" s="2" t="s">
        <v>10</v>
      </c>
    </row>
    <row r="24" spans="2:8" x14ac:dyDescent="0.25">
      <c r="E24" s="3">
        <f>Tableau9296201[[#This Row],[Demande]]-Tableau9296201[[#This Row],[Présente dans la malle]]</f>
        <v>0</v>
      </c>
      <c r="F24" s="5"/>
      <c r="H24" s="8">
        <f>Tableau9296201[[#This Row],[Quantités acheté rajouté]]*Tableau9296201[[#This Row],[CU du matos rajouté acheté]]</f>
        <v>0</v>
      </c>
    </row>
    <row r="25" spans="2:8" x14ac:dyDescent="0.25">
      <c r="E25" s="3">
        <f>Tableau9296201[[#This Row],[Demande]]-Tableau9296201[[#This Row],[Présente dans la malle]]</f>
        <v>0</v>
      </c>
      <c r="F25" s="5"/>
      <c r="H25" s="8">
        <f>Tableau9296201[[#This Row],[Quantités acheté rajouté]]*Tableau9296201[[#This Row],[CU du matos rajouté acheté]]</f>
        <v>0</v>
      </c>
    </row>
    <row r="26" spans="2:8" x14ac:dyDescent="0.25">
      <c r="E26" s="3">
        <f>Tableau9296201[[#This Row],[Demande]]-Tableau9296201[[#This Row],[Présente dans la malle]]</f>
        <v>0</v>
      </c>
      <c r="F26" s="5"/>
      <c r="H26" s="8">
        <f>Tableau9296201[[#This Row],[Quantités acheté rajouté]]*Tableau9296201[[#This Row],[CU du matos rajouté acheté]]</f>
        <v>0</v>
      </c>
    </row>
    <row r="27" spans="2:8" x14ac:dyDescent="0.25">
      <c r="E27" s="3">
        <f>Tableau9296201[[#This Row],[Demande]]-Tableau9296201[[#This Row],[Présente dans la malle]]</f>
        <v>0</v>
      </c>
      <c r="F27" s="5"/>
      <c r="H27" s="8">
        <f>Tableau9296201[[#This Row],[Quantités acheté rajouté]]*Tableau9296201[[#This Row],[CU du matos rajouté acheté]]</f>
        <v>0</v>
      </c>
    </row>
    <row r="28" spans="2:8" x14ac:dyDescent="0.25">
      <c r="E28" s="3">
        <f>Tableau9296201[[#This Row],[Demande]]-Tableau9296201[[#This Row],[Présente dans la malle]]</f>
        <v>0</v>
      </c>
      <c r="F28" s="5"/>
      <c r="H28" s="8">
        <f>Tableau9296201[[#This Row],[Quantités acheté rajouté]]*Tableau9296201[[#This Row],[CU du matos rajouté acheté]]</f>
        <v>0</v>
      </c>
    </row>
    <row r="29" spans="2:8" x14ac:dyDescent="0.25">
      <c r="E29" s="3">
        <f>Tableau9296201[[#This Row],[Demande]]-Tableau9296201[[#This Row],[Présente dans la malle]]</f>
        <v>0</v>
      </c>
      <c r="F29" s="5"/>
      <c r="H29" s="8">
        <f>Tableau9296201[[#This Row],[Quantités acheté rajouté]]*Tableau9296201[[#This Row],[CU du matos rajouté acheté]]</f>
        <v>0</v>
      </c>
    </row>
    <row r="30" spans="2:8" x14ac:dyDescent="0.25">
      <c r="E30" s="3">
        <f>Tableau9296201[[#This Row],[Demande]]-Tableau9296201[[#This Row],[Présente dans la malle]]</f>
        <v>0</v>
      </c>
      <c r="F30" s="5"/>
      <c r="H30" s="8">
        <f>Tableau9296201[[#This Row],[Quantités acheté rajouté]]*Tableau9296201[[#This Row],[CU du matos rajouté acheté]]</f>
        <v>0</v>
      </c>
    </row>
    <row r="31" spans="2:8" x14ac:dyDescent="0.25">
      <c r="E31" s="3">
        <f>Tableau9296201[[#This Row],[Demande]]-Tableau9296201[[#This Row],[Présente dans la malle]]</f>
        <v>0</v>
      </c>
      <c r="F31" s="5"/>
      <c r="H31" s="8">
        <f>Tableau9296201[[#This Row],[Quantités acheté rajouté]]*Tableau9296201[[#This Row],[CU du matos rajouté acheté]]</f>
        <v>0</v>
      </c>
    </row>
    <row r="32" spans="2:8" x14ac:dyDescent="0.25">
      <c r="E32" s="3">
        <f>Tableau9296201[[#This Row],[Demande]]-Tableau9296201[[#This Row],[Présente dans la malle]]</f>
        <v>0</v>
      </c>
      <c r="F32" s="5"/>
      <c r="H32" s="8">
        <f>Tableau9296201[[#This Row],[Quantités acheté rajouté]]*Tableau9296201[[#This Row],[CU du matos rajouté acheté]]</f>
        <v>0</v>
      </c>
    </row>
    <row r="33" spans="2:8" x14ac:dyDescent="0.25">
      <c r="E33" s="3">
        <f>Tableau9296201[[#This Row],[Demande]]-Tableau9296201[[#This Row],[Présente dans la malle]]</f>
        <v>0</v>
      </c>
      <c r="F33" s="5"/>
      <c r="H33" s="8">
        <f>Tableau9296201[[#This Row],[Quantités acheté rajouté]]*Tableau9296201[[#This Row],[CU du matos rajouté acheté]]</f>
        <v>0</v>
      </c>
    </row>
    <row r="34" spans="2:8" x14ac:dyDescent="0.25">
      <c r="E34" s="3">
        <f>Tableau9296201[[#This Row],[Demande]]-Tableau9296201[[#This Row],[Présente dans la malle]]</f>
        <v>0</v>
      </c>
      <c r="F34" s="5"/>
      <c r="H34" s="8">
        <f>Tableau9296201[[#This Row],[Quantités acheté rajouté]]*Tableau9296201[[#This Row],[CU du matos rajouté acheté]]</f>
        <v>0</v>
      </c>
    </row>
    <row r="35" spans="2:8" x14ac:dyDescent="0.25">
      <c r="E35" s="3">
        <f>Tableau9296201[[#This Row],[Demande]]-Tableau9296201[[#This Row],[Présente dans la malle]]</f>
        <v>0</v>
      </c>
      <c r="F35" s="5"/>
      <c r="H35" s="8">
        <f>Tableau9296201[[#This Row],[Quantités acheté rajouté]]*Tableau9296201[[#This Row],[CU du matos rajouté acheté]]</f>
        <v>0</v>
      </c>
    </row>
    <row r="36" spans="2:8" x14ac:dyDescent="0.25">
      <c r="E36" s="3">
        <f>Tableau9296201[[#This Row],[Demande]]-Tableau9296201[[#This Row],[Présente dans la malle]]</f>
        <v>0</v>
      </c>
      <c r="F36" s="7"/>
      <c r="G36" s="4"/>
      <c r="H36" s="8">
        <f>Tableau9296201[[#This Row],[Quantités acheté rajouté]]*Tableau9296201[[#This Row],[CU du matos rajouté acheté]]</f>
        <v>0</v>
      </c>
    </row>
    <row r="37" spans="2:8" x14ac:dyDescent="0.25">
      <c r="B37" t="s">
        <v>4</v>
      </c>
      <c r="C37">
        <f>SUM(Tableau9296201[Présente dans la malle])</f>
        <v>0</v>
      </c>
      <c r="D37">
        <f>SUM(Tableau9296201[Demande])</f>
        <v>0</v>
      </c>
      <c r="E37">
        <f>SUM(Tableau9296201[Manque])</f>
        <v>0</v>
      </c>
      <c r="F37" s="6">
        <f>SUM(Tableau9296201[Quantités acheté rajouté])</f>
        <v>0</v>
      </c>
      <c r="G37" s="6"/>
      <c r="H37" s="2">
        <f>SUM(Tableau9296201[CT])</f>
        <v>0</v>
      </c>
    </row>
    <row r="39" spans="2:8" x14ac:dyDescent="0.25">
      <c r="H39" s="2"/>
    </row>
    <row r="40" spans="2:8" x14ac:dyDescent="0.25">
      <c r="B40" t="s">
        <v>6</v>
      </c>
      <c r="C40" t="s">
        <v>0</v>
      </c>
      <c r="D40" t="s">
        <v>1</v>
      </c>
      <c r="E40" t="s">
        <v>2</v>
      </c>
      <c r="F40" s="2" t="s">
        <v>15</v>
      </c>
      <c r="G40" s="2" t="s">
        <v>11</v>
      </c>
      <c r="H40" s="2" t="s">
        <v>10</v>
      </c>
    </row>
    <row r="41" spans="2:8" x14ac:dyDescent="0.25">
      <c r="E41" s="3">
        <f>Tableau9297202[[#This Row],[Demande]]-Tableau9297202[[#This Row],[Présente dans la malle]]</f>
        <v>0</v>
      </c>
      <c r="F41" s="5"/>
      <c r="H41" s="8">
        <f>Tableau9297202[[#This Row],[Quantités acheté rajouté]]*Tableau9297202[[#This Row],[CU du matos rajouté acheté]]</f>
        <v>0</v>
      </c>
    </row>
    <row r="42" spans="2:8" x14ac:dyDescent="0.25">
      <c r="E42" s="3">
        <f>Tableau9297202[[#This Row],[Demande]]-Tableau9297202[[#This Row],[Présente dans la malle]]</f>
        <v>0</v>
      </c>
      <c r="F42" s="5"/>
      <c r="H42" s="8">
        <f>Tableau9297202[[#This Row],[Quantités acheté rajouté]]*Tableau9297202[[#This Row],[CU du matos rajouté acheté]]</f>
        <v>0</v>
      </c>
    </row>
    <row r="43" spans="2:8" x14ac:dyDescent="0.25">
      <c r="E43" s="3">
        <f>Tableau9297202[[#This Row],[Demande]]-Tableau9297202[[#This Row],[Présente dans la malle]]</f>
        <v>0</v>
      </c>
      <c r="F43" s="5"/>
      <c r="H43" s="8">
        <f>Tableau9297202[[#This Row],[Quantités acheté rajouté]]*Tableau9297202[[#This Row],[CU du matos rajouté acheté]]</f>
        <v>0</v>
      </c>
    </row>
    <row r="44" spans="2:8" x14ac:dyDescent="0.25">
      <c r="E44" s="3">
        <f>Tableau9297202[[#This Row],[Demande]]-Tableau9297202[[#This Row],[Présente dans la malle]]</f>
        <v>0</v>
      </c>
      <c r="F44" s="5"/>
      <c r="H44" s="8">
        <f>Tableau9297202[[#This Row],[Quantités acheté rajouté]]*Tableau9297202[[#This Row],[CU du matos rajouté acheté]]</f>
        <v>0</v>
      </c>
    </row>
    <row r="45" spans="2:8" x14ac:dyDescent="0.25">
      <c r="E45" s="3">
        <f>Tableau9297202[[#This Row],[Demande]]-Tableau9297202[[#This Row],[Présente dans la malle]]</f>
        <v>0</v>
      </c>
      <c r="F45" s="5"/>
      <c r="H45" s="8">
        <f>Tableau9297202[[#This Row],[Quantités acheté rajouté]]*Tableau9297202[[#This Row],[CU du matos rajouté acheté]]</f>
        <v>0</v>
      </c>
    </row>
    <row r="46" spans="2:8" x14ac:dyDescent="0.25">
      <c r="E46" s="3">
        <f>Tableau9297202[[#This Row],[Demande]]-Tableau9297202[[#This Row],[Présente dans la malle]]</f>
        <v>0</v>
      </c>
      <c r="F46" s="5"/>
      <c r="H46" s="8">
        <f>Tableau9297202[[#This Row],[Quantités acheté rajouté]]*Tableau9297202[[#This Row],[CU du matos rajouté acheté]]</f>
        <v>0</v>
      </c>
    </row>
    <row r="47" spans="2:8" x14ac:dyDescent="0.25">
      <c r="E47" s="3">
        <f>Tableau9297202[[#This Row],[Demande]]-Tableau9297202[[#This Row],[Présente dans la malle]]</f>
        <v>0</v>
      </c>
      <c r="F47" s="5"/>
      <c r="H47" s="8">
        <f>Tableau9297202[[#This Row],[Quantités acheté rajouté]]*Tableau9297202[[#This Row],[CU du matos rajouté acheté]]</f>
        <v>0</v>
      </c>
    </row>
    <row r="48" spans="2:8" x14ac:dyDescent="0.25">
      <c r="E48" s="3">
        <f>Tableau9297202[[#This Row],[Demande]]-Tableau9297202[[#This Row],[Présente dans la malle]]</f>
        <v>0</v>
      </c>
      <c r="F48" s="5"/>
      <c r="H48" s="8">
        <f>Tableau9297202[[#This Row],[Quantités acheté rajouté]]*Tableau9297202[[#This Row],[CU du matos rajouté acheté]]</f>
        <v>0</v>
      </c>
    </row>
    <row r="49" spans="2:8" x14ac:dyDescent="0.25">
      <c r="E49" s="3">
        <f>Tableau9297202[[#This Row],[Demande]]-Tableau9297202[[#This Row],[Présente dans la malle]]</f>
        <v>0</v>
      </c>
      <c r="F49" s="5"/>
      <c r="H49" s="8">
        <f>Tableau9297202[[#This Row],[Quantités acheté rajouté]]*Tableau9297202[[#This Row],[CU du matos rajouté acheté]]</f>
        <v>0</v>
      </c>
    </row>
    <row r="50" spans="2:8" x14ac:dyDescent="0.25">
      <c r="E50" s="3">
        <f>Tableau9297202[[#This Row],[Demande]]-Tableau9297202[[#This Row],[Présente dans la malle]]</f>
        <v>0</v>
      </c>
      <c r="F50" s="5"/>
      <c r="H50" s="8">
        <f>Tableau9297202[[#This Row],[Quantités acheté rajouté]]*Tableau9297202[[#This Row],[CU du matos rajouté acheté]]</f>
        <v>0</v>
      </c>
    </row>
    <row r="51" spans="2:8" x14ac:dyDescent="0.25">
      <c r="E51" s="3">
        <f>Tableau9297202[[#This Row],[Demande]]-Tableau9297202[[#This Row],[Présente dans la malle]]</f>
        <v>0</v>
      </c>
      <c r="F51" s="5"/>
      <c r="H51" s="8">
        <f>Tableau9297202[[#This Row],[Quantités acheté rajouté]]*Tableau9297202[[#This Row],[CU du matos rajouté acheté]]</f>
        <v>0</v>
      </c>
    </row>
    <row r="52" spans="2:8" x14ac:dyDescent="0.25">
      <c r="E52" s="3">
        <f>Tableau9297202[[#This Row],[Demande]]-Tableau9297202[[#This Row],[Présente dans la malle]]</f>
        <v>0</v>
      </c>
      <c r="F52" s="5"/>
      <c r="H52" s="8">
        <f>Tableau9297202[[#This Row],[Quantités acheté rajouté]]*Tableau9297202[[#This Row],[CU du matos rajouté acheté]]</f>
        <v>0</v>
      </c>
    </row>
    <row r="53" spans="2:8" x14ac:dyDescent="0.25">
      <c r="E53" s="3">
        <f>Tableau9297202[[#This Row],[Demande]]-Tableau9297202[[#This Row],[Présente dans la malle]]</f>
        <v>0</v>
      </c>
      <c r="F53" s="7"/>
      <c r="G53" s="4"/>
      <c r="H53" s="8">
        <f>Tableau9297202[[#This Row],[Quantités acheté rajouté]]*Tableau9297202[[#This Row],[CU du matos rajouté acheté]]</f>
        <v>0</v>
      </c>
    </row>
    <row r="54" spans="2:8" x14ac:dyDescent="0.25">
      <c r="B54" t="s">
        <v>4</v>
      </c>
      <c r="C54">
        <f>SUM(Tableau9297202[Présente dans la malle])</f>
        <v>0</v>
      </c>
      <c r="D54">
        <f>SUM(Tableau9297202[Demande])</f>
        <v>0</v>
      </c>
      <c r="E54">
        <f>SUM(Tableau9297202[Manque])</f>
        <v>0</v>
      </c>
      <c r="F54" s="6">
        <f>SUM(Tableau9297202[Quantités acheté rajouté])</f>
        <v>0</v>
      </c>
      <c r="G54" s="6"/>
      <c r="H54" s="2">
        <f>SUM(Tableau9297202[CT])</f>
        <v>0</v>
      </c>
    </row>
  </sheetData>
  <conditionalFormatting sqref="E3:E19">
    <cfRule type="cellIs" dxfId="506" priority="10" operator="equal">
      <formula>0</formula>
    </cfRule>
    <cfRule type="cellIs" dxfId="505" priority="11" operator="lessThan">
      <formula>0</formula>
    </cfRule>
    <cfRule type="cellIs" dxfId="504" priority="12" operator="greaterThan">
      <formula>0</formula>
    </cfRule>
  </conditionalFormatting>
  <conditionalFormatting sqref="E20">
    <cfRule type="cellIs" dxfId="503" priority="9" operator="equal">
      <formula>0</formula>
    </cfRule>
  </conditionalFormatting>
  <conditionalFormatting sqref="E54">
    <cfRule type="cellIs" dxfId="502" priority="1" operator="equal">
      <formula>0</formula>
    </cfRule>
  </conditionalFormatting>
  <conditionalFormatting sqref="E24:E36">
    <cfRule type="cellIs" dxfId="501" priority="6" operator="equal">
      <formula>0</formula>
    </cfRule>
    <cfRule type="cellIs" dxfId="500" priority="7" operator="lessThan">
      <formula>0</formula>
    </cfRule>
    <cfRule type="cellIs" dxfId="499" priority="8" operator="greaterThan">
      <formula>0</formula>
    </cfRule>
  </conditionalFormatting>
  <conditionalFormatting sqref="E37">
    <cfRule type="cellIs" dxfId="498" priority="5" operator="equal">
      <formula>0</formula>
    </cfRule>
  </conditionalFormatting>
  <conditionalFormatting sqref="E41:E53">
    <cfRule type="cellIs" dxfId="497" priority="2" operator="equal">
      <formula>0</formula>
    </cfRule>
    <cfRule type="cellIs" dxfId="496" priority="3" operator="lessThan">
      <formula>0</formula>
    </cfRule>
    <cfRule type="cellIs" dxfId="495" priority="4" operator="greaterThan">
      <formula>0</formula>
    </cfRule>
  </conditionalFormatting>
  <dataValidations count="7">
    <dataValidation allowBlank="1" showInputMessage="1" showErrorMessage="1" prompt="CT = Cout total" sqref="H39:H40 H2 H23" xr:uid="{478B031A-C221-4519-851F-62E2B053DCD5}"/>
    <dataValidation allowBlank="1" showInputMessage="1" showErrorMessage="1" prompt="CU = Cout unitaire" sqref="F39:G40 F2:G2 F23:G23" xr:uid="{B1CF7FD7-5FF8-4A35-BD12-57D0CFB30CE1}"/>
    <dataValidation allowBlank="1" showInputMessage="1" showErrorMessage="1" prompt="Quantité acheté rajouté * CU" sqref="H3 H24 H41" xr:uid="{9D819B6D-D849-4EC2-835E-EC1983969885}"/>
    <dataValidation allowBlank="1" showInputMessage="1" showErrorMessage="1" prompt="Insérez la quantité demandé" sqref="D11:D14 D3:D9 D32:D35 D24:D30 D49:D52 D41:D47" xr:uid="{F139D087-66E9-4C5C-A8EB-CE3C9E13ECF3}"/>
    <dataValidation allowBlank="1" showInputMessage="1" showErrorMessage="1" prompt="Insérez la quantité présente dans les malles" sqref="C11:C14 C3:C9 C32:C35 C24:C30 C49:C52 C41:C47" xr:uid="{4CDF1AB6-FBA8-46C0-967B-2886E22BFEAF}"/>
    <dataValidation allowBlank="1" showInputMessage="1" showErrorMessage="1" prompt="Si VERT_x000a_La fourniture est bien présente et la quantité est bonne_x000a_Si ROUGE_x000a_+ : Il faut rajouter la quantité de fourniture_x000a_- : Il faut enlevé la quantité de fourniture en trop_x000a_" sqref="E24:E36 E3:E19 E41:E53" xr:uid="{E2F220F7-2572-463A-885C-391966289FE6}"/>
    <dataValidation type="list" allowBlank="1" showInputMessage="1" showErrorMessage="1" prompt="Insérez la fourniture désiré" sqref="B41:B52 B24:B35" xr:uid="{DEFB0FEC-4FE6-450C-B274-C890504415AC}">
      <formula1>Fournitures</formula1>
    </dataValidation>
  </dataValidations>
  <pageMargins left="0.7" right="0.7" top="0.75" bottom="0.75" header="0.3" footer="0.3"/>
  <pageSetup paperSize="9" orientation="portrait" horizontalDpi="4294967293" verticalDpi="4294967293" r:id="rId1"/>
  <tableParts count="3">
    <tablePart r:id="rId2"/>
    <tablePart r:id="rId3"/>
    <tablePart r:id="rId4"/>
  </tableParts>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416D515-3ABA-468F-B862-FAC54688CB14}">
  <dimension ref="B2:H50"/>
  <sheetViews>
    <sheetView workbookViewId="0">
      <selection activeCell="B11" sqref="B11"/>
    </sheetView>
  </sheetViews>
  <sheetFormatPr baseColWidth="10" defaultRowHeight="15" x14ac:dyDescent="0.25"/>
  <cols>
    <col min="2" max="2" width="26.85546875" customWidth="1"/>
    <col min="3" max="3" width="23.140625" customWidth="1"/>
    <col min="4" max="4" width="11.7109375" customWidth="1"/>
    <col min="6" max="6" width="26.5703125" style="2" customWidth="1"/>
    <col min="7" max="7" width="28.28515625" style="2" customWidth="1"/>
  </cols>
  <sheetData>
    <row r="2" spans="2:8" x14ac:dyDescent="0.25">
      <c r="B2" t="s">
        <v>7</v>
      </c>
      <c r="C2" t="s">
        <v>0</v>
      </c>
      <c r="D2" t="s">
        <v>1</v>
      </c>
      <c r="E2" t="s">
        <v>2</v>
      </c>
      <c r="F2" s="2" t="s">
        <v>15</v>
      </c>
      <c r="G2" s="2" t="s">
        <v>11</v>
      </c>
      <c r="H2" s="2" t="s">
        <v>10</v>
      </c>
    </row>
    <row r="3" spans="2:8" x14ac:dyDescent="0.25">
      <c r="B3" t="s">
        <v>119</v>
      </c>
      <c r="C3">
        <v>1</v>
      </c>
      <c r="E3" s="3">
        <f>Tableau92203[[#This Row],[Demande]]-Tableau92203[[#This Row],[Présente dans la malle]]</f>
        <v>-1</v>
      </c>
      <c r="F3" s="5"/>
      <c r="H3" s="8">
        <f>Tableau92203[[#This Row],[Quantités acheté rajouté]]*Tableau92203[[#This Row],[CU du matos rajouté acheté]]</f>
        <v>0</v>
      </c>
    </row>
    <row r="4" spans="2:8" x14ac:dyDescent="0.25">
      <c r="B4" t="s">
        <v>56</v>
      </c>
      <c r="C4">
        <v>1</v>
      </c>
      <c r="E4" s="3">
        <f>Tableau92203[[#This Row],[Demande]]-Tableau92203[[#This Row],[Présente dans la malle]]</f>
        <v>-1</v>
      </c>
      <c r="F4" s="5"/>
      <c r="H4" s="8">
        <f>Tableau92203[[#This Row],[Quantités acheté rajouté]]*Tableau92203[[#This Row],[CU du matos rajouté acheté]]</f>
        <v>0</v>
      </c>
    </row>
    <row r="5" spans="2:8" x14ac:dyDescent="0.25">
      <c r="B5" t="s">
        <v>63</v>
      </c>
      <c r="C5">
        <v>1</v>
      </c>
      <c r="E5" s="3">
        <f>Tableau92203[[#This Row],[Demande]]-Tableau92203[[#This Row],[Présente dans la malle]]</f>
        <v>-1</v>
      </c>
      <c r="F5" s="5"/>
      <c r="H5" s="8">
        <f>Tableau92203[[#This Row],[Quantités acheté rajouté]]*Tableau92203[[#This Row],[CU du matos rajouté acheté]]</f>
        <v>0</v>
      </c>
    </row>
    <row r="6" spans="2:8" x14ac:dyDescent="0.25">
      <c r="B6" t="s">
        <v>116</v>
      </c>
      <c r="C6">
        <v>1</v>
      </c>
      <c r="E6" s="3">
        <f>Tableau92203[[#This Row],[Demande]]-Tableau92203[[#This Row],[Présente dans la malle]]</f>
        <v>-1</v>
      </c>
      <c r="F6" s="5"/>
      <c r="H6" s="8">
        <f>Tableau92203[[#This Row],[Quantités acheté rajouté]]*Tableau92203[[#This Row],[CU du matos rajouté acheté]]</f>
        <v>0</v>
      </c>
    </row>
    <row r="7" spans="2:8" x14ac:dyDescent="0.25">
      <c r="B7" t="s">
        <v>103</v>
      </c>
      <c r="C7">
        <v>1</v>
      </c>
      <c r="E7" s="3">
        <f>Tableau92203[[#This Row],[Demande]]-Tableau92203[[#This Row],[Présente dans la malle]]</f>
        <v>-1</v>
      </c>
      <c r="F7" s="5"/>
      <c r="H7" s="8">
        <f>Tableau92203[[#This Row],[Quantités acheté rajouté]]*Tableau92203[[#This Row],[CU du matos rajouté acheté]]</f>
        <v>0</v>
      </c>
    </row>
    <row r="8" spans="2:8" x14ac:dyDescent="0.25">
      <c r="B8" t="s">
        <v>124</v>
      </c>
      <c r="C8">
        <v>1</v>
      </c>
      <c r="E8" s="3">
        <f>Tableau92203[[#This Row],[Demande]]-Tableau92203[[#This Row],[Présente dans la malle]]</f>
        <v>-1</v>
      </c>
      <c r="F8" s="5"/>
      <c r="H8" s="8">
        <f>Tableau92203[[#This Row],[Quantités acheté rajouté]]*Tableau92203[[#This Row],[CU du matos rajouté acheté]]</f>
        <v>0</v>
      </c>
    </row>
    <row r="9" spans="2:8" x14ac:dyDescent="0.25">
      <c r="B9" t="s">
        <v>46</v>
      </c>
      <c r="C9">
        <v>1</v>
      </c>
      <c r="E9" s="3">
        <f>Tableau92203[[#This Row],[Demande]]-Tableau92203[[#This Row],[Présente dans la malle]]</f>
        <v>-1</v>
      </c>
      <c r="F9" s="5"/>
      <c r="H9" s="8">
        <f>Tableau92203[[#This Row],[Quantités acheté rajouté]]*Tableau92203[[#This Row],[CU du matos rajouté acheté]]</f>
        <v>0</v>
      </c>
    </row>
    <row r="10" spans="2:8" x14ac:dyDescent="0.25">
      <c r="B10" t="s">
        <v>47</v>
      </c>
      <c r="C10">
        <v>1</v>
      </c>
      <c r="E10" s="3">
        <f>Tableau92203[[#This Row],[Demande]]-Tableau92203[[#This Row],[Présente dans la malle]]</f>
        <v>-1</v>
      </c>
      <c r="F10" s="5"/>
      <c r="H10" s="8">
        <f>Tableau92203[[#This Row],[Quantités acheté rajouté]]*Tableau92203[[#This Row],[CU du matos rajouté acheté]]</f>
        <v>0</v>
      </c>
    </row>
    <row r="11" spans="2:8" x14ac:dyDescent="0.25">
      <c r="E11" s="3">
        <f>Tableau92203[[#This Row],[Demande]]-Tableau92203[[#This Row],[Présente dans la malle]]</f>
        <v>0</v>
      </c>
      <c r="F11" s="5"/>
      <c r="H11" s="8">
        <f>Tableau92203[[#This Row],[Quantités acheté rajouté]]*Tableau92203[[#This Row],[CU du matos rajouté acheté]]</f>
        <v>0</v>
      </c>
    </row>
    <row r="12" spans="2:8" x14ac:dyDescent="0.25">
      <c r="E12" s="3">
        <f>Tableau92203[[#This Row],[Demande]]-Tableau92203[[#This Row],[Présente dans la malle]]</f>
        <v>0</v>
      </c>
      <c r="F12" s="5"/>
      <c r="H12" s="8">
        <f>Tableau92203[[#This Row],[Quantités acheté rajouté]]*Tableau92203[[#This Row],[CU du matos rajouté acheté]]</f>
        <v>0</v>
      </c>
    </row>
    <row r="13" spans="2:8" x14ac:dyDescent="0.25">
      <c r="E13" s="3">
        <f>Tableau92203[[#This Row],[Demande]]-Tableau92203[[#This Row],[Présente dans la malle]]</f>
        <v>0</v>
      </c>
      <c r="F13" s="5"/>
      <c r="H13" s="8">
        <f>Tableau92203[[#This Row],[Quantités acheté rajouté]]*Tableau92203[[#This Row],[CU du matos rajouté acheté]]</f>
        <v>0</v>
      </c>
    </row>
    <row r="14" spans="2:8" x14ac:dyDescent="0.25">
      <c r="E14" s="3">
        <f>Tableau92203[[#This Row],[Demande]]-Tableau92203[[#This Row],[Présente dans la malle]]</f>
        <v>0</v>
      </c>
      <c r="F14" s="5"/>
      <c r="H14" s="8">
        <f>Tableau92203[[#This Row],[Quantités acheté rajouté]]*Tableau92203[[#This Row],[CU du matos rajouté acheté]]</f>
        <v>0</v>
      </c>
    </row>
    <row r="15" spans="2:8" x14ac:dyDescent="0.25">
      <c r="E15" s="3">
        <f>Tableau92203[[#This Row],[Demande]]-Tableau92203[[#This Row],[Présente dans la malle]]</f>
        <v>0</v>
      </c>
      <c r="F15" s="7"/>
      <c r="G15" s="4"/>
      <c r="H15" s="8">
        <f>Tableau92203[[#This Row],[Quantités acheté rajouté]]*Tableau92203[[#This Row],[CU du matos rajouté acheté]]</f>
        <v>0</v>
      </c>
    </row>
    <row r="16" spans="2:8" x14ac:dyDescent="0.25">
      <c r="B16" t="s">
        <v>4</v>
      </c>
      <c r="C16">
        <f>SUM(Tableau92203[Présente dans la malle])</f>
        <v>8</v>
      </c>
      <c r="D16">
        <f>SUM(Tableau92203[Demande])</f>
        <v>0</v>
      </c>
      <c r="E16">
        <f>SUM(Tableau92203[Manque])</f>
        <v>-8</v>
      </c>
      <c r="F16" s="6">
        <f>SUM(Tableau92203[Quantités acheté rajouté])</f>
        <v>0</v>
      </c>
      <c r="G16" s="6"/>
      <c r="H16" s="10">
        <f>SUM(Tableau92203[CT])</f>
        <v>0</v>
      </c>
    </row>
    <row r="19" spans="2:8" x14ac:dyDescent="0.25">
      <c r="B19" t="s">
        <v>5</v>
      </c>
      <c r="C19" t="s">
        <v>0</v>
      </c>
      <c r="D19" t="s">
        <v>1</v>
      </c>
      <c r="E19" t="s">
        <v>2</v>
      </c>
      <c r="F19" s="2" t="s">
        <v>15</v>
      </c>
      <c r="G19" s="2" t="s">
        <v>11</v>
      </c>
      <c r="H19" s="2" t="s">
        <v>10</v>
      </c>
    </row>
    <row r="20" spans="2:8" x14ac:dyDescent="0.25">
      <c r="E20" s="3">
        <f>Tableau9296204[[#This Row],[Demande]]-Tableau9296204[[#This Row],[Présente dans la malle]]</f>
        <v>0</v>
      </c>
      <c r="F20" s="5"/>
      <c r="H20" s="8">
        <f>Tableau9296204[[#This Row],[Quantités acheté rajouté]]*Tableau9296204[[#This Row],[CU du matos rajouté acheté]]</f>
        <v>0</v>
      </c>
    </row>
    <row r="21" spans="2:8" x14ac:dyDescent="0.25">
      <c r="E21" s="3">
        <f>Tableau9296204[[#This Row],[Demande]]-Tableau9296204[[#This Row],[Présente dans la malle]]</f>
        <v>0</v>
      </c>
      <c r="F21" s="5"/>
      <c r="H21" s="8">
        <f>Tableau9296204[[#This Row],[Quantités acheté rajouté]]*Tableau9296204[[#This Row],[CU du matos rajouté acheté]]</f>
        <v>0</v>
      </c>
    </row>
    <row r="22" spans="2:8" x14ac:dyDescent="0.25">
      <c r="E22" s="3">
        <f>Tableau9296204[[#This Row],[Demande]]-Tableau9296204[[#This Row],[Présente dans la malle]]</f>
        <v>0</v>
      </c>
      <c r="F22" s="5"/>
      <c r="H22" s="8">
        <f>Tableau9296204[[#This Row],[Quantités acheté rajouté]]*Tableau9296204[[#This Row],[CU du matos rajouté acheté]]</f>
        <v>0</v>
      </c>
    </row>
    <row r="23" spans="2:8" x14ac:dyDescent="0.25">
      <c r="E23" s="3">
        <f>Tableau9296204[[#This Row],[Demande]]-Tableau9296204[[#This Row],[Présente dans la malle]]</f>
        <v>0</v>
      </c>
      <c r="F23" s="5"/>
      <c r="H23" s="8">
        <f>Tableau9296204[[#This Row],[Quantités acheté rajouté]]*Tableau9296204[[#This Row],[CU du matos rajouté acheté]]</f>
        <v>0</v>
      </c>
    </row>
    <row r="24" spans="2:8" x14ac:dyDescent="0.25">
      <c r="E24" s="3">
        <f>Tableau9296204[[#This Row],[Demande]]-Tableau9296204[[#This Row],[Présente dans la malle]]</f>
        <v>0</v>
      </c>
      <c r="F24" s="5"/>
      <c r="H24" s="8">
        <f>Tableau9296204[[#This Row],[Quantités acheté rajouté]]*Tableau9296204[[#This Row],[CU du matos rajouté acheté]]</f>
        <v>0</v>
      </c>
    </row>
    <row r="25" spans="2:8" x14ac:dyDescent="0.25">
      <c r="E25" s="3">
        <f>Tableau9296204[[#This Row],[Demande]]-Tableau9296204[[#This Row],[Présente dans la malle]]</f>
        <v>0</v>
      </c>
      <c r="F25" s="5"/>
      <c r="H25" s="8">
        <f>Tableau9296204[[#This Row],[Quantités acheté rajouté]]*Tableau9296204[[#This Row],[CU du matos rajouté acheté]]</f>
        <v>0</v>
      </c>
    </row>
    <row r="26" spans="2:8" x14ac:dyDescent="0.25">
      <c r="E26" s="3">
        <f>Tableau9296204[[#This Row],[Demande]]-Tableau9296204[[#This Row],[Présente dans la malle]]</f>
        <v>0</v>
      </c>
      <c r="F26" s="5"/>
      <c r="H26" s="8">
        <f>Tableau9296204[[#This Row],[Quantités acheté rajouté]]*Tableau9296204[[#This Row],[CU du matos rajouté acheté]]</f>
        <v>0</v>
      </c>
    </row>
    <row r="27" spans="2:8" x14ac:dyDescent="0.25">
      <c r="E27" s="3">
        <f>Tableau9296204[[#This Row],[Demande]]-Tableau9296204[[#This Row],[Présente dans la malle]]</f>
        <v>0</v>
      </c>
      <c r="F27" s="5"/>
      <c r="H27" s="8">
        <f>Tableau9296204[[#This Row],[Quantités acheté rajouté]]*Tableau9296204[[#This Row],[CU du matos rajouté acheté]]</f>
        <v>0</v>
      </c>
    </row>
    <row r="28" spans="2:8" x14ac:dyDescent="0.25">
      <c r="E28" s="3">
        <f>Tableau9296204[[#This Row],[Demande]]-Tableau9296204[[#This Row],[Présente dans la malle]]</f>
        <v>0</v>
      </c>
      <c r="F28" s="5"/>
      <c r="H28" s="8">
        <f>Tableau9296204[[#This Row],[Quantités acheté rajouté]]*Tableau9296204[[#This Row],[CU du matos rajouté acheté]]</f>
        <v>0</v>
      </c>
    </row>
    <row r="29" spans="2:8" x14ac:dyDescent="0.25">
      <c r="E29" s="3">
        <f>Tableau9296204[[#This Row],[Demande]]-Tableau9296204[[#This Row],[Présente dans la malle]]</f>
        <v>0</v>
      </c>
      <c r="F29" s="5"/>
      <c r="H29" s="8">
        <f>Tableau9296204[[#This Row],[Quantités acheté rajouté]]*Tableau9296204[[#This Row],[CU du matos rajouté acheté]]</f>
        <v>0</v>
      </c>
    </row>
    <row r="30" spans="2:8" x14ac:dyDescent="0.25">
      <c r="E30" s="3">
        <f>Tableau9296204[[#This Row],[Demande]]-Tableau9296204[[#This Row],[Présente dans la malle]]</f>
        <v>0</v>
      </c>
      <c r="F30" s="5"/>
      <c r="H30" s="8">
        <f>Tableau9296204[[#This Row],[Quantités acheté rajouté]]*Tableau9296204[[#This Row],[CU du matos rajouté acheté]]</f>
        <v>0</v>
      </c>
    </row>
    <row r="31" spans="2:8" x14ac:dyDescent="0.25">
      <c r="E31" s="3">
        <f>Tableau9296204[[#This Row],[Demande]]-Tableau9296204[[#This Row],[Présente dans la malle]]</f>
        <v>0</v>
      </c>
      <c r="F31" s="5"/>
      <c r="H31" s="8">
        <f>Tableau9296204[[#This Row],[Quantités acheté rajouté]]*Tableau9296204[[#This Row],[CU du matos rajouté acheté]]</f>
        <v>0</v>
      </c>
    </row>
    <row r="32" spans="2:8" x14ac:dyDescent="0.25">
      <c r="E32" s="3">
        <f>Tableau9296204[[#This Row],[Demande]]-Tableau9296204[[#This Row],[Présente dans la malle]]</f>
        <v>0</v>
      </c>
      <c r="F32" s="7"/>
      <c r="G32" s="4"/>
      <c r="H32" s="8">
        <f>Tableau9296204[[#This Row],[Quantités acheté rajouté]]*Tableau9296204[[#This Row],[CU du matos rajouté acheté]]</f>
        <v>0</v>
      </c>
    </row>
    <row r="33" spans="2:8" x14ac:dyDescent="0.25">
      <c r="B33" t="s">
        <v>4</v>
      </c>
      <c r="C33">
        <f>SUM(Tableau9296204[Présente dans la malle])</f>
        <v>0</v>
      </c>
      <c r="D33">
        <f>SUM(Tableau9296204[Demande])</f>
        <v>0</v>
      </c>
      <c r="E33">
        <f>SUM(Tableau9296204[Manque])</f>
        <v>0</v>
      </c>
      <c r="F33" s="6">
        <f>SUM(Tableau9296204[Quantités acheté rajouté])</f>
        <v>0</v>
      </c>
      <c r="G33" s="6"/>
      <c r="H33" s="2">
        <f>SUM(Tableau9296204[CT])</f>
        <v>0</v>
      </c>
    </row>
    <row r="35" spans="2:8" x14ac:dyDescent="0.25">
      <c r="H35" s="2"/>
    </row>
    <row r="36" spans="2:8" x14ac:dyDescent="0.25">
      <c r="B36" t="s">
        <v>6</v>
      </c>
      <c r="C36" t="s">
        <v>0</v>
      </c>
      <c r="D36" t="s">
        <v>1</v>
      </c>
      <c r="E36" t="s">
        <v>2</v>
      </c>
      <c r="F36" s="2" t="s">
        <v>15</v>
      </c>
      <c r="G36" s="2" t="s">
        <v>11</v>
      </c>
      <c r="H36" s="2" t="s">
        <v>10</v>
      </c>
    </row>
    <row r="37" spans="2:8" x14ac:dyDescent="0.25">
      <c r="E37" s="3">
        <f>Tableau9297205[[#This Row],[Demande]]-Tableau9297205[[#This Row],[Présente dans la malle]]</f>
        <v>0</v>
      </c>
      <c r="F37" s="5"/>
      <c r="H37" s="8">
        <f>Tableau9297205[[#This Row],[Quantités acheté rajouté]]*Tableau9297205[[#This Row],[CU du matos rajouté acheté]]</f>
        <v>0</v>
      </c>
    </row>
    <row r="38" spans="2:8" x14ac:dyDescent="0.25">
      <c r="E38" s="3">
        <f>Tableau9297205[[#This Row],[Demande]]-Tableau9297205[[#This Row],[Présente dans la malle]]</f>
        <v>0</v>
      </c>
      <c r="F38" s="5"/>
      <c r="H38" s="8">
        <f>Tableau9297205[[#This Row],[Quantités acheté rajouté]]*Tableau9297205[[#This Row],[CU du matos rajouté acheté]]</f>
        <v>0</v>
      </c>
    </row>
    <row r="39" spans="2:8" x14ac:dyDescent="0.25">
      <c r="E39" s="3">
        <f>Tableau9297205[[#This Row],[Demande]]-Tableau9297205[[#This Row],[Présente dans la malle]]</f>
        <v>0</v>
      </c>
      <c r="F39" s="5"/>
      <c r="H39" s="8">
        <f>Tableau9297205[[#This Row],[Quantités acheté rajouté]]*Tableau9297205[[#This Row],[CU du matos rajouté acheté]]</f>
        <v>0</v>
      </c>
    </row>
    <row r="40" spans="2:8" x14ac:dyDescent="0.25">
      <c r="E40" s="3">
        <f>Tableau9297205[[#This Row],[Demande]]-Tableau9297205[[#This Row],[Présente dans la malle]]</f>
        <v>0</v>
      </c>
      <c r="F40" s="5"/>
      <c r="H40" s="8">
        <f>Tableau9297205[[#This Row],[Quantités acheté rajouté]]*Tableau9297205[[#This Row],[CU du matos rajouté acheté]]</f>
        <v>0</v>
      </c>
    </row>
    <row r="41" spans="2:8" x14ac:dyDescent="0.25">
      <c r="E41" s="3">
        <f>Tableau9297205[[#This Row],[Demande]]-Tableau9297205[[#This Row],[Présente dans la malle]]</f>
        <v>0</v>
      </c>
      <c r="F41" s="5"/>
      <c r="H41" s="8">
        <f>Tableau9297205[[#This Row],[Quantités acheté rajouté]]*Tableau9297205[[#This Row],[CU du matos rajouté acheté]]</f>
        <v>0</v>
      </c>
    </row>
    <row r="42" spans="2:8" x14ac:dyDescent="0.25">
      <c r="E42" s="3">
        <f>Tableau9297205[[#This Row],[Demande]]-Tableau9297205[[#This Row],[Présente dans la malle]]</f>
        <v>0</v>
      </c>
      <c r="F42" s="5"/>
      <c r="H42" s="8">
        <f>Tableau9297205[[#This Row],[Quantités acheté rajouté]]*Tableau9297205[[#This Row],[CU du matos rajouté acheté]]</f>
        <v>0</v>
      </c>
    </row>
    <row r="43" spans="2:8" x14ac:dyDescent="0.25">
      <c r="E43" s="3">
        <f>Tableau9297205[[#This Row],[Demande]]-Tableau9297205[[#This Row],[Présente dans la malle]]</f>
        <v>0</v>
      </c>
      <c r="F43" s="5"/>
      <c r="H43" s="8">
        <f>Tableau9297205[[#This Row],[Quantités acheté rajouté]]*Tableau9297205[[#This Row],[CU du matos rajouté acheté]]</f>
        <v>0</v>
      </c>
    </row>
    <row r="44" spans="2:8" x14ac:dyDescent="0.25">
      <c r="E44" s="3">
        <f>Tableau9297205[[#This Row],[Demande]]-Tableau9297205[[#This Row],[Présente dans la malle]]</f>
        <v>0</v>
      </c>
      <c r="F44" s="5"/>
      <c r="H44" s="8">
        <f>Tableau9297205[[#This Row],[Quantités acheté rajouté]]*Tableau9297205[[#This Row],[CU du matos rajouté acheté]]</f>
        <v>0</v>
      </c>
    </row>
    <row r="45" spans="2:8" x14ac:dyDescent="0.25">
      <c r="E45" s="3">
        <f>Tableau9297205[[#This Row],[Demande]]-Tableau9297205[[#This Row],[Présente dans la malle]]</f>
        <v>0</v>
      </c>
      <c r="F45" s="5"/>
      <c r="H45" s="8">
        <f>Tableau9297205[[#This Row],[Quantités acheté rajouté]]*Tableau9297205[[#This Row],[CU du matos rajouté acheté]]</f>
        <v>0</v>
      </c>
    </row>
    <row r="46" spans="2:8" x14ac:dyDescent="0.25">
      <c r="E46" s="3">
        <f>Tableau9297205[[#This Row],[Demande]]-Tableau9297205[[#This Row],[Présente dans la malle]]</f>
        <v>0</v>
      </c>
      <c r="F46" s="5"/>
      <c r="H46" s="8">
        <f>Tableau9297205[[#This Row],[Quantités acheté rajouté]]*Tableau9297205[[#This Row],[CU du matos rajouté acheté]]</f>
        <v>0</v>
      </c>
    </row>
    <row r="47" spans="2:8" x14ac:dyDescent="0.25">
      <c r="E47" s="3">
        <f>Tableau9297205[[#This Row],[Demande]]-Tableau9297205[[#This Row],[Présente dans la malle]]</f>
        <v>0</v>
      </c>
      <c r="F47" s="5"/>
      <c r="H47" s="8">
        <f>Tableau9297205[[#This Row],[Quantités acheté rajouté]]*Tableau9297205[[#This Row],[CU du matos rajouté acheté]]</f>
        <v>0</v>
      </c>
    </row>
    <row r="48" spans="2:8" x14ac:dyDescent="0.25">
      <c r="E48" s="3">
        <f>Tableau9297205[[#This Row],[Demande]]-Tableau9297205[[#This Row],[Présente dans la malle]]</f>
        <v>0</v>
      </c>
      <c r="F48" s="5"/>
      <c r="H48" s="8">
        <f>Tableau9297205[[#This Row],[Quantités acheté rajouté]]*Tableau9297205[[#This Row],[CU du matos rajouté acheté]]</f>
        <v>0</v>
      </c>
    </row>
    <row r="49" spans="2:8" x14ac:dyDescent="0.25">
      <c r="E49" s="3">
        <f>Tableau9297205[[#This Row],[Demande]]-Tableau9297205[[#This Row],[Présente dans la malle]]</f>
        <v>0</v>
      </c>
      <c r="F49" s="7"/>
      <c r="G49" s="4"/>
      <c r="H49" s="8">
        <f>Tableau9297205[[#This Row],[Quantités acheté rajouté]]*Tableau9297205[[#This Row],[CU du matos rajouté acheté]]</f>
        <v>0</v>
      </c>
    </row>
    <row r="50" spans="2:8" x14ac:dyDescent="0.25">
      <c r="B50" t="s">
        <v>4</v>
      </c>
      <c r="C50">
        <f>SUM(Tableau9297205[Présente dans la malle])</f>
        <v>0</v>
      </c>
      <c r="D50">
        <f>SUM(Tableau9297205[Demande])</f>
        <v>0</v>
      </c>
      <c r="E50">
        <f>SUM(Tableau9297205[Manque])</f>
        <v>0</v>
      </c>
      <c r="F50" s="6">
        <f>SUM(Tableau9297205[Quantités acheté rajouté])</f>
        <v>0</v>
      </c>
      <c r="G50" s="6"/>
      <c r="H50" s="2">
        <f>SUM(Tableau9297205[CT])</f>
        <v>0</v>
      </c>
    </row>
  </sheetData>
  <conditionalFormatting sqref="E3:E15">
    <cfRule type="cellIs" dxfId="467" priority="10" operator="equal">
      <formula>0</formula>
    </cfRule>
    <cfRule type="cellIs" dxfId="466" priority="11" operator="lessThan">
      <formula>0</formula>
    </cfRule>
    <cfRule type="cellIs" dxfId="465" priority="12" operator="greaterThan">
      <formula>0</formula>
    </cfRule>
  </conditionalFormatting>
  <conditionalFormatting sqref="E16">
    <cfRule type="cellIs" dxfId="464" priority="9" operator="equal">
      <formula>0</formula>
    </cfRule>
  </conditionalFormatting>
  <conditionalFormatting sqref="E50">
    <cfRule type="cellIs" dxfId="463" priority="1" operator="equal">
      <formula>0</formula>
    </cfRule>
  </conditionalFormatting>
  <conditionalFormatting sqref="E20:E32">
    <cfRule type="cellIs" dxfId="462" priority="6" operator="equal">
      <formula>0</formula>
    </cfRule>
    <cfRule type="cellIs" dxfId="461" priority="7" operator="lessThan">
      <formula>0</formula>
    </cfRule>
    <cfRule type="cellIs" dxfId="460" priority="8" operator="greaterThan">
      <formula>0</formula>
    </cfRule>
  </conditionalFormatting>
  <conditionalFormatting sqref="E33">
    <cfRule type="cellIs" dxfId="459" priority="5" operator="equal">
      <formula>0</formula>
    </cfRule>
  </conditionalFormatting>
  <conditionalFormatting sqref="E37:E49">
    <cfRule type="cellIs" dxfId="458" priority="2" operator="equal">
      <formula>0</formula>
    </cfRule>
    <cfRule type="cellIs" dxfId="457" priority="3" operator="lessThan">
      <formula>0</formula>
    </cfRule>
    <cfRule type="cellIs" dxfId="456" priority="4" operator="greaterThan">
      <formula>0</formula>
    </cfRule>
  </conditionalFormatting>
  <dataValidations count="7">
    <dataValidation allowBlank="1" showInputMessage="1" showErrorMessage="1" prompt="CT = Cout total" sqref="H35:H36 H2 H19" xr:uid="{C21AFDFC-D91F-4B2D-AE55-433CA8F250B9}"/>
    <dataValidation allowBlank="1" showInputMessage="1" showErrorMessage="1" prompt="CU = Cout unitaire" sqref="F35:G36 F2:G2 F19:G19" xr:uid="{9063E406-15A1-497B-9B6B-4FB3BD3E5828}"/>
    <dataValidation allowBlank="1" showInputMessage="1" showErrorMessage="1" prompt="Quantité acheté rajouté * CU" sqref="H3 H20 H37" xr:uid="{0970455B-F0F1-4816-87BB-087CC61C3831}"/>
    <dataValidation allowBlank="1" showInputMessage="1" showErrorMessage="1" prompt="Insérez la quantité demandé" sqref="D11:D14 D3:D9 D28:D31 D20:D26 D45:D48 D37:D43" xr:uid="{AE9B34A1-73F4-4218-AFF5-17B6D98A77DF}"/>
    <dataValidation allowBlank="1" showInputMessage="1" showErrorMessage="1" prompt="Insérez la quantité présente dans les malles" sqref="C11:C14 C3:C9 C28:C31 C20:C26 C45:C48 C37:C43" xr:uid="{FA326D6D-D12E-4DC1-8ADE-FEA95196C767}"/>
    <dataValidation allowBlank="1" showInputMessage="1" showErrorMessage="1" prompt="Si VERT_x000a_La fourniture est bien présente et la quantité est bonne_x000a_Si ROUGE_x000a_+ : Il faut rajouter la quantité de fourniture_x000a_- : Il faut enlevé la quantité de fourniture en trop_x000a_" sqref="E20:E32 E3:E15 E37:E49" xr:uid="{223391F5-8933-418C-A3AF-97BB939B112B}"/>
    <dataValidation type="list" allowBlank="1" showInputMessage="1" showErrorMessage="1" prompt="Insérez la fourniture désiré" sqref="B37:B48 B20:B31 B11:B14" xr:uid="{1AD18A7F-E064-4D19-8FF9-FA7FF3726536}">
      <formula1>Fournitures</formula1>
    </dataValidation>
  </dataValidations>
  <pageMargins left="0.7" right="0.7" top="0.75" bottom="0.75" header="0.3" footer="0.3"/>
  <tableParts count="3">
    <tablePart r:id="rId1"/>
    <tablePart r:id="rId2"/>
    <tablePart r:id="rId3"/>
  </tableParts>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EDE376D-6D32-4367-8D3B-9B54D4510654}">
  <dimension ref="B2:H50"/>
  <sheetViews>
    <sheetView workbookViewId="0">
      <selection activeCell="B6" sqref="B6"/>
    </sheetView>
  </sheetViews>
  <sheetFormatPr baseColWidth="10" defaultRowHeight="15" x14ac:dyDescent="0.25"/>
  <cols>
    <col min="2" max="2" width="24.42578125" customWidth="1"/>
    <col min="3" max="3" width="23.140625" customWidth="1"/>
    <col min="4" max="4" width="11.7109375" customWidth="1"/>
    <col min="6" max="6" width="26.5703125" style="2" customWidth="1"/>
    <col min="7" max="7" width="28.28515625" style="2" customWidth="1"/>
  </cols>
  <sheetData>
    <row r="2" spans="2:8" x14ac:dyDescent="0.25">
      <c r="B2" t="s">
        <v>7</v>
      </c>
      <c r="C2" t="s">
        <v>0</v>
      </c>
      <c r="D2" t="s">
        <v>1</v>
      </c>
      <c r="E2" t="s">
        <v>2</v>
      </c>
      <c r="F2" s="2" t="s">
        <v>15</v>
      </c>
      <c r="G2" s="2" t="s">
        <v>11</v>
      </c>
      <c r="H2" s="2" t="s">
        <v>10</v>
      </c>
    </row>
    <row r="3" spans="2:8" x14ac:dyDescent="0.25">
      <c r="B3" t="s">
        <v>137</v>
      </c>
      <c r="C3">
        <v>1</v>
      </c>
      <c r="E3" s="3">
        <f>Tableau92218[[#This Row],[Demande]]-Tableau92218[[#This Row],[Présente dans la malle]]</f>
        <v>-1</v>
      </c>
      <c r="F3" s="5"/>
      <c r="H3" s="8">
        <f>Tableau92218[[#This Row],[Quantités acheté rajouté]]*Tableau92218[[#This Row],[CU du matos rajouté acheté]]</f>
        <v>0</v>
      </c>
    </row>
    <row r="4" spans="2:8" x14ac:dyDescent="0.25">
      <c r="B4" t="s">
        <v>79</v>
      </c>
      <c r="C4">
        <v>1</v>
      </c>
      <c r="E4" s="3">
        <f>Tableau92218[[#This Row],[Demande]]-Tableau92218[[#This Row],[Présente dans la malle]]</f>
        <v>-1</v>
      </c>
      <c r="F4" s="5"/>
      <c r="H4" s="8">
        <f>Tableau92218[[#This Row],[Quantités acheté rajouté]]*Tableau92218[[#This Row],[CU du matos rajouté acheté]]</f>
        <v>0</v>
      </c>
    </row>
    <row r="5" spans="2:8" x14ac:dyDescent="0.25">
      <c r="B5" t="s">
        <v>144</v>
      </c>
      <c r="C5">
        <v>1</v>
      </c>
      <c r="E5" s="3">
        <f>Tableau92218[[#This Row],[Demande]]-Tableau92218[[#This Row],[Présente dans la malle]]</f>
        <v>-1</v>
      </c>
      <c r="F5" s="5"/>
      <c r="H5" s="8">
        <f>Tableau92218[[#This Row],[Quantités acheté rajouté]]*Tableau92218[[#This Row],[CU du matos rajouté acheté]]</f>
        <v>0</v>
      </c>
    </row>
    <row r="6" spans="2:8" x14ac:dyDescent="0.25">
      <c r="E6" s="3">
        <f>Tableau92218[[#This Row],[Demande]]-Tableau92218[[#This Row],[Présente dans la malle]]</f>
        <v>0</v>
      </c>
      <c r="F6" s="5"/>
      <c r="H6" s="8">
        <f>Tableau92218[[#This Row],[Quantités acheté rajouté]]*Tableau92218[[#This Row],[CU du matos rajouté acheté]]</f>
        <v>0</v>
      </c>
    </row>
    <row r="7" spans="2:8" x14ac:dyDescent="0.25">
      <c r="E7" s="3">
        <f>Tableau92218[[#This Row],[Demande]]-Tableau92218[[#This Row],[Présente dans la malle]]</f>
        <v>0</v>
      </c>
      <c r="F7" s="5"/>
      <c r="H7" s="8">
        <f>Tableau92218[[#This Row],[Quantités acheté rajouté]]*Tableau92218[[#This Row],[CU du matos rajouté acheté]]</f>
        <v>0</v>
      </c>
    </row>
    <row r="8" spans="2:8" x14ac:dyDescent="0.25">
      <c r="E8" s="3">
        <f>Tableau92218[[#This Row],[Demande]]-Tableau92218[[#This Row],[Présente dans la malle]]</f>
        <v>0</v>
      </c>
      <c r="F8" s="5"/>
      <c r="H8" s="8">
        <f>Tableau92218[[#This Row],[Quantités acheté rajouté]]*Tableau92218[[#This Row],[CU du matos rajouté acheté]]</f>
        <v>0</v>
      </c>
    </row>
    <row r="9" spans="2:8" x14ac:dyDescent="0.25">
      <c r="E9" s="3">
        <f>Tableau92218[[#This Row],[Demande]]-Tableau92218[[#This Row],[Présente dans la malle]]</f>
        <v>0</v>
      </c>
      <c r="F9" s="5"/>
      <c r="H9" s="8">
        <f>Tableau92218[[#This Row],[Quantités acheté rajouté]]*Tableau92218[[#This Row],[CU du matos rajouté acheté]]</f>
        <v>0</v>
      </c>
    </row>
    <row r="10" spans="2:8" x14ac:dyDescent="0.25">
      <c r="E10" s="3">
        <f>Tableau92218[[#This Row],[Demande]]-Tableau92218[[#This Row],[Présente dans la malle]]</f>
        <v>0</v>
      </c>
      <c r="F10" s="5"/>
      <c r="H10" s="8">
        <f>Tableau92218[[#This Row],[Quantités acheté rajouté]]*Tableau92218[[#This Row],[CU du matos rajouté acheté]]</f>
        <v>0</v>
      </c>
    </row>
    <row r="11" spans="2:8" x14ac:dyDescent="0.25">
      <c r="E11" s="3">
        <f>Tableau92218[[#This Row],[Demande]]-Tableau92218[[#This Row],[Présente dans la malle]]</f>
        <v>0</v>
      </c>
      <c r="F11" s="5"/>
      <c r="H11" s="8">
        <f>Tableau92218[[#This Row],[Quantités acheté rajouté]]*Tableau92218[[#This Row],[CU du matos rajouté acheté]]</f>
        <v>0</v>
      </c>
    </row>
    <row r="12" spans="2:8" x14ac:dyDescent="0.25">
      <c r="E12" s="3">
        <f>Tableau92218[[#This Row],[Demande]]-Tableau92218[[#This Row],[Présente dans la malle]]</f>
        <v>0</v>
      </c>
      <c r="F12" s="5"/>
      <c r="H12" s="8">
        <f>Tableau92218[[#This Row],[Quantités acheté rajouté]]*Tableau92218[[#This Row],[CU du matos rajouté acheté]]</f>
        <v>0</v>
      </c>
    </row>
    <row r="13" spans="2:8" x14ac:dyDescent="0.25">
      <c r="E13" s="3">
        <f>Tableau92218[[#This Row],[Demande]]-Tableau92218[[#This Row],[Présente dans la malle]]</f>
        <v>0</v>
      </c>
      <c r="F13" s="5"/>
      <c r="H13" s="8">
        <f>Tableau92218[[#This Row],[Quantités acheté rajouté]]*Tableau92218[[#This Row],[CU du matos rajouté acheté]]</f>
        <v>0</v>
      </c>
    </row>
    <row r="14" spans="2:8" x14ac:dyDescent="0.25">
      <c r="E14" s="3">
        <f>Tableau92218[[#This Row],[Demande]]-Tableau92218[[#This Row],[Présente dans la malle]]</f>
        <v>0</v>
      </c>
      <c r="F14" s="5"/>
      <c r="H14" s="8">
        <f>Tableau92218[[#This Row],[Quantités acheté rajouté]]*Tableau92218[[#This Row],[CU du matos rajouté acheté]]</f>
        <v>0</v>
      </c>
    </row>
    <row r="15" spans="2:8" x14ac:dyDescent="0.25">
      <c r="E15" s="3">
        <f>Tableau92218[[#This Row],[Demande]]-Tableau92218[[#This Row],[Présente dans la malle]]</f>
        <v>0</v>
      </c>
      <c r="F15" s="7"/>
      <c r="G15" s="4"/>
      <c r="H15" s="8">
        <f>Tableau92218[[#This Row],[Quantités acheté rajouté]]*Tableau92218[[#This Row],[CU du matos rajouté acheté]]</f>
        <v>0</v>
      </c>
    </row>
    <row r="16" spans="2:8" x14ac:dyDescent="0.25">
      <c r="B16" t="s">
        <v>4</v>
      </c>
      <c r="C16">
        <f>SUM(Tableau92218[Présente dans la malle])</f>
        <v>3</v>
      </c>
      <c r="D16">
        <f>SUM(Tableau92218[Demande])</f>
        <v>0</v>
      </c>
      <c r="E16">
        <f>SUM(Tableau92218[Manque])</f>
        <v>-3</v>
      </c>
      <c r="F16" s="6">
        <f>SUM(Tableau92218[Quantités acheté rajouté])</f>
        <v>0</v>
      </c>
      <c r="G16" s="6"/>
      <c r="H16" s="10">
        <f>SUM(Tableau92218[CT])</f>
        <v>0</v>
      </c>
    </row>
    <row r="19" spans="2:8" x14ac:dyDescent="0.25">
      <c r="B19" t="s">
        <v>5</v>
      </c>
      <c r="C19" t="s">
        <v>0</v>
      </c>
      <c r="D19" t="s">
        <v>1</v>
      </c>
      <c r="E19" t="s">
        <v>2</v>
      </c>
      <c r="F19" s="2" t="s">
        <v>15</v>
      </c>
      <c r="G19" s="2" t="s">
        <v>11</v>
      </c>
      <c r="H19" s="2" t="s">
        <v>10</v>
      </c>
    </row>
    <row r="20" spans="2:8" x14ac:dyDescent="0.25">
      <c r="E20" s="3">
        <f>Tableau9296219[[#This Row],[Demande]]-Tableau9296219[[#This Row],[Présente dans la malle]]</f>
        <v>0</v>
      </c>
      <c r="F20" s="5"/>
      <c r="H20" s="8">
        <f>Tableau9296219[[#This Row],[Quantités acheté rajouté]]*Tableau9296219[[#This Row],[CU du matos rajouté acheté]]</f>
        <v>0</v>
      </c>
    </row>
    <row r="21" spans="2:8" x14ac:dyDescent="0.25">
      <c r="E21" s="3">
        <f>Tableau9296219[[#This Row],[Demande]]-Tableau9296219[[#This Row],[Présente dans la malle]]</f>
        <v>0</v>
      </c>
      <c r="F21" s="5"/>
      <c r="H21" s="8">
        <f>Tableau9296219[[#This Row],[Quantités acheté rajouté]]*Tableau9296219[[#This Row],[CU du matos rajouté acheté]]</f>
        <v>0</v>
      </c>
    </row>
    <row r="22" spans="2:8" x14ac:dyDescent="0.25">
      <c r="E22" s="3">
        <f>Tableau9296219[[#This Row],[Demande]]-Tableau9296219[[#This Row],[Présente dans la malle]]</f>
        <v>0</v>
      </c>
      <c r="F22" s="5"/>
      <c r="H22" s="8">
        <f>Tableau9296219[[#This Row],[Quantités acheté rajouté]]*Tableau9296219[[#This Row],[CU du matos rajouté acheté]]</f>
        <v>0</v>
      </c>
    </row>
    <row r="23" spans="2:8" x14ac:dyDescent="0.25">
      <c r="E23" s="3">
        <f>Tableau9296219[[#This Row],[Demande]]-Tableau9296219[[#This Row],[Présente dans la malle]]</f>
        <v>0</v>
      </c>
      <c r="F23" s="5"/>
      <c r="H23" s="8">
        <f>Tableau9296219[[#This Row],[Quantités acheté rajouté]]*Tableau9296219[[#This Row],[CU du matos rajouté acheté]]</f>
        <v>0</v>
      </c>
    </row>
    <row r="24" spans="2:8" x14ac:dyDescent="0.25">
      <c r="E24" s="3">
        <f>Tableau9296219[[#This Row],[Demande]]-Tableau9296219[[#This Row],[Présente dans la malle]]</f>
        <v>0</v>
      </c>
      <c r="F24" s="5"/>
      <c r="H24" s="8">
        <f>Tableau9296219[[#This Row],[Quantités acheté rajouté]]*Tableau9296219[[#This Row],[CU du matos rajouté acheté]]</f>
        <v>0</v>
      </c>
    </row>
    <row r="25" spans="2:8" x14ac:dyDescent="0.25">
      <c r="E25" s="3">
        <f>Tableau9296219[[#This Row],[Demande]]-Tableau9296219[[#This Row],[Présente dans la malle]]</f>
        <v>0</v>
      </c>
      <c r="F25" s="5"/>
      <c r="H25" s="8">
        <f>Tableau9296219[[#This Row],[Quantités acheté rajouté]]*Tableau9296219[[#This Row],[CU du matos rajouté acheté]]</f>
        <v>0</v>
      </c>
    </row>
    <row r="26" spans="2:8" x14ac:dyDescent="0.25">
      <c r="E26" s="3">
        <f>Tableau9296219[[#This Row],[Demande]]-Tableau9296219[[#This Row],[Présente dans la malle]]</f>
        <v>0</v>
      </c>
      <c r="F26" s="5"/>
      <c r="H26" s="8">
        <f>Tableau9296219[[#This Row],[Quantités acheté rajouté]]*Tableau9296219[[#This Row],[CU du matos rajouté acheté]]</f>
        <v>0</v>
      </c>
    </row>
    <row r="27" spans="2:8" x14ac:dyDescent="0.25">
      <c r="E27" s="3">
        <f>Tableau9296219[[#This Row],[Demande]]-Tableau9296219[[#This Row],[Présente dans la malle]]</f>
        <v>0</v>
      </c>
      <c r="F27" s="5"/>
      <c r="H27" s="8">
        <f>Tableau9296219[[#This Row],[Quantités acheté rajouté]]*Tableau9296219[[#This Row],[CU du matos rajouté acheté]]</f>
        <v>0</v>
      </c>
    </row>
    <row r="28" spans="2:8" x14ac:dyDescent="0.25">
      <c r="E28" s="3">
        <f>Tableau9296219[[#This Row],[Demande]]-Tableau9296219[[#This Row],[Présente dans la malle]]</f>
        <v>0</v>
      </c>
      <c r="F28" s="5"/>
      <c r="H28" s="8">
        <f>Tableau9296219[[#This Row],[Quantités acheté rajouté]]*Tableau9296219[[#This Row],[CU du matos rajouté acheté]]</f>
        <v>0</v>
      </c>
    </row>
    <row r="29" spans="2:8" x14ac:dyDescent="0.25">
      <c r="E29" s="3">
        <f>Tableau9296219[[#This Row],[Demande]]-Tableau9296219[[#This Row],[Présente dans la malle]]</f>
        <v>0</v>
      </c>
      <c r="F29" s="5"/>
      <c r="H29" s="8">
        <f>Tableau9296219[[#This Row],[Quantités acheté rajouté]]*Tableau9296219[[#This Row],[CU du matos rajouté acheté]]</f>
        <v>0</v>
      </c>
    </row>
    <row r="30" spans="2:8" x14ac:dyDescent="0.25">
      <c r="E30" s="3">
        <f>Tableau9296219[[#This Row],[Demande]]-Tableau9296219[[#This Row],[Présente dans la malle]]</f>
        <v>0</v>
      </c>
      <c r="F30" s="5"/>
      <c r="H30" s="8">
        <f>Tableau9296219[[#This Row],[Quantités acheté rajouté]]*Tableau9296219[[#This Row],[CU du matos rajouté acheté]]</f>
        <v>0</v>
      </c>
    </row>
    <row r="31" spans="2:8" x14ac:dyDescent="0.25">
      <c r="E31" s="3">
        <f>Tableau9296219[[#This Row],[Demande]]-Tableau9296219[[#This Row],[Présente dans la malle]]</f>
        <v>0</v>
      </c>
      <c r="F31" s="5"/>
      <c r="H31" s="8">
        <f>Tableau9296219[[#This Row],[Quantités acheté rajouté]]*Tableau9296219[[#This Row],[CU du matos rajouté acheté]]</f>
        <v>0</v>
      </c>
    </row>
    <row r="32" spans="2:8" x14ac:dyDescent="0.25">
      <c r="E32" s="3">
        <f>Tableau9296219[[#This Row],[Demande]]-Tableau9296219[[#This Row],[Présente dans la malle]]</f>
        <v>0</v>
      </c>
      <c r="F32" s="7"/>
      <c r="G32" s="4"/>
      <c r="H32" s="8">
        <f>Tableau9296219[[#This Row],[Quantités acheté rajouté]]*Tableau9296219[[#This Row],[CU du matos rajouté acheté]]</f>
        <v>0</v>
      </c>
    </row>
    <row r="33" spans="2:8" x14ac:dyDescent="0.25">
      <c r="B33" t="s">
        <v>4</v>
      </c>
      <c r="C33">
        <f>SUM(Tableau9296219[Présente dans la malle])</f>
        <v>0</v>
      </c>
      <c r="D33">
        <f>SUM(Tableau9296219[Demande])</f>
        <v>0</v>
      </c>
      <c r="E33">
        <f>SUM(Tableau9296219[Manque])</f>
        <v>0</v>
      </c>
      <c r="F33" s="6">
        <f>SUM(Tableau9296219[Quantités acheté rajouté])</f>
        <v>0</v>
      </c>
      <c r="G33" s="6"/>
      <c r="H33" s="2">
        <f>SUM(Tableau9296219[CT])</f>
        <v>0</v>
      </c>
    </row>
    <row r="35" spans="2:8" x14ac:dyDescent="0.25">
      <c r="H35" s="2"/>
    </row>
    <row r="36" spans="2:8" x14ac:dyDescent="0.25">
      <c r="B36" t="s">
        <v>6</v>
      </c>
      <c r="C36" t="s">
        <v>0</v>
      </c>
      <c r="D36" t="s">
        <v>1</v>
      </c>
      <c r="E36" t="s">
        <v>2</v>
      </c>
      <c r="F36" s="2" t="s">
        <v>15</v>
      </c>
      <c r="G36" s="2" t="s">
        <v>11</v>
      </c>
      <c r="H36" s="2" t="s">
        <v>10</v>
      </c>
    </row>
    <row r="37" spans="2:8" x14ac:dyDescent="0.25">
      <c r="E37" s="3">
        <f>Tableau9297220[[#This Row],[Demande]]-Tableau9297220[[#This Row],[Présente dans la malle]]</f>
        <v>0</v>
      </c>
      <c r="F37" s="5"/>
      <c r="H37" s="8">
        <f>Tableau9297220[[#This Row],[Quantités acheté rajouté]]*Tableau9297220[[#This Row],[CU du matos rajouté acheté]]</f>
        <v>0</v>
      </c>
    </row>
    <row r="38" spans="2:8" x14ac:dyDescent="0.25">
      <c r="E38" s="3">
        <f>Tableau9297220[[#This Row],[Demande]]-Tableau9297220[[#This Row],[Présente dans la malle]]</f>
        <v>0</v>
      </c>
      <c r="F38" s="5"/>
      <c r="H38" s="8">
        <f>Tableau9297220[[#This Row],[Quantités acheté rajouté]]*Tableau9297220[[#This Row],[CU du matos rajouté acheté]]</f>
        <v>0</v>
      </c>
    </row>
    <row r="39" spans="2:8" x14ac:dyDescent="0.25">
      <c r="E39" s="3">
        <f>Tableau9297220[[#This Row],[Demande]]-Tableau9297220[[#This Row],[Présente dans la malle]]</f>
        <v>0</v>
      </c>
      <c r="F39" s="5"/>
      <c r="H39" s="8">
        <f>Tableau9297220[[#This Row],[Quantités acheté rajouté]]*Tableau9297220[[#This Row],[CU du matos rajouté acheté]]</f>
        <v>0</v>
      </c>
    </row>
    <row r="40" spans="2:8" x14ac:dyDescent="0.25">
      <c r="E40" s="3">
        <f>Tableau9297220[[#This Row],[Demande]]-Tableau9297220[[#This Row],[Présente dans la malle]]</f>
        <v>0</v>
      </c>
      <c r="F40" s="5"/>
      <c r="H40" s="8">
        <f>Tableau9297220[[#This Row],[Quantités acheté rajouté]]*Tableau9297220[[#This Row],[CU du matos rajouté acheté]]</f>
        <v>0</v>
      </c>
    </row>
    <row r="41" spans="2:8" x14ac:dyDescent="0.25">
      <c r="E41" s="3">
        <f>Tableau9297220[[#This Row],[Demande]]-Tableau9297220[[#This Row],[Présente dans la malle]]</f>
        <v>0</v>
      </c>
      <c r="F41" s="5"/>
      <c r="H41" s="8">
        <f>Tableau9297220[[#This Row],[Quantités acheté rajouté]]*Tableau9297220[[#This Row],[CU du matos rajouté acheté]]</f>
        <v>0</v>
      </c>
    </row>
    <row r="42" spans="2:8" x14ac:dyDescent="0.25">
      <c r="E42" s="3">
        <f>Tableau9297220[[#This Row],[Demande]]-Tableau9297220[[#This Row],[Présente dans la malle]]</f>
        <v>0</v>
      </c>
      <c r="F42" s="5"/>
      <c r="H42" s="8">
        <f>Tableau9297220[[#This Row],[Quantités acheté rajouté]]*Tableau9297220[[#This Row],[CU du matos rajouté acheté]]</f>
        <v>0</v>
      </c>
    </row>
    <row r="43" spans="2:8" x14ac:dyDescent="0.25">
      <c r="E43" s="3">
        <f>Tableau9297220[[#This Row],[Demande]]-Tableau9297220[[#This Row],[Présente dans la malle]]</f>
        <v>0</v>
      </c>
      <c r="F43" s="5"/>
      <c r="H43" s="8">
        <f>Tableau9297220[[#This Row],[Quantités acheté rajouté]]*Tableau9297220[[#This Row],[CU du matos rajouté acheté]]</f>
        <v>0</v>
      </c>
    </row>
    <row r="44" spans="2:8" x14ac:dyDescent="0.25">
      <c r="E44" s="3">
        <f>Tableau9297220[[#This Row],[Demande]]-Tableau9297220[[#This Row],[Présente dans la malle]]</f>
        <v>0</v>
      </c>
      <c r="F44" s="5"/>
      <c r="H44" s="8">
        <f>Tableau9297220[[#This Row],[Quantités acheté rajouté]]*Tableau9297220[[#This Row],[CU du matos rajouté acheté]]</f>
        <v>0</v>
      </c>
    </row>
    <row r="45" spans="2:8" x14ac:dyDescent="0.25">
      <c r="E45" s="3">
        <f>Tableau9297220[[#This Row],[Demande]]-Tableau9297220[[#This Row],[Présente dans la malle]]</f>
        <v>0</v>
      </c>
      <c r="F45" s="5"/>
      <c r="H45" s="8">
        <f>Tableau9297220[[#This Row],[Quantités acheté rajouté]]*Tableau9297220[[#This Row],[CU du matos rajouté acheté]]</f>
        <v>0</v>
      </c>
    </row>
    <row r="46" spans="2:8" x14ac:dyDescent="0.25">
      <c r="E46" s="3">
        <f>Tableau9297220[[#This Row],[Demande]]-Tableau9297220[[#This Row],[Présente dans la malle]]</f>
        <v>0</v>
      </c>
      <c r="F46" s="5"/>
      <c r="H46" s="8">
        <f>Tableau9297220[[#This Row],[Quantités acheté rajouté]]*Tableau9297220[[#This Row],[CU du matos rajouté acheté]]</f>
        <v>0</v>
      </c>
    </row>
    <row r="47" spans="2:8" x14ac:dyDescent="0.25">
      <c r="E47" s="3">
        <f>Tableau9297220[[#This Row],[Demande]]-Tableau9297220[[#This Row],[Présente dans la malle]]</f>
        <v>0</v>
      </c>
      <c r="F47" s="5"/>
      <c r="H47" s="8">
        <f>Tableau9297220[[#This Row],[Quantités acheté rajouté]]*Tableau9297220[[#This Row],[CU du matos rajouté acheté]]</f>
        <v>0</v>
      </c>
    </row>
    <row r="48" spans="2:8" x14ac:dyDescent="0.25">
      <c r="E48" s="3">
        <f>Tableau9297220[[#This Row],[Demande]]-Tableau9297220[[#This Row],[Présente dans la malle]]</f>
        <v>0</v>
      </c>
      <c r="F48" s="5"/>
      <c r="H48" s="8">
        <f>Tableau9297220[[#This Row],[Quantités acheté rajouté]]*Tableau9297220[[#This Row],[CU du matos rajouté acheté]]</f>
        <v>0</v>
      </c>
    </row>
    <row r="49" spans="2:8" x14ac:dyDescent="0.25">
      <c r="E49" s="3">
        <f>Tableau9297220[[#This Row],[Demande]]-Tableau9297220[[#This Row],[Présente dans la malle]]</f>
        <v>0</v>
      </c>
      <c r="F49" s="7"/>
      <c r="G49" s="4"/>
      <c r="H49" s="8">
        <f>Tableau9297220[[#This Row],[Quantités acheté rajouté]]*Tableau9297220[[#This Row],[CU du matos rajouté acheté]]</f>
        <v>0</v>
      </c>
    </row>
    <row r="50" spans="2:8" x14ac:dyDescent="0.25">
      <c r="B50" t="s">
        <v>4</v>
      </c>
      <c r="C50">
        <f>SUM(Tableau9297220[Présente dans la malle])</f>
        <v>0</v>
      </c>
      <c r="D50">
        <f>SUM(Tableau9297220[Demande])</f>
        <v>0</v>
      </c>
      <c r="E50">
        <f>SUM(Tableau9297220[Manque])</f>
        <v>0</v>
      </c>
      <c r="F50" s="6">
        <f>SUM(Tableau9297220[Quantités acheté rajouté])</f>
        <v>0</v>
      </c>
      <c r="G50" s="6"/>
      <c r="H50" s="2">
        <f>SUM(Tableau9297220[CT])</f>
        <v>0</v>
      </c>
    </row>
  </sheetData>
  <conditionalFormatting sqref="E3:E15">
    <cfRule type="cellIs" dxfId="428" priority="10" operator="equal">
      <formula>0</formula>
    </cfRule>
    <cfRule type="cellIs" dxfId="427" priority="11" operator="lessThan">
      <formula>0</formula>
    </cfRule>
    <cfRule type="cellIs" dxfId="426" priority="12" operator="greaterThan">
      <formula>0</formula>
    </cfRule>
  </conditionalFormatting>
  <conditionalFormatting sqref="E16">
    <cfRule type="cellIs" dxfId="425" priority="9" operator="equal">
      <formula>0</formula>
    </cfRule>
  </conditionalFormatting>
  <conditionalFormatting sqref="E50">
    <cfRule type="cellIs" dxfId="424" priority="1" operator="equal">
      <formula>0</formula>
    </cfRule>
  </conditionalFormatting>
  <conditionalFormatting sqref="E20:E32">
    <cfRule type="cellIs" dxfId="423" priority="6" operator="equal">
      <formula>0</formula>
    </cfRule>
    <cfRule type="cellIs" dxfId="422" priority="7" operator="lessThan">
      <formula>0</formula>
    </cfRule>
    <cfRule type="cellIs" dxfId="421" priority="8" operator="greaterThan">
      <formula>0</formula>
    </cfRule>
  </conditionalFormatting>
  <conditionalFormatting sqref="E33">
    <cfRule type="cellIs" dxfId="420" priority="5" operator="equal">
      <formula>0</formula>
    </cfRule>
  </conditionalFormatting>
  <conditionalFormatting sqref="E37:E49">
    <cfRule type="cellIs" dxfId="419" priority="2" operator="equal">
      <formula>0</formula>
    </cfRule>
    <cfRule type="cellIs" dxfId="418" priority="3" operator="lessThan">
      <formula>0</formula>
    </cfRule>
    <cfRule type="cellIs" dxfId="417" priority="4" operator="greaterThan">
      <formula>0</formula>
    </cfRule>
  </conditionalFormatting>
  <dataValidations count="7">
    <dataValidation type="list" allowBlank="1" showInputMessage="1" showErrorMessage="1" prompt="Insérez la fourniture désiré" sqref="B37:B48 B20:B31 B6:B14" xr:uid="{903AA194-8627-4A5D-BE61-1E50F067906E}">
      <formula1>Fournitures</formula1>
    </dataValidation>
    <dataValidation allowBlank="1" showInputMessage="1" showErrorMessage="1" prompt="Si VERT_x000a_La fourniture est bien présente et la quantité est bonne_x000a_Si ROUGE_x000a_+ : Il faut rajouter la quantité de fourniture_x000a_- : Il faut enlevé la quantité de fourniture en trop_x000a_" sqref="E20:E32 E3:E15 E37:E49" xr:uid="{08DA9E39-0BA5-4561-BD78-AA978A932850}"/>
    <dataValidation allowBlank="1" showInputMessage="1" showErrorMessage="1" prompt="Insérez la quantité présente dans les malles" sqref="C11:C14 C3:C9 C28:C31 C20:C26 C45:C48 C37:C43" xr:uid="{9AB4A999-3A3D-45A4-8451-11532B88B4D6}"/>
    <dataValidation allowBlank="1" showInputMessage="1" showErrorMessage="1" prompt="Insérez la quantité demandé" sqref="D11:D14 D3:D9 D28:D31 D20:D26 D45:D48 D37:D43" xr:uid="{6A5DADB4-F582-4B86-8D48-CAEA5ABAC9D8}"/>
    <dataValidation allowBlank="1" showInputMessage="1" showErrorMessage="1" prompt="Quantité acheté rajouté * CU" sqref="H3 H20 H37" xr:uid="{CAF97C70-036D-4844-9797-3AAC9E916D61}"/>
    <dataValidation allowBlank="1" showInputMessage="1" showErrorMessage="1" prompt="CU = Cout unitaire" sqref="F35:G36 F2:G2 F19:G19" xr:uid="{F96DADAE-FB4E-4D2E-89B2-FB011859B8C4}"/>
    <dataValidation allowBlank="1" showInputMessage="1" showErrorMessage="1" prompt="CT = Cout total" sqref="H35:H36 H2 H19" xr:uid="{A7920323-1134-4657-B90E-45766850EC33}"/>
  </dataValidations>
  <pageMargins left="0.7" right="0.7" top="0.75" bottom="0.75" header="0.3" footer="0.3"/>
  <tableParts count="3">
    <tablePart r:id="rId1"/>
    <tablePart r:id="rId2"/>
    <tablePart r:id="rId3"/>
  </tableParts>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6910408-E9DA-434E-BFE9-C471836C8F72}">
  <dimension ref="B2:H50"/>
  <sheetViews>
    <sheetView workbookViewId="0">
      <selection activeCell="B9" sqref="B9"/>
    </sheetView>
  </sheetViews>
  <sheetFormatPr baseColWidth="10" defaultRowHeight="15" x14ac:dyDescent="0.25"/>
  <cols>
    <col min="2" max="2" width="24.42578125" customWidth="1"/>
    <col min="3" max="3" width="23.140625" customWidth="1"/>
    <col min="4" max="4" width="11.7109375" customWidth="1"/>
    <col min="6" max="6" width="26.5703125" style="2" customWidth="1"/>
    <col min="7" max="7" width="28.28515625" style="2" customWidth="1"/>
  </cols>
  <sheetData>
    <row r="2" spans="2:8" x14ac:dyDescent="0.25">
      <c r="B2" t="s">
        <v>7</v>
      </c>
      <c r="C2" t="s">
        <v>0</v>
      </c>
      <c r="D2" t="s">
        <v>1</v>
      </c>
      <c r="E2" t="s">
        <v>2</v>
      </c>
      <c r="F2" s="2" t="s">
        <v>15</v>
      </c>
      <c r="G2" s="2" t="s">
        <v>11</v>
      </c>
      <c r="H2" s="2" t="s">
        <v>10</v>
      </c>
    </row>
    <row r="3" spans="2:8" x14ac:dyDescent="0.25">
      <c r="B3" t="s">
        <v>139</v>
      </c>
      <c r="C3">
        <v>1</v>
      </c>
      <c r="D3">
        <v>0</v>
      </c>
      <c r="E3" s="3">
        <f>Tableau92176[[#This Row],[Demande]]-Tableau92176[[#This Row],[Présente dans la malle]]</f>
        <v>-1</v>
      </c>
      <c r="F3" s="5"/>
      <c r="H3" s="8">
        <f>Tableau92176[[#This Row],[Quantités acheté rajouté]]*Tableau92176[[#This Row],[CU du matos rajouté acheté]]</f>
        <v>0</v>
      </c>
    </row>
    <row r="4" spans="2:8" x14ac:dyDescent="0.25">
      <c r="B4" t="s">
        <v>42</v>
      </c>
      <c r="C4">
        <v>1</v>
      </c>
      <c r="E4" s="3">
        <f>Tableau92176[[#This Row],[Demande]]-Tableau92176[[#This Row],[Présente dans la malle]]</f>
        <v>-1</v>
      </c>
      <c r="F4" s="5"/>
      <c r="H4" s="8">
        <f>Tableau92176[[#This Row],[Quantités acheté rajouté]]*Tableau92176[[#This Row],[CU du matos rajouté acheté]]</f>
        <v>0</v>
      </c>
    </row>
    <row r="5" spans="2:8" x14ac:dyDescent="0.25">
      <c r="B5" t="s">
        <v>119</v>
      </c>
      <c r="C5">
        <v>1</v>
      </c>
      <c r="E5" s="3">
        <f>Tableau92176[[#This Row],[Demande]]-Tableau92176[[#This Row],[Présente dans la malle]]</f>
        <v>-1</v>
      </c>
      <c r="F5" s="5"/>
      <c r="H5" s="8">
        <f>Tableau92176[[#This Row],[Quantités acheté rajouté]]*Tableau92176[[#This Row],[CU du matos rajouté acheté]]</f>
        <v>0</v>
      </c>
    </row>
    <row r="6" spans="2:8" x14ac:dyDescent="0.25">
      <c r="B6" t="s">
        <v>32</v>
      </c>
      <c r="C6">
        <v>1</v>
      </c>
      <c r="E6" s="3">
        <f>Tableau92176[[#This Row],[Demande]]-Tableau92176[[#This Row],[Présente dans la malle]]</f>
        <v>-1</v>
      </c>
      <c r="F6" s="5"/>
      <c r="H6" s="8">
        <f>Tableau92176[[#This Row],[Quantités acheté rajouté]]*Tableau92176[[#This Row],[CU du matos rajouté acheté]]</f>
        <v>0</v>
      </c>
    </row>
    <row r="7" spans="2:8" x14ac:dyDescent="0.25">
      <c r="B7" t="s">
        <v>116</v>
      </c>
      <c r="C7">
        <v>1</v>
      </c>
      <c r="E7" s="3">
        <f>Tableau92176[[#This Row],[Demande]]-Tableau92176[[#This Row],[Présente dans la malle]]</f>
        <v>-1</v>
      </c>
      <c r="F7" s="5"/>
      <c r="H7" s="8">
        <f>Tableau92176[[#This Row],[Quantités acheté rajouté]]*Tableau92176[[#This Row],[CU du matos rajouté acheté]]</f>
        <v>0</v>
      </c>
    </row>
    <row r="8" spans="2:8" x14ac:dyDescent="0.25">
      <c r="B8" t="s">
        <v>124</v>
      </c>
      <c r="C8">
        <v>1</v>
      </c>
      <c r="E8" s="3">
        <f>Tableau92176[[#This Row],[Demande]]-Tableau92176[[#This Row],[Présente dans la malle]]</f>
        <v>-1</v>
      </c>
      <c r="F8" s="5"/>
      <c r="H8" s="8">
        <f>Tableau92176[[#This Row],[Quantités acheté rajouté]]*Tableau92176[[#This Row],[CU du matos rajouté acheté]]</f>
        <v>0</v>
      </c>
    </row>
    <row r="9" spans="2:8" x14ac:dyDescent="0.25">
      <c r="B9" t="s">
        <v>114</v>
      </c>
      <c r="C9">
        <v>2</v>
      </c>
      <c r="E9" s="3">
        <f>Tableau92176[[#This Row],[Demande]]-Tableau92176[[#This Row],[Présente dans la malle]]</f>
        <v>-2</v>
      </c>
      <c r="F9" s="5"/>
      <c r="H9" s="8">
        <f>Tableau92176[[#This Row],[Quantités acheté rajouté]]*Tableau92176[[#This Row],[CU du matos rajouté acheté]]</f>
        <v>0</v>
      </c>
    </row>
    <row r="10" spans="2:8" x14ac:dyDescent="0.25">
      <c r="B10" t="s">
        <v>148</v>
      </c>
      <c r="C10">
        <v>1</v>
      </c>
      <c r="E10" s="3">
        <f>Tableau92176[[#This Row],[Demande]]-Tableau92176[[#This Row],[Présente dans la malle]]</f>
        <v>-1</v>
      </c>
      <c r="F10" s="5"/>
      <c r="H10" s="8">
        <f>Tableau92176[[#This Row],[Quantités acheté rajouté]]*Tableau92176[[#This Row],[CU du matos rajouté acheté]]</f>
        <v>0</v>
      </c>
    </row>
    <row r="11" spans="2:8" x14ac:dyDescent="0.25">
      <c r="B11" t="s">
        <v>30</v>
      </c>
      <c r="C11">
        <v>3</v>
      </c>
      <c r="E11" s="3">
        <f>Tableau92176[[#This Row],[Demande]]-Tableau92176[[#This Row],[Présente dans la malle]]</f>
        <v>-3</v>
      </c>
      <c r="F11" s="5"/>
      <c r="H11" s="8">
        <f>Tableau92176[[#This Row],[Quantités acheté rajouté]]*Tableau92176[[#This Row],[CU du matos rajouté acheté]]</f>
        <v>0</v>
      </c>
    </row>
    <row r="12" spans="2:8" x14ac:dyDescent="0.25">
      <c r="B12" t="s">
        <v>149</v>
      </c>
      <c r="C12">
        <v>20</v>
      </c>
      <c r="E12" s="3">
        <f>Tableau92176[[#This Row],[Demande]]-Tableau92176[[#This Row],[Présente dans la malle]]</f>
        <v>-20</v>
      </c>
      <c r="F12" s="5"/>
      <c r="H12" s="8">
        <f>Tableau92176[[#This Row],[Quantités acheté rajouté]]*Tableau92176[[#This Row],[CU du matos rajouté acheté]]</f>
        <v>0</v>
      </c>
    </row>
    <row r="13" spans="2:8" x14ac:dyDescent="0.25">
      <c r="E13" s="3">
        <f>Tableau92176[[#This Row],[Demande]]-Tableau92176[[#This Row],[Présente dans la malle]]</f>
        <v>0</v>
      </c>
      <c r="F13" s="5"/>
      <c r="H13" s="8">
        <f>Tableau92176[[#This Row],[Quantités acheté rajouté]]*Tableau92176[[#This Row],[CU du matos rajouté acheté]]</f>
        <v>0</v>
      </c>
    </row>
    <row r="14" spans="2:8" x14ac:dyDescent="0.25">
      <c r="E14" s="3">
        <f>Tableau92176[[#This Row],[Demande]]-Tableau92176[[#This Row],[Présente dans la malle]]</f>
        <v>0</v>
      </c>
      <c r="F14" s="5"/>
      <c r="H14" s="8">
        <f>Tableau92176[[#This Row],[Quantités acheté rajouté]]*Tableau92176[[#This Row],[CU du matos rajouté acheté]]</f>
        <v>0</v>
      </c>
    </row>
    <row r="15" spans="2:8" x14ac:dyDescent="0.25">
      <c r="E15" s="3">
        <f>Tableau92176[[#This Row],[Demande]]-Tableau92176[[#This Row],[Présente dans la malle]]</f>
        <v>0</v>
      </c>
      <c r="F15" s="7"/>
      <c r="G15" s="4"/>
      <c r="H15" s="8">
        <f>Tableau92176[[#This Row],[Quantités acheté rajouté]]*Tableau92176[[#This Row],[CU du matos rajouté acheté]]</f>
        <v>0</v>
      </c>
    </row>
    <row r="16" spans="2:8" x14ac:dyDescent="0.25">
      <c r="B16" t="s">
        <v>4</v>
      </c>
      <c r="C16">
        <f>SUM(Tableau92176[Présente dans la malle])</f>
        <v>32</v>
      </c>
      <c r="D16">
        <f>SUM(Tableau92176[Demande])</f>
        <v>0</v>
      </c>
      <c r="E16">
        <f>SUM(Tableau92176[Manque])</f>
        <v>-32</v>
      </c>
      <c r="F16" s="6">
        <f>SUM(Tableau92176[Quantités acheté rajouté])</f>
        <v>0</v>
      </c>
      <c r="G16" s="6"/>
      <c r="H16" s="10">
        <f>SUM(Tableau92176[CT])</f>
        <v>0</v>
      </c>
    </row>
    <row r="19" spans="2:8" x14ac:dyDescent="0.25">
      <c r="B19" t="s">
        <v>5</v>
      </c>
      <c r="C19" t="s">
        <v>0</v>
      </c>
      <c r="D19" t="s">
        <v>1</v>
      </c>
      <c r="E19" t="s">
        <v>2</v>
      </c>
      <c r="F19" s="2" t="s">
        <v>15</v>
      </c>
      <c r="G19" s="2" t="s">
        <v>11</v>
      </c>
      <c r="H19" s="2" t="s">
        <v>10</v>
      </c>
    </row>
    <row r="20" spans="2:8" x14ac:dyDescent="0.25">
      <c r="E20" s="3">
        <f>Tableau9296177[[#This Row],[Demande]]-Tableau9296177[[#This Row],[Présente dans la malle]]</f>
        <v>0</v>
      </c>
      <c r="F20" s="5"/>
      <c r="H20" s="8">
        <f>Tableau9296177[[#This Row],[Quantités acheté rajouté]]*Tableau9296177[[#This Row],[CU du matos rajouté acheté]]</f>
        <v>0</v>
      </c>
    </row>
    <row r="21" spans="2:8" x14ac:dyDescent="0.25">
      <c r="E21" s="3">
        <f>Tableau9296177[[#This Row],[Demande]]-Tableau9296177[[#This Row],[Présente dans la malle]]</f>
        <v>0</v>
      </c>
      <c r="F21" s="5"/>
      <c r="H21" s="8">
        <f>Tableau9296177[[#This Row],[Quantités acheté rajouté]]*Tableau9296177[[#This Row],[CU du matos rajouté acheté]]</f>
        <v>0</v>
      </c>
    </row>
    <row r="22" spans="2:8" x14ac:dyDescent="0.25">
      <c r="E22" s="3">
        <f>Tableau9296177[[#This Row],[Demande]]-Tableau9296177[[#This Row],[Présente dans la malle]]</f>
        <v>0</v>
      </c>
      <c r="F22" s="5"/>
      <c r="H22" s="8">
        <f>Tableau9296177[[#This Row],[Quantités acheté rajouté]]*Tableau9296177[[#This Row],[CU du matos rajouté acheté]]</f>
        <v>0</v>
      </c>
    </row>
    <row r="23" spans="2:8" x14ac:dyDescent="0.25">
      <c r="E23" s="3">
        <f>Tableau9296177[[#This Row],[Demande]]-Tableau9296177[[#This Row],[Présente dans la malle]]</f>
        <v>0</v>
      </c>
      <c r="F23" s="5"/>
      <c r="H23" s="8">
        <f>Tableau9296177[[#This Row],[Quantités acheté rajouté]]*Tableau9296177[[#This Row],[CU du matos rajouté acheté]]</f>
        <v>0</v>
      </c>
    </row>
    <row r="24" spans="2:8" x14ac:dyDescent="0.25">
      <c r="E24" s="3">
        <f>Tableau9296177[[#This Row],[Demande]]-Tableau9296177[[#This Row],[Présente dans la malle]]</f>
        <v>0</v>
      </c>
      <c r="F24" s="5"/>
      <c r="H24" s="8">
        <f>Tableau9296177[[#This Row],[Quantités acheté rajouté]]*Tableau9296177[[#This Row],[CU du matos rajouté acheté]]</f>
        <v>0</v>
      </c>
    </row>
    <row r="25" spans="2:8" x14ac:dyDescent="0.25">
      <c r="E25" s="3">
        <f>Tableau9296177[[#This Row],[Demande]]-Tableau9296177[[#This Row],[Présente dans la malle]]</f>
        <v>0</v>
      </c>
      <c r="F25" s="5"/>
      <c r="H25" s="8">
        <f>Tableau9296177[[#This Row],[Quantités acheté rajouté]]*Tableau9296177[[#This Row],[CU du matos rajouté acheté]]</f>
        <v>0</v>
      </c>
    </row>
    <row r="26" spans="2:8" x14ac:dyDescent="0.25">
      <c r="E26" s="3">
        <f>Tableau9296177[[#This Row],[Demande]]-Tableau9296177[[#This Row],[Présente dans la malle]]</f>
        <v>0</v>
      </c>
      <c r="F26" s="5"/>
      <c r="H26" s="8">
        <f>Tableau9296177[[#This Row],[Quantités acheté rajouté]]*Tableau9296177[[#This Row],[CU du matos rajouté acheté]]</f>
        <v>0</v>
      </c>
    </row>
    <row r="27" spans="2:8" x14ac:dyDescent="0.25">
      <c r="E27" s="3">
        <f>Tableau9296177[[#This Row],[Demande]]-Tableau9296177[[#This Row],[Présente dans la malle]]</f>
        <v>0</v>
      </c>
      <c r="F27" s="5"/>
      <c r="H27" s="8">
        <f>Tableau9296177[[#This Row],[Quantités acheté rajouté]]*Tableau9296177[[#This Row],[CU du matos rajouté acheté]]</f>
        <v>0</v>
      </c>
    </row>
    <row r="28" spans="2:8" x14ac:dyDescent="0.25">
      <c r="E28" s="3">
        <f>Tableau9296177[[#This Row],[Demande]]-Tableau9296177[[#This Row],[Présente dans la malle]]</f>
        <v>0</v>
      </c>
      <c r="F28" s="5"/>
      <c r="H28" s="8">
        <f>Tableau9296177[[#This Row],[Quantités acheté rajouté]]*Tableau9296177[[#This Row],[CU du matos rajouté acheté]]</f>
        <v>0</v>
      </c>
    </row>
    <row r="29" spans="2:8" x14ac:dyDescent="0.25">
      <c r="E29" s="3">
        <f>Tableau9296177[[#This Row],[Demande]]-Tableau9296177[[#This Row],[Présente dans la malle]]</f>
        <v>0</v>
      </c>
      <c r="F29" s="5"/>
      <c r="H29" s="8">
        <f>Tableau9296177[[#This Row],[Quantités acheté rajouté]]*Tableau9296177[[#This Row],[CU du matos rajouté acheté]]</f>
        <v>0</v>
      </c>
    </row>
    <row r="30" spans="2:8" x14ac:dyDescent="0.25">
      <c r="E30" s="3">
        <f>Tableau9296177[[#This Row],[Demande]]-Tableau9296177[[#This Row],[Présente dans la malle]]</f>
        <v>0</v>
      </c>
      <c r="F30" s="5"/>
      <c r="H30" s="8">
        <f>Tableau9296177[[#This Row],[Quantités acheté rajouté]]*Tableau9296177[[#This Row],[CU du matos rajouté acheté]]</f>
        <v>0</v>
      </c>
    </row>
    <row r="31" spans="2:8" x14ac:dyDescent="0.25">
      <c r="E31" s="3">
        <f>Tableau9296177[[#This Row],[Demande]]-Tableau9296177[[#This Row],[Présente dans la malle]]</f>
        <v>0</v>
      </c>
      <c r="F31" s="5"/>
      <c r="H31" s="8">
        <f>Tableau9296177[[#This Row],[Quantités acheté rajouté]]*Tableau9296177[[#This Row],[CU du matos rajouté acheté]]</f>
        <v>0</v>
      </c>
    </row>
    <row r="32" spans="2:8" x14ac:dyDescent="0.25">
      <c r="E32" s="3">
        <f>Tableau9296177[[#This Row],[Demande]]-Tableau9296177[[#This Row],[Présente dans la malle]]</f>
        <v>0</v>
      </c>
      <c r="F32" s="7"/>
      <c r="G32" s="4"/>
      <c r="H32" s="8">
        <f>Tableau9296177[[#This Row],[Quantités acheté rajouté]]*Tableau9296177[[#This Row],[CU du matos rajouté acheté]]</f>
        <v>0</v>
      </c>
    </row>
    <row r="33" spans="2:8" x14ac:dyDescent="0.25">
      <c r="B33" t="s">
        <v>4</v>
      </c>
      <c r="C33">
        <f>SUM(Tableau9296177[Présente dans la malle])</f>
        <v>0</v>
      </c>
      <c r="D33">
        <f>SUM(Tableau9296177[Demande])</f>
        <v>0</v>
      </c>
      <c r="E33">
        <f>SUM(Tableau9296177[Manque])</f>
        <v>0</v>
      </c>
      <c r="F33" s="6">
        <f>SUM(Tableau9296177[Quantités acheté rajouté])</f>
        <v>0</v>
      </c>
      <c r="G33" s="6"/>
      <c r="H33" s="2">
        <f>SUM(Tableau9296177[CT])</f>
        <v>0</v>
      </c>
    </row>
    <row r="35" spans="2:8" x14ac:dyDescent="0.25">
      <c r="H35" s="2"/>
    </row>
    <row r="36" spans="2:8" x14ac:dyDescent="0.25">
      <c r="B36" t="s">
        <v>6</v>
      </c>
      <c r="C36" t="s">
        <v>0</v>
      </c>
      <c r="D36" t="s">
        <v>1</v>
      </c>
      <c r="E36" t="s">
        <v>2</v>
      </c>
      <c r="F36" s="2" t="s">
        <v>15</v>
      </c>
      <c r="G36" s="2" t="s">
        <v>11</v>
      </c>
      <c r="H36" s="2" t="s">
        <v>10</v>
      </c>
    </row>
    <row r="37" spans="2:8" x14ac:dyDescent="0.25">
      <c r="E37" s="3">
        <f>Tableau9297178[[#This Row],[Demande]]-Tableau9297178[[#This Row],[Présente dans la malle]]</f>
        <v>0</v>
      </c>
      <c r="F37" s="5"/>
      <c r="H37" s="8">
        <f>Tableau9297178[[#This Row],[Quantités acheté rajouté]]*Tableau9297178[[#This Row],[CU du matos rajouté acheté]]</f>
        <v>0</v>
      </c>
    </row>
    <row r="38" spans="2:8" x14ac:dyDescent="0.25">
      <c r="E38" s="3">
        <f>Tableau9297178[[#This Row],[Demande]]-Tableau9297178[[#This Row],[Présente dans la malle]]</f>
        <v>0</v>
      </c>
      <c r="F38" s="5"/>
      <c r="H38" s="8">
        <f>Tableau9297178[[#This Row],[Quantités acheté rajouté]]*Tableau9297178[[#This Row],[CU du matos rajouté acheté]]</f>
        <v>0</v>
      </c>
    </row>
    <row r="39" spans="2:8" x14ac:dyDescent="0.25">
      <c r="E39" s="3">
        <f>Tableau9297178[[#This Row],[Demande]]-Tableau9297178[[#This Row],[Présente dans la malle]]</f>
        <v>0</v>
      </c>
      <c r="F39" s="5"/>
      <c r="H39" s="8">
        <f>Tableau9297178[[#This Row],[Quantités acheté rajouté]]*Tableau9297178[[#This Row],[CU du matos rajouté acheté]]</f>
        <v>0</v>
      </c>
    </row>
    <row r="40" spans="2:8" x14ac:dyDescent="0.25">
      <c r="E40" s="3">
        <f>Tableau9297178[[#This Row],[Demande]]-Tableau9297178[[#This Row],[Présente dans la malle]]</f>
        <v>0</v>
      </c>
      <c r="F40" s="5"/>
      <c r="H40" s="8">
        <f>Tableau9297178[[#This Row],[Quantités acheté rajouté]]*Tableau9297178[[#This Row],[CU du matos rajouté acheté]]</f>
        <v>0</v>
      </c>
    </row>
    <row r="41" spans="2:8" x14ac:dyDescent="0.25">
      <c r="E41" s="3">
        <f>Tableau9297178[[#This Row],[Demande]]-Tableau9297178[[#This Row],[Présente dans la malle]]</f>
        <v>0</v>
      </c>
      <c r="F41" s="5"/>
      <c r="H41" s="8">
        <f>Tableau9297178[[#This Row],[Quantités acheté rajouté]]*Tableau9297178[[#This Row],[CU du matos rajouté acheté]]</f>
        <v>0</v>
      </c>
    </row>
    <row r="42" spans="2:8" x14ac:dyDescent="0.25">
      <c r="E42" s="3">
        <f>Tableau9297178[[#This Row],[Demande]]-Tableau9297178[[#This Row],[Présente dans la malle]]</f>
        <v>0</v>
      </c>
      <c r="F42" s="5"/>
      <c r="H42" s="8">
        <f>Tableau9297178[[#This Row],[Quantités acheté rajouté]]*Tableau9297178[[#This Row],[CU du matos rajouté acheté]]</f>
        <v>0</v>
      </c>
    </row>
    <row r="43" spans="2:8" x14ac:dyDescent="0.25">
      <c r="E43" s="3">
        <f>Tableau9297178[[#This Row],[Demande]]-Tableau9297178[[#This Row],[Présente dans la malle]]</f>
        <v>0</v>
      </c>
      <c r="F43" s="5"/>
      <c r="H43" s="8">
        <f>Tableau9297178[[#This Row],[Quantités acheté rajouté]]*Tableau9297178[[#This Row],[CU du matos rajouté acheté]]</f>
        <v>0</v>
      </c>
    </row>
    <row r="44" spans="2:8" x14ac:dyDescent="0.25">
      <c r="E44" s="3">
        <f>Tableau9297178[[#This Row],[Demande]]-Tableau9297178[[#This Row],[Présente dans la malle]]</f>
        <v>0</v>
      </c>
      <c r="F44" s="5"/>
      <c r="H44" s="8">
        <f>Tableau9297178[[#This Row],[Quantités acheté rajouté]]*Tableau9297178[[#This Row],[CU du matos rajouté acheté]]</f>
        <v>0</v>
      </c>
    </row>
    <row r="45" spans="2:8" x14ac:dyDescent="0.25">
      <c r="E45" s="3">
        <f>Tableau9297178[[#This Row],[Demande]]-Tableau9297178[[#This Row],[Présente dans la malle]]</f>
        <v>0</v>
      </c>
      <c r="F45" s="5"/>
      <c r="H45" s="8">
        <f>Tableau9297178[[#This Row],[Quantités acheté rajouté]]*Tableau9297178[[#This Row],[CU du matos rajouté acheté]]</f>
        <v>0</v>
      </c>
    </row>
    <row r="46" spans="2:8" x14ac:dyDescent="0.25">
      <c r="E46" s="3">
        <f>Tableau9297178[[#This Row],[Demande]]-Tableau9297178[[#This Row],[Présente dans la malle]]</f>
        <v>0</v>
      </c>
      <c r="F46" s="5"/>
      <c r="H46" s="8">
        <f>Tableau9297178[[#This Row],[Quantités acheté rajouté]]*Tableau9297178[[#This Row],[CU du matos rajouté acheté]]</f>
        <v>0</v>
      </c>
    </row>
    <row r="47" spans="2:8" x14ac:dyDescent="0.25">
      <c r="E47" s="3">
        <f>Tableau9297178[[#This Row],[Demande]]-Tableau9297178[[#This Row],[Présente dans la malle]]</f>
        <v>0</v>
      </c>
      <c r="F47" s="5"/>
      <c r="H47" s="8">
        <f>Tableau9297178[[#This Row],[Quantités acheté rajouté]]*Tableau9297178[[#This Row],[CU du matos rajouté acheté]]</f>
        <v>0</v>
      </c>
    </row>
    <row r="48" spans="2:8" x14ac:dyDescent="0.25">
      <c r="E48" s="3">
        <f>Tableau9297178[[#This Row],[Demande]]-Tableau9297178[[#This Row],[Présente dans la malle]]</f>
        <v>0</v>
      </c>
      <c r="F48" s="5"/>
      <c r="H48" s="8">
        <f>Tableau9297178[[#This Row],[Quantités acheté rajouté]]*Tableau9297178[[#This Row],[CU du matos rajouté acheté]]</f>
        <v>0</v>
      </c>
    </row>
    <row r="49" spans="2:8" x14ac:dyDescent="0.25">
      <c r="E49" s="3">
        <f>Tableau9297178[[#This Row],[Demande]]-Tableau9297178[[#This Row],[Présente dans la malle]]</f>
        <v>0</v>
      </c>
      <c r="F49" s="7"/>
      <c r="G49" s="4"/>
      <c r="H49" s="8">
        <f>Tableau9297178[[#This Row],[Quantités acheté rajouté]]*Tableau9297178[[#This Row],[CU du matos rajouté acheté]]</f>
        <v>0</v>
      </c>
    </row>
    <row r="50" spans="2:8" x14ac:dyDescent="0.25">
      <c r="B50" t="s">
        <v>4</v>
      </c>
      <c r="C50">
        <f>SUM(Tableau9297178[Présente dans la malle])</f>
        <v>0</v>
      </c>
      <c r="D50">
        <f>SUM(Tableau9297178[Demande])</f>
        <v>0</v>
      </c>
      <c r="E50">
        <f>SUM(Tableau9297178[Manque])</f>
        <v>0</v>
      </c>
      <c r="F50" s="6">
        <f>SUM(Tableau9297178[Quantités acheté rajouté])</f>
        <v>0</v>
      </c>
      <c r="G50" s="6"/>
      <c r="H50" s="2">
        <f>SUM(Tableau9297178[CT])</f>
        <v>0</v>
      </c>
    </row>
  </sheetData>
  <conditionalFormatting sqref="E3:E15">
    <cfRule type="cellIs" dxfId="389" priority="10" operator="equal">
      <formula>0</formula>
    </cfRule>
    <cfRule type="cellIs" dxfId="388" priority="11" operator="lessThan">
      <formula>0</formula>
    </cfRule>
    <cfRule type="cellIs" dxfId="387" priority="12" operator="greaterThan">
      <formula>0</formula>
    </cfRule>
  </conditionalFormatting>
  <conditionalFormatting sqref="E16">
    <cfRule type="cellIs" dxfId="386" priority="9" operator="equal">
      <formula>0</formula>
    </cfRule>
  </conditionalFormatting>
  <conditionalFormatting sqref="E50">
    <cfRule type="cellIs" dxfId="385" priority="1" operator="equal">
      <formula>0</formula>
    </cfRule>
  </conditionalFormatting>
  <conditionalFormatting sqref="E20:E32">
    <cfRule type="cellIs" dxfId="384" priority="6" operator="equal">
      <formula>0</formula>
    </cfRule>
    <cfRule type="cellIs" dxfId="383" priority="7" operator="lessThan">
      <formula>0</formula>
    </cfRule>
    <cfRule type="cellIs" dxfId="382" priority="8" operator="greaterThan">
      <formula>0</formula>
    </cfRule>
  </conditionalFormatting>
  <conditionalFormatting sqref="E33">
    <cfRule type="cellIs" dxfId="381" priority="5" operator="equal">
      <formula>0</formula>
    </cfRule>
  </conditionalFormatting>
  <conditionalFormatting sqref="E37:E49">
    <cfRule type="cellIs" dxfId="380" priority="2" operator="equal">
      <formula>0</formula>
    </cfRule>
    <cfRule type="cellIs" dxfId="379" priority="3" operator="lessThan">
      <formula>0</formula>
    </cfRule>
    <cfRule type="cellIs" dxfId="378" priority="4" operator="greaterThan">
      <formula>0</formula>
    </cfRule>
  </conditionalFormatting>
  <dataValidations count="7">
    <dataValidation allowBlank="1" showInputMessage="1" showErrorMessage="1" prompt="CT = Cout total" sqref="H35:H36 H2 H19" xr:uid="{CAF25FC2-3756-4B19-95EF-DB2ECB27FEA4}"/>
    <dataValidation allowBlank="1" showInputMessage="1" showErrorMessage="1" prompt="CU = Cout unitaire" sqref="F35:G36 F2:G2 F19:G19" xr:uid="{DEFF7B61-CE46-40AB-B6CB-76C80FD2239D}"/>
    <dataValidation allowBlank="1" showInputMessage="1" showErrorMessage="1" prompt="Quantité acheté rajouté * CU" sqref="H3 H20 H37" xr:uid="{05C6F4D1-B9F4-4801-A7A8-0DBEA284035B}"/>
    <dataValidation allowBlank="1" showInputMessage="1" showErrorMessage="1" prompt="Insérez la quantité demandé" sqref="D11:D14 D3:D9 D28:D31 D20:D26 D45:D48 D37:D43" xr:uid="{1C585F09-FF9F-4A71-A360-261424030894}"/>
    <dataValidation allowBlank="1" showInputMessage="1" showErrorMessage="1" prompt="Insérez la quantité présente dans les malles" sqref="C11:C14 C3:C9 C28:C31 C20:C26 C45:C48 C37:C43" xr:uid="{A083D517-069D-4280-8B94-FC26092165A7}"/>
    <dataValidation allowBlank="1" showInputMessage="1" showErrorMessage="1" prompt="Si VERT_x000a_La fourniture est bien présente et la quantité est bonne_x000a_Si ROUGE_x000a_+ : Il faut rajouter la quantité de fourniture_x000a_- : Il faut enlevé la quantité de fourniture en trop_x000a_" sqref="E20:E32 E3:E15 E37:E49" xr:uid="{5CCB46E4-A1D9-4D77-A1DC-0680A164ED4B}"/>
    <dataValidation type="list" allowBlank="1" showInputMessage="1" showErrorMessage="1" prompt="Insérez la fourniture désiré" sqref="B37:B48 B20:B31 B9 B13:B14" xr:uid="{08E50B21-B57F-439E-88C3-8719F8E4EB41}">
      <formula1>Fournitures</formula1>
    </dataValidation>
  </dataValidations>
  <pageMargins left="0.7" right="0.7" top="0.75" bottom="0.75" header="0.3" footer="0.3"/>
  <tableParts count="3">
    <tablePart r:id="rId1"/>
    <tablePart r:id="rId2"/>
    <tablePart r:id="rId3"/>
  </tableParts>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289736D-574C-4E24-A409-EB62D0175B10}">
  <dimension ref="B2:H50"/>
  <sheetViews>
    <sheetView workbookViewId="0">
      <selection activeCell="B1" sqref="B1"/>
    </sheetView>
  </sheetViews>
  <sheetFormatPr baseColWidth="10" defaultRowHeight="15" x14ac:dyDescent="0.25"/>
  <cols>
    <col min="2" max="2" width="24.42578125" customWidth="1"/>
    <col min="3" max="3" width="23.140625" customWidth="1"/>
    <col min="4" max="4" width="11.7109375" customWidth="1"/>
    <col min="6" max="6" width="26.5703125" style="2" customWidth="1"/>
    <col min="7" max="7" width="28.28515625" style="2" customWidth="1"/>
  </cols>
  <sheetData>
    <row r="2" spans="2:8" x14ac:dyDescent="0.25">
      <c r="B2" t="s">
        <v>7</v>
      </c>
      <c r="C2" t="s">
        <v>0</v>
      </c>
      <c r="D2" t="s">
        <v>1</v>
      </c>
      <c r="E2" t="s">
        <v>2</v>
      </c>
      <c r="F2" s="2" t="s">
        <v>15</v>
      </c>
      <c r="G2" s="2" t="s">
        <v>11</v>
      </c>
      <c r="H2" s="2" t="s">
        <v>10</v>
      </c>
    </row>
    <row r="3" spans="2:8" x14ac:dyDescent="0.25">
      <c r="E3" s="3">
        <f>Tableau92179[[#This Row],[Demande]]-Tableau92179[[#This Row],[Présente dans la malle]]</f>
        <v>0</v>
      </c>
      <c r="F3" s="5"/>
      <c r="H3" s="8">
        <f>Tableau92179[[#This Row],[Quantités acheté rajouté]]*Tableau92179[[#This Row],[CU du matos rajouté acheté]]</f>
        <v>0</v>
      </c>
    </row>
    <row r="4" spans="2:8" x14ac:dyDescent="0.25">
      <c r="E4" s="3">
        <f>Tableau92179[[#This Row],[Demande]]-Tableau92179[[#This Row],[Présente dans la malle]]</f>
        <v>0</v>
      </c>
      <c r="F4" s="5"/>
      <c r="H4" s="8">
        <f>Tableau92179[[#This Row],[Quantités acheté rajouté]]*Tableau92179[[#This Row],[CU du matos rajouté acheté]]</f>
        <v>0</v>
      </c>
    </row>
    <row r="5" spans="2:8" x14ac:dyDescent="0.25">
      <c r="E5" s="3">
        <f>Tableau92179[[#This Row],[Demande]]-Tableau92179[[#This Row],[Présente dans la malle]]</f>
        <v>0</v>
      </c>
      <c r="F5" s="5"/>
      <c r="H5" s="8">
        <f>Tableau92179[[#This Row],[Quantités acheté rajouté]]*Tableau92179[[#This Row],[CU du matos rajouté acheté]]</f>
        <v>0</v>
      </c>
    </row>
    <row r="6" spans="2:8" x14ac:dyDescent="0.25">
      <c r="E6" s="3">
        <f>Tableau92179[[#This Row],[Demande]]-Tableau92179[[#This Row],[Présente dans la malle]]</f>
        <v>0</v>
      </c>
      <c r="F6" s="5"/>
      <c r="H6" s="8">
        <f>Tableau92179[[#This Row],[Quantités acheté rajouté]]*Tableau92179[[#This Row],[CU du matos rajouté acheté]]</f>
        <v>0</v>
      </c>
    </row>
    <row r="7" spans="2:8" x14ac:dyDescent="0.25">
      <c r="E7" s="3">
        <f>Tableau92179[[#This Row],[Demande]]-Tableau92179[[#This Row],[Présente dans la malle]]</f>
        <v>0</v>
      </c>
      <c r="F7" s="5"/>
      <c r="H7" s="8">
        <f>Tableau92179[[#This Row],[Quantités acheté rajouté]]*Tableau92179[[#This Row],[CU du matos rajouté acheté]]</f>
        <v>0</v>
      </c>
    </row>
    <row r="8" spans="2:8" x14ac:dyDescent="0.25">
      <c r="E8" s="3">
        <f>Tableau92179[[#This Row],[Demande]]-Tableau92179[[#This Row],[Présente dans la malle]]</f>
        <v>0</v>
      </c>
      <c r="F8" s="5"/>
      <c r="H8" s="8">
        <f>Tableau92179[[#This Row],[Quantités acheté rajouté]]*Tableau92179[[#This Row],[CU du matos rajouté acheté]]</f>
        <v>0</v>
      </c>
    </row>
    <row r="9" spans="2:8" x14ac:dyDescent="0.25">
      <c r="E9" s="3">
        <f>Tableau92179[[#This Row],[Demande]]-Tableau92179[[#This Row],[Présente dans la malle]]</f>
        <v>0</v>
      </c>
      <c r="F9" s="5"/>
      <c r="H9" s="8">
        <f>Tableau92179[[#This Row],[Quantités acheté rajouté]]*Tableau92179[[#This Row],[CU du matos rajouté acheté]]</f>
        <v>0</v>
      </c>
    </row>
    <row r="10" spans="2:8" x14ac:dyDescent="0.25">
      <c r="E10" s="3">
        <f>Tableau92179[[#This Row],[Demande]]-Tableau92179[[#This Row],[Présente dans la malle]]</f>
        <v>0</v>
      </c>
      <c r="F10" s="5"/>
      <c r="H10" s="8">
        <f>Tableau92179[[#This Row],[Quantités acheté rajouté]]*Tableau92179[[#This Row],[CU du matos rajouté acheté]]</f>
        <v>0</v>
      </c>
    </row>
    <row r="11" spans="2:8" x14ac:dyDescent="0.25">
      <c r="E11" s="3">
        <f>Tableau92179[[#This Row],[Demande]]-Tableau92179[[#This Row],[Présente dans la malle]]</f>
        <v>0</v>
      </c>
      <c r="F11" s="5"/>
      <c r="H11" s="8">
        <f>Tableau92179[[#This Row],[Quantités acheté rajouté]]*Tableau92179[[#This Row],[CU du matos rajouté acheté]]</f>
        <v>0</v>
      </c>
    </row>
    <row r="12" spans="2:8" x14ac:dyDescent="0.25">
      <c r="E12" s="3">
        <f>Tableau92179[[#This Row],[Demande]]-Tableau92179[[#This Row],[Présente dans la malle]]</f>
        <v>0</v>
      </c>
      <c r="F12" s="5"/>
      <c r="H12" s="8">
        <f>Tableau92179[[#This Row],[Quantités acheté rajouté]]*Tableau92179[[#This Row],[CU du matos rajouté acheté]]</f>
        <v>0</v>
      </c>
    </row>
    <row r="13" spans="2:8" x14ac:dyDescent="0.25">
      <c r="E13" s="3">
        <f>Tableau92179[[#This Row],[Demande]]-Tableau92179[[#This Row],[Présente dans la malle]]</f>
        <v>0</v>
      </c>
      <c r="F13" s="5"/>
      <c r="H13" s="8">
        <f>Tableau92179[[#This Row],[Quantités acheté rajouté]]*Tableau92179[[#This Row],[CU du matos rajouté acheté]]</f>
        <v>0</v>
      </c>
    </row>
    <row r="14" spans="2:8" x14ac:dyDescent="0.25">
      <c r="E14" s="3">
        <f>Tableau92179[[#This Row],[Demande]]-Tableau92179[[#This Row],[Présente dans la malle]]</f>
        <v>0</v>
      </c>
      <c r="F14" s="5"/>
      <c r="H14" s="8">
        <f>Tableau92179[[#This Row],[Quantités acheté rajouté]]*Tableau92179[[#This Row],[CU du matos rajouté acheté]]</f>
        <v>0</v>
      </c>
    </row>
    <row r="15" spans="2:8" x14ac:dyDescent="0.25">
      <c r="E15" s="3">
        <f>Tableau92179[[#This Row],[Demande]]-Tableau92179[[#This Row],[Présente dans la malle]]</f>
        <v>0</v>
      </c>
      <c r="F15" s="7"/>
      <c r="G15" s="4"/>
      <c r="H15" s="8">
        <f>Tableau92179[[#This Row],[Quantités acheté rajouté]]*Tableau92179[[#This Row],[CU du matos rajouté acheté]]</f>
        <v>0</v>
      </c>
    </row>
    <row r="16" spans="2:8" x14ac:dyDescent="0.25">
      <c r="B16" t="s">
        <v>4</v>
      </c>
      <c r="C16">
        <f>SUM(Tableau92179[Présente dans la malle])</f>
        <v>0</v>
      </c>
      <c r="D16">
        <f>SUM(Tableau92179[Demande])</f>
        <v>0</v>
      </c>
      <c r="E16">
        <f>SUM(Tableau92179[Manque])</f>
        <v>0</v>
      </c>
      <c r="F16" s="6">
        <f>SUM(Tableau92179[Quantités acheté rajouté])</f>
        <v>0</v>
      </c>
      <c r="G16" s="6"/>
      <c r="H16" s="2">
        <f>SUM(Tableau92179[CT])</f>
        <v>0</v>
      </c>
    </row>
    <row r="19" spans="2:8" x14ac:dyDescent="0.25">
      <c r="B19" t="s">
        <v>5</v>
      </c>
      <c r="C19" t="s">
        <v>0</v>
      </c>
      <c r="D19" t="s">
        <v>1</v>
      </c>
      <c r="E19" t="s">
        <v>2</v>
      </c>
      <c r="F19" s="2" t="s">
        <v>15</v>
      </c>
      <c r="G19" s="2" t="s">
        <v>11</v>
      </c>
      <c r="H19" s="2" t="s">
        <v>10</v>
      </c>
    </row>
    <row r="20" spans="2:8" x14ac:dyDescent="0.25">
      <c r="E20" s="3">
        <f>Tableau9296180[[#This Row],[Demande]]-Tableau9296180[[#This Row],[Présente dans la malle]]</f>
        <v>0</v>
      </c>
      <c r="F20" s="5"/>
      <c r="H20" s="8">
        <f>Tableau9296180[[#This Row],[Quantités acheté rajouté]]*Tableau9296180[[#This Row],[CU du matos rajouté acheté]]</f>
        <v>0</v>
      </c>
    </row>
    <row r="21" spans="2:8" x14ac:dyDescent="0.25">
      <c r="E21" s="3">
        <f>Tableau9296180[[#This Row],[Demande]]-Tableau9296180[[#This Row],[Présente dans la malle]]</f>
        <v>0</v>
      </c>
      <c r="F21" s="5"/>
      <c r="H21" s="8">
        <f>Tableau9296180[[#This Row],[Quantités acheté rajouté]]*Tableau9296180[[#This Row],[CU du matos rajouté acheté]]</f>
        <v>0</v>
      </c>
    </row>
    <row r="22" spans="2:8" x14ac:dyDescent="0.25">
      <c r="E22" s="3">
        <f>Tableau9296180[[#This Row],[Demande]]-Tableau9296180[[#This Row],[Présente dans la malle]]</f>
        <v>0</v>
      </c>
      <c r="F22" s="5"/>
      <c r="H22" s="8">
        <f>Tableau9296180[[#This Row],[Quantités acheté rajouté]]*Tableau9296180[[#This Row],[CU du matos rajouté acheté]]</f>
        <v>0</v>
      </c>
    </row>
    <row r="23" spans="2:8" x14ac:dyDescent="0.25">
      <c r="E23" s="3">
        <f>Tableau9296180[[#This Row],[Demande]]-Tableau9296180[[#This Row],[Présente dans la malle]]</f>
        <v>0</v>
      </c>
      <c r="F23" s="5"/>
      <c r="H23" s="8">
        <f>Tableau9296180[[#This Row],[Quantités acheté rajouté]]*Tableau9296180[[#This Row],[CU du matos rajouté acheté]]</f>
        <v>0</v>
      </c>
    </row>
    <row r="24" spans="2:8" x14ac:dyDescent="0.25">
      <c r="E24" s="3">
        <f>Tableau9296180[[#This Row],[Demande]]-Tableau9296180[[#This Row],[Présente dans la malle]]</f>
        <v>0</v>
      </c>
      <c r="F24" s="5"/>
      <c r="H24" s="8">
        <f>Tableau9296180[[#This Row],[Quantités acheté rajouté]]*Tableau9296180[[#This Row],[CU du matos rajouté acheté]]</f>
        <v>0</v>
      </c>
    </row>
    <row r="25" spans="2:8" x14ac:dyDescent="0.25">
      <c r="E25" s="3">
        <f>Tableau9296180[[#This Row],[Demande]]-Tableau9296180[[#This Row],[Présente dans la malle]]</f>
        <v>0</v>
      </c>
      <c r="F25" s="5"/>
      <c r="H25" s="8">
        <f>Tableau9296180[[#This Row],[Quantités acheté rajouté]]*Tableau9296180[[#This Row],[CU du matos rajouté acheté]]</f>
        <v>0</v>
      </c>
    </row>
    <row r="26" spans="2:8" x14ac:dyDescent="0.25">
      <c r="E26" s="3">
        <f>Tableau9296180[[#This Row],[Demande]]-Tableau9296180[[#This Row],[Présente dans la malle]]</f>
        <v>0</v>
      </c>
      <c r="F26" s="5"/>
      <c r="H26" s="8">
        <f>Tableau9296180[[#This Row],[Quantités acheté rajouté]]*Tableau9296180[[#This Row],[CU du matos rajouté acheté]]</f>
        <v>0</v>
      </c>
    </row>
    <row r="27" spans="2:8" x14ac:dyDescent="0.25">
      <c r="E27" s="3">
        <f>Tableau9296180[[#This Row],[Demande]]-Tableau9296180[[#This Row],[Présente dans la malle]]</f>
        <v>0</v>
      </c>
      <c r="F27" s="5"/>
      <c r="H27" s="8">
        <f>Tableau9296180[[#This Row],[Quantités acheté rajouté]]*Tableau9296180[[#This Row],[CU du matos rajouté acheté]]</f>
        <v>0</v>
      </c>
    </row>
    <row r="28" spans="2:8" x14ac:dyDescent="0.25">
      <c r="E28" s="3">
        <f>Tableau9296180[[#This Row],[Demande]]-Tableau9296180[[#This Row],[Présente dans la malle]]</f>
        <v>0</v>
      </c>
      <c r="F28" s="5"/>
      <c r="H28" s="8">
        <f>Tableau9296180[[#This Row],[Quantités acheté rajouté]]*Tableau9296180[[#This Row],[CU du matos rajouté acheté]]</f>
        <v>0</v>
      </c>
    </row>
    <row r="29" spans="2:8" x14ac:dyDescent="0.25">
      <c r="E29" s="3">
        <f>Tableau9296180[[#This Row],[Demande]]-Tableau9296180[[#This Row],[Présente dans la malle]]</f>
        <v>0</v>
      </c>
      <c r="F29" s="5"/>
      <c r="H29" s="8">
        <f>Tableau9296180[[#This Row],[Quantités acheté rajouté]]*Tableau9296180[[#This Row],[CU du matos rajouté acheté]]</f>
        <v>0</v>
      </c>
    </row>
    <row r="30" spans="2:8" x14ac:dyDescent="0.25">
      <c r="E30" s="3">
        <f>Tableau9296180[[#This Row],[Demande]]-Tableau9296180[[#This Row],[Présente dans la malle]]</f>
        <v>0</v>
      </c>
      <c r="F30" s="5"/>
      <c r="H30" s="8">
        <f>Tableau9296180[[#This Row],[Quantités acheté rajouté]]*Tableau9296180[[#This Row],[CU du matos rajouté acheté]]</f>
        <v>0</v>
      </c>
    </row>
    <row r="31" spans="2:8" x14ac:dyDescent="0.25">
      <c r="E31" s="3">
        <f>Tableau9296180[[#This Row],[Demande]]-Tableau9296180[[#This Row],[Présente dans la malle]]</f>
        <v>0</v>
      </c>
      <c r="F31" s="5"/>
      <c r="H31" s="8">
        <f>Tableau9296180[[#This Row],[Quantités acheté rajouté]]*Tableau9296180[[#This Row],[CU du matos rajouté acheté]]</f>
        <v>0</v>
      </c>
    </row>
    <row r="32" spans="2:8" x14ac:dyDescent="0.25">
      <c r="E32" s="3">
        <f>Tableau9296180[[#This Row],[Demande]]-Tableau9296180[[#This Row],[Présente dans la malle]]</f>
        <v>0</v>
      </c>
      <c r="F32" s="7"/>
      <c r="G32" s="4"/>
      <c r="H32" s="8">
        <f>Tableau9296180[[#This Row],[Quantités acheté rajouté]]*Tableau9296180[[#This Row],[CU du matos rajouté acheté]]</f>
        <v>0</v>
      </c>
    </row>
    <row r="33" spans="2:8" x14ac:dyDescent="0.25">
      <c r="B33" t="s">
        <v>4</v>
      </c>
      <c r="C33">
        <f>SUM(Tableau9296180[Présente dans la malle])</f>
        <v>0</v>
      </c>
      <c r="D33">
        <f>SUM(Tableau9296180[Demande])</f>
        <v>0</v>
      </c>
      <c r="E33">
        <f>SUM(Tableau9296180[Manque])</f>
        <v>0</v>
      </c>
      <c r="F33" s="6">
        <f>SUM(Tableau9296180[Quantités acheté rajouté])</f>
        <v>0</v>
      </c>
      <c r="G33" s="6"/>
      <c r="H33" s="2">
        <f>SUM(Tableau9296180[CT])</f>
        <v>0</v>
      </c>
    </row>
    <row r="35" spans="2:8" x14ac:dyDescent="0.25">
      <c r="H35" s="2"/>
    </row>
    <row r="36" spans="2:8" x14ac:dyDescent="0.25">
      <c r="B36" t="s">
        <v>6</v>
      </c>
      <c r="C36" t="s">
        <v>0</v>
      </c>
      <c r="D36" t="s">
        <v>1</v>
      </c>
      <c r="E36" t="s">
        <v>2</v>
      </c>
      <c r="F36" s="2" t="s">
        <v>15</v>
      </c>
      <c r="G36" s="2" t="s">
        <v>11</v>
      </c>
      <c r="H36" s="2" t="s">
        <v>10</v>
      </c>
    </row>
    <row r="37" spans="2:8" x14ac:dyDescent="0.25">
      <c r="E37" s="3">
        <f>Tableau9297181[[#This Row],[Demande]]-Tableau9297181[[#This Row],[Présente dans la malle]]</f>
        <v>0</v>
      </c>
      <c r="F37" s="5"/>
      <c r="H37" s="8">
        <f>Tableau9297181[[#This Row],[Quantités acheté rajouté]]*Tableau9297181[[#This Row],[CU du matos rajouté acheté]]</f>
        <v>0</v>
      </c>
    </row>
    <row r="38" spans="2:8" x14ac:dyDescent="0.25">
      <c r="E38" s="3">
        <f>Tableau9297181[[#This Row],[Demande]]-Tableau9297181[[#This Row],[Présente dans la malle]]</f>
        <v>0</v>
      </c>
      <c r="F38" s="5"/>
      <c r="H38" s="8">
        <f>Tableau9297181[[#This Row],[Quantités acheté rajouté]]*Tableau9297181[[#This Row],[CU du matos rajouté acheté]]</f>
        <v>0</v>
      </c>
    </row>
    <row r="39" spans="2:8" x14ac:dyDescent="0.25">
      <c r="E39" s="3">
        <f>Tableau9297181[[#This Row],[Demande]]-Tableau9297181[[#This Row],[Présente dans la malle]]</f>
        <v>0</v>
      </c>
      <c r="F39" s="5"/>
      <c r="H39" s="8">
        <f>Tableau9297181[[#This Row],[Quantités acheté rajouté]]*Tableau9297181[[#This Row],[CU du matos rajouté acheté]]</f>
        <v>0</v>
      </c>
    </row>
    <row r="40" spans="2:8" x14ac:dyDescent="0.25">
      <c r="E40" s="3">
        <f>Tableau9297181[[#This Row],[Demande]]-Tableau9297181[[#This Row],[Présente dans la malle]]</f>
        <v>0</v>
      </c>
      <c r="F40" s="5"/>
      <c r="H40" s="8">
        <f>Tableau9297181[[#This Row],[Quantités acheté rajouté]]*Tableau9297181[[#This Row],[CU du matos rajouté acheté]]</f>
        <v>0</v>
      </c>
    </row>
    <row r="41" spans="2:8" x14ac:dyDescent="0.25">
      <c r="E41" s="3">
        <f>Tableau9297181[[#This Row],[Demande]]-Tableau9297181[[#This Row],[Présente dans la malle]]</f>
        <v>0</v>
      </c>
      <c r="F41" s="5"/>
      <c r="H41" s="8">
        <f>Tableau9297181[[#This Row],[Quantités acheté rajouté]]*Tableau9297181[[#This Row],[CU du matos rajouté acheté]]</f>
        <v>0</v>
      </c>
    </row>
    <row r="42" spans="2:8" x14ac:dyDescent="0.25">
      <c r="E42" s="3">
        <f>Tableau9297181[[#This Row],[Demande]]-Tableau9297181[[#This Row],[Présente dans la malle]]</f>
        <v>0</v>
      </c>
      <c r="F42" s="5"/>
      <c r="H42" s="8">
        <f>Tableau9297181[[#This Row],[Quantités acheté rajouté]]*Tableau9297181[[#This Row],[CU du matos rajouté acheté]]</f>
        <v>0</v>
      </c>
    </row>
    <row r="43" spans="2:8" x14ac:dyDescent="0.25">
      <c r="E43" s="3">
        <f>Tableau9297181[[#This Row],[Demande]]-Tableau9297181[[#This Row],[Présente dans la malle]]</f>
        <v>0</v>
      </c>
      <c r="F43" s="5"/>
      <c r="H43" s="8">
        <f>Tableau9297181[[#This Row],[Quantités acheté rajouté]]*Tableau9297181[[#This Row],[CU du matos rajouté acheté]]</f>
        <v>0</v>
      </c>
    </row>
    <row r="44" spans="2:8" x14ac:dyDescent="0.25">
      <c r="E44" s="3">
        <f>Tableau9297181[[#This Row],[Demande]]-Tableau9297181[[#This Row],[Présente dans la malle]]</f>
        <v>0</v>
      </c>
      <c r="F44" s="5"/>
      <c r="H44" s="8">
        <f>Tableau9297181[[#This Row],[Quantités acheté rajouté]]*Tableau9297181[[#This Row],[CU du matos rajouté acheté]]</f>
        <v>0</v>
      </c>
    </row>
    <row r="45" spans="2:8" x14ac:dyDescent="0.25">
      <c r="E45" s="3">
        <f>Tableau9297181[[#This Row],[Demande]]-Tableau9297181[[#This Row],[Présente dans la malle]]</f>
        <v>0</v>
      </c>
      <c r="F45" s="5"/>
      <c r="H45" s="8">
        <f>Tableau9297181[[#This Row],[Quantités acheté rajouté]]*Tableau9297181[[#This Row],[CU du matos rajouté acheté]]</f>
        <v>0</v>
      </c>
    </row>
    <row r="46" spans="2:8" x14ac:dyDescent="0.25">
      <c r="E46" s="3">
        <f>Tableau9297181[[#This Row],[Demande]]-Tableau9297181[[#This Row],[Présente dans la malle]]</f>
        <v>0</v>
      </c>
      <c r="F46" s="5"/>
      <c r="H46" s="8">
        <f>Tableau9297181[[#This Row],[Quantités acheté rajouté]]*Tableau9297181[[#This Row],[CU du matos rajouté acheté]]</f>
        <v>0</v>
      </c>
    </row>
    <row r="47" spans="2:8" x14ac:dyDescent="0.25">
      <c r="E47" s="3">
        <f>Tableau9297181[[#This Row],[Demande]]-Tableau9297181[[#This Row],[Présente dans la malle]]</f>
        <v>0</v>
      </c>
      <c r="F47" s="5"/>
      <c r="H47" s="8">
        <f>Tableau9297181[[#This Row],[Quantités acheté rajouté]]*Tableau9297181[[#This Row],[CU du matos rajouté acheté]]</f>
        <v>0</v>
      </c>
    </row>
    <row r="48" spans="2:8" x14ac:dyDescent="0.25">
      <c r="E48" s="3">
        <f>Tableau9297181[[#This Row],[Demande]]-Tableau9297181[[#This Row],[Présente dans la malle]]</f>
        <v>0</v>
      </c>
      <c r="F48" s="5"/>
      <c r="H48" s="8">
        <f>Tableau9297181[[#This Row],[Quantités acheté rajouté]]*Tableau9297181[[#This Row],[CU du matos rajouté acheté]]</f>
        <v>0</v>
      </c>
    </row>
    <row r="49" spans="2:8" x14ac:dyDescent="0.25">
      <c r="E49" s="3">
        <f>Tableau9297181[[#This Row],[Demande]]-Tableau9297181[[#This Row],[Présente dans la malle]]</f>
        <v>0</v>
      </c>
      <c r="F49" s="7"/>
      <c r="G49" s="4"/>
      <c r="H49" s="8">
        <f>Tableau9297181[[#This Row],[Quantités acheté rajouté]]*Tableau9297181[[#This Row],[CU du matos rajouté acheté]]</f>
        <v>0</v>
      </c>
    </row>
    <row r="50" spans="2:8" x14ac:dyDescent="0.25">
      <c r="B50" t="s">
        <v>4</v>
      </c>
      <c r="C50">
        <f>SUM(Tableau9297181[Présente dans la malle])</f>
        <v>0</v>
      </c>
      <c r="D50">
        <f>SUM(Tableau9297181[Demande])</f>
        <v>0</v>
      </c>
      <c r="E50">
        <f>SUM(Tableau9297181[Manque])</f>
        <v>0</v>
      </c>
      <c r="F50" s="6">
        <f>SUM(Tableau9297181[Quantités acheté rajouté])</f>
        <v>0</v>
      </c>
      <c r="G50" s="6"/>
      <c r="H50" s="2">
        <f>SUM(Tableau9297181[CT])</f>
        <v>0</v>
      </c>
    </row>
  </sheetData>
  <conditionalFormatting sqref="E3:E15">
    <cfRule type="cellIs" dxfId="350" priority="10" operator="equal">
      <formula>0</formula>
    </cfRule>
    <cfRule type="cellIs" dxfId="349" priority="11" operator="lessThan">
      <formula>0</formula>
    </cfRule>
    <cfRule type="cellIs" dxfId="348" priority="12" operator="greaterThan">
      <formula>0</formula>
    </cfRule>
  </conditionalFormatting>
  <conditionalFormatting sqref="E16">
    <cfRule type="cellIs" dxfId="347" priority="9" operator="equal">
      <formula>0</formula>
    </cfRule>
  </conditionalFormatting>
  <conditionalFormatting sqref="E50">
    <cfRule type="cellIs" dxfId="346" priority="1" operator="equal">
      <formula>0</formula>
    </cfRule>
  </conditionalFormatting>
  <conditionalFormatting sqref="E20:E32">
    <cfRule type="cellIs" dxfId="345" priority="6" operator="equal">
      <formula>0</formula>
    </cfRule>
    <cfRule type="cellIs" dxfId="344" priority="7" operator="lessThan">
      <formula>0</formula>
    </cfRule>
    <cfRule type="cellIs" dxfId="343" priority="8" operator="greaterThan">
      <formula>0</formula>
    </cfRule>
  </conditionalFormatting>
  <conditionalFormatting sqref="E33">
    <cfRule type="cellIs" dxfId="342" priority="5" operator="equal">
      <formula>0</formula>
    </cfRule>
  </conditionalFormatting>
  <conditionalFormatting sqref="E37:E49">
    <cfRule type="cellIs" dxfId="341" priority="2" operator="equal">
      <formula>0</formula>
    </cfRule>
    <cfRule type="cellIs" dxfId="340" priority="3" operator="lessThan">
      <formula>0</formula>
    </cfRule>
    <cfRule type="cellIs" dxfId="339" priority="4" operator="greaterThan">
      <formula>0</formula>
    </cfRule>
  </conditionalFormatting>
  <dataValidations count="7">
    <dataValidation allowBlank="1" showInputMessage="1" showErrorMessage="1" prompt="CT = Cout total" sqref="H35:H36 H2 H19" xr:uid="{A2EB7072-D08E-404A-AD45-152818C13070}"/>
    <dataValidation allowBlank="1" showInputMessage="1" showErrorMessage="1" prompt="CU = Cout unitaire" sqref="F35:G36 F2:G2 F19:G19" xr:uid="{8F291B39-23D8-41E2-A964-28EEBF9401FC}"/>
    <dataValidation allowBlank="1" showInputMessage="1" showErrorMessage="1" prompt="Quantité acheté rajouté * CU" sqref="H3 H20 H37" xr:uid="{65AF0461-B67D-4396-8C57-8984BB98E894}"/>
    <dataValidation allowBlank="1" showInputMessage="1" showErrorMessage="1" prompt="Insérez la quantité demandé" sqref="D11:D14 D3:D9 D28:D31 D20:D26 D45:D48 D37:D43" xr:uid="{040EE589-AA67-4473-90CA-BC367D2EA37B}"/>
    <dataValidation allowBlank="1" showInputMessage="1" showErrorMessage="1" prompt="Insérez la quantité présente dans les malles" sqref="C11:C14 C3:C9 C28:C31 C20:C26 C45:C48 C37:C43" xr:uid="{60C85DFE-78C5-4BC1-B16B-7CBC1E2E64CF}"/>
    <dataValidation allowBlank="1" showInputMessage="1" showErrorMessage="1" prompt="Si VERT_x000a_La fourniture est bien présente et la quantité est bonne_x000a_Si ROUGE_x000a_+ : Il faut rajouter la quantité de fourniture_x000a_- : Il faut enlevé la quantité de fourniture en trop_x000a_" sqref="E20:E32 E3:E15 E37:E49" xr:uid="{7604EE7F-4940-4022-BB18-E5C96B350282}"/>
    <dataValidation type="list" allowBlank="1" showInputMessage="1" showErrorMessage="1" prompt="Insérez la fourniture désiré" sqref="B3:B14 B20:B31 B37:B48" xr:uid="{6DC7DEB9-4E21-4380-8149-8A77E208FB7E}">
      <formula1>Fournitures</formula1>
    </dataValidation>
  </dataValidations>
  <pageMargins left="0.7" right="0.7" top="0.75" bottom="0.75" header="0.3" footer="0.3"/>
  <tableParts count="3">
    <tablePart r:id="rId1"/>
    <tablePart r:id="rId2"/>
    <tablePart r:id="rId3"/>
  </tableParts>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3FBEA02-4CC4-452A-B266-8178811C0BA5}">
  <dimension ref="B2:H50"/>
  <sheetViews>
    <sheetView workbookViewId="0">
      <selection activeCell="D23" sqref="D23"/>
    </sheetView>
  </sheetViews>
  <sheetFormatPr baseColWidth="10" defaultRowHeight="15" x14ac:dyDescent="0.25"/>
  <cols>
    <col min="2" max="2" width="31.7109375" customWidth="1"/>
    <col min="3" max="3" width="23.140625" customWidth="1"/>
    <col min="4" max="4" width="11.7109375" customWidth="1"/>
    <col min="6" max="6" width="26.5703125" style="2" customWidth="1"/>
    <col min="7" max="7" width="28.28515625" style="2" customWidth="1"/>
  </cols>
  <sheetData>
    <row r="2" spans="2:8" x14ac:dyDescent="0.25">
      <c r="B2" t="s">
        <v>7</v>
      </c>
      <c r="C2" t="s">
        <v>0</v>
      </c>
      <c r="D2" t="s">
        <v>1</v>
      </c>
      <c r="E2" t="s">
        <v>2</v>
      </c>
      <c r="F2" s="2" t="s">
        <v>15</v>
      </c>
      <c r="G2" s="2" t="s">
        <v>11</v>
      </c>
      <c r="H2" s="2" t="s">
        <v>10</v>
      </c>
    </row>
    <row r="3" spans="2:8" x14ac:dyDescent="0.25">
      <c r="B3" t="s">
        <v>131</v>
      </c>
      <c r="C3">
        <v>2</v>
      </c>
      <c r="E3" s="3">
        <f>Tableau92182[[#This Row],[Demande]]-Tableau92182[[#This Row],[Présente dans la malle]]</f>
        <v>-2</v>
      </c>
      <c r="F3" s="5"/>
      <c r="H3" s="8">
        <f>Tableau92182[[#This Row],[Quantités acheté rajouté]]*Tableau92182[[#This Row],[CU du matos rajouté acheté]]</f>
        <v>0</v>
      </c>
    </row>
    <row r="4" spans="2:8" x14ac:dyDescent="0.25">
      <c r="B4" t="s">
        <v>43</v>
      </c>
      <c r="C4">
        <v>1</v>
      </c>
      <c r="E4" s="3">
        <f>Tableau92182[[#This Row],[Demande]]-Tableau92182[[#This Row],[Présente dans la malle]]</f>
        <v>-1</v>
      </c>
      <c r="F4" s="5"/>
      <c r="H4" s="8">
        <f>Tableau92182[[#This Row],[Quantités acheté rajouté]]*Tableau92182[[#This Row],[CU du matos rajouté acheté]]</f>
        <v>0</v>
      </c>
    </row>
    <row r="5" spans="2:8" x14ac:dyDescent="0.25">
      <c r="E5" s="3">
        <f>Tableau92182[[#This Row],[Demande]]-Tableau92182[[#This Row],[Présente dans la malle]]</f>
        <v>0</v>
      </c>
      <c r="F5" s="5"/>
      <c r="H5" s="8">
        <f>Tableau92182[[#This Row],[Quantités acheté rajouté]]*Tableau92182[[#This Row],[CU du matos rajouté acheté]]</f>
        <v>0</v>
      </c>
    </row>
    <row r="6" spans="2:8" x14ac:dyDescent="0.25">
      <c r="E6" s="3">
        <f>Tableau92182[[#This Row],[Demande]]-Tableau92182[[#This Row],[Présente dans la malle]]</f>
        <v>0</v>
      </c>
      <c r="F6" s="5"/>
      <c r="H6" s="8">
        <f>Tableau92182[[#This Row],[Quantités acheté rajouté]]*Tableau92182[[#This Row],[CU du matos rajouté acheté]]</f>
        <v>0</v>
      </c>
    </row>
    <row r="7" spans="2:8" x14ac:dyDescent="0.25">
      <c r="E7" s="3">
        <f>Tableau92182[[#This Row],[Demande]]-Tableau92182[[#This Row],[Présente dans la malle]]</f>
        <v>0</v>
      </c>
      <c r="F7" s="5"/>
      <c r="H7" s="8">
        <f>Tableau92182[[#This Row],[Quantités acheté rajouté]]*Tableau92182[[#This Row],[CU du matos rajouté acheté]]</f>
        <v>0</v>
      </c>
    </row>
    <row r="8" spans="2:8" x14ac:dyDescent="0.25">
      <c r="E8" s="3">
        <f>Tableau92182[[#This Row],[Demande]]-Tableau92182[[#This Row],[Présente dans la malle]]</f>
        <v>0</v>
      </c>
      <c r="F8" s="5"/>
      <c r="H8" s="8">
        <f>Tableau92182[[#This Row],[Quantités acheté rajouté]]*Tableau92182[[#This Row],[CU du matos rajouté acheté]]</f>
        <v>0</v>
      </c>
    </row>
    <row r="9" spans="2:8" x14ac:dyDescent="0.25">
      <c r="E9" s="3">
        <f>Tableau92182[[#This Row],[Demande]]-Tableau92182[[#This Row],[Présente dans la malle]]</f>
        <v>0</v>
      </c>
      <c r="F9" s="5"/>
      <c r="H9" s="8">
        <f>Tableau92182[[#This Row],[Quantités acheté rajouté]]*Tableau92182[[#This Row],[CU du matos rajouté acheté]]</f>
        <v>0</v>
      </c>
    </row>
    <row r="10" spans="2:8" x14ac:dyDescent="0.25">
      <c r="E10" s="3">
        <f>Tableau92182[[#This Row],[Demande]]-Tableau92182[[#This Row],[Présente dans la malle]]</f>
        <v>0</v>
      </c>
      <c r="F10" s="5"/>
      <c r="H10" s="8">
        <f>Tableau92182[[#This Row],[Quantités acheté rajouté]]*Tableau92182[[#This Row],[CU du matos rajouté acheté]]</f>
        <v>0</v>
      </c>
    </row>
    <row r="11" spans="2:8" x14ac:dyDescent="0.25">
      <c r="E11" s="3">
        <f>Tableau92182[[#This Row],[Demande]]-Tableau92182[[#This Row],[Présente dans la malle]]</f>
        <v>0</v>
      </c>
      <c r="F11" s="5"/>
      <c r="H11" s="8">
        <f>Tableau92182[[#This Row],[Quantités acheté rajouté]]*Tableau92182[[#This Row],[CU du matos rajouté acheté]]</f>
        <v>0</v>
      </c>
    </row>
    <row r="12" spans="2:8" x14ac:dyDescent="0.25">
      <c r="E12" s="3">
        <f>Tableau92182[[#This Row],[Demande]]-Tableau92182[[#This Row],[Présente dans la malle]]</f>
        <v>0</v>
      </c>
      <c r="F12" s="5"/>
      <c r="H12" s="8">
        <f>Tableau92182[[#This Row],[Quantités acheté rajouté]]*Tableau92182[[#This Row],[CU du matos rajouté acheté]]</f>
        <v>0</v>
      </c>
    </row>
    <row r="13" spans="2:8" x14ac:dyDescent="0.25">
      <c r="E13" s="3">
        <f>Tableau92182[[#This Row],[Demande]]-Tableau92182[[#This Row],[Présente dans la malle]]</f>
        <v>0</v>
      </c>
      <c r="F13" s="5"/>
      <c r="H13" s="8">
        <f>Tableau92182[[#This Row],[Quantités acheté rajouté]]*Tableau92182[[#This Row],[CU du matos rajouté acheté]]</f>
        <v>0</v>
      </c>
    </row>
    <row r="14" spans="2:8" x14ac:dyDescent="0.25">
      <c r="E14" s="3">
        <f>Tableau92182[[#This Row],[Demande]]-Tableau92182[[#This Row],[Présente dans la malle]]</f>
        <v>0</v>
      </c>
      <c r="F14" s="5"/>
      <c r="H14" s="8">
        <f>Tableau92182[[#This Row],[Quantités acheté rajouté]]*Tableau92182[[#This Row],[CU du matos rajouté acheté]]</f>
        <v>0</v>
      </c>
    </row>
    <row r="15" spans="2:8" x14ac:dyDescent="0.25">
      <c r="E15" s="3">
        <f>Tableau92182[[#This Row],[Demande]]-Tableau92182[[#This Row],[Présente dans la malle]]</f>
        <v>0</v>
      </c>
      <c r="F15" s="7"/>
      <c r="G15" s="4"/>
      <c r="H15" s="8">
        <f>Tableau92182[[#This Row],[Quantités acheté rajouté]]*Tableau92182[[#This Row],[CU du matos rajouté acheté]]</f>
        <v>0</v>
      </c>
    </row>
    <row r="16" spans="2:8" x14ac:dyDescent="0.25">
      <c r="B16" t="s">
        <v>4</v>
      </c>
      <c r="C16">
        <f>SUM(Tableau92182[Présente dans la malle])</f>
        <v>3</v>
      </c>
      <c r="D16">
        <f>SUM(Tableau92182[Demande])</f>
        <v>0</v>
      </c>
      <c r="E16">
        <f>SUM(Tableau92182[Manque])</f>
        <v>-3</v>
      </c>
      <c r="F16" s="6">
        <f>SUM(Tableau92182[Quantités acheté rajouté])</f>
        <v>0</v>
      </c>
      <c r="G16" s="6"/>
      <c r="H16" s="10">
        <f>SUM(Tableau92182[CT])</f>
        <v>0</v>
      </c>
    </row>
    <row r="19" spans="2:8" x14ac:dyDescent="0.25">
      <c r="B19" t="s">
        <v>5</v>
      </c>
      <c r="C19" t="s">
        <v>0</v>
      </c>
      <c r="D19" t="s">
        <v>1</v>
      </c>
      <c r="E19" t="s">
        <v>2</v>
      </c>
      <c r="F19" s="2" t="s">
        <v>15</v>
      </c>
      <c r="G19" s="2" t="s">
        <v>11</v>
      </c>
      <c r="H19" s="2" t="s">
        <v>10</v>
      </c>
    </row>
    <row r="20" spans="2:8" x14ac:dyDescent="0.25">
      <c r="E20" s="3">
        <f>Tableau9296183[[#This Row],[Demande]]-Tableau9296183[[#This Row],[Présente dans la malle]]</f>
        <v>0</v>
      </c>
      <c r="F20" s="5"/>
      <c r="H20" s="8">
        <f>Tableau9296183[[#This Row],[Quantités acheté rajouté]]*Tableau9296183[[#This Row],[CU du matos rajouté acheté]]</f>
        <v>0</v>
      </c>
    </row>
    <row r="21" spans="2:8" x14ac:dyDescent="0.25">
      <c r="E21" s="3">
        <f>Tableau9296183[[#This Row],[Demande]]-Tableau9296183[[#This Row],[Présente dans la malle]]</f>
        <v>0</v>
      </c>
      <c r="F21" s="5"/>
      <c r="H21" s="8">
        <f>Tableau9296183[[#This Row],[Quantités acheté rajouté]]*Tableau9296183[[#This Row],[CU du matos rajouté acheté]]</f>
        <v>0</v>
      </c>
    </row>
    <row r="22" spans="2:8" x14ac:dyDescent="0.25">
      <c r="E22" s="3">
        <f>Tableau9296183[[#This Row],[Demande]]-Tableau9296183[[#This Row],[Présente dans la malle]]</f>
        <v>0</v>
      </c>
      <c r="F22" s="5"/>
      <c r="H22" s="8">
        <f>Tableau9296183[[#This Row],[Quantités acheté rajouté]]*Tableau9296183[[#This Row],[CU du matos rajouté acheté]]</f>
        <v>0</v>
      </c>
    </row>
    <row r="23" spans="2:8" x14ac:dyDescent="0.25">
      <c r="E23" s="3">
        <f>Tableau9296183[[#This Row],[Demande]]-Tableau9296183[[#This Row],[Présente dans la malle]]</f>
        <v>0</v>
      </c>
      <c r="F23" s="5"/>
      <c r="H23" s="8">
        <f>Tableau9296183[[#This Row],[Quantités acheté rajouté]]*Tableau9296183[[#This Row],[CU du matos rajouté acheté]]</f>
        <v>0</v>
      </c>
    </row>
    <row r="24" spans="2:8" x14ac:dyDescent="0.25">
      <c r="E24" s="3">
        <f>Tableau9296183[[#This Row],[Demande]]-Tableau9296183[[#This Row],[Présente dans la malle]]</f>
        <v>0</v>
      </c>
      <c r="F24" s="5"/>
      <c r="H24" s="8">
        <f>Tableau9296183[[#This Row],[Quantités acheté rajouté]]*Tableau9296183[[#This Row],[CU du matos rajouté acheté]]</f>
        <v>0</v>
      </c>
    </row>
    <row r="25" spans="2:8" x14ac:dyDescent="0.25">
      <c r="E25" s="3">
        <f>Tableau9296183[[#This Row],[Demande]]-Tableau9296183[[#This Row],[Présente dans la malle]]</f>
        <v>0</v>
      </c>
      <c r="F25" s="5"/>
      <c r="H25" s="8">
        <f>Tableau9296183[[#This Row],[Quantités acheté rajouté]]*Tableau9296183[[#This Row],[CU du matos rajouté acheté]]</f>
        <v>0</v>
      </c>
    </row>
    <row r="26" spans="2:8" x14ac:dyDescent="0.25">
      <c r="E26" s="3">
        <f>Tableau9296183[[#This Row],[Demande]]-Tableau9296183[[#This Row],[Présente dans la malle]]</f>
        <v>0</v>
      </c>
      <c r="F26" s="5"/>
      <c r="H26" s="8">
        <f>Tableau9296183[[#This Row],[Quantités acheté rajouté]]*Tableau9296183[[#This Row],[CU du matos rajouté acheté]]</f>
        <v>0</v>
      </c>
    </row>
    <row r="27" spans="2:8" x14ac:dyDescent="0.25">
      <c r="E27" s="3">
        <f>Tableau9296183[[#This Row],[Demande]]-Tableau9296183[[#This Row],[Présente dans la malle]]</f>
        <v>0</v>
      </c>
      <c r="F27" s="5"/>
      <c r="H27" s="8">
        <f>Tableau9296183[[#This Row],[Quantités acheté rajouté]]*Tableau9296183[[#This Row],[CU du matos rajouté acheté]]</f>
        <v>0</v>
      </c>
    </row>
    <row r="28" spans="2:8" x14ac:dyDescent="0.25">
      <c r="E28" s="3">
        <f>Tableau9296183[[#This Row],[Demande]]-Tableau9296183[[#This Row],[Présente dans la malle]]</f>
        <v>0</v>
      </c>
      <c r="F28" s="5"/>
      <c r="H28" s="8">
        <f>Tableau9296183[[#This Row],[Quantités acheté rajouté]]*Tableau9296183[[#This Row],[CU du matos rajouté acheté]]</f>
        <v>0</v>
      </c>
    </row>
    <row r="29" spans="2:8" x14ac:dyDescent="0.25">
      <c r="E29" s="3">
        <f>Tableau9296183[[#This Row],[Demande]]-Tableau9296183[[#This Row],[Présente dans la malle]]</f>
        <v>0</v>
      </c>
      <c r="F29" s="5"/>
      <c r="H29" s="8">
        <f>Tableau9296183[[#This Row],[Quantités acheté rajouté]]*Tableau9296183[[#This Row],[CU du matos rajouté acheté]]</f>
        <v>0</v>
      </c>
    </row>
    <row r="30" spans="2:8" x14ac:dyDescent="0.25">
      <c r="E30" s="3">
        <f>Tableau9296183[[#This Row],[Demande]]-Tableau9296183[[#This Row],[Présente dans la malle]]</f>
        <v>0</v>
      </c>
      <c r="F30" s="5"/>
      <c r="H30" s="8">
        <f>Tableau9296183[[#This Row],[Quantités acheté rajouté]]*Tableau9296183[[#This Row],[CU du matos rajouté acheté]]</f>
        <v>0</v>
      </c>
    </row>
    <row r="31" spans="2:8" x14ac:dyDescent="0.25">
      <c r="E31" s="3">
        <f>Tableau9296183[[#This Row],[Demande]]-Tableau9296183[[#This Row],[Présente dans la malle]]</f>
        <v>0</v>
      </c>
      <c r="F31" s="5"/>
      <c r="H31" s="8">
        <f>Tableau9296183[[#This Row],[Quantités acheté rajouté]]*Tableau9296183[[#This Row],[CU du matos rajouté acheté]]</f>
        <v>0</v>
      </c>
    </row>
    <row r="32" spans="2:8" x14ac:dyDescent="0.25">
      <c r="E32" s="3">
        <f>Tableau9296183[[#This Row],[Demande]]-Tableau9296183[[#This Row],[Présente dans la malle]]</f>
        <v>0</v>
      </c>
      <c r="F32" s="7"/>
      <c r="G32" s="4"/>
      <c r="H32" s="8">
        <f>Tableau9296183[[#This Row],[Quantités acheté rajouté]]*Tableau9296183[[#This Row],[CU du matos rajouté acheté]]</f>
        <v>0</v>
      </c>
    </row>
    <row r="33" spans="2:8" x14ac:dyDescent="0.25">
      <c r="B33" t="s">
        <v>4</v>
      </c>
      <c r="C33">
        <f>SUM(Tableau9296183[Présente dans la malle])</f>
        <v>0</v>
      </c>
      <c r="D33">
        <f>SUM(Tableau9296183[Demande])</f>
        <v>0</v>
      </c>
      <c r="E33">
        <f>SUM(Tableau9296183[Manque])</f>
        <v>0</v>
      </c>
      <c r="F33" s="6">
        <f>SUM(Tableau9296183[Quantités acheté rajouté])</f>
        <v>0</v>
      </c>
      <c r="G33" s="6"/>
      <c r="H33" s="2">
        <f>SUM(Tableau9296183[CT])</f>
        <v>0</v>
      </c>
    </row>
    <row r="35" spans="2:8" x14ac:dyDescent="0.25">
      <c r="H35" s="2"/>
    </row>
    <row r="36" spans="2:8" x14ac:dyDescent="0.25">
      <c r="B36" t="s">
        <v>6</v>
      </c>
      <c r="C36" t="s">
        <v>0</v>
      </c>
      <c r="D36" t="s">
        <v>1</v>
      </c>
      <c r="E36" t="s">
        <v>2</v>
      </c>
      <c r="F36" s="2" t="s">
        <v>15</v>
      </c>
      <c r="G36" s="2" t="s">
        <v>11</v>
      </c>
      <c r="H36" s="2" t="s">
        <v>10</v>
      </c>
    </row>
    <row r="37" spans="2:8" x14ac:dyDescent="0.25">
      <c r="E37" s="3">
        <f>Tableau9297184[[#This Row],[Demande]]-Tableau9297184[[#This Row],[Présente dans la malle]]</f>
        <v>0</v>
      </c>
      <c r="F37" s="5"/>
      <c r="H37" s="8">
        <f>Tableau9297184[[#This Row],[Quantités acheté rajouté]]*Tableau9297184[[#This Row],[CU du matos rajouté acheté]]</f>
        <v>0</v>
      </c>
    </row>
    <row r="38" spans="2:8" x14ac:dyDescent="0.25">
      <c r="E38" s="3">
        <f>Tableau9297184[[#This Row],[Demande]]-Tableau9297184[[#This Row],[Présente dans la malle]]</f>
        <v>0</v>
      </c>
      <c r="F38" s="5"/>
      <c r="H38" s="8">
        <f>Tableau9297184[[#This Row],[Quantités acheté rajouté]]*Tableau9297184[[#This Row],[CU du matos rajouté acheté]]</f>
        <v>0</v>
      </c>
    </row>
    <row r="39" spans="2:8" x14ac:dyDescent="0.25">
      <c r="E39" s="3">
        <f>Tableau9297184[[#This Row],[Demande]]-Tableau9297184[[#This Row],[Présente dans la malle]]</f>
        <v>0</v>
      </c>
      <c r="F39" s="5"/>
      <c r="H39" s="8">
        <f>Tableau9297184[[#This Row],[Quantités acheté rajouté]]*Tableau9297184[[#This Row],[CU du matos rajouté acheté]]</f>
        <v>0</v>
      </c>
    </row>
    <row r="40" spans="2:8" x14ac:dyDescent="0.25">
      <c r="E40" s="3">
        <f>Tableau9297184[[#This Row],[Demande]]-Tableau9297184[[#This Row],[Présente dans la malle]]</f>
        <v>0</v>
      </c>
      <c r="F40" s="5"/>
      <c r="H40" s="8">
        <f>Tableau9297184[[#This Row],[Quantités acheté rajouté]]*Tableau9297184[[#This Row],[CU du matos rajouté acheté]]</f>
        <v>0</v>
      </c>
    </row>
    <row r="41" spans="2:8" x14ac:dyDescent="0.25">
      <c r="E41" s="3">
        <f>Tableau9297184[[#This Row],[Demande]]-Tableau9297184[[#This Row],[Présente dans la malle]]</f>
        <v>0</v>
      </c>
      <c r="F41" s="5"/>
      <c r="H41" s="8">
        <f>Tableau9297184[[#This Row],[Quantités acheté rajouté]]*Tableau9297184[[#This Row],[CU du matos rajouté acheté]]</f>
        <v>0</v>
      </c>
    </row>
    <row r="42" spans="2:8" x14ac:dyDescent="0.25">
      <c r="E42" s="3">
        <f>Tableau9297184[[#This Row],[Demande]]-Tableau9297184[[#This Row],[Présente dans la malle]]</f>
        <v>0</v>
      </c>
      <c r="F42" s="5"/>
      <c r="H42" s="8">
        <f>Tableau9297184[[#This Row],[Quantités acheté rajouté]]*Tableau9297184[[#This Row],[CU du matos rajouté acheté]]</f>
        <v>0</v>
      </c>
    </row>
    <row r="43" spans="2:8" x14ac:dyDescent="0.25">
      <c r="E43" s="3">
        <f>Tableau9297184[[#This Row],[Demande]]-Tableau9297184[[#This Row],[Présente dans la malle]]</f>
        <v>0</v>
      </c>
      <c r="F43" s="5"/>
      <c r="H43" s="8">
        <f>Tableau9297184[[#This Row],[Quantités acheté rajouté]]*Tableau9297184[[#This Row],[CU du matos rajouté acheté]]</f>
        <v>0</v>
      </c>
    </row>
    <row r="44" spans="2:8" x14ac:dyDescent="0.25">
      <c r="E44" s="3">
        <f>Tableau9297184[[#This Row],[Demande]]-Tableau9297184[[#This Row],[Présente dans la malle]]</f>
        <v>0</v>
      </c>
      <c r="F44" s="5"/>
      <c r="H44" s="8">
        <f>Tableau9297184[[#This Row],[Quantités acheté rajouté]]*Tableau9297184[[#This Row],[CU du matos rajouté acheté]]</f>
        <v>0</v>
      </c>
    </row>
    <row r="45" spans="2:8" x14ac:dyDescent="0.25">
      <c r="E45" s="3">
        <f>Tableau9297184[[#This Row],[Demande]]-Tableau9297184[[#This Row],[Présente dans la malle]]</f>
        <v>0</v>
      </c>
      <c r="F45" s="5"/>
      <c r="H45" s="8">
        <f>Tableau9297184[[#This Row],[Quantités acheté rajouté]]*Tableau9297184[[#This Row],[CU du matos rajouté acheté]]</f>
        <v>0</v>
      </c>
    </row>
    <row r="46" spans="2:8" x14ac:dyDescent="0.25">
      <c r="E46" s="3">
        <f>Tableau9297184[[#This Row],[Demande]]-Tableau9297184[[#This Row],[Présente dans la malle]]</f>
        <v>0</v>
      </c>
      <c r="F46" s="5"/>
      <c r="H46" s="8">
        <f>Tableau9297184[[#This Row],[Quantités acheté rajouté]]*Tableau9297184[[#This Row],[CU du matos rajouté acheté]]</f>
        <v>0</v>
      </c>
    </row>
    <row r="47" spans="2:8" x14ac:dyDescent="0.25">
      <c r="E47" s="3">
        <f>Tableau9297184[[#This Row],[Demande]]-Tableau9297184[[#This Row],[Présente dans la malle]]</f>
        <v>0</v>
      </c>
      <c r="F47" s="5"/>
      <c r="H47" s="8">
        <f>Tableau9297184[[#This Row],[Quantités acheté rajouté]]*Tableau9297184[[#This Row],[CU du matos rajouté acheté]]</f>
        <v>0</v>
      </c>
    </row>
    <row r="48" spans="2:8" x14ac:dyDescent="0.25">
      <c r="E48" s="3">
        <f>Tableau9297184[[#This Row],[Demande]]-Tableau9297184[[#This Row],[Présente dans la malle]]</f>
        <v>0</v>
      </c>
      <c r="F48" s="5"/>
      <c r="H48" s="8">
        <f>Tableau9297184[[#This Row],[Quantités acheté rajouté]]*Tableau9297184[[#This Row],[CU du matos rajouté acheté]]</f>
        <v>0</v>
      </c>
    </row>
    <row r="49" spans="2:8" x14ac:dyDescent="0.25">
      <c r="E49" s="3">
        <f>Tableau9297184[[#This Row],[Demande]]-Tableau9297184[[#This Row],[Présente dans la malle]]</f>
        <v>0</v>
      </c>
      <c r="F49" s="7"/>
      <c r="G49" s="4"/>
      <c r="H49" s="8">
        <f>Tableau9297184[[#This Row],[Quantités acheté rajouté]]*Tableau9297184[[#This Row],[CU du matos rajouté acheté]]</f>
        <v>0</v>
      </c>
    </row>
    <row r="50" spans="2:8" x14ac:dyDescent="0.25">
      <c r="B50" t="s">
        <v>4</v>
      </c>
      <c r="C50">
        <f>SUM(Tableau9297184[Présente dans la malle])</f>
        <v>0</v>
      </c>
      <c r="D50">
        <f>SUM(Tableau9297184[Demande])</f>
        <v>0</v>
      </c>
      <c r="E50">
        <f>SUM(Tableau9297184[Manque])</f>
        <v>0</v>
      </c>
      <c r="F50" s="6">
        <f>SUM(Tableau9297184[Quantités acheté rajouté])</f>
        <v>0</v>
      </c>
      <c r="G50" s="6"/>
      <c r="H50" s="2">
        <f>SUM(Tableau9297184[CT])</f>
        <v>0</v>
      </c>
    </row>
  </sheetData>
  <conditionalFormatting sqref="E3:E15">
    <cfRule type="cellIs" dxfId="311" priority="10" operator="equal">
      <formula>0</formula>
    </cfRule>
    <cfRule type="cellIs" dxfId="310" priority="11" operator="lessThan">
      <formula>0</formula>
    </cfRule>
    <cfRule type="cellIs" dxfId="309" priority="12" operator="greaterThan">
      <formula>0</formula>
    </cfRule>
  </conditionalFormatting>
  <conditionalFormatting sqref="E16">
    <cfRule type="cellIs" dxfId="308" priority="9" operator="equal">
      <formula>0</formula>
    </cfRule>
  </conditionalFormatting>
  <conditionalFormatting sqref="E50">
    <cfRule type="cellIs" dxfId="307" priority="1" operator="equal">
      <formula>0</formula>
    </cfRule>
  </conditionalFormatting>
  <conditionalFormatting sqref="E20:E32">
    <cfRule type="cellIs" dxfId="306" priority="6" operator="equal">
      <formula>0</formula>
    </cfRule>
    <cfRule type="cellIs" dxfId="305" priority="7" operator="lessThan">
      <formula>0</formula>
    </cfRule>
    <cfRule type="cellIs" dxfId="304" priority="8" operator="greaterThan">
      <formula>0</formula>
    </cfRule>
  </conditionalFormatting>
  <conditionalFormatting sqref="E33">
    <cfRule type="cellIs" dxfId="303" priority="5" operator="equal">
      <formula>0</formula>
    </cfRule>
  </conditionalFormatting>
  <conditionalFormatting sqref="E37:E49">
    <cfRule type="cellIs" dxfId="302" priority="2" operator="equal">
      <formula>0</formula>
    </cfRule>
    <cfRule type="cellIs" dxfId="301" priority="3" operator="lessThan">
      <formula>0</formula>
    </cfRule>
    <cfRule type="cellIs" dxfId="300" priority="4" operator="greaterThan">
      <formula>0</formula>
    </cfRule>
  </conditionalFormatting>
  <dataValidations count="7">
    <dataValidation allowBlank="1" showInputMessage="1" showErrorMessage="1" prompt="CT = Cout total" sqref="H35:H36 H2 H19" xr:uid="{1FE3D808-B737-4950-AB25-AF935685601C}"/>
    <dataValidation allowBlank="1" showInputMessage="1" showErrorMessage="1" prompt="CU = Cout unitaire" sqref="F35:G36 F2:G2 F19:G19" xr:uid="{DAE187B9-C44C-486D-91FD-7D1B9738AFF0}"/>
    <dataValidation allowBlank="1" showInputMessage="1" showErrorMessage="1" prompt="Quantité acheté rajouté * CU" sqref="H3 H20 H37" xr:uid="{B8673526-F937-455B-9AE2-66DEE3A26D97}"/>
    <dataValidation allowBlank="1" showInputMessage="1" showErrorMessage="1" prompt="Insérez la quantité demandé" sqref="D11:D14 D3:D9 D28:D31 D20:D26 D45:D48 D37:D43" xr:uid="{3B719BC1-F6D0-4AF6-9DAF-5C50D96020F0}"/>
    <dataValidation allowBlank="1" showInputMessage="1" showErrorMessage="1" prompt="Insérez la quantité présente dans les malles" sqref="C11:C14 C3:C9 C28:C31 C20:C26 C45:C48 C37:C43" xr:uid="{421BB90C-0C3E-49C2-A094-40F45BC20B42}"/>
    <dataValidation allowBlank="1" showInputMessage="1" showErrorMessage="1" prompt="Si VERT_x000a_La fourniture est bien présente et la quantité est bonne_x000a_Si ROUGE_x000a_+ : Il faut rajouter la quantité de fourniture_x000a_- : Il faut enlevé la quantité de fourniture en trop_x000a_" sqref="E20:E32 E3:E15 E37:E49" xr:uid="{57E28761-9C7D-4ED0-8BBF-D7491E03081B}"/>
    <dataValidation type="list" allowBlank="1" showInputMessage="1" showErrorMessage="1" prompt="Insérez la fourniture désiré" sqref="B37:B48 B20:B31 B5:B14" xr:uid="{750E5F0F-E6C9-46BC-BDF9-21C1CF7AB624}">
      <formula1>Fournitures</formula1>
    </dataValidation>
  </dataValidations>
  <pageMargins left="0.7" right="0.7" top="0.75" bottom="0.75" header="0.3" footer="0.3"/>
  <tableParts count="3">
    <tablePart r:id="rId1"/>
    <tablePart r:id="rId2"/>
    <tablePart r:id="rId3"/>
  </tableParts>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B3008FA-C0D7-45BA-AF49-A8FCD9432624}">
  <dimension ref="B2:H50"/>
  <sheetViews>
    <sheetView workbookViewId="0">
      <selection activeCell="B1" sqref="B1:H1048576"/>
    </sheetView>
  </sheetViews>
  <sheetFormatPr baseColWidth="10" defaultRowHeight="15" x14ac:dyDescent="0.25"/>
  <cols>
    <col min="2" max="2" width="24.42578125" customWidth="1"/>
    <col min="3" max="3" width="23.140625" customWidth="1"/>
    <col min="4" max="4" width="11.7109375" customWidth="1"/>
    <col min="6" max="6" width="26.5703125" style="2" customWidth="1"/>
    <col min="7" max="7" width="28.28515625" style="2" customWidth="1"/>
  </cols>
  <sheetData>
    <row r="2" spans="2:8" x14ac:dyDescent="0.25">
      <c r="B2" t="s">
        <v>7</v>
      </c>
      <c r="C2" t="s">
        <v>0</v>
      </c>
      <c r="D2" t="s">
        <v>1</v>
      </c>
      <c r="E2" t="s">
        <v>2</v>
      </c>
      <c r="F2" s="2" t="s">
        <v>15</v>
      </c>
      <c r="G2" s="2" t="s">
        <v>11</v>
      </c>
      <c r="H2" s="2" t="s">
        <v>10</v>
      </c>
    </row>
    <row r="3" spans="2:8" x14ac:dyDescent="0.25">
      <c r="E3" s="3">
        <f>Tableau92194[[#This Row],[Demande]]-Tableau92194[[#This Row],[Présente dans la malle]]</f>
        <v>0</v>
      </c>
      <c r="F3" s="5"/>
      <c r="H3" s="8">
        <f>Tableau92194[[#This Row],[Quantités acheté rajouté]]*Tableau92194[[#This Row],[CU du matos rajouté acheté]]</f>
        <v>0</v>
      </c>
    </row>
    <row r="4" spans="2:8" x14ac:dyDescent="0.25">
      <c r="E4" s="3">
        <f>Tableau92194[[#This Row],[Demande]]-Tableau92194[[#This Row],[Présente dans la malle]]</f>
        <v>0</v>
      </c>
      <c r="F4" s="5"/>
      <c r="H4" s="8">
        <f>Tableau92194[[#This Row],[Quantités acheté rajouté]]*Tableau92194[[#This Row],[CU du matos rajouté acheté]]</f>
        <v>0</v>
      </c>
    </row>
    <row r="5" spans="2:8" x14ac:dyDescent="0.25">
      <c r="E5" s="3">
        <f>Tableau92194[[#This Row],[Demande]]-Tableau92194[[#This Row],[Présente dans la malle]]</f>
        <v>0</v>
      </c>
      <c r="F5" s="5"/>
      <c r="H5" s="8">
        <f>Tableau92194[[#This Row],[Quantités acheté rajouté]]*Tableau92194[[#This Row],[CU du matos rajouté acheté]]</f>
        <v>0</v>
      </c>
    </row>
    <row r="6" spans="2:8" x14ac:dyDescent="0.25">
      <c r="E6" s="3">
        <f>Tableau92194[[#This Row],[Demande]]-Tableau92194[[#This Row],[Présente dans la malle]]</f>
        <v>0</v>
      </c>
      <c r="F6" s="5"/>
      <c r="H6" s="8">
        <f>Tableau92194[[#This Row],[Quantités acheté rajouté]]*Tableau92194[[#This Row],[CU du matos rajouté acheté]]</f>
        <v>0</v>
      </c>
    </row>
    <row r="7" spans="2:8" x14ac:dyDescent="0.25">
      <c r="E7" s="3">
        <f>Tableau92194[[#This Row],[Demande]]-Tableau92194[[#This Row],[Présente dans la malle]]</f>
        <v>0</v>
      </c>
      <c r="F7" s="5"/>
      <c r="H7" s="8">
        <f>Tableau92194[[#This Row],[Quantités acheté rajouté]]*Tableau92194[[#This Row],[CU du matos rajouté acheté]]</f>
        <v>0</v>
      </c>
    </row>
    <row r="8" spans="2:8" x14ac:dyDescent="0.25">
      <c r="E8" s="3">
        <f>Tableau92194[[#This Row],[Demande]]-Tableau92194[[#This Row],[Présente dans la malle]]</f>
        <v>0</v>
      </c>
      <c r="F8" s="5"/>
      <c r="H8" s="8">
        <f>Tableau92194[[#This Row],[Quantités acheté rajouté]]*Tableau92194[[#This Row],[CU du matos rajouté acheté]]</f>
        <v>0</v>
      </c>
    </row>
    <row r="9" spans="2:8" x14ac:dyDescent="0.25">
      <c r="E9" s="3">
        <f>Tableau92194[[#This Row],[Demande]]-Tableau92194[[#This Row],[Présente dans la malle]]</f>
        <v>0</v>
      </c>
      <c r="F9" s="5"/>
      <c r="H9" s="8">
        <f>Tableau92194[[#This Row],[Quantités acheté rajouté]]*Tableau92194[[#This Row],[CU du matos rajouté acheté]]</f>
        <v>0</v>
      </c>
    </row>
    <row r="10" spans="2:8" x14ac:dyDescent="0.25">
      <c r="E10" s="3">
        <f>Tableau92194[[#This Row],[Demande]]-Tableau92194[[#This Row],[Présente dans la malle]]</f>
        <v>0</v>
      </c>
      <c r="F10" s="5"/>
      <c r="H10" s="8">
        <f>Tableau92194[[#This Row],[Quantités acheté rajouté]]*Tableau92194[[#This Row],[CU du matos rajouté acheté]]</f>
        <v>0</v>
      </c>
    </row>
    <row r="11" spans="2:8" x14ac:dyDescent="0.25">
      <c r="E11" s="3">
        <f>Tableau92194[[#This Row],[Demande]]-Tableau92194[[#This Row],[Présente dans la malle]]</f>
        <v>0</v>
      </c>
      <c r="F11" s="5"/>
      <c r="H11" s="8">
        <f>Tableau92194[[#This Row],[Quantités acheté rajouté]]*Tableau92194[[#This Row],[CU du matos rajouté acheté]]</f>
        <v>0</v>
      </c>
    </row>
    <row r="12" spans="2:8" x14ac:dyDescent="0.25">
      <c r="E12" s="3">
        <f>Tableau92194[[#This Row],[Demande]]-Tableau92194[[#This Row],[Présente dans la malle]]</f>
        <v>0</v>
      </c>
      <c r="F12" s="5"/>
      <c r="H12" s="8">
        <f>Tableau92194[[#This Row],[Quantités acheté rajouté]]*Tableau92194[[#This Row],[CU du matos rajouté acheté]]</f>
        <v>0</v>
      </c>
    </row>
    <row r="13" spans="2:8" x14ac:dyDescent="0.25">
      <c r="E13" s="3">
        <f>Tableau92194[[#This Row],[Demande]]-Tableau92194[[#This Row],[Présente dans la malle]]</f>
        <v>0</v>
      </c>
      <c r="F13" s="5"/>
      <c r="H13" s="8">
        <f>Tableau92194[[#This Row],[Quantités acheté rajouté]]*Tableau92194[[#This Row],[CU du matos rajouté acheté]]</f>
        <v>0</v>
      </c>
    </row>
    <row r="14" spans="2:8" x14ac:dyDescent="0.25">
      <c r="E14" s="3">
        <f>Tableau92194[[#This Row],[Demande]]-Tableau92194[[#This Row],[Présente dans la malle]]</f>
        <v>0</v>
      </c>
      <c r="F14" s="5"/>
      <c r="H14" s="8">
        <f>Tableau92194[[#This Row],[Quantités acheté rajouté]]*Tableau92194[[#This Row],[CU du matos rajouté acheté]]</f>
        <v>0</v>
      </c>
    </row>
    <row r="15" spans="2:8" x14ac:dyDescent="0.25">
      <c r="E15" s="3">
        <f>Tableau92194[[#This Row],[Demande]]-Tableau92194[[#This Row],[Présente dans la malle]]</f>
        <v>0</v>
      </c>
      <c r="F15" s="7"/>
      <c r="G15" s="4"/>
      <c r="H15" s="8">
        <f>Tableau92194[[#This Row],[Quantités acheté rajouté]]*Tableau92194[[#This Row],[CU du matos rajouté acheté]]</f>
        <v>0</v>
      </c>
    </row>
    <row r="16" spans="2:8" x14ac:dyDescent="0.25">
      <c r="B16" t="s">
        <v>4</v>
      </c>
      <c r="C16">
        <f>SUM(Tableau92194[Présente dans la malle])</f>
        <v>0</v>
      </c>
      <c r="D16">
        <f>SUM(Tableau92194[Demande])</f>
        <v>0</v>
      </c>
      <c r="E16">
        <f>SUM(Tableau92194[Manque])</f>
        <v>0</v>
      </c>
      <c r="F16" s="6">
        <f>SUM(Tableau92194[Quantités acheté rajouté])</f>
        <v>0</v>
      </c>
      <c r="G16" s="6"/>
      <c r="H16" s="2">
        <f>SUM(Tableau92194[CT])</f>
        <v>0</v>
      </c>
    </row>
    <row r="19" spans="2:8" x14ac:dyDescent="0.25">
      <c r="B19" t="s">
        <v>5</v>
      </c>
      <c r="C19" t="s">
        <v>0</v>
      </c>
      <c r="D19" t="s">
        <v>1</v>
      </c>
      <c r="E19" t="s">
        <v>2</v>
      </c>
      <c r="F19" s="2" t="s">
        <v>15</v>
      </c>
      <c r="G19" s="2" t="s">
        <v>11</v>
      </c>
      <c r="H19" s="2" t="s">
        <v>10</v>
      </c>
    </row>
    <row r="20" spans="2:8" x14ac:dyDescent="0.25">
      <c r="E20" s="3">
        <f>Tableau9296195[[#This Row],[Demande]]-Tableau9296195[[#This Row],[Présente dans la malle]]</f>
        <v>0</v>
      </c>
      <c r="F20" s="5"/>
      <c r="H20" s="8">
        <f>Tableau9296195[[#This Row],[Quantités acheté rajouté]]*Tableau9296195[[#This Row],[CU du matos rajouté acheté]]</f>
        <v>0</v>
      </c>
    </row>
    <row r="21" spans="2:8" x14ac:dyDescent="0.25">
      <c r="E21" s="3">
        <f>Tableau9296195[[#This Row],[Demande]]-Tableau9296195[[#This Row],[Présente dans la malle]]</f>
        <v>0</v>
      </c>
      <c r="F21" s="5"/>
      <c r="H21" s="8">
        <f>Tableau9296195[[#This Row],[Quantités acheté rajouté]]*Tableau9296195[[#This Row],[CU du matos rajouté acheté]]</f>
        <v>0</v>
      </c>
    </row>
    <row r="22" spans="2:8" x14ac:dyDescent="0.25">
      <c r="E22" s="3">
        <f>Tableau9296195[[#This Row],[Demande]]-Tableau9296195[[#This Row],[Présente dans la malle]]</f>
        <v>0</v>
      </c>
      <c r="F22" s="5"/>
      <c r="H22" s="8">
        <f>Tableau9296195[[#This Row],[Quantités acheté rajouté]]*Tableau9296195[[#This Row],[CU du matos rajouté acheté]]</f>
        <v>0</v>
      </c>
    </row>
    <row r="23" spans="2:8" x14ac:dyDescent="0.25">
      <c r="E23" s="3">
        <f>Tableau9296195[[#This Row],[Demande]]-Tableau9296195[[#This Row],[Présente dans la malle]]</f>
        <v>0</v>
      </c>
      <c r="F23" s="5"/>
      <c r="H23" s="8">
        <f>Tableau9296195[[#This Row],[Quantités acheté rajouté]]*Tableau9296195[[#This Row],[CU du matos rajouté acheté]]</f>
        <v>0</v>
      </c>
    </row>
    <row r="24" spans="2:8" x14ac:dyDescent="0.25">
      <c r="E24" s="3">
        <f>Tableau9296195[[#This Row],[Demande]]-Tableau9296195[[#This Row],[Présente dans la malle]]</f>
        <v>0</v>
      </c>
      <c r="F24" s="5"/>
      <c r="H24" s="8">
        <f>Tableau9296195[[#This Row],[Quantités acheté rajouté]]*Tableau9296195[[#This Row],[CU du matos rajouté acheté]]</f>
        <v>0</v>
      </c>
    </row>
    <row r="25" spans="2:8" x14ac:dyDescent="0.25">
      <c r="E25" s="3">
        <f>Tableau9296195[[#This Row],[Demande]]-Tableau9296195[[#This Row],[Présente dans la malle]]</f>
        <v>0</v>
      </c>
      <c r="F25" s="5"/>
      <c r="H25" s="8">
        <f>Tableau9296195[[#This Row],[Quantités acheté rajouté]]*Tableau9296195[[#This Row],[CU du matos rajouté acheté]]</f>
        <v>0</v>
      </c>
    </row>
    <row r="26" spans="2:8" x14ac:dyDescent="0.25">
      <c r="E26" s="3">
        <f>Tableau9296195[[#This Row],[Demande]]-Tableau9296195[[#This Row],[Présente dans la malle]]</f>
        <v>0</v>
      </c>
      <c r="F26" s="5"/>
      <c r="H26" s="8">
        <f>Tableau9296195[[#This Row],[Quantités acheté rajouté]]*Tableau9296195[[#This Row],[CU du matos rajouté acheté]]</f>
        <v>0</v>
      </c>
    </row>
    <row r="27" spans="2:8" x14ac:dyDescent="0.25">
      <c r="E27" s="3">
        <f>Tableau9296195[[#This Row],[Demande]]-Tableau9296195[[#This Row],[Présente dans la malle]]</f>
        <v>0</v>
      </c>
      <c r="F27" s="5"/>
      <c r="H27" s="8">
        <f>Tableau9296195[[#This Row],[Quantités acheté rajouté]]*Tableau9296195[[#This Row],[CU du matos rajouté acheté]]</f>
        <v>0</v>
      </c>
    </row>
    <row r="28" spans="2:8" x14ac:dyDescent="0.25">
      <c r="E28" s="3">
        <f>Tableau9296195[[#This Row],[Demande]]-Tableau9296195[[#This Row],[Présente dans la malle]]</f>
        <v>0</v>
      </c>
      <c r="F28" s="5"/>
      <c r="H28" s="8">
        <f>Tableau9296195[[#This Row],[Quantités acheté rajouté]]*Tableau9296195[[#This Row],[CU du matos rajouté acheté]]</f>
        <v>0</v>
      </c>
    </row>
    <row r="29" spans="2:8" x14ac:dyDescent="0.25">
      <c r="E29" s="3">
        <f>Tableau9296195[[#This Row],[Demande]]-Tableau9296195[[#This Row],[Présente dans la malle]]</f>
        <v>0</v>
      </c>
      <c r="F29" s="5"/>
      <c r="H29" s="8">
        <f>Tableau9296195[[#This Row],[Quantités acheté rajouté]]*Tableau9296195[[#This Row],[CU du matos rajouté acheté]]</f>
        <v>0</v>
      </c>
    </row>
    <row r="30" spans="2:8" x14ac:dyDescent="0.25">
      <c r="E30" s="3">
        <f>Tableau9296195[[#This Row],[Demande]]-Tableau9296195[[#This Row],[Présente dans la malle]]</f>
        <v>0</v>
      </c>
      <c r="F30" s="5"/>
      <c r="H30" s="8">
        <f>Tableau9296195[[#This Row],[Quantités acheté rajouté]]*Tableau9296195[[#This Row],[CU du matos rajouté acheté]]</f>
        <v>0</v>
      </c>
    </row>
    <row r="31" spans="2:8" x14ac:dyDescent="0.25">
      <c r="E31" s="3">
        <f>Tableau9296195[[#This Row],[Demande]]-Tableau9296195[[#This Row],[Présente dans la malle]]</f>
        <v>0</v>
      </c>
      <c r="F31" s="5"/>
      <c r="H31" s="8">
        <f>Tableau9296195[[#This Row],[Quantités acheté rajouté]]*Tableau9296195[[#This Row],[CU du matos rajouté acheté]]</f>
        <v>0</v>
      </c>
    </row>
    <row r="32" spans="2:8" x14ac:dyDescent="0.25">
      <c r="E32" s="3">
        <f>Tableau9296195[[#This Row],[Demande]]-Tableau9296195[[#This Row],[Présente dans la malle]]</f>
        <v>0</v>
      </c>
      <c r="F32" s="7"/>
      <c r="G32" s="4"/>
      <c r="H32" s="8">
        <f>Tableau9296195[[#This Row],[Quantités acheté rajouté]]*Tableau9296195[[#This Row],[CU du matos rajouté acheté]]</f>
        <v>0</v>
      </c>
    </row>
    <row r="33" spans="2:8" x14ac:dyDescent="0.25">
      <c r="B33" t="s">
        <v>4</v>
      </c>
      <c r="C33">
        <f>SUM(Tableau9296195[Présente dans la malle])</f>
        <v>0</v>
      </c>
      <c r="D33">
        <f>SUM(Tableau9296195[Demande])</f>
        <v>0</v>
      </c>
      <c r="E33">
        <f>SUM(Tableau9296195[Manque])</f>
        <v>0</v>
      </c>
      <c r="F33" s="6">
        <f>SUM(Tableau9296195[Quantités acheté rajouté])</f>
        <v>0</v>
      </c>
      <c r="G33" s="6"/>
      <c r="H33" s="2">
        <f>SUM(Tableau9296195[CT])</f>
        <v>0</v>
      </c>
    </row>
    <row r="35" spans="2:8" x14ac:dyDescent="0.25">
      <c r="H35" s="2"/>
    </row>
    <row r="36" spans="2:8" x14ac:dyDescent="0.25">
      <c r="B36" t="s">
        <v>6</v>
      </c>
      <c r="C36" t="s">
        <v>0</v>
      </c>
      <c r="D36" t="s">
        <v>1</v>
      </c>
      <c r="E36" t="s">
        <v>2</v>
      </c>
      <c r="F36" s="2" t="s">
        <v>15</v>
      </c>
      <c r="G36" s="2" t="s">
        <v>11</v>
      </c>
      <c r="H36" s="2" t="s">
        <v>10</v>
      </c>
    </row>
    <row r="37" spans="2:8" x14ac:dyDescent="0.25">
      <c r="E37" s="3">
        <f>Tableau9297196[[#This Row],[Demande]]-Tableau9297196[[#This Row],[Présente dans la malle]]</f>
        <v>0</v>
      </c>
      <c r="F37" s="5"/>
      <c r="H37" s="8">
        <f>Tableau9297196[[#This Row],[Quantités acheté rajouté]]*Tableau9297196[[#This Row],[CU du matos rajouté acheté]]</f>
        <v>0</v>
      </c>
    </row>
    <row r="38" spans="2:8" x14ac:dyDescent="0.25">
      <c r="E38" s="3">
        <f>Tableau9297196[[#This Row],[Demande]]-Tableau9297196[[#This Row],[Présente dans la malle]]</f>
        <v>0</v>
      </c>
      <c r="F38" s="5"/>
      <c r="H38" s="8">
        <f>Tableau9297196[[#This Row],[Quantités acheté rajouté]]*Tableau9297196[[#This Row],[CU du matos rajouté acheté]]</f>
        <v>0</v>
      </c>
    </row>
    <row r="39" spans="2:8" x14ac:dyDescent="0.25">
      <c r="E39" s="3">
        <f>Tableau9297196[[#This Row],[Demande]]-Tableau9297196[[#This Row],[Présente dans la malle]]</f>
        <v>0</v>
      </c>
      <c r="F39" s="5"/>
      <c r="H39" s="8">
        <f>Tableau9297196[[#This Row],[Quantités acheté rajouté]]*Tableau9297196[[#This Row],[CU du matos rajouté acheté]]</f>
        <v>0</v>
      </c>
    </row>
    <row r="40" spans="2:8" x14ac:dyDescent="0.25">
      <c r="E40" s="3">
        <f>Tableau9297196[[#This Row],[Demande]]-Tableau9297196[[#This Row],[Présente dans la malle]]</f>
        <v>0</v>
      </c>
      <c r="F40" s="5"/>
      <c r="H40" s="8">
        <f>Tableau9297196[[#This Row],[Quantités acheté rajouté]]*Tableau9297196[[#This Row],[CU du matos rajouté acheté]]</f>
        <v>0</v>
      </c>
    </row>
    <row r="41" spans="2:8" x14ac:dyDescent="0.25">
      <c r="E41" s="3">
        <f>Tableau9297196[[#This Row],[Demande]]-Tableau9297196[[#This Row],[Présente dans la malle]]</f>
        <v>0</v>
      </c>
      <c r="F41" s="5"/>
      <c r="H41" s="8">
        <f>Tableau9297196[[#This Row],[Quantités acheté rajouté]]*Tableau9297196[[#This Row],[CU du matos rajouté acheté]]</f>
        <v>0</v>
      </c>
    </row>
    <row r="42" spans="2:8" x14ac:dyDescent="0.25">
      <c r="E42" s="3">
        <f>Tableau9297196[[#This Row],[Demande]]-Tableau9297196[[#This Row],[Présente dans la malle]]</f>
        <v>0</v>
      </c>
      <c r="F42" s="5"/>
      <c r="H42" s="8">
        <f>Tableau9297196[[#This Row],[Quantités acheté rajouté]]*Tableau9297196[[#This Row],[CU du matos rajouté acheté]]</f>
        <v>0</v>
      </c>
    </row>
    <row r="43" spans="2:8" x14ac:dyDescent="0.25">
      <c r="E43" s="3">
        <f>Tableau9297196[[#This Row],[Demande]]-Tableau9297196[[#This Row],[Présente dans la malle]]</f>
        <v>0</v>
      </c>
      <c r="F43" s="5"/>
      <c r="H43" s="8">
        <f>Tableau9297196[[#This Row],[Quantités acheté rajouté]]*Tableau9297196[[#This Row],[CU du matos rajouté acheté]]</f>
        <v>0</v>
      </c>
    </row>
    <row r="44" spans="2:8" x14ac:dyDescent="0.25">
      <c r="E44" s="3">
        <f>Tableau9297196[[#This Row],[Demande]]-Tableau9297196[[#This Row],[Présente dans la malle]]</f>
        <v>0</v>
      </c>
      <c r="F44" s="5"/>
      <c r="H44" s="8">
        <f>Tableau9297196[[#This Row],[Quantités acheté rajouté]]*Tableau9297196[[#This Row],[CU du matos rajouté acheté]]</f>
        <v>0</v>
      </c>
    </row>
    <row r="45" spans="2:8" x14ac:dyDescent="0.25">
      <c r="E45" s="3">
        <f>Tableau9297196[[#This Row],[Demande]]-Tableau9297196[[#This Row],[Présente dans la malle]]</f>
        <v>0</v>
      </c>
      <c r="F45" s="5"/>
      <c r="H45" s="8">
        <f>Tableau9297196[[#This Row],[Quantités acheté rajouté]]*Tableau9297196[[#This Row],[CU du matos rajouté acheté]]</f>
        <v>0</v>
      </c>
    </row>
    <row r="46" spans="2:8" x14ac:dyDescent="0.25">
      <c r="E46" s="3">
        <f>Tableau9297196[[#This Row],[Demande]]-Tableau9297196[[#This Row],[Présente dans la malle]]</f>
        <v>0</v>
      </c>
      <c r="F46" s="5"/>
      <c r="H46" s="8">
        <f>Tableau9297196[[#This Row],[Quantités acheté rajouté]]*Tableau9297196[[#This Row],[CU du matos rajouté acheté]]</f>
        <v>0</v>
      </c>
    </row>
    <row r="47" spans="2:8" x14ac:dyDescent="0.25">
      <c r="E47" s="3">
        <f>Tableau9297196[[#This Row],[Demande]]-Tableau9297196[[#This Row],[Présente dans la malle]]</f>
        <v>0</v>
      </c>
      <c r="F47" s="5"/>
      <c r="H47" s="8">
        <f>Tableau9297196[[#This Row],[Quantités acheté rajouté]]*Tableau9297196[[#This Row],[CU du matos rajouté acheté]]</f>
        <v>0</v>
      </c>
    </row>
    <row r="48" spans="2:8" x14ac:dyDescent="0.25">
      <c r="E48" s="3">
        <f>Tableau9297196[[#This Row],[Demande]]-Tableau9297196[[#This Row],[Présente dans la malle]]</f>
        <v>0</v>
      </c>
      <c r="F48" s="5"/>
      <c r="H48" s="8">
        <f>Tableau9297196[[#This Row],[Quantités acheté rajouté]]*Tableau9297196[[#This Row],[CU du matos rajouté acheté]]</f>
        <v>0</v>
      </c>
    </row>
    <row r="49" spans="2:8" x14ac:dyDescent="0.25">
      <c r="E49" s="3">
        <f>Tableau9297196[[#This Row],[Demande]]-Tableau9297196[[#This Row],[Présente dans la malle]]</f>
        <v>0</v>
      </c>
      <c r="F49" s="7"/>
      <c r="G49" s="4"/>
      <c r="H49" s="8">
        <f>Tableau9297196[[#This Row],[Quantités acheté rajouté]]*Tableau9297196[[#This Row],[CU du matos rajouté acheté]]</f>
        <v>0</v>
      </c>
    </row>
    <row r="50" spans="2:8" x14ac:dyDescent="0.25">
      <c r="B50" t="s">
        <v>4</v>
      </c>
      <c r="C50">
        <f>SUM(Tableau9297196[Présente dans la malle])</f>
        <v>0</v>
      </c>
      <c r="D50">
        <f>SUM(Tableau9297196[Demande])</f>
        <v>0</v>
      </c>
      <c r="E50">
        <f>SUM(Tableau9297196[Manque])</f>
        <v>0</v>
      </c>
      <c r="F50" s="6">
        <f>SUM(Tableau9297196[Quantités acheté rajouté])</f>
        <v>0</v>
      </c>
      <c r="G50" s="6"/>
      <c r="H50" s="2">
        <f>SUM(Tableau9297196[CT])</f>
        <v>0</v>
      </c>
    </row>
  </sheetData>
  <conditionalFormatting sqref="E3:E15">
    <cfRule type="cellIs" dxfId="272" priority="10" operator="equal">
      <formula>0</formula>
    </cfRule>
    <cfRule type="cellIs" dxfId="271" priority="11" operator="lessThan">
      <formula>0</formula>
    </cfRule>
    <cfRule type="cellIs" dxfId="270" priority="12" operator="greaterThan">
      <formula>0</formula>
    </cfRule>
  </conditionalFormatting>
  <conditionalFormatting sqref="E16">
    <cfRule type="cellIs" dxfId="269" priority="9" operator="equal">
      <formula>0</formula>
    </cfRule>
  </conditionalFormatting>
  <conditionalFormatting sqref="E50">
    <cfRule type="cellIs" dxfId="268" priority="1" operator="equal">
      <formula>0</formula>
    </cfRule>
  </conditionalFormatting>
  <conditionalFormatting sqref="E20:E32">
    <cfRule type="cellIs" dxfId="267" priority="6" operator="equal">
      <formula>0</formula>
    </cfRule>
    <cfRule type="cellIs" dxfId="266" priority="7" operator="lessThan">
      <formula>0</formula>
    </cfRule>
    <cfRule type="cellIs" dxfId="265" priority="8" operator="greaterThan">
      <formula>0</formula>
    </cfRule>
  </conditionalFormatting>
  <conditionalFormatting sqref="E33">
    <cfRule type="cellIs" dxfId="264" priority="5" operator="equal">
      <formula>0</formula>
    </cfRule>
  </conditionalFormatting>
  <conditionalFormatting sqref="E37:E49">
    <cfRule type="cellIs" dxfId="263" priority="2" operator="equal">
      <formula>0</formula>
    </cfRule>
    <cfRule type="cellIs" dxfId="262" priority="3" operator="lessThan">
      <formula>0</formula>
    </cfRule>
    <cfRule type="cellIs" dxfId="261" priority="4" operator="greaterThan">
      <formula>0</formula>
    </cfRule>
  </conditionalFormatting>
  <dataValidations count="7">
    <dataValidation allowBlank="1" showInputMessage="1" showErrorMessage="1" prompt="CT = Cout total" sqref="H35:H36 H2 H19" xr:uid="{BEAE25AA-26F1-49BA-9A76-474972773ECB}"/>
    <dataValidation allowBlank="1" showInputMessage="1" showErrorMessage="1" prompt="CU = Cout unitaire" sqref="F35:G36 F2:G2 F19:G19" xr:uid="{E07FC092-77A6-4782-8A0F-C2AD090317BA}"/>
    <dataValidation allowBlank="1" showInputMessage="1" showErrorMessage="1" prompt="Quantité acheté rajouté * CU" sqref="H3 H20 H37" xr:uid="{83B4BA89-AE44-443E-B7E0-A4509B752ECB}"/>
    <dataValidation allowBlank="1" showInputMessage="1" showErrorMessage="1" prompt="Insérez la quantité demandé" sqref="D11:D14 D3:D9 D28:D31 D20:D26 D45:D48 D37:D43" xr:uid="{B92C7416-CC47-46A5-B0A0-C0197E6329D1}"/>
    <dataValidation allowBlank="1" showInputMessage="1" showErrorMessage="1" prompt="Insérez la quantité présente dans les malles" sqref="C11:C14 C3:C9 C28:C31 C20:C26 C45:C48 C37:C43" xr:uid="{65035249-42F0-41CA-AEFF-52DF8B1420DE}"/>
    <dataValidation allowBlank="1" showInputMessage="1" showErrorMessage="1" prompt="Si VERT_x000a_La fourniture est bien présente et la quantité est bonne_x000a_Si ROUGE_x000a_+ : Il faut rajouter la quantité de fourniture_x000a_- : Il faut enlevé la quantité de fourniture en trop_x000a_" sqref="E20:E32 E3:E15 E37:E49" xr:uid="{25FCA45E-3812-4205-8294-1295FCAE2736}"/>
    <dataValidation type="list" allowBlank="1" showInputMessage="1" showErrorMessage="1" prompt="Insérez la fourniture désiré" sqref="B3:B14 B20:B31 B37:B48" xr:uid="{F1E31906-B99E-4AFB-BF47-C64DFF6C6B96}">
      <formula1>Fournitures</formula1>
    </dataValidation>
  </dataValidations>
  <pageMargins left="0.7" right="0.7" top="0.75" bottom="0.75" header="0.3" footer="0.3"/>
  <tableParts count="3">
    <tablePart r:id="rId1"/>
    <tablePart r:id="rId2"/>
    <tablePart r:id="rId3"/>
  </tableParts>
</worksheet>
</file>

<file path=xl/worksheets/sheet2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93C983B-E631-408B-A887-5AB5B518003C}">
  <dimension ref="B2:H50"/>
  <sheetViews>
    <sheetView workbookViewId="0">
      <selection activeCell="B8" sqref="B8"/>
    </sheetView>
  </sheetViews>
  <sheetFormatPr baseColWidth="10" defaultRowHeight="15" x14ac:dyDescent="0.25"/>
  <cols>
    <col min="2" max="2" width="31.85546875" customWidth="1"/>
    <col min="3" max="3" width="23.140625" customWidth="1"/>
    <col min="4" max="4" width="11.7109375" customWidth="1"/>
    <col min="6" max="6" width="26.5703125" style="2" customWidth="1"/>
    <col min="7" max="7" width="28.28515625" style="2" customWidth="1"/>
  </cols>
  <sheetData>
    <row r="2" spans="2:8" x14ac:dyDescent="0.25">
      <c r="B2" t="s">
        <v>7</v>
      </c>
      <c r="C2" t="s">
        <v>0</v>
      </c>
      <c r="D2" t="s">
        <v>1</v>
      </c>
      <c r="E2" t="s">
        <v>2</v>
      </c>
      <c r="F2" s="2" t="s">
        <v>15</v>
      </c>
      <c r="G2" s="2" t="s">
        <v>11</v>
      </c>
      <c r="H2" s="2" t="s">
        <v>10</v>
      </c>
    </row>
    <row r="3" spans="2:8" x14ac:dyDescent="0.25">
      <c r="B3" t="s">
        <v>122</v>
      </c>
      <c r="C3">
        <v>1</v>
      </c>
      <c r="E3" s="3">
        <f>Tableau92197[[#This Row],[Demande]]-Tableau92197[[#This Row],[Présente dans la malle]]</f>
        <v>-1</v>
      </c>
      <c r="F3" s="5"/>
      <c r="H3" s="8">
        <f>Tableau92197[[#This Row],[Quantités acheté rajouté]]*Tableau92197[[#This Row],[CU du matos rajouté acheté]]</f>
        <v>0</v>
      </c>
    </row>
    <row r="4" spans="2:8" x14ac:dyDescent="0.25">
      <c r="B4" t="s">
        <v>103</v>
      </c>
      <c r="C4">
        <v>1</v>
      </c>
      <c r="E4" s="3">
        <f>Tableau92197[[#This Row],[Demande]]-Tableau92197[[#This Row],[Présente dans la malle]]</f>
        <v>-1</v>
      </c>
      <c r="F4" s="5"/>
      <c r="H4" s="8">
        <f>Tableau92197[[#This Row],[Quantités acheté rajouté]]*Tableau92197[[#This Row],[CU du matos rajouté acheté]]</f>
        <v>0</v>
      </c>
    </row>
    <row r="5" spans="2:8" x14ac:dyDescent="0.25">
      <c r="B5" t="s">
        <v>123</v>
      </c>
      <c r="C5">
        <v>1</v>
      </c>
      <c r="E5" s="3">
        <f>Tableau92197[[#This Row],[Demande]]-Tableau92197[[#This Row],[Présente dans la malle]]</f>
        <v>-1</v>
      </c>
      <c r="F5" s="5"/>
      <c r="H5" s="8">
        <f>Tableau92197[[#This Row],[Quantités acheté rajouté]]*Tableau92197[[#This Row],[CU du matos rajouté acheté]]</f>
        <v>0</v>
      </c>
    </row>
    <row r="6" spans="2:8" x14ac:dyDescent="0.25">
      <c r="B6" t="s">
        <v>124</v>
      </c>
      <c r="C6">
        <v>2</v>
      </c>
      <c r="E6" s="3">
        <f>Tableau92197[[#This Row],[Demande]]-Tableau92197[[#This Row],[Présente dans la malle]]</f>
        <v>-2</v>
      </c>
      <c r="F6" s="5"/>
      <c r="H6" s="8">
        <f>Tableau92197[[#This Row],[Quantités acheté rajouté]]*Tableau92197[[#This Row],[CU du matos rajouté acheté]]</f>
        <v>0</v>
      </c>
    </row>
    <row r="7" spans="2:8" x14ac:dyDescent="0.25">
      <c r="B7" t="s">
        <v>125</v>
      </c>
      <c r="C7">
        <v>1</v>
      </c>
      <c r="E7" s="3">
        <f>Tableau92197[[#This Row],[Demande]]-Tableau92197[[#This Row],[Présente dans la malle]]</f>
        <v>-1</v>
      </c>
      <c r="F7" s="5"/>
      <c r="H7" s="8">
        <f>Tableau92197[[#This Row],[Quantités acheté rajouté]]*Tableau92197[[#This Row],[CU du matos rajouté acheté]]</f>
        <v>0</v>
      </c>
    </row>
    <row r="8" spans="2:8" x14ac:dyDescent="0.25">
      <c r="E8" s="3">
        <f>Tableau92197[[#This Row],[Demande]]-Tableau92197[[#This Row],[Présente dans la malle]]</f>
        <v>0</v>
      </c>
      <c r="F8" s="5"/>
      <c r="H8" s="8">
        <f>Tableau92197[[#This Row],[Quantités acheté rajouté]]*Tableau92197[[#This Row],[CU du matos rajouté acheté]]</f>
        <v>0</v>
      </c>
    </row>
    <row r="9" spans="2:8" x14ac:dyDescent="0.25">
      <c r="E9" s="3">
        <f>Tableau92197[[#This Row],[Demande]]-Tableau92197[[#This Row],[Présente dans la malle]]</f>
        <v>0</v>
      </c>
      <c r="F9" s="5"/>
      <c r="H9" s="8">
        <f>Tableau92197[[#This Row],[Quantités acheté rajouté]]*Tableau92197[[#This Row],[CU du matos rajouté acheté]]</f>
        <v>0</v>
      </c>
    </row>
    <row r="10" spans="2:8" x14ac:dyDescent="0.25">
      <c r="E10" s="3">
        <f>Tableau92197[[#This Row],[Demande]]-Tableau92197[[#This Row],[Présente dans la malle]]</f>
        <v>0</v>
      </c>
      <c r="F10" s="5"/>
      <c r="H10" s="8">
        <f>Tableau92197[[#This Row],[Quantités acheté rajouté]]*Tableau92197[[#This Row],[CU du matos rajouté acheté]]</f>
        <v>0</v>
      </c>
    </row>
    <row r="11" spans="2:8" x14ac:dyDescent="0.25">
      <c r="E11" s="3">
        <f>Tableau92197[[#This Row],[Demande]]-Tableau92197[[#This Row],[Présente dans la malle]]</f>
        <v>0</v>
      </c>
      <c r="F11" s="5"/>
      <c r="H11" s="8">
        <f>Tableau92197[[#This Row],[Quantités acheté rajouté]]*Tableau92197[[#This Row],[CU du matos rajouté acheté]]</f>
        <v>0</v>
      </c>
    </row>
    <row r="12" spans="2:8" x14ac:dyDescent="0.25">
      <c r="E12" s="3">
        <f>Tableau92197[[#This Row],[Demande]]-Tableau92197[[#This Row],[Présente dans la malle]]</f>
        <v>0</v>
      </c>
      <c r="F12" s="5"/>
      <c r="H12" s="8">
        <f>Tableau92197[[#This Row],[Quantités acheté rajouté]]*Tableau92197[[#This Row],[CU du matos rajouté acheté]]</f>
        <v>0</v>
      </c>
    </row>
    <row r="13" spans="2:8" x14ac:dyDescent="0.25">
      <c r="E13" s="3">
        <f>Tableau92197[[#This Row],[Demande]]-Tableau92197[[#This Row],[Présente dans la malle]]</f>
        <v>0</v>
      </c>
      <c r="F13" s="5"/>
      <c r="H13" s="8">
        <f>Tableau92197[[#This Row],[Quantités acheté rajouté]]*Tableau92197[[#This Row],[CU du matos rajouté acheté]]</f>
        <v>0</v>
      </c>
    </row>
    <row r="14" spans="2:8" x14ac:dyDescent="0.25">
      <c r="E14" s="3">
        <f>Tableau92197[[#This Row],[Demande]]-Tableau92197[[#This Row],[Présente dans la malle]]</f>
        <v>0</v>
      </c>
      <c r="F14" s="5"/>
      <c r="H14" s="8">
        <f>Tableau92197[[#This Row],[Quantités acheté rajouté]]*Tableau92197[[#This Row],[CU du matos rajouté acheté]]</f>
        <v>0</v>
      </c>
    </row>
    <row r="15" spans="2:8" x14ac:dyDescent="0.25">
      <c r="E15" s="3">
        <f>Tableau92197[[#This Row],[Demande]]-Tableau92197[[#This Row],[Présente dans la malle]]</f>
        <v>0</v>
      </c>
      <c r="F15" s="7"/>
      <c r="G15" s="4"/>
      <c r="H15" s="8">
        <f>Tableau92197[[#This Row],[Quantités acheté rajouté]]*Tableau92197[[#This Row],[CU du matos rajouté acheté]]</f>
        <v>0</v>
      </c>
    </row>
    <row r="16" spans="2:8" x14ac:dyDescent="0.25">
      <c r="B16" t="s">
        <v>4</v>
      </c>
      <c r="C16">
        <f>SUM(Tableau92197[Présente dans la malle])</f>
        <v>6</v>
      </c>
      <c r="D16">
        <f>SUM(Tableau92197[Demande])</f>
        <v>0</v>
      </c>
      <c r="E16">
        <f>SUM(Tableau92197[Manque])</f>
        <v>-6</v>
      </c>
      <c r="F16" s="6">
        <f>SUM(Tableau92197[Quantités acheté rajouté])</f>
        <v>0</v>
      </c>
      <c r="G16" s="6"/>
      <c r="H16" s="10">
        <f>SUM(Tableau92197[CT])</f>
        <v>0</v>
      </c>
    </row>
    <row r="19" spans="2:8" x14ac:dyDescent="0.25">
      <c r="B19" t="s">
        <v>5</v>
      </c>
      <c r="C19" t="s">
        <v>0</v>
      </c>
      <c r="D19" t="s">
        <v>1</v>
      </c>
      <c r="E19" t="s">
        <v>2</v>
      </c>
      <c r="F19" s="2" t="s">
        <v>15</v>
      </c>
      <c r="G19" s="2" t="s">
        <v>11</v>
      </c>
      <c r="H19" s="2" t="s">
        <v>10</v>
      </c>
    </row>
    <row r="20" spans="2:8" x14ac:dyDescent="0.25">
      <c r="E20" s="3">
        <f>Tableau9296198[[#This Row],[Demande]]-Tableau9296198[[#This Row],[Présente dans la malle]]</f>
        <v>0</v>
      </c>
      <c r="F20" s="5"/>
      <c r="H20" s="8">
        <f>Tableau9296198[[#This Row],[Quantités acheté rajouté]]*Tableau9296198[[#This Row],[CU du matos rajouté acheté]]</f>
        <v>0</v>
      </c>
    </row>
    <row r="21" spans="2:8" x14ac:dyDescent="0.25">
      <c r="E21" s="3">
        <f>Tableau9296198[[#This Row],[Demande]]-Tableau9296198[[#This Row],[Présente dans la malle]]</f>
        <v>0</v>
      </c>
      <c r="F21" s="5"/>
      <c r="H21" s="8">
        <f>Tableau9296198[[#This Row],[Quantités acheté rajouté]]*Tableau9296198[[#This Row],[CU du matos rajouté acheté]]</f>
        <v>0</v>
      </c>
    </row>
    <row r="22" spans="2:8" x14ac:dyDescent="0.25">
      <c r="E22" s="3">
        <f>Tableau9296198[[#This Row],[Demande]]-Tableau9296198[[#This Row],[Présente dans la malle]]</f>
        <v>0</v>
      </c>
      <c r="F22" s="5"/>
      <c r="H22" s="8">
        <f>Tableau9296198[[#This Row],[Quantités acheté rajouté]]*Tableau9296198[[#This Row],[CU du matos rajouté acheté]]</f>
        <v>0</v>
      </c>
    </row>
    <row r="23" spans="2:8" x14ac:dyDescent="0.25">
      <c r="E23" s="3">
        <f>Tableau9296198[[#This Row],[Demande]]-Tableau9296198[[#This Row],[Présente dans la malle]]</f>
        <v>0</v>
      </c>
      <c r="F23" s="5"/>
      <c r="H23" s="8">
        <f>Tableau9296198[[#This Row],[Quantités acheté rajouté]]*Tableau9296198[[#This Row],[CU du matos rajouté acheté]]</f>
        <v>0</v>
      </c>
    </row>
    <row r="24" spans="2:8" x14ac:dyDescent="0.25">
      <c r="E24" s="3">
        <f>Tableau9296198[[#This Row],[Demande]]-Tableau9296198[[#This Row],[Présente dans la malle]]</f>
        <v>0</v>
      </c>
      <c r="F24" s="5"/>
      <c r="H24" s="8">
        <f>Tableau9296198[[#This Row],[Quantités acheté rajouté]]*Tableau9296198[[#This Row],[CU du matos rajouté acheté]]</f>
        <v>0</v>
      </c>
    </row>
    <row r="25" spans="2:8" x14ac:dyDescent="0.25">
      <c r="E25" s="3">
        <f>Tableau9296198[[#This Row],[Demande]]-Tableau9296198[[#This Row],[Présente dans la malle]]</f>
        <v>0</v>
      </c>
      <c r="F25" s="5"/>
      <c r="H25" s="8">
        <f>Tableau9296198[[#This Row],[Quantités acheté rajouté]]*Tableau9296198[[#This Row],[CU du matos rajouté acheté]]</f>
        <v>0</v>
      </c>
    </row>
    <row r="26" spans="2:8" x14ac:dyDescent="0.25">
      <c r="E26" s="3">
        <f>Tableau9296198[[#This Row],[Demande]]-Tableau9296198[[#This Row],[Présente dans la malle]]</f>
        <v>0</v>
      </c>
      <c r="F26" s="5"/>
      <c r="H26" s="8">
        <f>Tableau9296198[[#This Row],[Quantités acheté rajouté]]*Tableau9296198[[#This Row],[CU du matos rajouté acheté]]</f>
        <v>0</v>
      </c>
    </row>
    <row r="27" spans="2:8" x14ac:dyDescent="0.25">
      <c r="E27" s="3">
        <f>Tableau9296198[[#This Row],[Demande]]-Tableau9296198[[#This Row],[Présente dans la malle]]</f>
        <v>0</v>
      </c>
      <c r="F27" s="5"/>
      <c r="H27" s="8">
        <f>Tableau9296198[[#This Row],[Quantités acheté rajouté]]*Tableau9296198[[#This Row],[CU du matos rajouté acheté]]</f>
        <v>0</v>
      </c>
    </row>
    <row r="28" spans="2:8" x14ac:dyDescent="0.25">
      <c r="E28" s="3">
        <f>Tableau9296198[[#This Row],[Demande]]-Tableau9296198[[#This Row],[Présente dans la malle]]</f>
        <v>0</v>
      </c>
      <c r="F28" s="5"/>
      <c r="H28" s="8">
        <f>Tableau9296198[[#This Row],[Quantités acheté rajouté]]*Tableau9296198[[#This Row],[CU du matos rajouté acheté]]</f>
        <v>0</v>
      </c>
    </row>
    <row r="29" spans="2:8" x14ac:dyDescent="0.25">
      <c r="E29" s="3">
        <f>Tableau9296198[[#This Row],[Demande]]-Tableau9296198[[#This Row],[Présente dans la malle]]</f>
        <v>0</v>
      </c>
      <c r="F29" s="5"/>
      <c r="H29" s="8">
        <f>Tableau9296198[[#This Row],[Quantités acheté rajouté]]*Tableau9296198[[#This Row],[CU du matos rajouté acheté]]</f>
        <v>0</v>
      </c>
    </row>
    <row r="30" spans="2:8" x14ac:dyDescent="0.25">
      <c r="E30" s="3">
        <f>Tableau9296198[[#This Row],[Demande]]-Tableau9296198[[#This Row],[Présente dans la malle]]</f>
        <v>0</v>
      </c>
      <c r="F30" s="5"/>
      <c r="H30" s="8">
        <f>Tableau9296198[[#This Row],[Quantités acheté rajouté]]*Tableau9296198[[#This Row],[CU du matos rajouté acheté]]</f>
        <v>0</v>
      </c>
    </row>
    <row r="31" spans="2:8" x14ac:dyDescent="0.25">
      <c r="E31" s="3">
        <f>Tableau9296198[[#This Row],[Demande]]-Tableau9296198[[#This Row],[Présente dans la malle]]</f>
        <v>0</v>
      </c>
      <c r="F31" s="5"/>
      <c r="H31" s="8">
        <f>Tableau9296198[[#This Row],[Quantités acheté rajouté]]*Tableau9296198[[#This Row],[CU du matos rajouté acheté]]</f>
        <v>0</v>
      </c>
    </row>
    <row r="32" spans="2:8" x14ac:dyDescent="0.25">
      <c r="E32" s="3">
        <f>Tableau9296198[[#This Row],[Demande]]-Tableau9296198[[#This Row],[Présente dans la malle]]</f>
        <v>0</v>
      </c>
      <c r="F32" s="7"/>
      <c r="G32" s="4"/>
      <c r="H32" s="8">
        <f>Tableau9296198[[#This Row],[Quantités acheté rajouté]]*Tableau9296198[[#This Row],[CU du matos rajouté acheté]]</f>
        <v>0</v>
      </c>
    </row>
    <row r="33" spans="2:8" x14ac:dyDescent="0.25">
      <c r="B33" t="s">
        <v>4</v>
      </c>
      <c r="C33">
        <f>SUM(Tableau9296198[Présente dans la malle])</f>
        <v>0</v>
      </c>
      <c r="D33">
        <f>SUM(Tableau9296198[Demande])</f>
        <v>0</v>
      </c>
      <c r="E33">
        <f>SUM(Tableau9296198[Manque])</f>
        <v>0</v>
      </c>
      <c r="F33" s="6">
        <f>SUM(Tableau9296198[Quantités acheté rajouté])</f>
        <v>0</v>
      </c>
      <c r="G33" s="6"/>
      <c r="H33" s="2">
        <f>SUM(Tableau9296198[CT])</f>
        <v>0</v>
      </c>
    </row>
    <row r="35" spans="2:8" x14ac:dyDescent="0.25">
      <c r="H35" s="2"/>
    </row>
    <row r="36" spans="2:8" x14ac:dyDescent="0.25">
      <c r="B36" t="s">
        <v>6</v>
      </c>
      <c r="C36" t="s">
        <v>0</v>
      </c>
      <c r="D36" t="s">
        <v>1</v>
      </c>
      <c r="E36" t="s">
        <v>2</v>
      </c>
      <c r="F36" s="2" t="s">
        <v>15</v>
      </c>
      <c r="G36" s="2" t="s">
        <v>11</v>
      </c>
      <c r="H36" s="2" t="s">
        <v>10</v>
      </c>
    </row>
    <row r="37" spans="2:8" x14ac:dyDescent="0.25">
      <c r="E37" s="3">
        <f>Tableau9297199[[#This Row],[Demande]]-Tableau9297199[[#This Row],[Présente dans la malle]]</f>
        <v>0</v>
      </c>
      <c r="F37" s="5"/>
      <c r="H37" s="8">
        <f>Tableau9297199[[#This Row],[Quantités acheté rajouté]]*Tableau9297199[[#This Row],[CU du matos rajouté acheté]]</f>
        <v>0</v>
      </c>
    </row>
    <row r="38" spans="2:8" x14ac:dyDescent="0.25">
      <c r="E38" s="3">
        <f>Tableau9297199[[#This Row],[Demande]]-Tableau9297199[[#This Row],[Présente dans la malle]]</f>
        <v>0</v>
      </c>
      <c r="F38" s="5"/>
      <c r="H38" s="8">
        <f>Tableau9297199[[#This Row],[Quantités acheté rajouté]]*Tableau9297199[[#This Row],[CU du matos rajouté acheté]]</f>
        <v>0</v>
      </c>
    </row>
    <row r="39" spans="2:8" x14ac:dyDescent="0.25">
      <c r="E39" s="3">
        <f>Tableau9297199[[#This Row],[Demande]]-Tableau9297199[[#This Row],[Présente dans la malle]]</f>
        <v>0</v>
      </c>
      <c r="F39" s="5"/>
      <c r="H39" s="8">
        <f>Tableau9297199[[#This Row],[Quantités acheté rajouté]]*Tableau9297199[[#This Row],[CU du matos rajouté acheté]]</f>
        <v>0</v>
      </c>
    </row>
    <row r="40" spans="2:8" x14ac:dyDescent="0.25">
      <c r="E40" s="3">
        <f>Tableau9297199[[#This Row],[Demande]]-Tableau9297199[[#This Row],[Présente dans la malle]]</f>
        <v>0</v>
      </c>
      <c r="F40" s="5"/>
      <c r="H40" s="8">
        <f>Tableau9297199[[#This Row],[Quantités acheté rajouté]]*Tableau9297199[[#This Row],[CU du matos rajouté acheté]]</f>
        <v>0</v>
      </c>
    </row>
    <row r="41" spans="2:8" x14ac:dyDescent="0.25">
      <c r="E41" s="3">
        <f>Tableau9297199[[#This Row],[Demande]]-Tableau9297199[[#This Row],[Présente dans la malle]]</f>
        <v>0</v>
      </c>
      <c r="F41" s="5"/>
      <c r="H41" s="8">
        <f>Tableau9297199[[#This Row],[Quantités acheté rajouté]]*Tableau9297199[[#This Row],[CU du matos rajouté acheté]]</f>
        <v>0</v>
      </c>
    </row>
    <row r="42" spans="2:8" x14ac:dyDescent="0.25">
      <c r="E42" s="3">
        <f>Tableau9297199[[#This Row],[Demande]]-Tableau9297199[[#This Row],[Présente dans la malle]]</f>
        <v>0</v>
      </c>
      <c r="F42" s="5"/>
      <c r="H42" s="8">
        <f>Tableau9297199[[#This Row],[Quantités acheté rajouté]]*Tableau9297199[[#This Row],[CU du matos rajouté acheté]]</f>
        <v>0</v>
      </c>
    </row>
    <row r="43" spans="2:8" x14ac:dyDescent="0.25">
      <c r="E43" s="3">
        <f>Tableau9297199[[#This Row],[Demande]]-Tableau9297199[[#This Row],[Présente dans la malle]]</f>
        <v>0</v>
      </c>
      <c r="F43" s="5"/>
      <c r="H43" s="8">
        <f>Tableau9297199[[#This Row],[Quantités acheté rajouté]]*Tableau9297199[[#This Row],[CU du matos rajouté acheté]]</f>
        <v>0</v>
      </c>
    </row>
    <row r="44" spans="2:8" x14ac:dyDescent="0.25">
      <c r="E44" s="3">
        <f>Tableau9297199[[#This Row],[Demande]]-Tableau9297199[[#This Row],[Présente dans la malle]]</f>
        <v>0</v>
      </c>
      <c r="F44" s="5"/>
      <c r="H44" s="8">
        <f>Tableau9297199[[#This Row],[Quantités acheté rajouté]]*Tableau9297199[[#This Row],[CU du matos rajouté acheté]]</f>
        <v>0</v>
      </c>
    </row>
    <row r="45" spans="2:8" x14ac:dyDescent="0.25">
      <c r="E45" s="3">
        <f>Tableau9297199[[#This Row],[Demande]]-Tableau9297199[[#This Row],[Présente dans la malle]]</f>
        <v>0</v>
      </c>
      <c r="F45" s="5"/>
      <c r="H45" s="8">
        <f>Tableau9297199[[#This Row],[Quantités acheté rajouté]]*Tableau9297199[[#This Row],[CU du matos rajouté acheté]]</f>
        <v>0</v>
      </c>
    </row>
    <row r="46" spans="2:8" x14ac:dyDescent="0.25">
      <c r="E46" s="3">
        <f>Tableau9297199[[#This Row],[Demande]]-Tableau9297199[[#This Row],[Présente dans la malle]]</f>
        <v>0</v>
      </c>
      <c r="F46" s="5"/>
      <c r="H46" s="8">
        <f>Tableau9297199[[#This Row],[Quantités acheté rajouté]]*Tableau9297199[[#This Row],[CU du matos rajouté acheté]]</f>
        <v>0</v>
      </c>
    </row>
    <row r="47" spans="2:8" x14ac:dyDescent="0.25">
      <c r="E47" s="3">
        <f>Tableau9297199[[#This Row],[Demande]]-Tableau9297199[[#This Row],[Présente dans la malle]]</f>
        <v>0</v>
      </c>
      <c r="F47" s="5"/>
      <c r="H47" s="8">
        <f>Tableau9297199[[#This Row],[Quantités acheté rajouté]]*Tableau9297199[[#This Row],[CU du matos rajouté acheté]]</f>
        <v>0</v>
      </c>
    </row>
    <row r="48" spans="2:8" x14ac:dyDescent="0.25">
      <c r="E48" s="3">
        <f>Tableau9297199[[#This Row],[Demande]]-Tableau9297199[[#This Row],[Présente dans la malle]]</f>
        <v>0</v>
      </c>
      <c r="F48" s="5"/>
      <c r="H48" s="8">
        <f>Tableau9297199[[#This Row],[Quantités acheté rajouté]]*Tableau9297199[[#This Row],[CU du matos rajouté acheté]]</f>
        <v>0</v>
      </c>
    </row>
    <row r="49" spans="2:8" x14ac:dyDescent="0.25">
      <c r="E49" s="3">
        <f>Tableau9297199[[#This Row],[Demande]]-Tableau9297199[[#This Row],[Présente dans la malle]]</f>
        <v>0</v>
      </c>
      <c r="F49" s="7"/>
      <c r="G49" s="4"/>
      <c r="H49" s="8">
        <f>Tableau9297199[[#This Row],[Quantités acheté rajouté]]*Tableau9297199[[#This Row],[CU du matos rajouté acheté]]</f>
        <v>0</v>
      </c>
    </row>
    <row r="50" spans="2:8" x14ac:dyDescent="0.25">
      <c r="B50" t="s">
        <v>4</v>
      </c>
      <c r="C50">
        <f>SUM(Tableau9297199[Présente dans la malle])</f>
        <v>0</v>
      </c>
      <c r="D50">
        <f>SUM(Tableau9297199[Demande])</f>
        <v>0</v>
      </c>
      <c r="E50">
        <f>SUM(Tableau9297199[Manque])</f>
        <v>0</v>
      </c>
      <c r="F50" s="6">
        <f>SUM(Tableau9297199[Quantités acheté rajouté])</f>
        <v>0</v>
      </c>
      <c r="G50" s="6"/>
      <c r="H50" s="2">
        <f>SUM(Tableau9297199[CT])</f>
        <v>0</v>
      </c>
    </row>
  </sheetData>
  <conditionalFormatting sqref="E3:E15">
    <cfRule type="cellIs" dxfId="233" priority="10" operator="equal">
      <formula>0</formula>
    </cfRule>
    <cfRule type="cellIs" dxfId="232" priority="11" operator="lessThan">
      <formula>0</formula>
    </cfRule>
    <cfRule type="cellIs" dxfId="231" priority="12" operator="greaterThan">
      <formula>0</formula>
    </cfRule>
  </conditionalFormatting>
  <conditionalFormatting sqref="E16">
    <cfRule type="cellIs" dxfId="230" priority="9" operator="equal">
      <formula>0</formula>
    </cfRule>
  </conditionalFormatting>
  <conditionalFormatting sqref="E50">
    <cfRule type="cellIs" dxfId="229" priority="1" operator="equal">
      <formula>0</formula>
    </cfRule>
  </conditionalFormatting>
  <conditionalFormatting sqref="E20:E32">
    <cfRule type="cellIs" dxfId="228" priority="6" operator="equal">
      <formula>0</formula>
    </cfRule>
    <cfRule type="cellIs" dxfId="227" priority="7" operator="lessThan">
      <formula>0</formula>
    </cfRule>
    <cfRule type="cellIs" dxfId="226" priority="8" operator="greaterThan">
      <formula>0</formula>
    </cfRule>
  </conditionalFormatting>
  <conditionalFormatting sqref="E33">
    <cfRule type="cellIs" dxfId="225" priority="5" operator="equal">
      <formula>0</formula>
    </cfRule>
  </conditionalFormatting>
  <conditionalFormatting sqref="E37:E49">
    <cfRule type="cellIs" dxfId="224" priority="2" operator="equal">
      <formula>0</formula>
    </cfRule>
    <cfRule type="cellIs" dxfId="223" priority="3" operator="lessThan">
      <formula>0</formula>
    </cfRule>
    <cfRule type="cellIs" dxfId="222" priority="4" operator="greaterThan">
      <formula>0</formula>
    </cfRule>
  </conditionalFormatting>
  <dataValidations count="7">
    <dataValidation allowBlank="1" showInputMessage="1" showErrorMessage="1" prompt="CT = Cout total" sqref="H35:H36 H2 H19" xr:uid="{85AF8AE4-9870-48AB-A843-8645101014CE}"/>
    <dataValidation allowBlank="1" showInputMessage="1" showErrorMessage="1" prompt="CU = Cout unitaire" sqref="F35:G36 F2:G2 F19:G19" xr:uid="{2DE34858-9270-437C-9D38-2BF8F7E2301D}"/>
    <dataValidation allowBlank="1" showInputMessage="1" showErrorMessage="1" prompt="Quantité acheté rajouté * CU" sqref="H3 H20 H37" xr:uid="{A0E8D530-EAD1-4C07-AF3D-624727EBD7BC}"/>
    <dataValidation allowBlank="1" showInputMessage="1" showErrorMessage="1" prompt="Insérez la quantité demandé" sqref="D11:D14 D3:D9 D28:D31 D20:D26 D45:D48 D37:D43" xr:uid="{6123E0A7-93FF-4FCD-AE4E-199D8A4C052F}"/>
    <dataValidation allowBlank="1" showInputMessage="1" showErrorMessage="1" prompt="Insérez la quantité présente dans les malles" sqref="C11:C14 C3:C9 C28:C31 C20:C26 C45:C48 C37:C43" xr:uid="{D6CCFF8A-D488-4812-B853-A7BBD30E12B6}"/>
    <dataValidation allowBlank="1" showInputMessage="1" showErrorMessage="1" prompt="Si VERT_x000a_La fourniture est bien présente et la quantité est bonne_x000a_Si ROUGE_x000a_+ : Il faut rajouter la quantité de fourniture_x000a_- : Il faut enlevé la quantité de fourniture en trop_x000a_" sqref="E20:E32 E3:E15 E37:E49" xr:uid="{2768B4BA-DA4B-4502-AD2A-B50C6FB5D901}"/>
    <dataValidation type="list" allowBlank="1" showInputMessage="1" showErrorMessage="1" prompt="Insérez la fourniture désiré" sqref="B3:B14 B20:B31 B37:B48" xr:uid="{CDE03C66-415C-4050-B91B-5FD11425327D}">
      <formula1>Fournitures</formula1>
    </dataValidation>
  </dataValidations>
  <pageMargins left="0.7" right="0.7" top="0.75" bottom="0.75" header="0.3" footer="0.3"/>
  <tableParts count="3">
    <tablePart r:id="rId1"/>
    <tablePart r:id="rId2"/>
    <tablePart r:id="rId3"/>
  </tableParts>
</worksheet>
</file>

<file path=xl/worksheets/sheet2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A835DB3-068F-4E45-9C20-3044A910A4A0}">
  <dimension ref="B2:H50"/>
  <sheetViews>
    <sheetView workbookViewId="0">
      <selection activeCell="B1" sqref="B1:H1048576"/>
    </sheetView>
  </sheetViews>
  <sheetFormatPr baseColWidth="10" defaultRowHeight="15" x14ac:dyDescent="0.25"/>
  <cols>
    <col min="2" max="2" width="24.42578125" customWidth="1"/>
    <col min="3" max="3" width="23.140625" customWidth="1"/>
    <col min="4" max="4" width="11.7109375" customWidth="1"/>
    <col min="6" max="6" width="26.5703125" style="2" customWidth="1"/>
    <col min="7" max="7" width="28.28515625" style="2" customWidth="1"/>
  </cols>
  <sheetData>
    <row r="2" spans="2:8" x14ac:dyDescent="0.25">
      <c r="B2" t="s">
        <v>7</v>
      </c>
      <c r="C2" t="s">
        <v>0</v>
      </c>
      <c r="D2" t="s">
        <v>1</v>
      </c>
      <c r="E2" t="s">
        <v>2</v>
      </c>
      <c r="F2" s="2" t="s">
        <v>15</v>
      </c>
      <c r="G2" s="2" t="s">
        <v>11</v>
      </c>
      <c r="H2" s="2" t="s">
        <v>10</v>
      </c>
    </row>
    <row r="3" spans="2:8" x14ac:dyDescent="0.25">
      <c r="E3" s="3">
        <f>Tableau92206[[#This Row],[Demande]]-Tableau92206[[#This Row],[Présente dans la malle]]</f>
        <v>0</v>
      </c>
      <c r="F3" s="5"/>
      <c r="H3" s="8">
        <f>Tableau92206[[#This Row],[Quantités acheté rajouté]]*Tableau92206[[#This Row],[CU du matos rajouté acheté]]</f>
        <v>0</v>
      </c>
    </row>
    <row r="4" spans="2:8" x14ac:dyDescent="0.25">
      <c r="E4" s="3">
        <f>Tableau92206[[#This Row],[Demande]]-Tableau92206[[#This Row],[Présente dans la malle]]</f>
        <v>0</v>
      </c>
      <c r="F4" s="5"/>
      <c r="H4" s="8">
        <f>Tableau92206[[#This Row],[Quantités acheté rajouté]]*Tableau92206[[#This Row],[CU du matos rajouté acheté]]</f>
        <v>0</v>
      </c>
    </row>
    <row r="5" spans="2:8" x14ac:dyDescent="0.25">
      <c r="E5" s="3">
        <f>Tableau92206[[#This Row],[Demande]]-Tableau92206[[#This Row],[Présente dans la malle]]</f>
        <v>0</v>
      </c>
      <c r="F5" s="5"/>
      <c r="H5" s="8">
        <f>Tableau92206[[#This Row],[Quantités acheté rajouté]]*Tableau92206[[#This Row],[CU du matos rajouté acheté]]</f>
        <v>0</v>
      </c>
    </row>
    <row r="6" spans="2:8" x14ac:dyDescent="0.25">
      <c r="E6" s="3">
        <f>Tableau92206[[#This Row],[Demande]]-Tableau92206[[#This Row],[Présente dans la malle]]</f>
        <v>0</v>
      </c>
      <c r="F6" s="5"/>
      <c r="H6" s="8">
        <f>Tableau92206[[#This Row],[Quantités acheté rajouté]]*Tableau92206[[#This Row],[CU du matos rajouté acheté]]</f>
        <v>0</v>
      </c>
    </row>
    <row r="7" spans="2:8" x14ac:dyDescent="0.25">
      <c r="E7" s="3">
        <f>Tableau92206[[#This Row],[Demande]]-Tableau92206[[#This Row],[Présente dans la malle]]</f>
        <v>0</v>
      </c>
      <c r="F7" s="5"/>
      <c r="H7" s="8">
        <f>Tableau92206[[#This Row],[Quantités acheté rajouté]]*Tableau92206[[#This Row],[CU du matos rajouté acheté]]</f>
        <v>0</v>
      </c>
    </row>
    <row r="8" spans="2:8" x14ac:dyDescent="0.25">
      <c r="E8" s="3">
        <f>Tableau92206[[#This Row],[Demande]]-Tableau92206[[#This Row],[Présente dans la malle]]</f>
        <v>0</v>
      </c>
      <c r="F8" s="5"/>
      <c r="H8" s="8">
        <f>Tableau92206[[#This Row],[Quantités acheté rajouté]]*Tableau92206[[#This Row],[CU du matos rajouté acheté]]</f>
        <v>0</v>
      </c>
    </row>
    <row r="9" spans="2:8" x14ac:dyDescent="0.25">
      <c r="E9" s="3">
        <f>Tableau92206[[#This Row],[Demande]]-Tableau92206[[#This Row],[Présente dans la malle]]</f>
        <v>0</v>
      </c>
      <c r="F9" s="5"/>
      <c r="H9" s="8">
        <f>Tableau92206[[#This Row],[Quantités acheté rajouté]]*Tableau92206[[#This Row],[CU du matos rajouté acheté]]</f>
        <v>0</v>
      </c>
    </row>
    <row r="10" spans="2:8" x14ac:dyDescent="0.25">
      <c r="E10" s="3">
        <f>Tableau92206[[#This Row],[Demande]]-Tableau92206[[#This Row],[Présente dans la malle]]</f>
        <v>0</v>
      </c>
      <c r="F10" s="5"/>
      <c r="H10" s="8">
        <f>Tableau92206[[#This Row],[Quantités acheté rajouté]]*Tableau92206[[#This Row],[CU du matos rajouté acheté]]</f>
        <v>0</v>
      </c>
    </row>
    <row r="11" spans="2:8" x14ac:dyDescent="0.25">
      <c r="E11" s="3">
        <f>Tableau92206[[#This Row],[Demande]]-Tableau92206[[#This Row],[Présente dans la malle]]</f>
        <v>0</v>
      </c>
      <c r="F11" s="5"/>
      <c r="H11" s="8">
        <f>Tableau92206[[#This Row],[Quantités acheté rajouté]]*Tableau92206[[#This Row],[CU du matos rajouté acheté]]</f>
        <v>0</v>
      </c>
    </row>
    <row r="12" spans="2:8" x14ac:dyDescent="0.25">
      <c r="E12" s="3">
        <f>Tableau92206[[#This Row],[Demande]]-Tableau92206[[#This Row],[Présente dans la malle]]</f>
        <v>0</v>
      </c>
      <c r="F12" s="5"/>
      <c r="H12" s="8">
        <f>Tableau92206[[#This Row],[Quantités acheté rajouté]]*Tableau92206[[#This Row],[CU du matos rajouté acheté]]</f>
        <v>0</v>
      </c>
    </row>
    <row r="13" spans="2:8" x14ac:dyDescent="0.25">
      <c r="E13" s="3">
        <f>Tableau92206[[#This Row],[Demande]]-Tableau92206[[#This Row],[Présente dans la malle]]</f>
        <v>0</v>
      </c>
      <c r="F13" s="5"/>
      <c r="H13" s="8">
        <f>Tableau92206[[#This Row],[Quantités acheté rajouté]]*Tableau92206[[#This Row],[CU du matos rajouté acheté]]</f>
        <v>0</v>
      </c>
    </row>
    <row r="14" spans="2:8" x14ac:dyDescent="0.25">
      <c r="E14" s="3">
        <f>Tableau92206[[#This Row],[Demande]]-Tableau92206[[#This Row],[Présente dans la malle]]</f>
        <v>0</v>
      </c>
      <c r="F14" s="5"/>
      <c r="H14" s="8">
        <f>Tableau92206[[#This Row],[Quantités acheté rajouté]]*Tableau92206[[#This Row],[CU du matos rajouté acheté]]</f>
        <v>0</v>
      </c>
    </row>
    <row r="15" spans="2:8" x14ac:dyDescent="0.25">
      <c r="E15" s="3">
        <f>Tableau92206[[#This Row],[Demande]]-Tableau92206[[#This Row],[Présente dans la malle]]</f>
        <v>0</v>
      </c>
      <c r="F15" s="7"/>
      <c r="G15" s="4"/>
      <c r="H15" s="8">
        <f>Tableau92206[[#This Row],[Quantités acheté rajouté]]*Tableau92206[[#This Row],[CU du matos rajouté acheté]]</f>
        <v>0</v>
      </c>
    </row>
    <row r="16" spans="2:8" x14ac:dyDescent="0.25">
      <c r="B16" t="s">
        <v>4</v>
      </c>
      <c r="C16">
        <f>SUM(Tableau92206[Présente dans la malle])</f>
        <v>0</v>
      </c>
      <c r="D16">
        <f>SUM(Tableau92206[Demande])</f>
        <v>0</v>
      </c>
      <c r="E16">
        <f>SUM(Tableau92206[Manque])</f>
        <v>0</v>
      </c>
      <c r="F16" s="6">
        <f>SUM(Tableau92206[Quantités acheté rajouté])</f>
        <v>0</v>
      </c>
      <c r="G16" s="6"/>
      <c r="H16" s="2">
        <f>SUM(Tableau92206[CT])</f>
        <v>0</v>
      </c>
    </row>
    <row r="19" spans="2:8" x14ac:dyDescent="0.25">
      <c r="B19" t="s">
        <v>5</v>
      </c>
      <c r="C19" t="s">
        <v>0</v>
      </c>
      <c r="D19" t="s">
        <v>1</v>
      </c>
      <c r="E19" t="s">
        <v>2</v>
      </c>
      <c r="F19" s="2" t="s">
        <v>15</v>
      </c>
      <c r="G19" s="2" t="s">
        <v>11</v>
      </c>
      <c r="H19" s="2" t="s">
        <v>10</v>
      </c>
    </row>
    <row r="20" spans="2:8" x14ac:dyDescent="0.25">
      <c r="E20" s="3">
        <f>Tableau9296207[[#This Row],[Demande]]-Tableau9296207[[#This Row],[Présente dans la malle]]</f>
        <v>0</v>
      </c>
      <c r="F20" s="5"/>
      <c r="H20" s="8">
        <f>Tableau9296207[[#This Row],[Quantités acheté rajouté]]*Tableau9296207[[#This Row],[CU du matos rajouté acheté]]</f>
        <v>0</v>
      </c>
    </row>
    <row r="21" spans="2:8" x14ac:dyDescent="0.25">
      <c r="E21" s="3">
        <f>Tableau9296207[[#This Row],[Demande]]-Tableau9296207[[#This Row],[Présente dans la malle]]</f>
        <v>0</v>
      </c>
      <c r="F21" s="5"/>
      <c r="H21" s="8">
        <f>Tableau9296207[[#This Row],[Quantités acheté rajouté]]*Tableau9296207[[#This Row],[CU du matos rajouté acheté]]</f>
        <v>0</v>
      </c>
    </row>
    <row r="22" spans="2:8" x14ac:dyDescent="0.25">
      <c r="E22" s="3">
        <f>Tableau9296207[[#This Row],[Demande]]-Tableau9296207[[#This Row],[Présente dans la malle]]</f>
        <v>0</v>
      </c>
      <c r="F22" s="5"/>
      <c r="H22" s="8">
        <f>Tableau9296207[[#This Row],[Quantités acheté rajouté]]*Tableau9296207[[#This Row],[CU du matos rajouté acheté]]</f>
        <v>0</v>
      </c>
    </row>
    <row r="23" spans="2:8" x14ac:dyDescent="0.25">
      <c r="E23" s="3">
        <f>Tableau9296207[[#This Row],[Demande]]-Tableau9296207[[#This Row],[Présente dans la malle]]</f>
        <v>0</v>
      </c>
      <c r="F23" s="5"/>
      <c r="H23" s="8">
        <f>Tableau9296207[[#This Row],[Quantités acheté rajouté]]*Tableau9296207[[#This Row],[CU du matos rajouté acheté]]</f>
        <v>0</v>
      </c>
    </row>
    <row r="24" spans="2:8" x14ac:dyDescent="0.25">
      <c r="E24" s="3">
        <f>Tableau9296207[[#This Row],[Demande]]-Tableau9296207[[#This Row],[Présente dans la malle]]</f>
        <v>0</v>
      </c>
      <c r="F24" s="5"/>
      <c r="H24" s="8">
        <f>Tableau9296207[[#This Row],[Quantités acheté rajouté]]*Tableau9296207[[#This Row],[CU du matos rajouté acheté]]</f>
        <v>0</v>
      </c>
    </row>
    <row r="25" spans="2:8" x14ac:dyDescent="0.25">
      <c r="E25" s="3">
        <f>Tableau9296207[[#This Row],[Demande]]-Tableau9296207[[#This Row],[Présente dans la malle]]</f>
        <v>0</v>
      </c>
      <c r="F25" s="5"/>
      <c r="H25" s="8">
        <f>Tableau9296207[[#This Row],[Quantités acheté rajouté]]*Tableau9296207[[#This Row],[CU du matos rajouté acheté]]</f>
        <v>0</v>
      </c>
    </row>
    <row r="26" spans="2:8" x14ac:dyDescent="0.25">
      <c r="E26" s="3">
        <f>Tableau9296207[[#This Row],[Demande]]-Tableau9296207[[#This Row],[Présente dans la malle]]</f>
        <v>0</v>
      </c>
      <c r="F26" s="5"/>
      <c r="H26" s="8">
        <f>Tableau9296207[[#This Row],[Quantités acheté rajouté]]*Tableau9296207[[#This Row],[CU du matos rajouté acheté]]</f>
        <v>0</v>
      </c>
    </row>
    <row r="27" spans="2:8" x14ac:dyDescent="0.25">
      <c r="E27" s="3">
        <f>Tableau9296207[[#This Row],[Demande]]-Tableau9296207[[#This Row],[Présente dans la malle]]</f>
        <v>0</v>
      </c>
      <c r="F27" s="5"/>
      <c r="H27" s="8">
        <f>Tableau9296207[[#This Row],[Quantités acheté rajouté]]*Tableau9296207[[#This Row],[CU du matos rajouté acheté]]</f>
        <v>0</v>
      </c>
    </row>
    <row r="28" spans="2:8" x14ac:dyDescent="0.25">
      <c r="E28" s="3">
        <f>Tableau9296207[[#This Row],[Demande]]-Tableau9296207[[#This Row],[Présente dans la malle]]</f>
        <v>0</v>
      </c>
      <c r="F28" s="5"/>
      <c r="H28" s="8">
        <f>Tableau9296207[[#This Row],[Quantités acheté rajouté]]*Tableau9296207[[#This Row],[CU du matos rajouté acheté]]</f>
        <v>0</v>
      </c>
    </row>
    <row r="29" spans="2:8" x14ac:dyDescent="0.25">
      <c r="E29" s="3">
        <f>Tableau9296207[[#This Row],[Demande]]-Tableau9296207[[#This Row],[Présente dans la malle]]</f>
        <v>0</v>
      </c>
      <c r="F29" s="5"/>
      <c r="H29" s="8">
        <f>Tableau9296207[[#This Row],[Quantités acheté rajouté]]*Tableau9296207[[#This Row],[CU du matos rajouté acheté]]</f>
        <v>0</v>
      </c>
    </row>
    <row r="30" spans="2:8" x14ac:dyDescent="0.25">
      <c r="E30" s="3">
        <f>Tableau9296207[[#This Row],[Demande]]-Tableau9296207[[#This Row],[Présente dans la malle]]</f>
        <v>0</v>
      </c>
      <c r="F30" s="5"/>
      <c r="H30" s="8">
        <f>Tableau9296207[[#This Row],[Quantités acheté rajouté]]*Tableau9296207[[#This Row],[CU du matos rajouté acheté]]</f>
        <v>0</v>
      </c>
    </row>
    <row r="31" spans="2:8" x14ac:dyDescent="0.25">
      <c r="E31" s="3">
        <f>Tableau9296207[[#This Row],[Demande]]-Tableau9296207[[#This Row],[Présente dans la malle]]</f>
        <v>0</v>
      </c>
      <c r="F31" s="5"/>
      <c r="H31" s="8">
        <f>Tableau9296207[[#This Row],[Quantités acheté rajouté]]*Tableau9296207[[#This Row],[CU du matos rajouté acheté]]</f>
        <v>0</v>
      </c>
    </row>
    <row r="32" spans="2:8" x14ac:dyDescent="0.25">
      <c r="E32" s="3">
        <f>Tableau9296207[[#This Row],[Demande]]-Tableau9296207[[#This Row],[Présente dans la malle]]</f>
        <v>0</v>
      </c>
      <c r="F32" s="7"/>
      <c r="G32" s="4"/>
      <c r="H32" s="8">
        <f>Tableau9296207[[#This Row],[Quantités acheté rajouté]]*Tableau9296207[[#This Row],[CU du matos rajouté acheté]]</f>
        <v>0</v>
      </c>
    </row>
    <row r="33" spans="2:8" x14ac:dyDescent="0.25">
      <c r="B33" t="s">
        <v>4</v>
      </c>
      <c r="C33">
        <f>SUM(Tableau9296207[Présente dans la malle])</f>
        <v>0</v>
      </c>
      <c r="D33">
        <f>SUM(Tableau9296207[Demande])</f>
        <v>0</v>
      </c>
      <c r="E33">
        <f>SUM(Tableau9296207[Manque])</f>
        <v>0</v>
      </c>
      <c r="F33" s="6">
        <f>SUM(Tableau9296207[Quantités acheté rajouté])</f>
        <v>0</v>
      </c>
      <c r="G33" s="6"/>
      <c r="H33" s="2">
        <f>SUM(Tableau9296207[CT])</f>
        <v>0</v>
      </c>
    </row>
    <row r="35" spans="2:8" x14ac:dyDescent="0.25">
      <c r="H35" s="2"/>
    </row>
    <row r="36" spans="2:8" x14ac:dyDescent="0.25">
      <c r="B36" t="s">
        <v>6</v>
      </c>
      <c r="C36" t="s">
        <v>0</v>
      </c>
      <c r="D36" t="s">
        <v>1</v>
      </c>
      <c r="E36" t="s">
        <v>2</v>
      </c>
      <c r="F36" s="2" t="s">
        <v>15</v>
      </c>
      <c r="G36" s="2" t="s">
        <v>11</v>
      </c>
      <c r="H36" s="2" t="s">
        <v>10</v>
      </c>
    </row>
    <row r="37" spans="2:8" x14ac:dyDescent="0.25">
      <c r="E37" s="3">
        <f>Tableau9297208[[#This Row],[Demande]]-Tableau9297208[[#This Row],[Présente dans la malle]]</f>
        <v>0</v>
      </c>
      <c r="F37" s="5"/>
      <c r="H37" s="8">
        <f>Tableau9297208[[#This Row],[Quantités acheté rajouté]]*Tableau9297208[[#This Row],[CU du matos rajouté acheté]]</f>
        <v>0</v>
      </c>
    </row>
    <row r="38" spans="2:8" x14ac:dyDescent="0.25">
      <c r="E38" s="3">
        <f>Tableau9297208[[#This Row],[Demande]]-Tableau9297208[[#This Row],[Présente dans la malle]]</f>
        <v>0</v>
      </c>
      <c r="F38" s="5"/>
      <c r="H38" s="8">
        <f>Tableau9297208[[#This Row],[Quantités acheté rajouté]]*Tableau9297208[[#This Row],[CU du matos rajouté acheté]]</f>
        <v>0</v>
      </c>
    </row>
    <row r="39" spans="2:8" x14ac:dyDescent="0.25">
      <c r="E39" s="3">
        <f>Tableau9297208[[#This Row],[Demande]]-Tableau9297208[[#This Row],[Présente dans la malle]]</f>
        <v>0</v>
      </c>
      <c r="F39" s="5"/>
      <c r="H39" s="8">
        <f>Tableau9297208[[#This Row],[Quantités acheté rajouté]]*Tableau9297208[[#This Row],[CU du matos rajouté acheté]]</f>
        <v>0</v>
      </c>
    </row>
    <row r="40" spans="2:8" x14ac:dyDescent="0.25">
      <c r="E40" s="3">
        <f>Tableau9297208[[#This Row],[Demande]]-Tableau9297208[[#This Row],[Présente dans la malle]]</f>
        <v>0</v>
      </c>
      <c r="F40" s="5"/>
      <c r="H40" s="8">
        <f>Tableau9297208[[#This Row],[Quantités acheté rajouté]]*Tableau9297208[[#This Row],[CU du matos rajouté acheté]]</f>
        <v>0</v>
      </c>
    </row>
    <row r="41" spans="2:8" x14ac:dyDescent="0.25">
      <c r="E41" s="3">
        <f>Tableau9297208[[#This Row],[Demande]]-Tableau9297208[[#This Row],[Présente dans la malle]]</f>
        <v>0</v>
      </c>
      <c r="F41" s="5"/>
      <c r="H41" s="8">
        <f>Tableau9297208[[#This Row],[Quantités acheté rajouté]]*Tableau9297208[[#This Row],[CU du matos rajouté acheté]]</f>
        <v>0</v>
      </c>
    </row>
    <row r="42" spans="2:8" x14ac:dyDescent="0.25">
      <c r="E42" s="3">
        <f>Tableau9297208[[#This Row],[Demande]]-Tableau9297208[[#This Row],[Présente dans la malle]]</f>
        <v>0</v>
      </c>
      <c r="F42" s="5"/>
      <c r="H42" s="8">
        <f>Tableau9297208[[#This Row],[Quantités acheté rajouté]]*Tableau9297208[[#This Row],[CU du matos rajouté acheté]]</f>
        <v>0</v>
      </c>
    </row>
    <row r="43" spans="2:8" x14ac:dyDescent="0.25">
      <c r="E43" s="3">
        <f>Tableau9297208[[#This Row],[Demande]]-Tableau9297208[[#This Row],[Présente dans la malle]]</f>
        <v>0</v>
      </c>
      <c r="F43" s="5"/>
      <c r="H43" s="8">
        <f>Tableau9297208[[#This Row],[Quantités acheté rajouté]]*Tableau9297208[[#This Row],[CU du matos rajouté acheté]]</f>
        <v>0</v>
      </c>
    </row>
    <row r="44" spans="2:8" x14ac:dyDescent="0.25">
      <c r="E44" s="3">
        <f>Tableau9297208[[#This Row],[Demande]]-Tableau9297208[[#This Row],[Présente dans la malle]]</f>
        <v>0</v>
      </c>
      <c r="F44" s="5"/>
      <c r="H44" s="8">
        <f>Tableau9297208[[#This Row],[Quantités acheté rajouté]]*Tableau9297208[[#This Row],[CU du matos rajouté acheté]]</f>
        <v>0</v>
      </c>
    </row>
    <row r="45" spans="2:8" x14ac:dyDescent="0.25">
      <c r="E45" s="3">
        <f>Tableau9297208[[#This Row],[Demande]]-Tableau9297208[[#This Row],[Présente dans la malle]]</f>
        <v>0</v>
      </c>
      <c r="F45" s="5"/>
      <c r="H45" s="8">
        <f>Tableau9297208[[#This Row],[Quantités acheté rajouté]]*Tableau9297208[[#This Row],[CU du matos rajouté acheté]]</f>
        <v>0</v>
      </c>
    </row>
    <row r="46" spans="2:8" x14ac:dyDescent="0.25">
      <c r="E46" s="3">
        <f>Tableau9297208[[#This Row],[Demande]]-Tableau9297208[[#This Row],[Présente dans la malle]]</f>
        <v>0</v>
      </c>
      <c r="F46" s="5"/>
      <c r="H46" s="8">
        <f>Tableau9297208[[#This Row],[Quantités acheté rajouté]]*Tableau9297208[[#This Row],[CU du matos rajouté acheté]]</f>
        <v>0</v>
      </c>
    </row>
    <row r="47" spans="2:8" x14ac:dyDescent="0.25">
      <c r="E47" s="3">
        <f>Tableau9297208[[#This Row],[Demande]]-Tableau9297208[[#This Row],[Présente dans la malle]]</f>
        <v>0</v>
      </c>
      <c r="F47" s="5"/>
      <c r="H47" s="8">
        <f>Tableau9297208[[#This Row],[Quantités acheté rajouté]]*Tableau9297208[[#This Row],[CU du matos rajouté acheté]]</f>
        <v>0</v>
      </c>
    </row>
    <row r="48" spans="2:8" x14ac:dyDescent="0.25">
      <c r="E48" s="3">
        <f>Tableau9297208[[#This Row],[Demande]]-Tableau9297208[[#This Row],[Présente dans la malle]]</f>
        <v>0</v>
      </c>
      <c r="F48" s="5"/>
      <c r="H48" s="8">
        <f>Tableau9297208[[#This Row],[Quantités acheté rajouté]]*Tableau9297208[[#This Row],[CU du matos rajouté acheté]]</f>
        <v>0</v>
      </c>
    </row>
    <row r="49" spans="2:8" x14ac:dyDescent="0.25">
      <c r="E49" s="3">
        <f>Tableau9297208[[#This Row],[Demande]]-Tableau9297208[[#This Row],[Présente dans la malle]]</f>
        <v>0</v>
      </c>
      <c r="F49" s="7"/>
      <c r="G49" s="4"/>
      <c r="H49" s="8">
        <f>Tableau9297208[[#This Row],[Quantités acheté rajouté]]*Tableau9297208[[#This Row],[CU du matos rajouté acheté]]</f>
        <v>0</v>
      </c>
    </row>
    <row r="50" spans="2:8" x14ac:dyDescent="0.25">
      <c r="B50" t="s">
        <v>4</v>
      </c>
      <c r="C50">
        <f>SUM(Tableau9297208[Présente dans la malle])</f>
        <v>0</v>
      </c>
      <c r="D50">
        <f>SUM(Tableau9297208[Demande])</f>
        <v>0</v>
      </c>
      <c r="E50">
        <f>SUM(Tableau9297208[Manque])</f>
        <v>0</v>
      </c>
      <c r="F50" s="6">
        <f>SUM(Tableau9297208[Quantités acheté rajouté])</f>
        <v>0</v>
      </c>
      <c r="G50" s="6"/>
      <c r="H50" s="2">
        <f>SUM(Tableau9297208[CT])</f>
        <v>0</v>
      </c>
    </row>
  </sheetData>
  <conditionalFormatting sqref="E3:E15">
    <cfRule type="cellIs" dxfId="194" priority="10" operator="equal">
      <formula>0</formula>
    </cfRule>
    <cfRule type="cellIs" dxfId="193" priority="11" operator="lessThan">
      <formula>0</formula>
    </cfRule>
    <cfRule type="cellIs" dxfId="192" priority="12" operator="greaterThan">
      <formula>0</formula>
    </cfRule>
  </conditionalFormatting>
  <conditionalFormatting sqref="E16">
    <cfRule type="cellIs" dxfId="191" priority="9" operator="equal">
      <formula>0</formula>
    </cfRule>
  </conditionalFormatting>
  <conditionalFormatting sqref="E50">
    <cfRule type="cellIs" dxfId="190" priority="1" operator="equal">
      <formula>0</formula>
    </cfRule>
  </conditionalFormatting>
  <conditionalFormatting sqref="E20:E32">
    <cfRule type="cellIs" dxfId="189" priority="6" operator="equal">
      <formula>0</formula>
    </cfRule>
    <cfRule type="cellIs" dxfId="188" priority="7" operator="lessThan">
      <formula>0</formula>
    </cfRule>
    <cfRule type="cellIs" dxfId="187" priority="8" operator="greaterThan">
      <formula>0</formula>
    </cfRule>
  </conditionalFormatting>
  <conditionalFormatting sqref="E33">
    <cfRule type="cellIs" dxfId="186" priority="5" operator="equal">
      <formula>0</formula>
    </cfRule>
  </conditionalFormatting>
  <conditionalFormatting sqref="E37:E49">
    <cfRule type="cellIs" dxfId="185" priority="2" operator="equal">
      <formula>0</formula>
    </cfRule>
    <cfRule type="cellIs" dxfId="184" priority="3" operator="lessThan">
      <formula>0</formula>
    </cfRule>
    <cfRule type="cellIs" dxfId="183" priority="4" operator="greaterThan">
      <formula>0</formula>
    </cfRule>
  </conditionalFormatting>
  <dataValidations count="7">
    <dataValidation allowBlank="1" showInputMessage="1" showErrorMessage="1" prompt="CT = Cout total" sqref="H35:H36 H2 H19" xr:uid="{724320E1-8145-4795-9E1E-F31968A5B18A}"/>
    <dataValidation allowBlank="1" showInputMessage="1" showErrorMessage="1" prompt="CU = Cout unitaire" sqref="F35:G36 F2:G2 F19:G19" xr:uid="{30533F44-C533-41A0-B8FD-A0EB062A2876}"/>
    <dataValidation allowBlank="1" showInputMessage="1" showErrorMessage="1" prompt="Quantité acheté rajouté * CU" sqref="H3 H20 H37" xr:uid="{E4B910BD-1E66-40B7-A539-25E32582196D}"/>
    <dataValidation allowBlank="1" showInputMessage="1" showErrorMessage="1" prompt="Insérez la quantité demandé" sqref="D11:D14 D3:D9 D28:D31 D20:D26 D45:D48 D37:D43" xr:uid="{23C47119-7C4D-4702-9588-C9CDB69F740A}"/>
    <dataValidation allowBlank="1" showInputMessage="1" showErrorMessage="1" prompt="Insérez la quantité présente dans les malles" sqref="C11:C14 C3:C9 C28:C31 C20:C26 C45:C48 C37:C43" xr:uid="{4C213439-E50F-4E0D-972E-A9D7C3451B1D}"/>
    <dataValidation allowBlank="1" showInputMessage="1" showErrorMessage="1" prompt="Si VERT_x000a_La fourniture est bien présente et la quantité est bonne_x000a_Si ROUGE_x000a_+ : Il faut rajouter la quantité de fourniture_x000a_- : Il faut enlevé la quantité de fourniture en trop_x000a_" sqref="E20:E32 E3:E15 E37:E49" xr:uid="{819B3699-7096-4571-ADAD-E1639CF33288}"/>
    <dataValidation type="list" allowBlank="1" showInputMessage="1" showErrorMessage="1" prompt="Insérez la fourniture désiré" sqref="B3:B14 B20:B31 B37:B48" xr:uid="{2770D3B3-607F-4AA9-83F0-D37543288443}">
      <formula1>Fournitures</formula1>
    </dataValidation>
  </dataValidations>
  <pageMargins left="0.7" right="0.7" top="0.75" bottom="0.75" header="0.3" footer="0.3"/>
  <tableParts count="3">
    <tablePart r:id="rId1"/>
    <tablePart r:id="rId2"/>
    <tablePart r:id="rId3"/>
  </tableParts>
</worksheet>
</file>

<file path=xl/worksheets/sheet2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CA7F557-1060-4EFF-B9FD-FCC67EB7C13B}">
  <dimension ref="B2:H50"/>
  <sheetViews>
    <sheetView workbookViewId="0">
      <selection activeCell="B11" sqref="B11"/>
    </sheetView>
  </sheetViews>
  <sheetFormatPr baseColWidth="10" defaultRowHeight="15" x14ac:dyDescent="0.25"/>
  <cols>
    <col min="2" max="2" width="29.140625" customWidth="1"/>
    <col min="3" max="3" width="23.140625" customWidth="1"/>
    <col min="4" max="4" width="11.7109375" customWidth="1"/>
    <col min="6" max="6" width="26.5703125" style="2" customWidth="1"/>
    <col min="7" max="7" width="28.28515625" style="2" customWidth="1"/>
  </cols>
  <sheetData>
    <row r="2" spans="2:8" x14ac:dyDescent="0.25">
      <c r="B2" t="s">
        <v>7</v>
      </c>
      <c r="C2" t="s">
        <v>0</v>
      </c>
      <c r="D2" t="s">
        <v>1</v>
      </c>
      <c r="E2" t="s">
        <v>2</v>
      </c>
      <c r="F2" s="2" t="s">
        <v>15</v>
      </c>
      <c r="G2" s="2" t="s">
        <v>11</v>
      </c>
      <c r="H2" s="2" t="s">
        <v>10</v>
      </c>
    </row>
    <row r="3" spans="2:8" x14ac:dyDescent="0.25">
      <c r="B3" t="s">
        <v>31</v>
      </c>
      <c r="C3">
        <v>1</v>
      </c>
      <c r="E3" s="3">
        <f>Tableau92215[[#This Row],[Demande]]-Tableau92215[[#This Row],[Présente dans la malle]]</f>
        <v>-1</v>
      </c>
      <c r="F3" s="5"/>
      <c r="H3" s="8">
        <f>Tableau92215[[#This Row],[Quantités acheté rajouté]]*Tableau92215[[#This Row],[CU du matos rajouté acheté]]</f>
        <v>0</v>
      </c>
    </row>
    <row r="4" spans="2:8" x14ac:dyDescent="0.25">
      <c r="B4" t="s">
        <v>118</v>
      </c>
      <c r="C4">
        <v>1</v>
      </c>
      <c r="E4" s="3">
        <f>Tableau92215[[#This Row],[Demande]]-Tableau92215[[#This Row],[Présente dans la malle]]</f>
        <v>-1</v>
      </c>
      <c r="F4" s="5"/>
      <c r="H4" s="8">
        <f>Tableau92215[[#This Row],[Quantités acheté rajouté]]*Tableau92215[[#This Row],[CU du matos rajouté acheté]]</f>
        <v>0</v>
      </c>
    </row>
    <row r="5" spans="2:8" x14ac:dyDescent="0.25">
      <c r="B5" t="s">
        <v>119</v>
      </c>
      <c r="C5">
        <v>1</v>
      </c>
      <c r="E5" s="3">
        <f>Tableau92215[[#This Row],[Demande]]-Tableau92215[[#This Row],[Présente dans la malle]]</f>
        <v>-1</v>
      </c>
      <c r="F5" s="5"/>
      <c r="H5" s="8">
        <f>Tableau92215[[#This Row],[Quantités acheté rajouté]]*Tableau92215[[#This Row],[CU du matos rajouté acheté]]</f>
        <v>0</v>
      </c>
    </row>
    <row r="6" spans="2:8" x14ac:dyDescent="0.25">
      <c r="B6" t="s">
        <v>120</v>
      </c>
      <c r="C6">
        <v>2</v>
      </c>
      <c r="E6" s="3">
        <f>Tableau92215[[#This Row],[Demande]]-Tableau92215[[#This Row],[Présente dans la malle]]</f>
        <v>-2</v>
      </c>
      <c r="F6" s="5"/>
      <c r="H6" s="8">
        <f>Tableau92215[[#This Row],[Quantités acheté rajouté]]*Tableau92215[[#This Row],[CU du matos rajouté acheté]]</f>
        <v>0</v>
      </c>
    </row>
    <row r="7" spans="2:8" x14ac:dyDescent="0.25">
      <c r="B7" t="s">
        <v>121</v>
      </c>
      <c r="C7">
        <v>1</v>
      </c>
      <c r="E7" s="3">
        <f>Tableau92215[[#This Row],[Demande]]-Tableau92215[[#This Row],[Présente dans la malle]]</f>
        <v>-1</v>
      </c>
      <c r="F7" s="5"/>
      <c r="H7" s="8">
        <f>Tableau92215[[#This Row],[Quantités acheté rajouté]]*Tableau92215[[#This Row],[CU du matos rajouté acheté]]</f>
        <v>0</v>
      </c>
    </row>
    <row r="8" spans="2:8" x14ac:dyDescent="0.25">
      <c r="B8" t="s">
        <v>116</v>
      </c>
      <c r="C8">
        <v>1</v>
      </c>
      <c r="E8" s="3">
        <f>Tableau92215[[#This Row],[Demande]]-Tableau92215[[#This Row],[Présente dans la malle]]</f>
        <v>-1</v>
      </c>
      <c r="F8" s="5"/>
      <c r="H8" s="8">
        <f>Tableau92215[[#This Row],[Quantités acheté rajouté]]*Tableau92215[[#This Row],[CU du matos rajouté acheté]]</f>
        <v>0</v>
      </c>
    </row>
    <row r="9" spans="2:8" x14ac:dyDescent="0.25">
      <c r="B9" t="s">
        <v>103</v>
      </c>
      <c r="C9">
        <v>1</v>
      </c>
      <c r="E9" s="3">
        <f>Tableau92215[[#This Row],[Demande]]-Tableau92215[[#This Row],[Présente dans la malle]]</f>
        <v>-1</v>
      </c>
      <c r="F9" s="5"/>
      <c r="H9" s="8">
        <f>Tableau92215[[#This Row],[Quantités acheté rajouté]]*Tableau92215[[#This Row],[CU du matos rajouté acheté]]</f>
        <v>0</v>
      </c>
    </row>
    <row r="10" spans="2:8" x14ac:dyDescent="0.25">
      <c r="E10" s="3">
        <f>Tableau92215[[#This Row],[Demande]]-Tableau92215[[#This Row],[Présente dans la malle]]</f>
        <v>0</v>
      </c>
      <c r="F10" s="5"/>
      <c r="H10" s="8">
        <f>Tableau92215[[#This Row],[Quantités acheté rajouté]]*Tableau92215[[#This Row],[CU du matos rajouté acheté]]</f>
        <v>0</v>
      </c>
    </row>
    <row r="11" spans="2:8" x14ac:dyDescent="0.25">
      <c r="E11" s="3">
        <f>Tableau92215[[#This Row],[Demande]]-Tableau92215[[#This Row],[Présente dans la malle]]</f>
        <v>0</v>
      </c>
      <c r="F11" s="5"/>
      <c r="H11" s="8">
        <f>Tableau92215[[#This Row],[Quantités acheté rajouté]]*Tableau92215[[#This Row],[CU du matos rajouté acheté]]</f>
        <v>0</v>
      </c>
    </row>
    <row r="12" spans="2:8" x14ac:dyDescent="0.25">
      <c r="E12" s="3">
        <f>Tableau92215[[#This Row],[Demande]]-Tableau92215[[#This Row],[Présente dans la malle]]</f>
        <v>0</v>
      </c>
      <c r="F12" s="5"/>
      <c r="H12" s="8">
        <f>Tableau92215[[#This Row],[Quantités acheté rajouté]]*Tableau92215[[#This Row],[CU du matos rajouté acheté]]</f>
        <v>0</v>
      </c>
    </row>
    <row r="13" spans="2:8" x14ac:dyDescent="0.25">
      <c r="E13" s="3">
        <f>Tableau92215[[#This Row],[Demande]]-Tableau92215[[#This Row],[Présente dans la malle]]</f>
        <v>0</v>
      </c>
      <c r="F13" s="5"/>
      <c r="H13" s="8">
        <f>Tableau92215[[#This Row],[Quantités acheté rajouté]]*Tableau92215[[#This Row],[CU du matos rajouté acheté]]</f>
        <v>0</v>
      </c>
    </row>
    <row r="14" spans="2:8" x14ac:dyDescent="0.25">
      <c r="E14" s="3">
        <f>Tableau92215[[#This Row],[Demande]]-Tableau92215[[#This Row],[Présente dans la malle]]</f>
        <v>0</v>
      </c>
      <c r="F14" s="5"/>
      <c r="H14" s="8">
        <f>Tableau92215[[#This Row],[Quantités acheté rajouté]]*Tableau92215[[#This Row],[CU du matos rajouté acheté]]</f>
        <v>0</v>
      </c>
    </row>
    <row r="15" spans="2:8" x14ac:dyDescent="0.25">
      <c r="E15" s="3">
        <f>Tableau92215[[#This Row],[Demande]]-Tableau92215[[#This Row],[Présente dans la malle]]</f>
        <v>0</v>
      </c>
      <c r="F15" s="7"/>
      <c r="G15" s="4"/>
      <c r="H15" s="8">
        <f>Tableau92215[[#This Row],[Quantités acheté rajouté]]*Tableau92215[[#This Row],[CU du matos rajouté acheté]]</f>
        <v>0</v>
      </c>
    </row>
    <row r="16" spans="2:8" x14ac:dyDescent="0.25">
      <c r="B16" t="s">
        <v>4</v>
      </c>
      <c r="C16">
        <f>SUM(Tableau92215[Présente dans la malle])</f>
        <v>8</v>
      </c>
      <c r="D16">
        <f>SUM(Tableau92215[Demande])</f>
        <v>0</v>
      </c>
      <c r="E16">
        <f>SUM(Tableau92215[Manque])</f>
        <v>-8</v>
      </c>
      <c r="F16" s="6">
        <f>SUM(Tableau92215[Quantités acheté rajouté])</f>
        <v>0</v>
      </c>
      <c r="G16" s="6"/>
      <c r="H16" s="10">
        <f>SUM(Tableau92215[CT])</f>
        <v>0</v>
      </c>
    </row>
    <row r="19" spans="2:8" x14ac:dyDescent="0.25">
      <c r="B19" t="s">
        <v>5</v>
      </c>
      <c r="C19" t="s">
        <v>0</v>
      </c>
      <c r="D19" t="s">
        <v>1</v>
      </c>
      <c r="E19" t="s">
        <v>2</v>
      </c>
      <c r="F19" s="2" t="s">
        <v>15</v>
      </c>
      <c r="G19" s="2" t="s">
        <v>11</v>
      </c>
      <c r="H19" s="2" t="s">
        <v>10</v>
      </c>
    </row>
    <row r="20" spans="2:8" x14ac:dyDescent="0.25">
      <c r="E20" s="3">
        <f>Tableau9296216[[#This Row],[Demande]]-Tableau9296216[[#This Row],[Présente dans la malle]]</f>
        <v>0</v>
      </c>
      <c r="F20" s="5"/>
      <c r="H20" s="8">
        <f>Tableau9296216[[#This Row],[Quantités acheté rajouté]]*Tableau9296216[[#This Row],[CU du matos rajouté acheté]]</f>
        <v>0</v>
      </c>
    </row>
    <row r="21" spans="2:8" x14ac:dyDescent="0.25">
      <c r="E21" s="3">
        <f>Tableau9296216[[#This Row],[Demande]]-Tableau9296216[[#This Row],[Présente dans la malle]]</f>
        <v>0</v>
      </c>
      <c r="F21" s="5"/>
      <c r="H21" s="8">
        <f>Tableau9296216[[#This Row],[Quantités acheté rajouté]]*Tableau9296216[[#This Row],[CU du matos rajouté acheté]]</f>
        <v>0</v>
      </c>
    </row>
    <row r="22" spans="2:8" x14ac:dyDescent="0.25">
      <c r="E22" s="3">
        <f>Tableau9296216[[#This Row],[Demande]]-Tableau9296216[[#This Row],[Présente dans la malle]]</f>
        <v>0</v>
      </c>
      <c r="F22" s="5"/>
      <c r="H22" s="8">
        <f>Tableau9296216[[#This Row],[Quantités acheté rajouté]]*Tableau9296216[[#This Row],[CU du matos rajouté acheté]]</f>
        <v>0</v>
      </c>
    </row>
    <row r="23" spans="2:8" x14ac:dyDescent="0.25">
      <c r="E23" s="3">
        <f>Tableau9296216[[#This Row],[Demande]]-Tableau9296216[[#This Row],[Présente dans la malle]]</f>
        <v>0</v>
      </c>
      <c r="F23" s="5"/>
      <c r="H23" s="8">
        <f>Tableau9296216[[#This Row],[Quantités acheté rajouté]]*Tableau9296216[[#This Row],[CU du matos rajouté acheté]]</f>
        <v>0</v>
      </c>
    </row>
    <row r="24" spans="2:8" x14ac:dyDescent="0.25">
      <c r="E24" s="3">
        <f>Tableau9296216[[#This Row],[Demande]]-Tableau9296216[[#This Row],[Présente dans la malle]]</f>
        <v>0</v>
      </c>
      <c r="F24" s="5"/>
      <c r="H24" s="8">
        <f>Tableau9296216[[#This Row],[Quantités acheté rajouté]]*Tableau9296216[[#This Row],[CU du matos rajouté acheté]]</f>
        <v>0</v>
      </c>
    </row>
    <row r="25" spans="2:8" x14ac:dyDescent="0.25">
      <c r="E25" s="3">
        <f>Tableau9296216[[#This Row],[Demande]]-Tableau9296216[[#This Row],[Présente dans la malle]]</f>
        <v>0</v>
      </c>
      <c r="F25" s="5"/>
      <c r="H25" s="8">
        <f>Tableau9296216[[#This Row],[Quantités acheté rajouté]]*Tableau9296216[[#This Row],[CU du matos rajouté acheté]]</f>
        <v>0</v>
      </c>
    </row>
    <row r="26" spans="2:8" x14ac:dyDescent="0.25">
      <c r="E26" s="3">
        <f>Tableau9296216[[#This Row],[Demande]]-Tableau9296216[[#This Row],[Présente dans la malle]]</f>
        <v>0</v>
      </c>
      <c r="F26" s="5"/>
      <c r="H26" s="8">
        <f>Tableau9296216[[#This Row],[Quantités acheté rajouté]]*Tableau9296216[[#This Row],[CU du matos rajouté acheté]]</f>
        <v>0</v>
      </c>
    </row>
    <row r="27" spans="2:8" x14ac:dyDescent="0.25">
      <c r="E27" s="3">
        <f>Tableau9296216[[#This Row],[Demande]]-Tableau9296216[[#This Row],[Présente dans la malle]]</f>
        <v>0</v>
      </c>
      <c r="F27" s="5"/>
      <c r="H27" s="8">
        <f>Tableau9296216[[#This Row],[Quantités acheté rajouté]]*Tableau9296216[[#This Row],[CU du matos rajouté acheté]]</f>
        <v>0</v>
      </c>
    </row>
    <row r="28" spans="2:8" x14ac:dyDescent="0.25">
      <c r="E28" s="3">
        <f>Tableau9296216[[#This Row],[Demande]]-Tableau9296216[[#This Row],[Présente dans la malle]]</f>
        <v>0</v>
      </c>
      <c r="F28" s="5"/>
      <c r="H28" s="8">
        <f>Tableau9296216[[#This Row],[Quantités acheté rajouté]]*Tableau9296216[[#This Row],[CU du matos rajouté acheté]]</f>
        <v>0</v>
      </c>
    </row>
    <row r="29" spans="2:8" x14ac:dyDescent="0.25">
      <c r="E29" s="3">
        <f>Tableau9296216[[#This Row],[Demande]]-Tableau9296216[[#This Row],[Présente dans la malle]]</f>
        <v>0</v>
      </c>
      <c r="F29" s="5"/>
      <c r="H29" s="8">
        <f>Tableau9296216[[#This Row],[Quantités acheté rajouté]]*Tableau9296216[[#This Row],[CU du matos rajouté acheté]]</f>
        <v>0</v>
      </c>
    </row>
    <row r="30" spans="2:8" x14ac:dyDescent="0.25">
      <c r="E30" s="3">
        <f>Tableau9296216[[#This Row],[Demande]]-Tableau9296216[[#This Row],[Présente dans la malle]]</f>
        <v>0</v>
      </c>
      <c r="F30" s="5"/>
      <c r="H30" s="8">
        <f>Tableau9296216[[#This Row],[Quantités acheté rajouté]]*Tableau9296216[[#This Row],[CU du matos rajouté acheté]]</f>
        <v>0</v>
      </c>
    </row>
    <row r="31" spans="2:8" x14ac:dyDescent="0.25">
      <c r="E31" s="3">
        <f>Tableau9296216[[#This Row],[Demande]]-Tableau9296216[[#This Row],[Présente dans la malle]]</f>
        <v>0</v>
      </c>
      <c r="F31" s="5"/>
      <c r="H31" s="8">
        <f>Tableau9296216[[#This Row],[Quantités acheté rajouté]]*Tableau9296216[[#This Row],[CU du matos rajouté acheté]]</f>
        <v>0</v>
      </c>
    </row>
    <row r="32" spans="2:8" x14ac:dyDescent="0.25">
      <c r="E32" s="3">
        <f>Tableau9296216[[#This Row],[Demande]]-Tableau9296216[[#This Row],[Présente dans la malle]]</f>
        <v>0</v>
      </c>
      <c r="F32" s="7"/>
      <c r="G32" s="4"/>
      <c r="H32" s="8">
        <f>Tableau9296216[[#This Row],[Quantités acheté rajouté]]*Tableau9296216[[#This Row],[CU du matos rajouté acheté]]</f>
        <v>0</v>
      </c>
    </row>
    <row r="33" spans="2:8" x14ac:dyDescent="0.25">
      <c r="B33" t="s">
        <v>4</v>
      </c>
      <c r="C33">
        <f>SUM(Tableau9296216[Présente dans la malle])</f>
        <v>0</v>
      </c>
      <c r="D33">
        <f>SUM(Tableau9296216[Demande])</f>
        <v>0</v>
      </c>
      <c r="E33">
        <f>SUM(Tableau9296216[Manque])</f>
        <v>0</v>
      </c>
      <c r="F33" s="6">
        <f>SUM(Tableau9296216[Quantités acheté rajouté])</f>
        <v>0</v>
      </c>
      <c r="G33" s="6"/>
      <c r="H33" s="2">
        <f>SUM(Tableau9296216[CT])</f>
        <v>0</v>
      </c>
    </row>
    <row r="35" spans="2:8" x14ac:dyDescent="0.25">
      <c r="H35" s="2"/>
    </row>
    <row r="36" spans="2:8" x14ac:dyDescent="0.25">
      <c r="B36" t="s">
        <v>6</v>
      </c>
      <c r="C36" t="s">
        <v>0</v>
      </c>
      <c r="D36" t="s">
        <v>1</v>
      </c>
      <c r="E36" t="s">
        <v>2</v>
      </c>
      <c r="F36" s="2" t="s">
        <v>15</v>
      </c>
      <c r="G36" s="2" t="s">
        <v>11</v>
      </c>
      <c r="H36" s="2" t="s">
        <v>10</v>
      </c>
    </row>
    <row r="37" spans="2:8" x14ac:dyDescent="0.25">
      <c r="E37" s="3">
        <f>Tableau9297217[[#This Row],[Demande]]-Tableau9297217[[#This Row],[Présente dans la malle]]</f>
        <v>0</v>
      </c>
      <c r="F37" s="5"/>
      <c r="H37" s="8">
        <f>Tableau9297217[[#This Row],[Quantités acheté rajouté]]*Tableau9297217[[#This Row],[CU du matos rajouté acheté]]</f>
        <v>0</v>
      </c>
    </row>
    <row r="38" spans="2:8" x14ac:dyDescent="0.25">
      <c r="E38" s="3">
        <f>Tableau9297217[[#This Row],[Demande]]-Tableau9297217[[#This Row],[Présente dans la malle]]</f>
        <v>0</v>
      </c>
      <c r="F38" s="5"/>
      <c r="H38" s="8">
        <f>Tableau9297217[[#This Row],[Quantités acheté rajouté]]*Tableau9297217[[#This Row],[CU du matos rajouté acheté]]</f>
        <v>0</v>
      </c>
    </row>
    <row r="39" spans="2:8" x14ac:dyDescent="0.25">
      <c r="E39" s="3">
        <f>Tableau9297217[[#This Row],[Demande]]-Tableau9297217[[#This Row],[Présente dans la malle]]</f>
        <v>0</v>
      </c>
      <c r="F39" s="5"/>
      <c r="H39" s="8">
        <f>Tableau9297217[[#This Row],[Quantités acheté rajouté]]*Tableau9297217[[#This Row],[CU du matos rajouté acheté]]</f>
        <v>0</v>
      </c>
    </row>
    <row r="40" spans="2:8" x14ac:dyDescent="0.25">
      <c r="E40" s="3">
        <f>Tableau9297217[[#This Row],[Demande]]-Tableau9297217[[#This Row],[Présente dans la malle]]</f>
        <v>0</v>
      </c>
      <c r="F40" s="5"/>
      <c r="H40" s="8">
        <f>Tableau9297217[[#This Row],[Quantités acheté rajouté]]*Tableau9297217[[#This Row],[CU du matos rajouté acheté]]</f>
        <v>0</v>
      </c>
    </row>
    <row r="41" spans="2:8" x14ac:dyDescent="0.25">
      <c r="E41" s="3">
        <f>Tableau9297217[[#This Row],[Demande]]-Tableau9297217[[#This Row],[Présente dans la malle]]</f>
        <v>0</v>
      </c>
      <c r="F41" s="5"/>
      <c r="H41" s="8">
        <f>Tableau9297217[[#This Row],[Quantités acheté rajouté]]*Tableau9297217[[#This Row],[CU du matos rajouté acheté]]</f>
        <v>0</v>
      </c>
    </row>
    <row r="42" spans="2:8" x14ac:dyDescent="0.25">
      <c r="E42" s="3">
        <f>Tableau9297217[[#This Row],[Demande]]-Tableau9297217[[#This Row],[Présente dans la malle]]</f>
        <v>0</v>
      </c>
      <c r="F42" s="5"/>
      <c r="H42" s="8">
        <f>Tableau9297217[[#This Row],[Quantités acheté rajouté]]*Tableau9297217[[#This Row],[CU du matos rajouté acheté]]</f>
        <v>0</v>
      </c>
    </row>
    <row r="43" spans="2:8" x14ac:dyDescent="0.25">
      <c r="E43" s="3">
        <f>Tableau9297217[[#This Row],[Demande]]-Tableau9297217[[#This Row],[Présente dans la malle]]</f>
        <v>0</v>
      </c>
      <c r="F43" s="5"/>
      <c r="H43" s="8">
        <f>Tableau9297217[[#This Row],[Quantités acheté rajouté]]*Tableau9297217[[#This Row],[CU du matos rajouté acheté]]</f>
        <v>0</v>
      </c>
    </row>
    <row r="44" spans="2:8" x14ac:dyDescent="0.25">
      <c r="E44" s="3">
        <f>Tableau9297217[[#This Row],[Demande]]-Tableau9297217[[#This Row],[Présente dans la malle]]</f>
        <v>0</v>
      </c>
      <c r="F44" s="5"/>
      <c r="H44" s="8">
        <f>Tableau9297217[[#This Row],[Quantités acheté rajouté]]*Tableau9297217[[#This Row],[CU du matos rajouté acheté]]</f>
        <v>0</v>
      </c>
    </row>
    <row r="45" spans="2:8" x14ac:dyDescent="0.25">
      <c r="E45" s="3">
        <f>Tableau9297217[[#This Row],[Demande]]-Tableau9297217[[#This Row],[Présente dans la malle]]</f>
        <v>0</v>
      </c>
      <c r="F45" s="5"/>
      <c r="H45" s="8">
        <f>Tableau9297217[[#This Row],[Quantités acheté rajouté]]*Tableau9297217[[#This Row],[CU du matos rajouté acheté]]</f>
        <v>0</v>
      </c>
    </row>
    <row r="46" spans="2:8" x14ac:dyDescent="0.25">
      <c r="E46" s="3">
        <f>Tableau9297217[[#This Row],[Demande]]-Tableau9297217[[#This Row],[Présente dans la malle]]</f>
        <v>0</v>
      </c>
      <c r="F46" s="5"/>
      <c r="H46" s="8">
        <f>Tableau9297217[[#This Row],[Quantités acheté rajouté]]*Tableau9297217[[#This Row],[CU du matos rajouté acheté]]</f>
        <v>0</v>
      </c>
    </row>
    <row r="47" spans="2:8" x14ac:dyDescent="0.25">
      <c r="E47" s="3">
        <f>Tableau9297217[[#This Row],[Demande]]-Tableau9297217[[#This Row],[Présente dans la malle]]</f>
        <v>0</v>
      </c>
      <c r="F47" s="5"/>
      <c r="H47" s="8">
        <f>Tableau9297217[[#This Row],[Quantités acheté rajouté]]*Tableau9297217[[#This Row],[CU du matos rajouté acheté]]</f>
        <v>0</v>
      </c>
    </row>
    <row r="48" spans="2:8" x14ac:dyDescent="0.25">
      <c r="E48" s="3">
        <f>Tableau9297217[[#This Row],[Demande]]-Tableau9297217[[#This Row],[Présente dans la malle]]</f>
        <v>0</v>
      </c>
      <c r="F48" s="5"/>
      <c r="H48" s="8">
        <f>Tableau9297217[[#This Row],[Quantités acheté rajouté]]*Tableau9297217[[#This Row],[CU du matos rajouté acheté]]</f>
        <v>0</v>
      </c>
    </row>
    <row r="49" spans="2:8" x14ac:dyDescent="0.25">
      <c r="E49" s="3">
        <f>Tableau9297217[[#This Row],[Demande]]-Tableau9297217[[#This Row],[Présente dans la malle]]</f>
        <v>0</v>
      </c>
      <c r="F49" s="7"/>
      <c r="G49" s="4"/>
      <c r="H49" s="8">
        <f>Tableau9297217[[#This Row],[Quantités acheté rajouté]]*Tableau9297217[[#This Row],[CU du matos rajouté acheté]]</f>
        <v>0</v>
      </c>
    </row>
    <row r="50" spans="2:8" x14ac:dyDescent="0.25">
      <c r="B50" t="s">
        <v>4</v>
      </c>
      <c r="C50">
        <f>SUM(Tableau9297217[Présente dans la malle])</f>
        <v>0</v>
      </c>
      <c r="D50">
        <f>SUM(Tableau9297217[Demande])</f>
        <v>0</v>
      </c>
      <c r="E50">
        <f>SUM(Tableau9297217[Manque])</f>
        <v>0</v>
      </c>
      <c r="F50" s="6">
        <f>SUM(Tableau9297217[Quantités acheté rajouté])</f>
        <v>0</v>
      </c>
      <c r="G50" s="6"/>
      <c r="H50" s="2">
        <f>SUM(Tableau9297217[CT])</f>
        <v>0</v>
      </c>
    </row>
  </sheetData>
  <conditionalFormatting sqref="E3:E15">
    <cfRule type="cellIs" dxfId="155" priority="10" operator="equal">
      <formula>0</formula>
    </cfRule>
    <cfRule type="cellIs" dxfId="154" priority="11" operator="lessThan">
      <formula>0</formula>
    </cfRule>
    <cfRule type="cellIs" dxfId="153" priority="12" operator="greaterThan">
      <formula>0</formula>
    </cfRule>
  </conditionalFormatting>
  <conditionalFormatting sqref="E16">
    <cfRule type="cellIs" dxfId="152" priority="9" operator="equal">
      <formula>0</formula>
    </cfRule>
  </conditionalFormatting>
  <conditionalFormatting sqref="E50">
    <cfRule type="cellIs" dxfId="151" priority="1" operator="equal">
      <formula>0</formula>
    </cfRule>
  </conditionalFormatting>
  <conditionalFormatting sqref="E20:E32">
    <cfRule type="cellIs" dxfId="150" priority="6" operator="equal">
      <formula>0</formula>
    </cfRule>
    <cfRule type="cellIs" dxfId="149" priority="7" operator="lessThan">
      <formula>0</formula>
    </cfRule>
    <cfRule type="cellIs" dxfId="148" priority="8" operator="greaterThan">
      <formula>0</formula>
    </cfRule>
  </conditionalFormatting>
  <conditionalFormatting sqref="E33">
    <cfRule type="cellIs" dxfId="147" priority="5" operator="equal">
      <formula>0</formula>
    </cfRule>
  </conditionalFormatting>
  <conditionalFormatting sqref="E37:E49">
    <cfRule type="cellIs" dxfId="146" priority="2" operator="equal">
      <formula>0</formula>
    </cfRule>
    <cfRule type="cellIs" dxfId="145" priority="3" operator="lessThan">
      <formula>0</formula>
    </cfRule>
    <cfRule type="cellIs" dxfId="144" priority="4" operator="greaterThan">
      <formula>0</formula>
    </cfRule>
  </conditionalFormatting>
  <dataValidations count="8">
    <dataValidation allowBlank="1" showInputMessage="1" showErrorMessage="1" prompt="CT = Cout total" sqref="H35:H36 H2 H19" xr:uid="{0A01D601-835D-47F4-A86A-520FF6F79B26}"/>
    <dataValidation allowBlank="1" showInputMessage="1" showErrorMessage="1" prompt="CU = Cout unitaire" sqref="F35:G36 F2:G2 F19:G19" xr:uid="{1988D40F-EB43-4907-97D7-6A812508D79B}"/>
    <dataValidation allowBlank="1" showInputMessage="1" showErrorMessage="1" prompt="Quantité acheté rajouté * CU" sqref="H3 H20 H37" xr:uid="{DADA3CB0-635B-4F0E-8964-69007C8F69B9}"/>
    <dataValidation allowBlank="1" showInputMessage="1" showErrorMessage="1" prompt="Insérez la quantité demandé" sqref="D11:D14 D3:D9 D28:D31 D20:D26 D45:D48 D37:D43" xr:uid="{E23A778B-2FEC-4CFB-85B9-0381E678AC3A}"/>
    <dataValidation allowBlank="1" showInputMessage="1" showErrorMessage="1" prompt="Insérez la quantité présente dans les malles" sqref="C11:C14 C3:C9 C28:C31 C20:C26 C45:C48 C37:C43" xr:uid="{FA9EEDC2-F6BE-4D64-A5EE-46C154B2B2F6}"/>
    <dataValidation allowBlank="1" showInputMessage="1" showErrorMessage="1" prompt="Si VERT_x000a_La fourniture est bien présente et la quantité est bonne_x000a_Si ROUGE_x000a_+ : Il faut rajouter la quantité de fourniture_x000a_- : Il faut enlevé la quantité de fourniture en trop_x000a_" sqref="E20:E32 E3:E15 E37:E49" xr:uid="{2A56018D-547C-45D6-BA46-0305842A30D5}"/>
    <dataValidation type="list" allowBlank="1" showInputMessage="1" showErrorMessage="1" prompt="Insérez la fourniture désiré" sqref="B37:B48 B20:B31 B4:B14" xr:uid="{BCE2F11B-B007-4D96-9D06-293573056408}">
      <formula1>Fournitures</formula1>
    </dataValidation>
    <dataValidation allowBlank="1" showInputMessage="1" showErrorMessage="1" prompt="Insérez la fourniture désiré" sqref="B3" xr:uid="{D6C5DD9E-059B-4163-B281-2E8E15B1D30B}"/>
  </dataValidations>
  <pageMargins left="0.7" right="0.7" top="0.75" bottom="0.75" header="0.3" footer="0.3"/>
  <tableParts count="3">
    <tablePart r:id="rId1"/>
    <tablePart r:id="rId2"/>
    <tablePart r:id="rId3"/>
  </tableParts>
</worksheet>
</file>

<file path=xl/worksheets/sheet2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0BB7125-9D9C-4F0F-BD4A-7A0F2477DCD1}">
  <dimension ref="B2:H50"/>
  <sheetViews>
    <sheetView workbookViewId="0">
      <selection activeCell="B1" sqref="B1:H1048576"/>
    </sheetView>
  </sheetViews>
  <sheetFormatPr baseColWidth="10" defaultRowHeight="15" x14ac:dyDescent="0.25"/>
  <cols>
    <col min="2" max="2" width="24.42578125" customWidth="1"/>
    <col min="3" max="3" width="23.140625" customWidth="1"/>
    <col min="4" max="4" width="11.7109375" customWidth="1"/>
    <col min="6" max="6" width="26.5703125" style="2" customWidth="1"/>
    <col min="7" max="7" width="28.28515625" style="2" customWidth="1"/>
  </cols>
  <sheetData>
    <row r="2" spans="2:8" x14ac:dyDescent="0.25">
      <c r="B2" t="s">
        <v>7</v>
      </c>
      <c r="C2" t="s">
        <v>0</v>
      </c>
      <c r="D2" t="s">
        <v>1</v>
      </c>
      <c r="E2" t="s">
        <v>2</v>
      </c>
      <c r="F2" s="2" t="s">
        <v>15</v>
      </c>
      <c r="G2" s="2" t="s">
        <v>11</v>
      </c>
      <c r="H2" s="2" t="s">
        <v>10</v>
      </c>
    </row>
    <row r="3" spans="2:8" x14ac:dyDescent="0.25">
      <c r="E3" s="3">
        <f>Tableau92218221[[#This Row],[Demande]]-Tableau92218221[[#This Row],[Présente dans la malle]]</f>
        <v>0</v>
      </c>
      <c r="F3" s="5"/>
      <c r="H3" s="8">
        <f>Tableau92218221[[#This Row],[Quantités acheté rajouté]]*Tableau92218221[[#This Row],[CU du matos rajouté acheté]]</f>
        <v>0</v>
      </c>
    </row>
    <row r="4" spans="2:8" x14ac:dyDescent="0.25">
      <c r="E4" s="3">
        <f>Tableau92218221[[#This Row],[Demande]]-Tableau92218221[[#This Row],[Présente dans la malle]]</f>
        <v>0</v>
      </c>
      <c r="F4" s="5"/>
      <c r="H4" s="8">
        <f>Tableau92218221[[#This Row],[Quantités acheté rajouté]]*Tableau92218221[[#This Row],[CU du matos rajouté acheté]]</f>
        <v>0</v>
      </c>
    </row>
    <row r="5" spans="2:8" x14ac:dyDescent="0.25">
      <c r="E5" s="3">
        <f>Tableau92218221[[#This Row],[Demande]]-Tableau92218221[[#This Row],[Présente dans la malle]]</f>
        <v>0</v>
      </c>
      <c r="F5" s="5"/>
      <c r="H5" s="8">
        <f>Tableau92218221[[#This Row],[Quantités acheté rajouté]]*Tableau92218221[[#This Row],[CU du matos rajouté acheté]]</f>
        <v>0</v>
      </c>
    </row>
    <row r="6" spans="2:8" x14ac:dyDescent="0.25">
      <c r="E6" s="3">
        <f>Tableau92218221[[#This Row],[Demande]]-Tableau92218221[[#This Row],[Présente dans la malle]]</f>
        <v>0</v>
      </c>
      <c r="F6" s="5"/>
      <c r="H6" s="8">
        <f>Tableau92218221[[#This Row],[Quantités acheté rajouté]]*Tableau92218221[[#This Row],[CU du matos rajouté acheté]]</f>
        <v>0</v>
      </c>
    </row>
    <row r="7" spans="2:8" x14ac:dyDescent="0.25">
      <c r="E7" s="3">
        <f>Tableau92218221[[#This Row],[Demande]]-Tableau92218221[[#This Row],[Présente dans la malle]]</f>
        <v>0</v>
      </c>
      <c r="F7" s="5"/>
      <c r="H7" s="8">
        <f>Tableau92218221[[#This Row],[Quantités acheté rajouté]]*Tableau92218221[[#This Row],[CU du matos rajouté acheté]]</f>
        <v>0</v>
      </c>
    </row>
    <row r="8" spans="2:8" x14ac:dyDescent="0.25">
      <c r="E8" s="3">
        <f>Tableau92218221[[#This Row],[Demande]]-Tableau92218221[[#This Row],[Présente dans la malle]]</f>
        <v>0</v>
      </c>
      <c r="F8" s="5"/>
      <c r="H8" s="8">
        <f>Tableau92218221[[#This Row],[Quantités acheté rajouté]]*Tableau92218221[[#This Row],[CU du matos rajouté acheté]]</f>
        <v>0</v>
      </c>
    </row>
    <row r="9" spans="2:8" x14ac:dyDescent="0.25">
      <c r="E9" s="3">
        <f>Tableau92218221[[#This Row],[Demande]]-Tableau92218221[[#This Row],[Présente dans la malle]]</f>
        <v>0</v>
      </c>
      <c r="F9" s="5"/>
      <c r="H9" s="8">
        <f>Tableau92218221[[#This Row],[Quantités acheté rajouté]]*Tableau92218221[[#This Row],[CU du matos rajouté acheté]]</f>
        <v>0</v>
      </c>
    </row>
    <row r="10" spans="2:8" x14ac:dyDescent="0.25">
      <c r="E10" s="3">
        <f>Tableau92218221[[#This Row],[Demande]]-Tableau92218221[[#This Row],[Présente dans la malle]]</f>
        <v>0</v>
      </c>
      <c r="F10" s="5"/>
      <c r="H10" s="8">
        <f>Tableau92218221[[#This Row],[Quantités acheté rajouté]]*Tableau92218221[[#This Row],[CU du matos rajouté acheté]]</f>
        <v>0</v>
      </c>
    </row>
    <row r="11" spans="2:8" x14ac:dyDescent="0.25">
      <c r="E11" s="3">
        <f>Tableau92218221[[#This Row],[Demande]]-Tableau92218221[[#This Row],[Présente dans la malle]]</f>
        <v>0</v>
      </c>
      <c r="F11" s="5"/>
      <c r="H11" s="8">
        <f>Tableau92218221[[#This Row],[Quantités acheté rajouté]]*Tableau92218221[[#This Row],[CU du matos rajouté acheté]]</f>
        <v>0</v>
      </c>
    </row>
    <row r="12" spans="2:8" x14ac:dyDescent="0.25">
      <c r="E12" s="3">
        <f>Tableau92218221[[#This Row],[Demande]]-Tableau92218221[[#This Row],[Présente dans la malle]]</f>
        <v>0</v>
      </c>
      <c r="F12" s="5"/>
      <c r="H12" s="8">
        <f>Tableau92218221[[#This Row],[Quantités acheté rajouté]]*Tableau92218221[[#This Row],[CU du matos rajouté acheté]]</f>
        <v>0</v>
      </c>
    </row>
    <row r="13" spans="2:8" x14ac:dyDescent="0.25">
      <c r="E13" s="3">
        <f>Tableau92218221[[#This Row],[Demande]]-Tableau92218221[[#This Row],[Présente dans la malle]]</f>
        <v>0</v>
      </c>
      <c r="F13" s="5"/>
      <c r="H13" s="8">
        <f>Tableau92218221[[#This Row],[Quantités acheté rajouté]]*Tableau92218221[[#This Row],[CU du matos rajouté acheté]]</f>
        <v>0</v>
      </c>
    </row>
    <row r="14" spans="2:8" x14ac:dyDescent="0.25">
      <c r="E14" s="3">
        <f>Tableau92218221[[#This Row],[Demande]]-Tableau92218221[[#This Row],[Présente dans la malle]]</f>
        <v>0</v>
      </c>
      <c r="F14" s="5"/>
      <c r="H14" s="8">
        <f>Tableau92218221[[#This Row],[Quantités acheté rajouté]]*Tableau92218221[[#This Row],[CU du matos rajouté acheté]]</f>
        <v>0</v>
      </c>
    </row>
    <row r="15" spans="2:8" x14ac:dyDescent="0.25">
      <c r="E15" s="3">
        <f>Tableau92218221[[#This Row],[Demande]]-Tableau92218221[[#This Row],[Présente dans la malle]]</f>
        <v>0</v>
      </c>
      <c r="F15" s="7"/>
      <c r="G15" s="4"/>
      <c r="H15" s="8">
        <f>Tableau92218221[[#This Row],[Quantités acheté rajouté]]*Tableau92218221[[#This Row],[CU du matos rajouté acheté]]</f>
        <v>0</v>
      </c>
    </row>
    <row r="16" spans="2:8" x14ac:dyDescent="0.25">
      <c r="B16" t="s">
        <v>4</v>
      </c>
      <c r="C16">
        <f>SUM(Tableau92218221[Présente dans la malle])</f>
        <v>0</v>
      </c>
      <c r="D16">
        <f>SUM(Tableau92218221[Demande])</f>
        <v>0</v>
      </c>
      <c r="E16">
        <f>SUM(Tableau92218221[Manque])</f>
        <v>0</v>
      </c>
      <c r="F16" s="6">
        <f>SUM(Tableau92218221[Quantités acheté rajouté])</f>
        <v>0</v>
      </c>
      <c r="G16" s="6"/>
      <c r="H16" s="2">
        <f>SUM(Tableau92218221[CT])</f>
        <v>0</v>
      </c>
    </row>
    <row r="19" spans="2:8" x14ac:dyDescent="0.25">
      <c r="B19" t="s">
        <v>5</v>
      </c>
      <c r="C19" t="s">
        <v>0</v>
      </c>
      <c r="D19" t="s">
        <v>1</v>
      </c>
      <c r="E19" t="s">
        <v>2</v>
      </c>
      <c r="F19" s="2" t="s">
        <v>15</v>
      </c>
      <c r="G19" s="2" t="s">
        <v>11</v>
      </c>
      <c r="H19" s="2" t="s">
        <v>10</v>
      </c>
    </row>
    <row r="20" spans="2:8" x14ac:dyDescent="0.25">
      <c r="E20" s="3">
        <f>Tableau9296219222[[#This Row],[Demande]]-Tableau9296219222[[#This Row],[Présente dans la malle]]</f>
        <v>0</v>
      </c>
      <c r="F20" s="5"/>
      <c r="H20" s="8">
        <f>Tableau9296219222[[#This Row],[Quantités acheté rajouté]]*Tableau9296219222[[#This Row],[CU du matos rajouté acheté]]</f>
        <v>0</v>
      </c>
    </row>
    <row r="21" spans="2:8" x14ac:dyDescent="0.25">
      <c r="E21" s="3">
        <f>Tableau9296219222[[#This Row],[Demande]]-Tableau9296219222[[#This Row],[Présente dans la malle]]</f>
        <v>0</v>
      </c>
      <c r="F21" s="5"/>
      <c r="H21" s="8">
        <f>Tableau9296219222[[#This Row],[Quantités acheté rajouté]]*Tableau9296219222[[#This Row],[CU du matos rajouté acheté]]</f>
        <v>0</v>
      </c>
    </row>
    <row r="22" spans="2:8" x14ac:dyDescent="0.25">
      <c r="E22" s="3">
        <f>Tableau9296219222[[#This Row],[Demande]]-Tableau9296219222[[#This Row],[Présente dans la malle]]</f>
        <v>0</v>
      </c>
      <c r="F22" s="5"/>
      <c r="H22" s="8">
        <f>Tableau9296219222[[#This Row],[Quantités acheté rajouté]]*Tableau9296219222[[#This Row],[CU du matos rajouté acheté]]</f>
        <v>0</v>
      </c>
    </row>
    <row r="23" spans="2:8" x14ac:dyDescent="0.25">
      <c r="E23" s="3">
        <f>Tableau9296219222[[#This Row],[Demande]]-Tableau9296219222[[#This Row],[Présente dans la malle]]</f>
        <v>0</v>
      </c>
      <c r="F23" s="5"/>
      <c r="H23" s="8">
        <f>Tableau9296219222[[#This Row],[Quantités acheté rajouté]]*Tableau9296219222[[#This Row],[CU du matos rajouté acheté]]</f>
        <v>0</v>
      </c>
    </row>
    <row r="24" spans="2:8" x14ac:dyDescent="0.25">
      <c r="E24" s="3">
        <f>Tableau9296219222[[#This Row],[Demande]]-Tableau9296219222[[#This Row],[Présente dans la malle]]</f>
        <v>0</v>
      </c>
      <c r="F24" s="5"/>
      <c r="H24" s="8">
        <f>Tableau9296219222[[#This Row],[Quantités acheté rajouté]]*Tableau9296219222[[#This Row],[CU du matos rajouté acheté]]</f>
        <v>0</v>
      </c>
    </row>
    <row r="25" spans="2:8" x14ac:dyDescent="0.25">
      <c r="E25" s="3">
        <f>Tableau9296219222[[#This Row],[Demande]]-Tableau9296219222[[#This Row],[Présente dans la malle]]</f>
        <v>0</v>
      </c>
      <c r="F25" s="5"/>
      <c r="H25" s="8">
        <f>Tableau9296219222[[#This Row],[Quantités acheté rajouté]]*Tableau9296219222[[#This Row],[CU du matos rajouté acheté]]</f>
        <v>0</v>
      </c>
    </row>
    <row r="26" spans="2:8" x14ac:dyDescent="0.25">
      <c r="E26" s="3">
        <f>Tableau9296219222[[#This Row],[Demande]]-Tableau9296219222[[#This Row],[Présente dans la malle]]</f>
        <v>0</v>
      </c>
      <c r="F26" s="5"/>
      <c r="H26" s="8">
        <f>Tableau9296219222[[#This Row],[Quantités acheté rajouté]]*Tableau9296219222[[#This Row],[CU du matos rajouté acheté]]</f>
        <v>0</v>
      </c>
    </row>
    <row r="27" spans="2:8" x14ac:dyDescent="0.25">
      <c r="E27" s="3">
        <f>Tableau9296219222[[#This Row],[Demande]]-Tableau9296219222[[#This Row],[Présente dans la malle]]</f>
        <v>0</v>
      </c>
      <c r="F27" s="5"/>
      <c r="H27" s="8">
        <f>Tableau9296219222[[#This Row],[Quantités acheté rajouté]]*Tableau9296219222[[#This Row],[CU du matos rajouté acheté]]</f>
        <v>0</v>
      </c>
    </row>
    <row r="28" spans="2:8" x14ac:dyDescent="0.25">
      <c r="E28" s="3">
        <f>Tableau9296219222[[#This Row],[Demande]]-Tableau9296219222[[#This Row],[Présente dans la malle]]</f>
        <v>0</v>
      </c>
      <c r="F28" s="5"/>
      <c r="H28" s="8">
        <f>Tableau9296219222[[#This Row],[Quantités acheté rajouté]]*Tableau9296219222[[#This Row],[CU du matos rajouté acheté]]</f>
        <v>0</v>
      </c>
    </row>
    <row r="29" spans="2:8" x14ac:dyDescent="0.25">
      <c r="E29" s="3">
        <f>Tableau9296219222[[#This Row],[Demande]]-Tableau9296219222[[#This Row],[Présente dans la malle]]</f>
        <v>0</v>
      </c>
      <c r="F29" s="5"/>
      <c r="H29" s="8">
        <f>Tableau9296219222[[#This Row],[Quantités acheté rajouté]]*Tableau9296219222[[#This Row],[CU du matos rajouté acheté]]</f>
        <v>0</v>
      </c>
    </row>
    <row r="30" spans="2:8" x14ac:dyDescent="0.25">
      <c r="E30" s="3">
        <f>Tableau9296219222[[#This Row],[Demande]]-Tableau9296219222[[#This Row],[Présente dans la malle]]</f>
        <v>0</v>
      </c>
      <c r="F30" s="5"/>
      <c r="H30" s="8">
        <f>Tableau9296219222[[#This Row],[Quantités acheté rajouté]]*Tableau9296219222[[#This Row],[CU du matos rajouté acheté]]</f>
        <v>0</v>
      </c>
    </row>
    <row r="31" spans="2:8" x14ac:dyDescent="0.25">
      <c r="E31" s="3">
        <f>Tableau9296219222[[#This Row],[Demande]]-Tableau9296219222[[#This Row],[Présente dans la malle]]</f>
        <v>0</v>
      </c>
      <c r="F31" s="5"/>
      <c r="H31" s="8">
        <f>Tableau9296219222[[#This Row],[Quantités acheté rajouté]]*Tableau9296219222[[#This Row],[CU du matos rajouté acheté]]</f>
        <v>0</v>
      </c>
    </row>
    <row r="32" spans="2:8" x14ac:dyDescent="0.25">
      <c r="E32" s="3">
        <f>Tableau9296219222[[#This Row],[Demande]]-Tableau9296219222[[#This Row],[Présente dans la malle]]</f>
        <v>0</v>
      </c>
      <c r="F32" s="7"/>
      <c r="G32" s="4"/>
      <c r="H32" s="8">
        <f>Tableau9296219222[[#This Row],[Quantités acheté rajouté]]*Tableau9296219222[[#This Row],[CU du matos rajouté acheté]]</f>
        <v>0</v>
      </c>
    </row>
    <row r="33" spans="2:8" x14ac:dyDescent="0.25">
      <c r="B33" t="s">
        <v>4</v>
      </c>
      <c r="C33">
        <f>SUM(Tableau9296219222[Présente dans la malle])</f>
        <v>0</v>
      </c>
      <c r="D33">
        <f>SUM(Tableau9296219222[Demande])</f>
        <v>0</v>
      </c>
      <c r="E33">
        <f>SUM(Tableau9296219222[Manque])</f>
        <v>0</v>
      </c>
      <c r="F33" s="6">
        <f>SUM(Tableau9296219222[Quantités acheté rajouté])</f>
        <v>0</v>
      </c>
      <c r="G33" s="6"/>
      <c r="H33" s="2">
        <f>SUM(Tableau9296219222[CT])</f>
        <v>0</v>
      </c>
    </row>
    <row r="35" spans="2:8" x14ac:dyDescent="0.25">
      <c r="H35" s="2"/>
    </row>
    <row r="36" spans="2:8" x14ac:dyDescent="0.25">
      <c r="B36" t="s">
        <v>6</v>
      </c>
      <c r="C36" t="s">
        <v>0</v>
      </c>
      <c r="D36" t="s">
        <v>1</v>
      </c>
      <c r="E36" t="s">
        <v>2</v>
      </c>
      <c r="F36" s="2" t="s">
        <v>15</v>
      </c>
      <c r="G36" s="2" t="s">
        <v>11</v>
      </c>
      <c r="H36" s="2" t="s">
        <v>10</v>
      </c>
    </row>
    <row r="37" spans="2:8" x14ac:dyDescent="0.25">
      <c r="E37" s="3">
        <f>Tableau9297220223[[#This Row],[Demande]]-Tableau9297220223[[#This Row],[Présente dans la malle]]</f>
        <v>0</v>
      </c>
      <c r="F37" s="5"/>
      <c r="H37" s="8">
        <f>Tableau9297220223[[#This Row],[Quantités acheté rajouté]]*Tableau9297220223[[#This Row],[CU du matos rajouté acheté]]</f>
        <v>0</v>
      </c>
    </row>
    <row r="38" spans="2:8" x14ac:dyDescent="0.25">
      <c r="E38" s="3">
        <f>Tableau9297220223[[#This Row],[Demande]]-Tableau9297220223[[#This Row],[Présente dans la malle]]</f>
        <v>0</v>
      </c>
      <c r="F38" s="5"/>
      <c r="H38" s="8">
        <f>Tableau9297220223[[#This Row],[Quantités acheté rajouté]]*Tableau9297220223[[#This Row],[CU du matos rajouté acheté]]</f>
        <v>0</v>
      </c>
    </row>
    <row r="39" spans="2:8" x14ac:dyDescent="0.25">
      <c r="E39" s="3">
        <f>Tableau9297220223[[#This Row],[Demande]]-Tableau9297220223[[#This Row],[Présente dans la malle]]</f>
        <v>0</v>
      </c>
      <c r="F39" s="5"/>
      <c r="H39" s="8">
        <f>Tableau9297220223[[#This Row],[Quantités acheté rajouté]]*Tableau9297220223[[#This Row],[CU du matos rajouté acheté]]</f>
        <v>0</v>
      </c>
    </row>
    <row r="40" spans="2:8" x14ac:dyDescent="0.25">
      <c r="E40" s="3">
        <f>Tableau9297220223[[#This Row],[Demande]]-Tableau9297220223[[#This Row],[Présente dans la malle]]</f>
        <v>0</v>
      </c>
      <c r="F40" s="5"/>
      <c r="H40" s="8">
        <f>Tableau9297220223[[#This Row],[Quantités acheté rajouté]]*Tableau9297220223[[#This Row],[CU du matos rajouté acheté]]</f>
        <v>0</v>
      </c>
    </row>
    <row r="41" spans="2:8" x14ac:dyDescent="0.25">
      <c r="E41" s="3">
        <f>Tableau9297220223[[#This Row],[Demande]]-Tableau9297220223[[#This Row],[Présente dans la malle]]</f>
        <v>0</v>
      </c>
      <c r="F41" s="5"/>
      <c r="H41" s="8">
        <f>Tableau9297220223[[#This Row],[Quantités acheté rajouté]]*Tableau9297220223[[#This Row],[CU du matos rajouté acheté]]</f>
        <v>0</v>
      </c>
    </row>
    <row r="42" spans="2:8" x14ac:dyDescent="0.25">
      <c r="E42" s="3">
        <f>Tableau9297220223[[#This Row],[Demande]]-Tableau9297220223[[#This Row],[Présente dans la malle]]</f>
        <v>0</v>
      </c>
      <c r="F42" s="5"/>
      <c r="H42" s="8">
        <f>Tableau9297220223[[#This Row],[Quantités acheté rajouté]]*Tableau9297220223[[#This Row],[CU du matos rajouté acheté]]</f>
        <v>0</v>
      </c>
    </row>
    <row r="43" spans="2:8" x14ac:dyDescent="0.25">
      <c r="E43" s="3">
        <f>Tableau9297220223[[#This Row],[Demande]]-Tableau9297220223[[#This Row],[Présente dans la malle]]</f>
        <v>0</v>
      </c>
      <c r="F43" s="5"/>
      <c r="H43" s="8">
        <f>Tableau9297220223[[#This Row],[Quantités acheté rajouté]]*Tableau9297220223[[#This Row],[CU du matos rajouté acheté]]</f>
        <v>0</v>
      </c>
    </row>
    <row r="44" spans="2:8" x14ac:dyDescent="0.25">
      <c r="E44" s="3">
        <f>Tableau9297220223[[#This Row],[Demande]]-Tableau9297220223[[#This Row],[Présente dans la malle]]</f>
        <v>0</v>
      </c>
      <c r="F44" s="5"/>
      <c r="H44" s="8">
        <f>Tableau9297220223[[#This Row],[Quantités acheté rajouté]]*Tableau9297220223[[#This Row],[CU du matos rajouté acheté]]</f>
        <v>0</v>
      </c>
    </row>
    <row r="45" spans="2:8" x14ac:dyDescent="0.25">
      <c r="E45" s="3">
        <f>Tableau9297220223[[#This Row],[Demande]]-Tableau9297220223[[#This Row],[Présente dans la malle]]</f>
        <v>0</v>
      </c>
      <c r="F45" s="5"/>
      <c r="H45" s="8">
        <f>Tableau9297220223[[#This Row],[Quantités acheté rajouté]]*Tableau9297220223[[#This Row],[CU du matos rajouté acheté]]</f>
        <v>0</v>
      </c>
    </row>
    <row r="46" spans="2:8" x14ac:dyDescent="0.25">
      <c r="E46" s="3">
        <f>Tableau9297220223[[#This Row],[Demande]]-Tableau9297220223[[#This Row],[Présente dans la malle]]</f>
        <v>0</v>
      </c>
      <c r="F46" s="5"/>
      <c r="H46" s="8">
        <f>Tableau9297220223[[#This Row],[Quantités acheté rajouté]]*Tableau9297220223[[#This Row],[CU du matos rajouté acheté]]</f>
        <v>0</v>
      </c>
    </row>
    <row r="47" spans="2:8" x14ac:dyDescent="0.25">
      <c r="E47" s="3">
        <f>Tableau9297220223[[#This Row],[Demande]]-Tableau9297220223[[#This Row],[Présente dans la malle]]</f>
        <v>0</v>
      </c>
      <c r="F47" s="5"/>
      <c r="H47" s="8">
        <f>Tableau9297220223[[#This Row],[Quantités acheté rajouté]]*Tableau9297220223[[#This Row],[CU du matos rajouté acheté]]</f>
        <v>0</v>
      </c>
    </row>
    <row r="48" spans="2:8" x14ac:dyDescent="0.25">
      <c r="E48" s="3">
        <f>Tableau9297220223[[#This Row],[Demande]]-Tableau9297220223[[#This Row],[Présente dans la malle]]</f>
        <v>0</v>
      </c>
      <c r="F48" s="5"/>
      <c r="H48" s="8">
        <f>Tableau9297220223[[#This Row],[Quantités acheté rajouté]]*Tableau9297220223[[#This Row],[CU du matos rajouté acheté]]</f>
        <v>0</v>
      </c>
    </row>
    <row r="49" spans="2:8" x14ac:dyDescent="0.25">
      <c r="E49" s="3">
        <f>Tableau9297220223[[#This Row],[Demande]]-Tableau9297220223[[#This Row],[Présente dans la malle]]</f>
        <v>0</v>
      </c>
      <c r="F49" s="7"/>
      <c r="G49" s="4"/>
      <c r="H49" s="8">
        <f>Tableau9297220223[[#This Row],[Quantités acheté rajouté]]*Tableau9297220223[[#This Row],[CU du matos rajouté acheté]]</f>
        <v>0</v>
      </c>
    </row>
    <row r="50" spans="2:8" x14ac:dyDescent="0.25">
      <c r="B50" t="s">
        <v>4</v>
      </c>
      <c r="C50">
        <f>SUM(Tableau9297220223[Présente dans la malle])</f>
        <v>0</v>
      </c>
      <c r="D50">
        <f>SUM(Tableau9297220223[Demande])</f>
        <v>0</v>
      </c>
      <c r="E50">
        <f>SUM(Tableau9297220223[Manque])</f>
        <v>0</v>
      </c>
      <c r="F50" s="6">
        <f>SUM(Tableau9297220223[Quantités acheté rajouté])</f>
        <v>0</v>
      </c>
      <c r="G50" s="6"/>
      <c r="H50" s="2">
        <f>SUM(Tableau9297220223[CT])</f>
        <v>0</v>
      </c>
    </row>
  </sheetData>
  <conditionalFormatting sqref="E3:E15">
    <cfRule type="cellIs" dxfId="116" priority="10" operator="equal">
      <formula>0</formula>
    </cfRule>
    <cfRule type="cellIs" dxfId="115" priority="11" operator="lessThan">
      <formula>0</formula>
    </cfRule>
    <cfRule type="cellIs" dxfId="114" priority="12" operator="greaterThan">
      <formula>0</formula>
    </cfRule>
  </conditionalFormatting>
  <conditionalFormatting sqref="E16">
    <cfRule type="cellIs" dxfId="113" priority="9" operator="equal">
      <formula>0</formula>
    </cfRule>
  </conditionalFormatting>
  <conditionalFormatting sqref="E50">
    <cfRule type="cellIs" dxfId="112" priority="1" operator="equal">
      <formula>0</formula>
    </cfRule>
  </conditionalFormatting>
  <conditionalFormatting sqref="E20:E32">
    <cfRule type="cellIs" dxfId="111" priority="6" operator="equal">
      <formula>0</formula>
    </cfRule>
    <cfRule type="cellIs" dxfId="110" priority="7" operator="lessThan">
      <formula>0</formula>
    </cfRule>
    <cfRule type="cellIs" dxfId="109" priority="8" operator="greaterThan">
      <formula>0</formula>
    </cfRule>
  </conditionalFormatting>
  <conditionalFormatting sqref="E33">
    <cfRule type="cellIs" dxfId="108" priority="5" operator="equal">
      <formula>0</formula>
    </cfRule>
  </conditionalFormatting>
  <conditionalFormatting sqref="E37:E49">
    <cfRule type="cellIs" dxfId="107" priority="2" operator="equal">
      <formula>0</formula>
    </cfRule>
    <cfRule type="cellIs" dxfId="106" priority="3" operator="lessThan">
      <formula>0</formula>
    </cfRule>
    <cfRule type="cellIs" dxfId="105" priority="4" operator="greaterThan">
      <formula>0</formula>
    </cfRule>
  </conditionalFormatting>
  <dataValidations count="7">
    <dataValidation type="list" allowBlank="1" showInputMessage="1" showErrorMessage="1" prompt="Insérez la fourniture désiré" sqref="B3:B14 B20:B31 B37:B48" xr:uid="{1A034E45-38F7-48A9-BB06-FE504F66B1FE}">
      <formula1>Fournitures</formula1>
    </dataValidation>
    <dataValidation allowBlank="1" showInputMessage="1" showErrorMessage="1" prompt="Si VERT_x000a_La fourniture est bien présente et la quantité est bonne_x000a_Si ROUGE_x000a_+ : Il faut rajouter la quantité de fourniture_x000a_- : Il faut enlevé la quantité de fourniture en trop_x000a_" sqref="E20:E32 E3:E15 E37:E49" xr:uid="{1C31F5C6-92B9-4833-8087-7CCC04CCFC2B}"/>
    <dataValidation allowBlank="1" showInputMessage="1" showErrorMessage="1" prompt="Insérez la quantité présente dans les malles" sqref="C11:C14 C3:C9 C28:C31 C20:C26 C45:C48 C37:C43" xr:uid="{C03249B4-9EB1-4FD8-807E-4AC6BBB52D20}"/>
    <dataValidation allowBlank="1" showInputMessage="1" showErrorMessage="1" prompt="Insérez la quantité demandé" sqref="D11:D14 D3:D9 D28:D31 D20:D26 D45:D48 D37:D43" xr:uid="{554F595B-ED26-4CC4-9FAF-21ED7DA1D172}"/>
    <dataValidation allowBlank="1" showInputMessage="1" showErrorMessage="1" prompt="Quantité acheté rajouté * CU" sqref="H3 H20 H37" xr:uid="{849D8796-7C2C-42FA-A901-4DA43BFBC916}"/>
    <dataValidation allowBlank="1" showInputMessage="1" showErrorMessage="1" prompt="CU = Cout unitaire" sqref="F35:G36 F2:G2 F19:G19" xr:uid="{B8E02996-E608-43A1-A72F-CBD493844C49}"/>
    <dataValidation allowBlank="1" showInputMessage="1" showErrorMessage="1" prompt="CT = Cout total" sqref="H35:H36 H2 H19" xr:uid="{CD154884-1730-4CE3-8EE0-6A7E637C93AA}"/>
  </dataValidations>
  <pageMargins left="0.7" right="0.7" top="0.75" bottom="0.75" header="0.3" footer="0.3"/>
  <tableParts count="3">
    <tablePart r:id="rId1"/>
    <tablePart r:id="rId2"/>
    <tablePart r:id="rId3"/>
  </tableParts>
</worksheet>
</file>

<file path=xl/worksheets/sheet3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94F25DE-79BF-49C9-BE44-13B60684778D}">
  <dimension ref="B2:H50"/>
  <sheetViews>
    <sheetView workbookViewId="0">
      <selection activeCell="B7" sqref="B7"/>
    </sheetView>
  </sheetViews>
  <sheetFormatPr baseColWidth="10" defaultRowHeight="15" x14ac:dyDescent="0.25"/>
  <cols>
    <col min="2" max="2" width="31.28515625" customWidth="1"/>
    <col min="3" max="3" width="23.140625" customWidth="1"/>
    <col min="4" max="4" width="11.7109375" customWidth="1"/>
    <col min="6" max="6" width="26.5703125" style="2" customWidth="1"/>
    <col min="7" max="7" width="28.28515625" style="2" customWidth="1"/>
  </cols>
  <sheetData>
    <row r="2" spans="2:8" x14ac:dyDescent="0.25">
      <c r="B2" t="s">
        <v>7</v>
      </c>
      <c r="C2" t="s">
        <v>0</v>
      </c>
      <c r="D2" t="s">
        <v>1</v>
      </c>
      <c r="E2" t="s">
        <v>2</v>
      </c>
      <c r="F2" s="2" t="s">
        <v>15</v>
      </c>
      <c r="G2" s="2" t="s">
        <v>11</v>
      </c>
      <c r="H2" s="2" t="s">
        <v>10</v>
      </c>
    </row>
    <row r="3" spans="2:8" x14ac:dyDescent="0.25">
      <c r="B3" t="s">
        <v>127</v>
      </c>
      <c r="C3">
        <v>1</v>
      </c>
      <c r="E3" s="3">
        <f>Tableau92218245[[#This Row],[Demande]]-Tableau92218245[[#This Row],[Présente dans la malle]]</f>
        <v>-1</v>
      </c>
      <c r="F3" s="5"/>
      <c r="H3" s="8">
        <f>Tableau92218245[[#This Row],[Quantités acheté rajouté]]*Tableau92218245[[#This Row],[CU du matos rajouté acheté]]</f>
        <v>0</v>
      </c>
    </row>
    <row r="4" spans="2:8" x14ac:dyDescent="0.25">
      <c r="B4" t="s">
        <v>43</v>
      </c>
      <c r="C4">
        <v>2</v>
      </c>
      <c r="E4" s="3">
        <f>Tableau92218245[[#This Row],[Demande]]-Tableau92218245[[#This Row],[Présente dans la malle]]</f>
        <v>-2</v>
      </c>
      <c r="F4" s="5"/>
      <c r="H4" s="8">
        <f>Tableau92218245[[#This Row],[Quantités acheté rajouté]]*Tableau92218245[[#This Row],[CU du matos rajouté acheté]]</f>
        <v>0</v>
      </c>
    </row>
    <row r="5" spans="2:8" x14ac:dyDescent="0.25">
      <c r="B5" t="s">
        <v>128</v>
      </c>
      <c r="C5">
        <v>1</v>
      </c>
      <c r="E5" s="3">
        <f>Tableau92218245[[#This Row],[Demande]]-Tableau92218245[[#This Row],[Présente dans la malle]]</f>
        <v>-1</v>
      </c>
      <c r="F5" s="5"/>
      <c r="H5" s="8">
        <f>Tableau92218245[[#This Row],[Quantités acheté rajouté]]*Tableau92218245[[#This Row],[CU du matos rajouté acheté]]</f>
        <v>0</v>
      </c>
    </row>
    <row r="6" spans="2:8" x14ac:dyDescent="0.25">
      <c r="B6" t="s">
        <v>129</v>
      </c>
      <c r="C6">
        <v>1</v>
      </c>
      <c r="E6" s="3">
        <f>Tableau92218245[[#This Row],[Demande]]-Tableau92218245[[#This Row],[Présente dans la malle]]</f>
        <v>-1</v>
      </c>
      <c r="F6" s="5"/>
      <c r="H6" s="8">
        <f>Tableau92218245[[#This Row],[Quantités acheté rajouté]]*Tableau92218245[[#This Row],[CU du matos rajouté acheté]]</f>
        <v>0</v>
      </c>
    </row>
    <row r="7" spans="2:8" x14ac:dyDescent="0.25">
      <c r="B7" t="s">
        <v>130</v>
      </c>
      <c r="C7">
        <v>1</v>
      </c>
      <c r="E7" s="3">
        <f>Tableau92218245[[#This Row],[Demande]]-Tableau92218245[[#This Row],[Présente dans la malle]]</f>
        <v>-1</v>
      </c>
      <c r="F7" s="5"/>
      <c r="H7" s="8">
        <f>Tableau92218245[[#This Row],[Quantités acheté rajouté]]*Tableau92218245[[#This Row],[CU du matos rajouté acheté]]</f>
        <v>0</v>
      </c>
    </row>
    <row r="8" spans="2:8" x14ac:dyDescent="0.25">
      <c r="E8" s="3">
        <f>Tableau92218245[[#This Row],[Demande]]-Tableau92218245[[#This Row],[Présente dans la malle]]</f>
        <v>0</v>
      </c>
      <c r="F8" s="5"/>
      <c r="H8" s="8">
        <f>Tableau92218245[[#This Row],[Quantités acheté rajouté]]*Tableau92218245[[#This Row],[CU du matos rajouté acheté]]</f>
        <v>0</v>
      </c>
    </row>
    <row r="9" spans="2:8" x14ac:dyDescent="0.25">
      <c r="E9" s="3">
        <f>Tableau92218245[[#This Row],[Demande]]-Tableau92218245[[#This Row],[Présente dans la malle]]</f>
        <v>0</v>
      </c>
      <c r="F9" s="5"/>
      <c r="H9" s="8">
        <f>Tableau92218245[[#This Row],[Quantités acheté rajouté]]*Tableau92218245[[#This Row],[CU du matos rajouté acheté]]</f>
        <v>0</v>
      </c>
    </row>
    <row r="10" spans="2:8" x14ac:dyDescent="0.25">
      <c r="E10" s="3">
        <f>Tableau92218245[[#This Row],[Demande]]-Tableau92218245[[#This Row],[Présente dans la malle]]</f>
        <v>0</v>
      </c>
      <c r="F10" s="5"/>
      <c r="H10" s="8">
        <f>Tableau92218245[[#This Row],[Quantités acheté rajouté]]*Tableau92218245[[#This Row],[CU du matos rajouté acheté]]</f>
        <v>0</v>
      </c>
    </row>
    <row r="11" spans="2:8" x14ac:dyDescent="0.25">
      <c r="E11" s="3">
        <f>Tableau92218245[[#This Row],[Demande]]-Tableau92218245[[#This Row],[Présente dans la malle]]</f>
        <v>0</v>
      </c>
      <c r="F11" s="5"/>
      <c r="H11" s="8">
        <f>Tableau92218245[[#This Row],[Quantités acheté rajouté]]*Tableau92218245[[#This Row],[CU du matos rajouté acheté]]</f>
        <v>0</v>
      </c>
    </row>
    <row r="12" spans="2:8" x14ac:dyDescent="0.25">
      <c r="E12" s="3">
        <f>Tableau92218245[[#This Row],[Demande]]-Tableau92218245[[#This Row],[Présente dans la malle]]</f>
        <v>0</v>
      </c>
      <c r="F12" s="5"/>
      <c r="H12" s="8">
        <f>Tableau92218245[[#This Row],[Quantités acheté rajouté]]*Tableau92218245[[#This Row],[CU du matos rajouté acheté]]</f>
        <v>0</v>
      </c>
    </row>
    <row r="13" spans="2:8" x14ac:dyDescent="0.25">
      <c r="E13" s="3">
        <f>Tableau92218245[[#This Row],[Demande]]-Tableau92218245[[#This Row],[Présente dans la malle]]</f>
        <v>0</v>
      </c>
      <c r="F13" s="5"/>
      <c r="H13" s="8">
        <f>Tableau92218245[[#This Row],[Quantités acheté rajouté]]*Tableau92218245[[#This Row],[CU du matos rajouté acheté]]</f>
        <v>0</v>
      </c>
    </row>
    <row r="14" spans="2:8" x14ac:dyDescent="0.25">
      <c r="E14" s="3">
        <f>Tableau92218245[[#This Row],[Demande]]-Tableau92218245[[#This Row],[Présente dans la malle]]</f>
        <v>0</v>
      </c>
      <c r="F14" s="5"/>
      <c r="H14" s="8">
        <f>Tableau92218245[[#This Row],[Quantités acheté rajouté]]*Tableau92218245[[#This Row],[CU du matos rajouté acheté]]</f>
        <v>0</v>
      </c>
    </row>
    <row r="15" spans="2:8" x14ac:dyDescent="0.25">
      <c r="E15" s="3">
        <f>Tableau92218245[[#This Row],[Demande]]-Tableau92218245[[#This Row],[Présente dans la malle]]</f>
        <v>0</v>
      </c>
      <c r="F15" s="7"/>
      <c r="G15" s="4"/>
      <c r="H15" s="8">
        <f>Tableau92218245[[#This Row],[Quantités acheté rajouté]]*Tableau92218245[[#This Row],[CU du matos rajouté acheté]]</f>
        <v>0</v>
      </c>
    </row>
    <row r="16" spans="2:8" x14ac:dyDescent="0.25">
      <c r="B16" t="s">
        <v>4</v>
      </c>
      <c r="C16">
        <f>SUM(Tableau92218245[Présente dans la malle])</f>
        <v>6</v>
      </c>
      <c r="D16">
        <f>SUM(Tableau92218245[Demande])</f>
        <v>0</v>
      </c>
      <c r="E16">
        <f>SUM(Tableau92218245[Manque])</f>
        <v>-6</v>
      </c>
      <c r="F16" s="6">
        <f>SUM(Tableau92218245[Quantités acheté rajouté])</f>
        <v>0</v>
      </c>
      <c r="G16" s="6"/>
      <c r="H16" s="10">
        <f>SUM(Tableau92218245[CT])</f>
        <v>0</v>
      </c>
    </row>
    <row r="19" spans="2:8" x14ac:dyDescent="0.25">
      <c r="B19" t="s">
        <v>5</v>
      </c>
      <c r="C19" t="s">
        <v>0</v>
      </c>
      <c r="D19" t="s">
        <v>1</v>
      </c>
      <c r="E19" t="s">
        <v>2</v>
      </c>
      <c r="F19" s="2" t="s">
        <v>15</v>
      </c>
      <c r="G19" s="2" t="s">
        <v>11</v>
      </c>
      <c r="H19" s="2" t="s">
        <v>10</v>
      </c>
    </row>
    <row r="20" spans="2:8" x14ac:dyDescent="0.25">
      <c r="E20" s="3">
        <f>Tableau9296219246[[#This Row],[Demande]]-Tableau9296219246[[#This Row],[Présente dans la malle]]</f>
        <v>0</v>
      </c>
      <c r="F20" s="5"/>
      <c r="H20" s="8">
        <f>Tableau9296219246[[#This Row],[Quantités acheté rajouté]]*Tableau9296219246[[#This Row],[CU du matos rajouté acheté]]</f>
        <v>0</v>
      </c>
    </row>
    <row r="21" spans="2:8" x14ac:dyDescent="0.25">
      <c r="E21" s="3">
        <f>Tableau9296219246[[#This Row],[Demande]]-Tableau9296219246[[#This Row],[Présente dans la malle]]</f>
        <v>0</v>
      </c>
      <c r="F21" s="5"/>
      <c r="H21" s="8">
        <f>Tableau9296219246[[#This Row],[Quantités acheté rajouté]]*Tableau9296219246[[#This Row],[CU du matos rajouté acheté]]</f>
        <v>0</v>
      </c>
    </row>
    <row r="22" spans="2:8" x14ac:dyDescent="0.25">
      <c r="E22" s="3">
        <f>Tableau9296219246[[#This Row],[Demande]]-Tableau9296219246[[#This Row],[Présente dans la malle]]</f>
        <v>0</v>
      </c>
      <c r="F22" s="5"/>
      <c r="H22" s="8">
        <f>Tableau9296219246[[#This Row],[Quantités acheté rajouté]]*Tableau9296219246[[#This Row],[CU du matos rajouté acheté]]</f>
        <v>0</v>
      </c>
    </row>
    <row r="23" spans="2:8" x14ac:dyDescent="0.25">
      <c r="E23" s="3">
        <f>Tableau9296219246[[#This Row],[Demande]]-Tableau9296219246[[#This Row],[Présente dans la malle]]</f>
        <v>0</v>
      </c>
      <c r="F23" s="5"/>
      <c r="H23" s="8">
        <f>Tableau9296219246[[#This Row],[Quantités acheté rajouté]]*Tableau9296219246[[#This Row],[CU du matos rajouté acheté]]</f>
        <v>0</v>
      </c>
    </row>
    <row r="24" spans="2:8" x14ac:dyDescent="0.25">
      <c r="E24" s="3">
        <f>Tableau9296219246[[#This Row],[Demande]]-Tableau9296219246[[#This Row],[Présente dans la malle]]</f>
        <v>0</v>
      </c>
      <c r="F24" s="5"/>
      <c r="H24" s="8">
        <f>Tableau9296219246[[#This Row],[Quantités acheté rajouté]]*Tableau9296219246[[#This Row],[CU du matos rajouté acheté]]</f>
        <v>0</v>
      </c>
    </row>
    <row r="25" spans="2:8" x14ac:dyDescent="0.25">
      <c r="E25" s="3">
        <f>Tableau9296219246[[#This Row],[Demande]]-Tableau9296219246[[#This Row],[Présente dans la malle]]</f>
        <v>0</v>
      </c>
      <c r="F25" s="5"/>
      <c r="H25" s="8">
        <f>Tableau9296219246[[#This Row],[Quantités acheté rajouté]]*Tableau9296219246[[#This Row],[CU du matos rajouté acheté]]</f>
        <v>0</v>
      </c>
    </row>
    <row r="26" spans="2:8" x14ac:dyDescent="0.25">
      <c r="E26" s="3">
        <f>Tableau9296219246[[#This Row],[Demande]]-Tableau9296219246[[#This Row],[Présente dans la malle]]</f>
        <v>0</v>
      </c>
      <c r="F26" s="5"/>
      <c r="H26" s="8">
        <f>Tableau9296219246[[#This Row],[Quantités acheté rajouté]]*Tableau9296219246[[#This Row],[CU du matos rajouté acheté]]</f>
        <v>0</v>
      </c>
    </row>
    <row r="27" spans="2:8" x14ac:dyDescent="0.25">
      <c r="E27" s="3">
        <f>Tableau9296219246[[#This Row],[Demande]]-Tableau9296219246[[#This Row],[Présente dans la malle]]</f>
        <v>0</v>
      </c>
      <c r="F27" s="5"/>
      <c r="H27" s="8">
        <f>Tableau9296219246[[#This Row],[Quantités acheté rajouté]]*Tableau9296219246[[#This Row],[CU du matos rajouté acheté]]</f>
        <v>0</v>
      </c>
    </row>
    <row r="28" spans="2:8" x14ac:dyDescent="0.25">
      <c r="E28" s="3">
        <f>Tableau9296219246[[#This Row],[Demande]]-Tableau9296219246[[#This Row],[Présente dans la malle]]</f>
        <v>0</v>
      </c>
      <c r="F28" s="5"/>
      <c r="H28" s="8">
        <f>Tableau9296219246[[#This Row],[Quantités acheté rajouté]]*Tableau9296219246[[#This Row],[CU du matos rajouté acheté]]</f>
        <v>0</v>
      </c>
    </row>
    <row r="29" spans="2:8" x14ac:dyDescent="0.25">
      <c r="E29" s="3">
        <f>Tableau9296219246[[#This Row],[Demande]]-Tableau9296219246[[#This Row],[Présente dans la malle]]</f>
        <v>0</v>
      </c>
      <c r="F29" s="5"/>
      <c r="H29" s="8">
        <f>Tableau9296219246[[#This Row],[Quantités acheté rajouté]]*Tableau9296219246[[#This Row],[CU du matos rajouté acheté]]</f>
        <v>0</v>
      </c>
    </row>
    <row r="30" spans="2:8" x14ac:dyDescent="0.25">
      <c r="E30" s="3">
        <f>Tableau9296219246[[#This Row],[Demande]]-Tableau9296219246[[#This Row],[Présente dans la malle]]</f>
        <v>0</v>
      </c>
      <c r="F30" s="5"/>
      <c r="H30" s="8">
        <f>Tableau9296219246[[#This Row],[Quantités acheté rajouté]]*Tableau9296219246[[#This Row],[CU du matos rajouté acheté]]</f>
        <v>0</v>
      </c>
    </row>
    <row r="31" spans="2:8" x14ac:dyDescent="0.25">
      <c r="E31" s="3">
        <f>Tableau9296219246[[#This Row],[Demande]]-Tableau9296219246[[#This Row],[Présente dans la malle]]</f>
        <v>0</v>
      </c>
      <c r="F31" s="5"/>
      <c r="H31" s="8">
        <f>Tableau9296219246[[#This Row],[Quantités acheté rajouté]]*Tableau9296219246[[#This Row],[CU du matos rajouté acheté]]</f>
        <v>0</v>
      </c>
    </row>
    <row r="32" spans="2:8" x14ac:dyDescent="0.25">
      <c r="E32" s="3">
        <f>Tableau9296219246[[#This Row],[Demande]]-Tableau9296219246[[#This Row],[Présente dans la malle]]</f>
        <v>0</v>
      </c>
      <c r="F32" s="7"/>
      <c r="G32" s="4"/>
      <c r="H32" s="8">
        <f>Tableau9296219246[[#This Row],[Quantités acheté rajouté]]*Tableau9296219246[[#This Row],[CU du matos rajouté acheté]]</f>
        <v>0</v>
      </c>
    </row>
    <row r="33" spans="2:8" x14ac:dyDescent="0.25">
      <c r="B33" t="s">
        <v>4</v>
      </c>
      <c r="C33">
        <f>SUM(Tableau9296219246[Présente dans la malle])</f>
        <v>0</v>
      </c>
      <c r="D33">
        <f>SUM(Tableau9296219246[Demande])</f>
        <v>0</v>
      </c>
      <c r="E33">
        <f>SUM(Tableau9296219246[Manque])</f>
        <v>0</v>
      </c>
      <c r="F33" s="6">
        <f>SUM(Tableau9296219246[Quantités acheté rajouté])</f>
        <v>0</v>
      </c>
      <c r="G33" s="6"/>
      <c r="H33" s="2">
        <f>SUM(Tableau9296219246[CT])</f>
        <v>0</v>
      </c>
    </row>
    <row r="35" spans="2:8" x14ac:dyDescent="0.25">
      <c r="H35" s="2"/>
    </row>
    <row r="36" spans="2:8" x14ac:dyDescent="0.25">
      <c r="B36" t="s">
        <v>6</v>
      </c>
      <c r="C36" t="s">
        <v>0</v>
      </c>
      <c r="D36" t="s">
        <v>1</v>
      </c>
      <c r="E36" t="s">
        <v>2</v>
      </c>
      <c r="F36" s="2" t="s">
        <v>15</v>
      </c>
      <c r="G36" s="2" t="s">
        <v>11</v>
      </c>
      <c r="H36" s="2" t="s">
        <v>10</v>
      </c>
    </row>
    <row r="37" spans="2:8" x14ac:dyDescent="0.25">
      <c r="E37" s="3">
        <f>Tableau9297220247[[#This Row],[Demande]]-Tableau9297220247[[#This Row],[Présente dans la malle]]</f>
        <v>0</v>
      </c>
      <c r="F37" s="5"/>
      <c r="H37" s="8">
        <f>Tableau9297220247[[#This Row],[Quantités acheté rajouté]]*Tableau9297220247[[#This Row],[CU du matos rajouté acheté]]</f>
        <v>0</v>
      </c>
    </row>
    <row r="38" spans="2:8" x14ac:dyDescent="0.25">
      <c r="E38" s="3">
        <f>Tableau9297220247[[#This Row],[Demande]]-Tableau9297220247[[#This Row],[Présente dans la malle]]</f>
        <v>0</v>
      </c>
      <c r="F38" s="5"/>
      <c r="H38" s="8">
        <f>Tableau9297220247[[#This Row],[Quantités acheté rajouté]]*Tableau9297220247[[#This Row],[CU du matos rajouté acheté]]</f>
        <v>0</v>
      </c>
    </row>
    <row r="39" spans="2:8" x14ac:dyDescent="0.25">
      <c r="E39" s="3">
        <f>Tableau9297220247[[#This Row],[Demande]]-Tableau9297220247[[#This Row],[Présente dans la malle]]</f>
        <v>0</v>
      </c>
      <c r="F39" s="5"/>
      <c r="H39" s="8">
        <f>Tableau9297220247[[#This Row],[Quantités acheté rajouté]]*Tableau9297220247[[#This Row],[CU du matos rajouté acheté]]</f>
        <v>0</v>
      </c>
    </row>
    <row r="40" spans="2:8" x14ac:dyDescent="0.25">
      <c r="E40" s="3">
        <f>Tableau9297220247[[#This Row],[Demande]]-Tableau9297220247[[#This Row],[Présente dans la malle]]</f>
        <v>0</v>
      </c>
      <c r="F40" s="5"/>
      <c r="H40" s="8">
        <f>Tableau9297220247[[#This Row],[Quantités acheté rajouté]]*Tableau9297220247[[#This Row],[CU du matos rajouté acheté]]</f>
        <v>0</v>
      </c>
    </row>
    <row r="41" spans="2:8" x14ac:dyDescent="0.25">
      <c r="E41" s="3">
        <f>Tableau9297220247[[#This Row],[Demande]]-Tableau9297220247[[#This Row],[Présente dans la malle]]</f>
        <v>0</v>
      </c>
      <c r="F41" s="5"/>
      <c r="H41" s="8">
        <f>Tableau9297220247[[#This Row],[Quantités acheté rajouté]]*Tableau9297220247[[#This Row],[CU du matos rajouté acheté]]</f>
        <v>0</v>
      </c>
    </row>
    <row r="42" spans="2:8" x14ac:dyDescent="0.25">
      <c r="E42" s="3">
        <f>Tableau9297220247[[#This Row],[Demande]]-Tableau9297220247[[#This Row],[Présente dans la malle]]</f>
        <v>0</v>
      </c>
      <c r="F42" s="5"/>
      <c r="H42" s="8">
        <f>Tableau9297220247[[#This Row],[Quantités acheté rajouté]]*Tableau9297220247[[#This Row],[CU du matos rajouté acheté]]</f>
        <v>0</v>
      </c>
    </row>
    <row r="43" spans="2:8" x14ac:dyDescent="0.25">
      <c r="E43" s="3">
        <f>Tableau9297220247[[#This Row],[Demande]]-Tableau9297220247[[#This Row],[Présente dans la malle]]</f>
        <v>0</v>
      </c>
      <c r="F43" s="5"/>
      <c r="H43" s="8">
        <f>Tableau9297220247[[#This Row],[Quantités acheté rajouté]]*Tableau9297220247[[#This Row],[CU du matos rajouté acheté]]</f>
        <v>0</v>
      </c>
    </row>
    <row r="44" spans="2:8" x14ac:dyDescent="0.25">
      <c r="E44" s="3">
        <f>Tableau9297220247[[#This Row],[Demande]]-Tableau9297220247[[#This Row],[Présente dans la malle]]</f>
        <v>0</v>
      </c>
      <c r="F44" s="5"/>
      <c r="H44" s="8">
        <f>Tableau9297220247[[#This Row],[Quantités acheté rajouté]]*Tableau9297220247[[#This Row],[CU du matos rajouté acheté]]</f>
        <v>0</v>
      </c>
    </row>
    <row r="45" spans="2:8" x14ac:dyDescent="0.25">
      <c r="E45" s="3">
        <f>Tableau9297220247[[#This Row],[Demande]]-Tableau9297220247[[#This Row],[Présente dans la malle]]</f>
        <v>0</v>
      </c>
      <c r="F45" s="5"/>
      <c r="H45" s="8">
        <f>Tableau9297220247[[#This Row],[Quantités acheté rajouté]]*Tableau9297220247[[#This Row],[CU du matos rajouté acheté]]</f>
        <v>0</v>
      </c>
    </row>
    <row r="46" spans="2:8" x14ac:dyDescent="0.25">
      <c r="E46" s="3">
        <f>Tableau9297220247[[#This Row],[Demande]]-Tableau9297220247[[#This Row],[Présente dans la malle]]</f>
        <v>0</v>
      </c>
      <c r="F46" s="5"/>
      <c r="H46" s="8">
        <f>Tableau9297220247[[#This Row],[Quantités acheté rajouté]]*Tableau9297220247[[#This Row],[CU du matos rajouté acheté]]</f>
        <v>0</v>
      </c>
    </row>
    <row r="47" spans="2:8" x14ac:dyDescent="0.25">
      <c r="E47" s="3">
        <f>Tableau9297220247[[#This Row],[Demande]]-Tableau9297220247[[#This Row],[Présente dans la malle]]</f>
        <v>0</v>
      </c>
      <c r="F47" s="5"/>
      <c r="H47" s="8">
        <f>Tableau9297220247[[#This Row],[Quantités acheté rajouté]]*Tableau9297220247[[#This Row],[CU du matos rajouté acheté]]</f>
        <v>0</v>
      </c>
    </row>
    <row r="48" spans="2:8" x14ac:dyDescent="0.25">
      <c r="E48" s="3">
        <f>Tableau9297220247[[#This Row],[Demande]]-Tableau9297220247[[#This Row],[Présente dans la malle]]</f>
        <v>0</v>
      </c>
      <c r="F48" s="5"/>
      <c r="H48" s="8">
        <f>Tableau9297220247[[#This Row],[Quantités acheté rajouté]]*Tableau9297220247[[#This Row],[CU du matos rajouté acheté]]</f>
        <v>0</v>
      </c>
    </row>
    <row r="49" spans="2:8" x14ac:dyDescent="0.25">
      <c r="E49" s="3">
        <f>Tableau9297220247[[#This Row],[Demande]]-Tableau9297220247[[#This Row],[Présente dans la malle]]</f>
        <v>0</v>
      </c>
      <c r="F49" s="7"/>
      <c r="G49" s="4"/>
      <c r="H49" s="8">
        <f>Tableau9297220247[[#This Row],[Quantités acheté rajouté]]*Tableau9297220247[[#This Row],[CU du matos rajouté acheté]]</f>
        <v>0</v>
      </c>
    </row>
    <row r="50" spans="2:8" x14ac:dyDescent="0.25">
      <c r="B50" t="s">
        <v>4</v>
      </c>
      <c r="C50">
        <f>SUM(Tableau9297220247[Présente dans la malle])</f>
        <v>0</v>
      </c>
      <c r="D50">
        <f>SUM(Tableau9297220247[Demande])</f>
        <v>0</v>
      </c>
      <c r="E50">
        <f>SUM(Tableau9297220247[Manque])</f>
        <v>0</v>
      </c>
      <c r="F50" s="6">
        <f>SUM(Tableau9297220247[Quantités acheté rajouté])</f>
        <v>0</v>
      </c>
      <c r="G50" s="6"/>
      <c r="H50" s="2">
        <f>SUM(Tableau9297220247[CT])</f>
        <v>0</v>
      </c>
    </row>
  </sheetData>
  <conditionalFormatting sqref="E3:E15">
    <cfRule type="cellIs" dxfId="77" priority="10" operator="equal">
      <formula>0</formula>
    </cfRule>
    <cfRule type="cellIs" dxfId="76" priority="11" operator="lessThan">
      <formula>0</formula>
    </cfRule>
    <cfRule type="cellIs" dxfId="75" priority="12" operator="greaterThan">
      <formula>0</formula>
    </cfRule>
  </conditionalFormatting>
  <conditionalFormatting sqref="E16">
    <cfRule type="cellIs" dxfId="74" priority="9" operator="equal">
      <formula>0</formula>
    </cfRule>
  </conditionalFormatting>
  <conditionalFormatting sqref="E50">
    <cfRule type="cellIs" dxfId="73" priority="1" operator="equal">
      <formula>0</formula>
    </cfRule>
  </conditionalFormatting>
  <conditionalFormatting sqref="E20:E32">
    <cfRule type="cellIs" dxfId="72" priority="6" operator="equal">
      <formula>0</formula>
    </cfRule>
    <cfRule type="cellIs" dxfId="71" priority="7" operator="lessThan">
      <formula>0</formula>
    </cfRule>
    <cfRule type="cellIs" dxfId="70" priority="8" operator="greaterThan">
      <formula>0</formula>
    </cfRule>
  </conditionalFormatting>
  <conditionalFormatting sqref="E33">
    <cfRule type="cellIs" dxfId="69" priority="5" operator="equal">
      <formula>0</formula>
    </cfRule>
  </conditionalFormatting>
  <conditionalFormatting sqref="E37:E49">
    <cfRule type="cellIs" dxfId="68" priority="2" operator="equal">
      <formula>0</formula>
    </cfRule>
    <cfRule type="cellIs" dxfId="67" priority="3" operator="lessThan">
      <formula>0</formula>
    </cfRule>
    <cfRule type="cellIs" dxfId="66" priority="4" operator="greaterThan">
      <formula>0</formula>
    </cfRule>
  </conditionalFormatting>
  <dataValidations count="7">
    <dataValidation type="list" allowBlank="1" showInputMessage="1" showErrorMessage="1" prompt="Insérez la fourniture désiré" sqref="B37:B48 B20:B31 B3 B6:B14" xr:uid="{0C368915-B628-4685-B335-5C258FC9D4C3}">
      <formula1>Fournitures</formula1>
    </dataValidation>
    <dataValidation allowBlank="1" showInputMessage="1" showErrorMessage="1" prompt="Si VERT_x000a_La fourniture est bien présente et la quantité est bonne_x000a_Si ROUGE_x000a_+ : Il faut rajouter la quantité de fourniture_x000a_- : Il faut enlevé la quantité de fourniture en trop_x000a_" sqref="E20:E32 E3:E15 E37:E49" xr:uid="{36C9E5C6-CA73-453B-9F4D-3733240A56F5}"/>
    <dataValidation allowBlank="1" showInputMessage="1" showErrorMessage="1" prompt="Insérez la quantité présente dans les malles" sqref="C11:C14 C3:C9 C28:C31 C20:C26 C45:C48 C37:C43" xr:uid="{E50F7D30-53C1-4DF2-AB92-C51A38B8B0C4}"/>
    <dataValidation allowBlank="1" showInputMessage="1" showErrorMessage="1" prompt="Insérez la quantité demandé" sqref="D11:D14 D3:D9 D28:D31 D20:D26 D45:D48 D37:D43" xr:uid="{1731F30F-5AFE-4383-B9F4-A35E90E5638B}"/>
    <dataValidation allowBlank="1" showInputMessage="1" showErrorMessage="1" prompt="Quantité acheté rajouté * CU" sqref="H3 H20 H37" xr:uid="{1E06271D-0A16-4ADC-BF83-A693003FD1F4}"/>
    <dataValidation allowBlank="1" showInputMessage="1" showErrorMessage="1" prompt="CU = Cout unitaire" sqref="F35:G36 F2:G2 F19:G19" xr:uid="{BE5FEBB4-58EA-4FE5-8B81-20E43E88C101}"/>
    <dataValidation allowBlank="1" showInputMessage="1" showErrorMessage="1" prompt="CT = Cout total" sqref="H35:H36 H2 H19" xr:uid="{D5E45BF1-32FF-4FBB-A490-0E8846361ABA}"/>
  </dataValidations>
  <pageMargins left="0.7" right="0.7" top="0.75" bottom="0.75" header="0.3" footer="0.3"/>
  <tableParts count="3">
    <tablePart r:id="rId1"/>
    <tablePart r:id="rId2"/>
    <tablePart r:id="rId3"/>
  </tableParts>
</worksheet>
</file>

<file path=xl/worksheets/sheet3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0A2FB09-BEE7-46C9-BE79-697A4FEA9BF9}">
  <dimension ref="A1"/>
  <sheetViews>
    <sheetView workbookViewId="0"/>
  </sheetViews>
  <sheetFormatPr baseColWidth="10" defaultRowHeight="15" x14ac:dyDescent="0.25"/>
  <sheetData/>
  <pageMargins left="0.7" right="0.7" top="0.75" bottom="0.75" header="0.3" footer="0.3"/>
</worksheet>
</file>

<file path=xl/worksheets/sheet3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48FCB3C-AE19-48E9-8D5A-F0A4BD57C93D}">
  <dimension ref="B2:H61"/>
  <sheetViews>
    <sheetView workbookViewId="0">
      <selection activeCell="C5" sqref="C5"/>
    </sheetView>
  </sheetViews>
  <sheetFormatPr baseColWidth="10" defaultRowHeight="15" x14ac:dyDescent="0.25"/>
  <cols>
    <col min="2" max="2" width="26.28515625" customWidth="1"/>
    <col min="3" max="3" width="23.140625" customWidth="1"/>
    <col min="4" max="4" width="11.7109375" customWidth="1"/>
    <col min="6" max="6" width="26.5703125" style="2" customWidth="1"/>
    <col min="7" max="7" width="28.28515625" style="2" customWidth="1"/>
  </cols>
  <sheetData>
    <row r="2" spans="2:8" x14ac:dyDescent="0.25">
      <c r="B2" t="s">
        <v>7</v>
      </c>
      <c r="C2" t="s">
        <v>0</v>
      </c>
      <c r="D2" t="s">
        <v>1</v>
      </c>
      <c r="E2" t="s">
        <v>2</v>
      </c>
      <c r="F2" s="2" t="s">
        <v>15</v>
      </c>
      <c r="G2" s="2" t="s">
        <v>11</v>
      </c>
      <c r="H2" s="2" t="s">
        <v>10</v>
      </c>
    </row>
    <row r="3" spans="2:8" x14ac:dyDescent="0.25">
      <c r="B3" t="s">
        <v>135</v>
      </c>
      <c r="C3">
        <v>2</v>
      </c>
      <c r="E3" s="3">
        <f>Tableau92218251[[#This Row],[Demande]]-Tableau92218251[[#This Row],[Présente dans la malle]]</f>
        <v>-2</v>
      </c>
      <c r="F3" s="5"/>
      <c r="H3" s="8">
        <f>Tableau92218251[[#This Row],[Quantités acheté rajouté]]*Tableau92218251[[#This Row],[CU du matos rajouté acheté]]</f>
        <v>0</v>
      </c>
    </row>
    <row r="4" spans="2:8" x14ac:dyDescent="0.25">
      <c r="B4" t="s">
        <v>128</v>
      </c>
      <c r="C4">
        <v>1</v>
      </c>
      <c r="E4" s="3">
        <f>Tableau92218251[[#This Row],[Demande]]-Tableau92218251[[#This Row],[Présente dans la malle]]</f>
        <v>-1</v>
      </c>
      <c r="F4" s="5"/>
      <c r="H4" s="8">
        <f>Tableau92218251[[#This Row],[Quantités acheté rajouté]]*Tableau92218251[[#This Row],[CU du matos rajouté acheté]]</f>
        <v>0</v>
      </c>
    </row>
    <row r="5" spans="2:8" x14ac:dyDescent="0.25">
      <c r="B5" t="s">
        <v>56</v>
      </c>
      <c r="C5">
        <v>2</v>
      </c>
      <c r="E5" s="3">
        <f>Tableau92218251[[#This Row],[Demande]]-Tableau92218251[[#This Row],[Présente dans la malle]]</f>
        <v>-2</v>
      </c>
      <c r="F5" s="5"/>
      <c r="H5" s="8">
        <f>Tableau92218251[[#This Row],[Quantités acheté rajouté]]*Tableau92218251[[#This Row],[CU du matos rajouté acheté]]</f>
        <v>0</v>
      </c>
    </row>
    <row r="6" spans="2:8" x14ac:dyDescent="0.25">
      <c r="B6" t="s">
        <v>42</v>
      </c>
      <c r="C6">
        <v>1</v>
      </c>
      <c r="E6" s="3">
        <f>Tableau92218251[[#This Row],[Demande]]-Tableau92218251[[#This Row],[Présente dans la malle]]</f>
        <v>-1</v>
      </c>
      <c r="F6" s="5"/>
      <c r="H6" s="8">
        <f>Tableau92218251[[#This Row],[Quantités acheté rajouté]]*Tableau92218251[[#This Row],[CU du matos rajouté acheté]]</f>
        <v>0</v>
      </c>
    </row>
    <row r="7" spans="2:8" x14ac:dyDescent="0.25">
      <c r="B7" t="s">
        <v>44</v>
      </c>
      <c r="C7">
        <v>1</v>
      </c>
      <c r="E7" s="3">
        <f>Tableau92218251[[#This Row],[Demande]]-Tableau92218251[[#This Row],[Présente dans la malle]]</f>
        <v>-1</v>
      </c>
      <c r="F7" s="5"/>
      <c r="H7" s="8">
        <f>Tableau92218251[[#This Row],[Quantités acheté rajouté]]*Tableau92218251[[#This Row],[CU du matos rajouté acheté]]</f>
        <v>0</v>
      </c>
    </row>
    <row r="8" spans="2:8" x14ac:dyDescent="0.25">
      <c r="B8" t="s">
        <v>137</v>
      </c>
      <c r="C8">
        <v>1</v>
      </c>
      <c r="E8" s="3">
        <f>Tableau92218251[[#This Row],[Demande]]-Tableau92218251[[#This Row],[Présente dans la malle]]</f>
        <v>-1</v>
      </c>
      <c r="F8" s="5"/>
      <c r="H8" s="8">
        <f>Tableau92218251[[#This Row],[Quantités acheté rajouté]]*Tableau92218251[[#This Row],[CU du matos rajouté acheté]]</f>
        <v>0</v>
      </c>
    </row>
    <row r="9" spans="2:8" x14ac:dyDescent="0.25">
      <c r="B9" t="s">
        <v>138</v>
      </c>
      <c r="C9">
        <v>1</v>
      </c>
      <c r="E9" s="3">
        <f>Tableau92218251[[#This Row],[Demande]]-Tableau92218251[[#This Row],[Présente dans la malle]]</f>
        <v>-1</v>
      </c>
      <c r="F9" s="5"/>
      <c r="H9" s="8">
        <f>Tableau92218251[[#This Row],[Quantités acheté rajouté]]*Tableau92218251[[#This Row],[CU du matos rajouté acheté]]</f>
        <v>0</v>
      </c>
    </row>
    <row r="10" spans="2:8" x14ac:dyDescent="0.25">
      <c r="B10" t="s">
        <v>139</v>
      </c>
      <c r="C10">
        <v>1</v>
      </c>
      <c r="E10" s="3">
        <f>Tableau92218251[[#This Row],[Demande]]-Tableau92218251[[#This Row],[Présente dans la malle]]</f>
        <v>-1</v>
      </c>
      <c r="F10" s="5"/>
      <c r="H10" s="8">
        <f>Tableau92218251[[#This Row],[Quantités acheté rajouté]]*Tableau92218251[[#This Row],[CU du matos rajouté acheté]]</f>
        <v>0</v>
      </c>
    </row>
    <row r="11" spans="2:8" x14ac:dyDescent="0.25">
      <c r="B11" t="s">
        <v>140</v>
      </c>
      <c r="C11">
        <v>36</v>
      </c>
      <c r="E11" s="3">
        <f>Tableau92218251[[#This Row],[Demande]]-Tableau92218251[[#This Row],[Présente dans la malle]]</f>
        <v>-36</v>
      </c>
      <c r="F11" s="5"/>
      <c r="H11" s="8">
        <f>Tableau92218251[[#This Row],[Quantités acheté rajouté]]*Tableau92218251[[#This Row],[CU du matos rajouté acheté]]</f>
        <v>0</v>
      </c>
    </row>
    <row r="12" spans="2:8" x14ac:dyDescent="0.25">
      <c r="B12" t="s">
        <v>141</v>
      </c>
      <c r="C12">
        <v>1</v>
      </c>
      <c r="E12" s="3">
        <f>Tableau92218251[[#This Row],[Demande]]-Tableau92218251[[#This Row],[Présente dans la malle]]</f>
        <v>-1</v>
      </c>
      <c r="F12" s="5"/>
      <c r="H12" s="8">
        <f>Tableau92218251[[#This Row],[Quantités acheté rajouté]]*Tableau92218251[[#This Row],[CU du matos rajouté acheté]]</f>
        <v>0</v>
      </c>
    </row>
    <row r="13" spans="2:8" x14ac:dyDescent="0.25">
      <c r="B13" t="s">
        <v>32</v>
      </c>
      <c r="C13">
        <v>1</v>
      </c>
      <c r="E13" s="3">
        <f>Tableau92218251[[#This Row],[Demande]]-Tableau92218251[[#This Row],[Présente dans la malle]]</f>
        <v>-1</v>
      </c>
      <c r="F13" s="5"/>
      <c r="H13" s="8">
        <f>Tableau92218251[[#This Row],[Quantités acheté rajouté]]*Tableau92218251[[#This Row],[CU du matos rajouté acheté]]</f>
        <v>0</v>
      </c>
    </row>
    <row r="14" spans="2:8" x14ac:dyDescent="0.25">
      <c r="B14" t="s">
        <v>120</v>
      </c>
      <c r="C14">
        <v>1</v>
      </c>
      <c r="E14" s="3">
        <f>Tableau92218251[[#This Row],[Demande]]-Tableau92218251[[#This Row],[Présente dans la malle]]</f>
        <v>-1</v>
      </c>
      <c r="F14" s="5"/>
      <c r="H14" s="8">
        <f>Tableau92218251[[#This Row],[Quantités acheté rajouté]]*Tableau92218251[[#This Row],[CU du matos rajouté acheté]]</f>
        <v>0</v>
      </c>
    </row>
    <row r="15" spans="2:8" x14ac:dyDescent="0.25">
      <c r="B15" t="s">
        <v>122</v>
      </c>
      <c r="C15">
        <v>1</v>
      </c>
      <c r="E15" s="3">
        <f>Tableau92218251[[#This Row],[Demande]]-Tableau92218251[[#This Row],[Présente dans la malle]]</f>
        <v>-1</v>
      </c>
      <c r="F15" s="7"/>
      <c r="G15" s="4"/>
      <c r="H15" s="8">
        <f>Tableau92218251[[#This Row],[Quantités acheté rajouté]]*Tableau92218251[[#This Row],[CU du matos rajouté acheté]]</f>
        <v>0</v>
      </c>
    </row>
    <row r="16" spans="2:8" x14ac:dyDescent="0.25">
      <c r="B16" t="s">
        <v>142</v>
      </c>
      <c r="C16">
        <v>1</v>
      </c>
      <c r="E16" s="11">
        <f>Tableau92218251[[#This Row],[Demande]]-Tableau92218251[[#This Row],[Présente dans la malle]]</f>
        <v>-1</v>
      </c>
      <c r="F16" s="5"/>
      <c r="H16" s="8">
        <f>Tableau92218251[[#This Row],[Quantités acheté rajouté]]*Tableau92218251[[#This Row],[CU du matos rajouté acheté]]</f>
        <v>0</v>
      </c>
    </row>
    <row r="17" spans="2:8" x14ac:dyDescent="0.25">
      <c r="B17" t="s">
        <v>103</v>
      </c>
      <c r="C17">
        <v>1</v>
      </c>
      <c r="E17" s="11">
        <f>Tableau92218251[[#This Row],[Demande]]-Tableau92218251[[#This Row],[Présente dans la malle]]</f>
        <v>-1</v>
      </c>
      <c r="F17" s="5"/>
      <c r="H17" s="8">
        <f>Tableau92218251[[#This Row],[Quantités acheté rajouté]]*Tableau92218251[[#This Row],[CU du matos rajouté acheté]]</f>
        <v>0</v>
      </c>
    </row>
    <row r="18" spans="2:8" x14ac:dyDescent="0.25">
      <c r="B18" t="s">
        <v>124</v>
      </c>
      <c r="C18">
        <v>3</v>
      </c>
      <c r="E18" s="11">
        <f>Tableau92218251[[#This Row],[Demande]]-Tableau92218251[[#This Row],[Présente dans la malle]]</f>
        <v>-3</v>
      </c>
      <c r="F18" s="5"/>
      <c r="H18" s="8">
        <f>Tableau92218251[[#This Row],[Quantités acheté rajouté]]*Tableau92218251[[#This Row],[CU du matos rajouté acheté]]</f>
        <v>0</v>
      </c>
    </row>
    <row r="19" spans="2:8" x14ac:dyDescent="0.25">
      <c r="B19" t="s">
        <v>143</v>
      </c>
      <c r="C19">
        <v>2</v>
      </c>
      <c r="E19" s="11">
        <f>Tableau92218251[[#This Row],[Demande]]-Tableau92218251[[#This Row],[Présente dans la malle]]</f>
        <v>-2</v>
      </c>
      <c r="F19" s="5"/>
      <c r="H19" s="8">
        <f>Tableau92218251[[#This Row],[Quantités acheté rajouté]]*Tableau92218251[[#This Row],[CU du matos rajouté acheté]]</f>
        <v>0</v>
      </c>
    </row>
    <row r="20" spans="2:8" x14ac:dyDescent="0.25">
      <c r="B20" t="s">
        <v>121</v>
      </c>
      <c r="C20">
        <v>1</v>
      </c>
      <c r="E20" s="11">
        <f>Tableau92218251[[#This Row],[Demande]]-Tableau92218251[[#This Row],[Présente dans la malle]]</f>
        <v>-1</v>
      </c>
      <c r="F20" s="5"/>
      <c r="H20" s="8">
        <f>Tableau92218251[[#This Row],[Quantités acheté rajouté]]*Tableau92218251[[#This Row],[CU du matos rajouté acheté]]</f>
        <v>0</v>
      </c>
    </row>
    <row r="21" spans="2:8" x14ac:dyDescent="0.25">
      <c r="B21" t="s">
        <v>144</v>
      </c>
      <c r="C21">
        <v>6</v>
      </c>
      <c r="E21" s="11">
        <f>Tableau92218251[[#This Row],[Demande]]-Tableau92218251[[#This Row],[Présente dans la malle]]</f>
        <v>-6</v>
      </c>
      <c r="F21" s="5"/>
      <c r="H21" s="8">
        <f>Tableau92218251[[#This Row],[Quantités acheté rajouté]]*Tableau92218251[[#This Row],[CU du matos rajouté acheté]]</f>
        <v>0</v>
      </c>
    </row>
    <row r="22" spans="2:8" x14ac:dyDescent="0.25">
      <c r="B22" t="s">
        <v>145</v>
      </c>
      <c r="C22">
        <v>1</v>
      </c>
      <c r="E22" s="11">
        <f>Tableau92218251[[#This Row],[Demande]]-Tableau92218251[[#This Row],[Présente dans la malle]]</f>
        <v>-1</v>
      </c>
      <c r="F22" s="5"/>
      <c r="H22" s="8">
        <f>Tableau92218251[[#This Row],[Quantités acheté rajouté]]*Tableau92218251[[#This Row],[CU du matos rajouté acheté]]</f>
        <v>0</v>
      </c>
    </row>
    <row r="23" spans="2:8" x14ac:dyDescent="0.25">
      <c r="B23" t="s">
        <v>30</v>
      </c>
      <c r="C23">
        <v>4</v>
      </c>
      <c r="E23" s="11">
        <f>Tableau92218251[[#This Row],[Demande]]-Tableau92218251[[#This Row],[Présente dans la malle]]</f>
        <v>-4</v>
      </c>
      <c r="F23" s="5"/>
      <c r="H23" s="8">
        <f>Tableau92218251[[#This Row],[Quantités acheté rajouté]]*Tableau92218251[[#This Row],[CU du matos rajouté acheté]]</f>
        <v>0</v>
      </c>
    </row>
    <row r="24" spans="2:8" x14ac:dyDescent="0.25">
      <c r="B24" t="s">
        <v>28</v>
      </c>
      <c r="C24">
        <v>1</v>
      </c>
      <c r="E24" s="11">
        <f>Tableau92218251[[#This Row],[Demande]]-Tableau92218251[[#This Row],[Présente dans la malle]]</f>
        <v>-1</v>
      </c>
      <c r="F24" s="5"/>
      <c r="H24" s="8">
        <f>Tableau92218251[[#This Row],[Quantités acheté rajouté]]*Tableau92218251[[#This Row],[CU du matos rajouté acheté]]</f>
        <v>0</v>
      </c>
    </row>
    <row r="25" spans="2:8" x14ac:dyDescent="0.25">
      <c r="B25" t="s">
        <v>146</v>
      </c>
      <c r="C25">
        <v>1</v>
      </c>
      <c r="E25" s="11">
        <f>Tableau92218251[[#This Row],[Demande]]-Tableau92218251[[#This Row],[Présente dans la malle]]</f>
        <v>-1</v>
      </c>
      <c r="F25" s="5"/>
      <c r="H25" s="8">
        <f>Tableau92218251[[#This Row],[Quantités acheté rajouté]]*Tableau92218251[[#This Row],[CU du matos rajouté acheté]]</f>
        <v>0</v>
      </c>
    </row>
    <row r="26" spans="2:8" x14ac:dyDescent="0.25">
      <c r="B26" t="s">
        <v>147</v>
      </c>
      <c r="C26">
        <v>1</v>
      </c>
      <c r="E26" s="11">
        <f>Tableau92218251[[#This Row],[Demande]]-Tableau92218251[[#This Row],[Présente dans la malle]]</f>
        <v>-1</v>
      </c>
      <c r="F26" s="5"/>
      <c r="H26" s="8">
        <f>Tableau92218251[[#This Row],[Quantités acheté rajouté]]*Tableau92218251[[#This Row],[CU du matos rajouté acheté]]</f>
        <v>0</v>
      </c>
    </row>
    <row r="27" spans="2:8" x14ac:dyDescent="0.25">
      <c r="B27" t="s">
        <v>4</v>
      </c>
      <c r="C27">
        <f>SUM(Tableau92218251[Présente dans la malle])</f>
        <v>72</v>
      </c>
      <c r="D27">
        <f>SUM(Tableau92218251[Demande])</f>
        <v>0</v>
      </c>
      <c r="E27">
        <f>SUM(Tableau92218251[Manque])</f>
        <v>-72</v>
      </c>
      <c r="F27" s="6">
        <f>SUM(Tableau92218251[Quantités acheté rajouté])</f>
        <v>0</v>
      </c>
      <c r="G27" s="6"/>
      <c r="H27" s="10">
        <f>SUM(Tableau92218251[CT])</f>
        <v>0</v>
      </c>
    </row>
    <row r="30" spans="2:8" x14ac:dyDescent="0.25">
      <c r="B30" t="s">
        <v>5</v>
      </c>
      <c r="C30" t="s">
        <v>0</v>
      </c>
      <c r="D30" t="s">
        <v>1</v>
      </c>
      <c r="E30" t="s">
        <v>2</v>
      </c>
      <c r="F30" s="2" t="s">
        <v>15</v>
      </c>
      <c r="G30" s="2" t="s">
        <v>11</v>
      </c>
      <c r="H30" s="2" t="s">
        <v>10</v>
      </c>
    </row>
    <row r="31" spans="2:8" x14ac:dyDescent="0.25">
      <c r="E31" s="3">
        <f>Tableau9296219252[[#This Row],[Demande]]-Tableau9296219252[[#This Row],[Présente dans la malle]]</f>
        <v>0</v>
      </c>
      <c r="F31" s="5"/>
      <c r="H31" s="8">
        <f>Tableau9296219252[[#This Row],[Quantités acheté rajouté]]*Tableau9296219252[[#This Row],[CU du matos rajouté acheté]]</f>
        <v>0</v>
      </c>
    </row>
    <row r="32" spans="2:8" x14ac:dyDescent="0.25">
      <c r="E32" s="3">
        <f>Tableau9296219252[[#This Row],[Demande]]-Tableau9296219252[[#This Row],[Présente dans la malle]]</f>
        <v>0</v>
      </c>
      <c r="F32" s="5"/>
      <c r="H32" s="8">
        <f>Tableau9296219252[[#This Row],[Quantités acheté rajouté]]*Tableau9296219252[[#This Row],[CU du matos rajouté acheté]]</f>
        <v>0</v>
      </c>
    </row>
    <row r="33" spans="2:8" x14ac:dyDescent="0.25">
      <c r="E33" s="3">
        <f>Tableau9296219252[[#This Row],[Demande]]-Tableau9296219252[[#This Row],[Présente dans la malle]]</f>
        <v>0</v>
      </c>
      <c r="F33" s="5"/>
      <c r="H33" s="8">
        <f>Tableau9296219252[[#This Row],[Quantités acheté rajouté]]*Tableau9296219252[[#This Row],[CU du matos rajouté acheté]]</f>
        <v>0</v>
      </c>
    </row>
    <row r="34" spans="2:8" x14ac:dyDescent="0.25">
      <c r="E34" s="3">
        <f>Tableau9296219252[[#This Row],[Demande]]-Tableau9296219252[[#This Row],[Présente dans la malle]]</f>
        <v>0</v>
      </c>
      <c r="F34" s="5"/>
      <c r="H34" s="8">
        <f>Tableau9296219252[[#This Row],[Quantités acheté rajouté]]*Tableau9296219252[[#This Row],[CU du matos rajouté acheté]]</f>
        <v>0</v>
      </c>
    </row>
    <row r="35" spans="2:8" x14ac:dyDescent="0.25">
      <c r="E35" s="3">
        <f>Tableau9296219252[[#This Row],[Demande]]-Tableau9296219252[[#This Row],[Présente dans la malle]]</f>
        <v>0</v>
      </c>
      <c r="F35" s="5"/>
      <c r="H35" s="8">
        <f>Tableau9296219252[[#This Row],[Quantités acheté rajouté]]*Tableau9296219252[[#This Row],[CU du matos rajouté acheté]]</f>
        <v>0</v>
      </c>
    </row>
    <row r="36" spans="2:8" x14ac:dyDescent="0.25">
      <c r="E36" s="3">
        <f>Tableau9296219252[[#This Row],[Demande]]-Tableau9296219252[[#This Row],[Présente dans la malle]]</f>
        <v>0</v>
      </c>
      <c r="F36" s="5"/>
      <c r="H36" s="8">
        <f>Tableau9296219252[[#This Row],[Quantités acheté rajouté]]*Tableau9296219252[[#This Row],[CU du matos rajouté acheté]]</f>
        <v>0</v>
      </c>
    </row>
    <row r="37" spans="2:8" x14ac:dyDescent="0.25">
      <c r="E37" s="3">
        <f>Tableau9296219252[[#This Row],[Demande]]-Tableau9296219252[[#This Row],[Présente dans la malle]]</f>
        <v>0</v>
      </c>
      <c r="F37" s="5"/>
      <c r="H37" s="8">
        <f>Tableau9296219252[[#This Row],[Quantités acheté rajouté]]*Tableau9296219252[[#This Row],[CU du matos rajouté acheté]]</f>
        <v>0</v>
      </c>
    </row>
    <row r="38" spans="2:8" x14ac:dyDescent="0.25">
      <c r="E38" s="3">
        <f>Tableau9296219252[[#This Row],[Demande]]-Tableau9296219252[[#This Row],[Présente dans la malle]]</f>
        <v>0</v>
      </c>
      <c r="F38" s="5"/>
      <c r="H38" s="8">
        <f>Tableau9296219252[[#This Row],[Quantités acheté rajouté]]*Tableau9296219252[[#This Row],[CU du matos rajouté acheté]]</f>
        <v>0</v>
      </c>
    </row>
    <row r="39" spans="2:8" x14ac:dyDescent="0.25">
      <c r="E39" s="3">
        <f>Tableau9296219252[[#This Row],[Demande]]-Tableau9296219252[[#This Row],[Présente dans la malle]]</f>
        <v>0</v>
      </c>
      <c r="F39" s="5"/>
      <c r="H39" s="8">
        <f>Tableau9296219252[[#This Row],[Quantités acheté rajouté]]*Tableau9296219252[[#This Row],[CU du matos rajouté acheté]]</f>
        <v>0</v>
      </c>
    </row>
    <row r="40" spans="2:8" x14ac:dyDescent="0.25">
      <c r="E40" s="3">
        <f>Tableau9296219252[[#This Row],[Demande]]-Tableau9296219252[[#This Row],[Présente dans la malle]]</f>
        <v>0</v>
      </c>
      <c r="F40" s="5"/>
      <c r="H40" s="8">
        <f>Tableau9296219252[[#This Row],[Quantités acheté rajouté]]*Tableau9296219252[[#This Row],[CU du matos rajouté acheté]]</f>
        <v>0</v>
      </c>
    </row>
    <row r="41" spans="2:8" x14ac:dyDescent="0.25">
      <c r="E41" s="3">
        <f>Tableau9296219252[[#This Row],[Demande]]-Tableau9296219252[[#This Row],[Présente dans la malle]]</f>
        <v>0</v>
      </c>
      <c r="F41" s="5"/>
      <c r="H41" s="8">
        <f>Tableau9296219252[[#This Row],[Quantités acheté rajouté]]*Tableau9296219252[[#This Row],[CU du matos rajouté acheté]]</f>
        <v>0</v>
      </c>
    </row>
    <row r="42" spans="2:8" x14ac:dyDescent="0.25">
      <c r="E42" s="3">
        <f>Tableau9296219252[[#This Row],[Demande]]-Tableau9296219252[[#This Row],[Présente dans la malle]]</f>
        <v>0</v>
      </c>
      <c r="F42" s="5"/>
      <c r="H42" s="8">
        <f>Tableau9296219252[[#This Row],[Quantités acheté rajouté]]*Tableau9296219252[[#This Row],[CU du matos rajouté acheté]]</f>
        <v>0</v>
      </c>
    </row>
    <row r="43" spans="2:8" x14ac:dyDescent="0.25">
      <c r="E43" s="3">
        <f>Tableau9296219252[[#This Row],[Demande]]-Tableau9296219252[[#This Row],[Présente dans la malle]]</f>
        <v>0</v>
      </c>
      <c r="F43" s="7"/>
      <c r="G43" s="4"/>
      <c r="H43" s="8">
        <f>Tableau9296219252[[#This Row],[Quantités acheté rajouté]]*Tableau9296219252[[#This Row],[CU du matos rajouté acheté]]</f>
        <v>0</v>
      </c>
    </row>
    <row r="44" spans="2:8" x14ac:dyDescent="0.25">
      <c r="B44" t="s">
        <v>4</v>
      </c>
      <c r="C44">
        <f>SUM(Tableau9296219252[Présente dans la malle])</f>
        <v>0</v>
      </c>
      <c r="D44">
        <f>SUM(Tableau9296219252[Demande])</f>
        <v>0</v>
      </c>
      <c r="E44">
        <f>SUM(Tableau9296219252[Manque])</f>
        <v>0</v>
      </c>
      <c r="F44" s="6">
        <f>SUM(Tableau9296219252[Quantités acheté rajouté])</f>
        <v>0</v>
      </c>
      <c r="G44" s="6"/>
      <c r="H44" s="2">
        <f>SUM(Tableau9296219252[CT])</f>
        <v>0</v>
      </c>
    </row>
    <row r="46" spans="2:8" x14ac:dyDescent="0.25">
      <c r="H46" s="2"/>
    </row>
    <row r="47" spans="2:8" x14ac:dyDescent="0.25">
      <c r="B47" t="s">
        <v>6</v>
      </c>
      <c r="C47" t="s">
        <v>0</v>
      </c>
      <c r="D47" t="s">
        <v>1</v>
      </c>
      <c r="E47" t="s">
        <v>2</v>
      </c>
      <c r="F47" s="2" t="s">
        <v>15</v>
      </c>
      <c r="G47" s="2" t="s">
        <v>11</v>
      </c>
      <c r="H47" s="2" t="s">
        <v>10</v>
      </c>
    </row>
    <row r="48" spans="2:8" x14ac:dyDescent="0.25">
      <c r="B48" t="s">
        <v>136</v>
      </c>
      <c r="C48">
        <v>1</v>
      </c>
      <c r="E48" s="3">
        <f>Tableau9297220253[[#This Row],[Demande]]-Tableau9297220253[[#This Row],[Présente dans la malle]]</f>
        <v>-1</v>
      </c>
      <c r="F48" s="5"/>
      <c r="H48" s="8">
        <f>Tableau9297220253[[#This Row],[Quantités acheté rajouté]]*Tableau9297220253[[#This Row],[CU du matos rajouté acheté]]</f>
        <v>0</v>
      </c>
    </row>
    <row r="49" spans="2:8" x14ac:dyDescent="0.25">
      <c r="E49" s="3">
        <f>Tableau9297220253[[#This Row],[Demande]]-Tableau9297220253[[#This Row],[Présente dans la malle]]</f>
        <v>0</v>
      </c>
      <c r="F49" s="5"/>
      <c r="H49" s="8">
        <f>Tableau9297220253[[#This Row],[Quantités acheté rajouté]]*Tableau9297220253[[#This Row],[CU du matos rajouté acheté]]</f>
        <v>0</v>
      </c>
    </row>
    <row r="50" spans="2:8" x14ac:dyDescent="0.25">
      <c r="E50" s="3">
        <f>Tableau9297220253[[#This Row],[Demande]]-Tableau9297220253[[#This Row],[Présente dans la malle]]</f>
        <v>0</v>
      </c>
      <c r="F50" s="5"/>
      <c r="H50" s="8">
        <f>Tableau9297220253[[#This Row],[Quantités acheté rajouté]]*Tableau9297220253[[#This Row],[CU du matos rajouté acheté]]</f>
        <v>0</v>
      </c>
    </row>
    <row r="51" spans="2:8" x14ac:dyDescent="0.25">
      <c r="E51" s="3">
        <f>Tableau9297220253[[#This Row],[Demande]]-Tableau9297220253[[#This Row],[Présente dans la malle]]</f>
        <v>0</v>
      </c>
      <c r="F51" s="5"/>
      <c r="H51" s="8">
        <f>Tableau9297220253[[#This Row],[Quantités acheté rajouté]]*Tableau9297220253[[#This Row],[CU du matos rajouté acheté]]</f>
        <v>0</v>
      </c>
    </row>
    <row r="52" spans="2:8" x14ac:dyDescent="0.25">
      <c r="E52" s="3">
        <f>Tableau9297220253[[#This Row],[Demande]]-Tableau9297220253[[#This Row],[Présente dans la malle]]</f>
        <v>0</v>
      </c>
      <c r="F52" s="5"/>
      <c r="H52" s="8">
        <f>Tableau9297220253[[#This Row],[Quantités acheté rajouté]]*Tableau9297220253[[#This Row],[CU du matos rajouté acheté]]</f>
        <v>0</v>
      </c>
    </row>
    <row r="53" spans="2:8" x14ac:dyDescent="0.25">
      <c r="E53" s="3">
        <f>Tableau9297220253[[#This Row],[Demande]]-Tableau9297220253[[#This Row],[Présente dans la malle]]</f>
        <v>0</v>
      </c>
      <c r="F53" s="5"/>
      <c r="H53" s="8">
        <f>Tableau9297220253[[#This Row],[Quantités acheté rajouté]]*Tableau9297220253[[#This Row],[CU du matos rajouté acheté]]</f>
        <v>0</v>
      </c>
    </row>
    <row r="54" spans="2:8" x14ac:dyDescent="0.25">
      <c r="E54" s="3">
        <f>Tableau9297220253[[#This Row],[Demande]]-Tableau9297220253[[#This Row],[Présente dans la malle]]</f>
        <v>0</v>
      </c>
      <c r="F54" s="5"/>
      <c r="H54" s="8">
        <f>Tableau9297220253[[#This Row],[Quantités acheté rajouté]]*Tableau9297220253[[#This Row],[CU du matos rajouté acheté]]</f>
        <v>0</v>
      </c>
    </row>
    <row r="55" spans="2:8" x14ac:dyDescent="0.25">
      <c r="E55" s="3">
        <f>Tableau9297220253[[#This Row],[Demande]]-Tableau9297220253[[#This Row],[Présente dans la malle]]</f>
        <v>0</v>
      </c>
      <c r="F55" s="5"/>
      <c r="H55" s="8">
        <f>Tableau9297220253[[#This Row],[Quantités acheté rajouté]]*Tableau9297220253[[#This Row],[CU du matos rajouté acheté]]</f>
        <v>0</v>
      </c>
    </row>
    <row r="56" spans="2:8" x14ac:dyDescent="0.25">
      <c r="E56" s="3">
        <f>Tableau9297220253[[#This Row],[Demande]]-Tableau9297220253[[#This Row],[Présente dans la malle]]</f>
        <v>0</v>
      </c>
      <c r="F56" s="5"/>
      <c r="H56" s="8">
        <f>Tableau9297220253[[#This Row],[Quantités acheté rajouté]]*Tableau9297220253[[#This Row],[CU du matos rajouté acheté]]</f>
        <v>0</v>
      </c>
    </row>
    <row r="57" spans="2:8" x14ac:dyDescent="0.25">
      <c r="E57" s="3">
        <f>Tableau9297220253[[#This Row],[Demande]]-Tableau9297220253[[#This Row],[Présente dans la malle]]</f>
        <v>0</v>
      </c>
      <c r="F57" s="5"/>
      <c r="H57" s="8">
        <f>Tableau9297220253[[#This Row],[Quantités acheté rajouté]]*Tableau9297220253[[#This Row],[CU du matos rajouté acheté]]</f>
        <v>0</v>
      </c>
    </row>
    <row r="58" spans="2:8" x14ac:dyDescent="0.25">
      <c r="E58" s="3">
        <f>Tableau9297220253[[#This Row],[Demande]]-Tableau9297220253[[#This Row],[Présente dans la malle]]</f>
        <v>0</v>
      </c>
      <c r="F58" s="5"/>
      <c r="H58" s="8">
        <f>Tableau9297220253[[#This Row],[Quantités acheté rajouté]]*Tableau9297220253[[#This Row],[CU du matos rajouté acheté]]</f>
        <v>0</v>
      </c>
    </row>
    <row r="59" spans="2:8" x14ac:dyDescent="0.25">
      <c r="E59" s="3">
        <f>Tableau9297220253[[#This Row],[Demande]]-Tableau9297220253[[#This Row],[Présente dans la malle]]</f>
        <v>0</v>
      </c>
      <c r="F59" s="5"/>
      <c r="H59" s="8">
        <f>Tableau9297220253[[#This Row],[Quantités acheté rajouté]]*Tableau9297220253[[#This Row],[CU du matos rajouté acheté]]</f>
        <v>0</v>
      </c>
    </row>
    <row r="60" spans="2:8" x14ac:dyDescent="0.25">
      <c r="E60" s="3">
        <f>Tableau9297220253[[#This Row],[Demande]]-Tableau9297220253[[#This Row],[Présente dans la malle]]</f>
        <v>0</v>
      </c>
      <c r="F60" s="7"/>
      <c r="G60" s="4"/>
      <c r="H60" s="8">
        <f>Tableau9297220253[[#This Row],[Quantités acheté rajouté]]*Tableau9297220253[[#This Row],[CU du matos rajouté acheté]]</f>
        <v>0</v>
      </c>
    </row>
    <row r="61" spans="2:8" x14ac:dyDescent="0.25">
      <c r="B61" t="s">
        <v>4</v>
      </c>
      <c r="C61">
        <f>SUM(Tableau9297220253[Présente dans la malle])</f>
        <v>1</v>
      </c>
      <c r="D61">
        <f>SUM(Tableau9297220253[Demande])</f>
        <v>0</v>
      </c>
      <c r="E61">
        <f>SUM(Tableau9297220253[Manque])</f>
        <v>-1</v>
      </c>
      <c r="F61" s="6">
        <f>SUM(Tableau9297220253[Quantités acheté rajouté])</f>
        <v>0</v>
      </c>
      <c r="G61" s="6"/>
      <c r="H61" s="9">
        <f>SUM(Tableau9297220253[CT])</f>
        <v>0</v>
      </c>
    </row>
  </sheetData>
  <conditionalFormatting sqref="E3:E26">
    <cfRule type="cellIs" dxfId="38" priority="10" operator="equal">
      <formula>0</formula>
    </cfRule>
    <cfRule type="cellIs" dxfId="37" priority="11" operator="lessThan">
      <formula>0</formula>
    </cfRule>
    <cfRule type="cellIs" dxfId="36" priority="12" operator="greaterThan">
      <formula>0</formula>
    </cfRule>
  </conditionalFormatting>
  <conditionalFormatting sqref="E27">
    <cfRule type="cellIs" dxfId="35" priority="9" operator="equal">
      <formula>0</formula>
    </cfRule>
  </conditionalFormatting>
  <conditionalFormatting sqref="E61">
    <cfRule type="cellIs" dxfId="34" priority="1" operator="equal">
      <formula>0</formula>
    </cfRule>
  </conditionalFormatting>
  <conditionalFormatting sqref="E31:E43">
    <cfRule type="cellIs" dxfId="33" priority="6" operator="equal">
      <formula>0</formula>
    </cfRule>
    <cfRule type="cellIs" dxfId="32" priority="7" operator="lessThan">
      <formula>0</formula>
    </cfRule>
    <cfRule type="cellIs" dxfId="31" priority="8" operator="greaterThan">
      <formula>0</formula>
    </cfRule>
  </conditionalFormatting>
  <conditionalFormatting sqref="E44">
    <cfRule type="cellIs" dxfId="30" priority="5" operator="equal">
      <formula>0</formula>
    </cfRule>
  </conditionalFormatting>
  <conditionalFormatting sqref="E48:E60">
    <cfRule type="cellIs" dxfId="29" priority="2" operator="equal">
      <formula>0</formula>
    </cfRule>
    <cfRule type="cellIs" dxfId="28" priority="3" operator="lessThan">
      <formula>0</formula>
    </cfRule>
    <cfRule type="cellIs" dxfId="27" priority="4" operator="greaterThan">
      <formula>0</formula>
    </cfRule>
  </conditionalFormatting>
  <dataValidations count="7">
    <dataValidation type="list" allowBlank="1" showInputMessage="1" showErrorMessage="1" prompt="Insérez la fourniture désiré" sqref="B48:B59 B31:B42 B11" xr:uid="{4F8CF098-2E6F-44A7-8552-C55DB2F717A0}">
      <formula1>Fournitures</formula1>
    </dataValidation>
    <dataValidation allowBlank="1" showInputMessage="1" showErrorMessage="1" prompt="Si VERT_x000a_La fourniture est bien présente et la quantité est bonne_x000a_Si ROUGE_x000a_+ : Il faut rajouter la quantité de fourniture_x000a_- : Il faut enlevé la quantité de fourniture en trop_x000a_" sqref="E31:E43 E48:E60 E3:E26" xr:uid="{681C3E6F-666C-4600-9AA3-D6D3A55AA484}"/>
    <dataValidation allowBlank="1" showInputMessage="1" showErrorMessage="1" prompt="Insérez la quantité présente dans les malles" sqref="C11:C14 C3:C9 C39:C42 C31:C37 C56:C59 C48:C54" xr:uid="{F4E9075B-F853-43C1-ADB3-57C8F919BE65}"/>
    <dataValidation allowBlank="1" showInputMessage="1" showErrorMessage="1" prompt="Insérez la quantité demandé" sqref="D11:D14 D3:D9 D39:D42 D31:D37 D56:D59 D48:D54" xr:uid="{0B3332D3-F266-49C8-A8CF-1CE3B5971F28}"/>
    <dataValidation allowBlank="1" showInputMessage="1" showErrorMessage="1" prompt="Quantité acheté rajouté * CU" sqref="H3 H31 H48" xr:uid="{4D5069BB-5DCE-4063-9D34-AEA7F1227EF5}"/>
    <dataValidation allowBlank="1" showInputMessage="1" showErrorMessage="1" prompt="CU = Cout unitaire" sqref="F46:G47 F2:G2 F30:G30" xr:uid="{F63995D5-F57A-4828-BD6D-419FA5C8CF46}"/>
    <dataValidation allowBlank="1" showInputMessage="1" showErrorMessage="1" prompt="CT = Cout total" sqref="H46:H47 H2 H30" xr:uid="{1678013F-9562-4D79-BC69-7EE8FC3ED844}"/>
  </dataValidations>
  <pageMargins left="0.7" right="0.7" top="0.75" bottom="0.75" header="0.3" footer="0.3"/>
  <tableParts count="3">
    <tablePart r:id="rId1"/>
    <tablePart r:id="rId2"/>
    <tablePart r:id="rId3"/>
  </tablePart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Feuilles de calcul</vt:lpstr>
      </vt:variant>
      <vt:variant>
        <vt:i4>32</vt:i4>
      </vt:variant>
      <vt:variant>
        <vt:lpstr>Plages nommées</vt:lpstr>
      </vt:variant>
      <vt:variant>
        <vt:i4>1</vt:i4>
      </vt:variant>
    </vt:vector>
  </HeadingPairs>
  <TitlesOfParts>
    <vt:vector size="33" baseType="lpstr">
      <vt:lpstr>Consignes inventaire</vt:lpstr>
      <vt:lpstr>Inventaire Matériel après FF18</vt:lpstr>
      <vt:lpstr>Inventaire Cablage après FF18</vt:lpstr>
      <vt:lpstr>Inventaire Mobilier après FF18</vt:lpstr>
      <vt:lpstr>Signalétique</vt:lpstr>
      <vt:lpstr>Régie site</vt:lpstr>
      <vt:lpstr>Régie scene</vt:lpstr>
      <vt:lpstr>Entrée public</vt:lpstr>
      <vt:lpstr>Production</vt:lpstr>
      <vt:lpstr>Régie Extérieur</vt:lpstr>
      <vt:lpstr>Camping festivaliers</vt:lpstr>
      <vt:lpstr>Restauration bénévole</vt:lpstr>
      <vt:lpstr>Parking festivalier</vt:lpstr>
      <vt:lpstr>Bar container</vt:lpstr>
      <vt:lpstr>Bar coca</vt:lpstr>
      <vt:lpstr>Bar Fire</vt:lpstr>
      <vt:lpstr>Acceuil artiste</vt:lpstr>
      <vt:lpstr>Merchandising</vt:lpstr>
      <vt:lpstr>Billetterie centrale</vt:lpstr>
      <vt:lpstr>Billetterrie entrée</vt:lpstr>
      <vt:lpstr>Freeshu Pichu</vt:lpstr>
      <vt:lpstr>Acceuil VIP</vt:lpstr>
      <vt:lpstr>Aremacs</vt:lpstr>
      <vt:lpstr>Animation</vt:lpstr>
      <vt:lpstr>Bar mayo loco</vt:lpstr>
      <vt:lpstr>Bar ricard</vt:lpstr>
      <vt:lpstr>Camping bénévole</vt:lpstr>
      <vt:lpstr>Espace presse</vt:lpstr>
      <vt:lpstr>Magasin</vt:lpstr>
      <vt:lpstr>Runners</vt:lpstr>
      <vt:lpstr>Feuil1</vt:lpstr>
      <vt:lpstr>Sofree</vt:lpstr>
      <vt:lpstr>Matériel</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2015-06-05T18:19:34Z</dcterms:created>
  <dcterms:modified xsi:type="dcterms:W3CDTF">2018-07-05T09:12:42Z</dcterms:modified>
</cp:coreProperties>
</file>