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tables/table135.xml" ContentType="application/vnd.openxmlformats-officedocument.spreadsheetml.table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tables/table147.xml" ContentType="application/vnd.openxmlformats-officedocument.spreadsheetml.table+xml"/>
  <Override PartName="/xl/tables/table148.xml" ContentType="application/vnd.openxmlformats-officedocument.spreadsheetml.table+xml"/>
  <Override PartName="/xl/tables/table149.xml" ContentType="application/vnd.openxmlformats-officedocument.spreadsheetml.table+xml"/>
  <Override PartName="/xl/tables/table150.xml" ContentType="application/vnd.openxmlformats-officedocument.spreadsheetml.table+xml"/>
  <Override PartName="/xl/tables/table151.xml" ContentType="application/vnd.openxmlformats-officedocument.spreadsheetml.table+xml"/>
  <Override PartName="/xl/tables/table152.xml" ContentType="application/vnd.openxmlformats-officedocument.spreadsheetml.table+xml"/>
  <Override PartName="/xl/tables/table153.xml" ContentType="application/vnd.openxmlformats-officedocument.spreadsheetml.table+xml"/>
  <Override PartName="/xl/tables/table154.xml" ContentType="application/vnd.openxmlformats-officedocument.spreadsheetml.table+xml"/>
  <Override PartName="/xl/tables/table155.xml" ContentType="application/vnd.openxmlformats-officedocument.spreadsheetml.table+xml"/>
  <Override PartName="/xl/tables/table156.xml" ContentType="application/vnd.openxmlformats-officedocument.spreadsheetml.table+xml"/>
  <Override PartName="/xl/tables/table157.xml" ContentType="application/vnd.openxmlformats-officedocument.spreadsheetml.table+xml"/>
  <Override PartName="/xl/tables/table158.xml" ContentType="application/vnd.openxmlformats-officedocument.spreadsheetml.table+xml"/>
  <Override PartName="/xl/tables/table159.xml" ContentType="application/vnd.openxmlformats-officedocument.spreadsheetml.table+xml"/>
  <Override PartName="/xl/tables/table160.xml" ContentType="application/vnd.openxmlformats-officedocument.spreadsheetml.table+xml"/>
  <Override PartName="/xl/tables/table161.xml" ContentType="application/vnd.openxmlformats-officedocument.spreadsheetml.table+xml"/>
  <Override PartName="/xl/tables/table162.xml" ContentType="application/vnd.openxmlformats-officedocument.spreadsheetml.table+xml"/>
  <Override PartName="/xl/tables/table163.xml" ContentType="application/vnd.openxmlformats-officedocument.spreadsheetml.table+xml"/>
  <Override PartName="/xl/tables/table164.xml" ContentType="application/vnd.openxmlformats-officedocument.spreadsheetml.table+xml"/>
  <Override PartName="/xl/tables/table16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0_ncr:8100000_{745330E7-346E-4980-8B24-961EDE90BCF8}" xr6:coauthVersionLast="34" xr6:coauthVersionMax="34" xr10:uidLastSave="{00000000-0000-0000-0000-000000000000}"/>
  <bookViews>
    <workbookView xWindow="0" yWindow="0" windowWidth="22260" windowHeight="12645" tabRatio="880" xr2:uid="{00000000-000D-0000-FFFF-FFFF00000000}"/>
  </bookViews>
  <sheets>
    <sheet name="Inventaire Matériel après FF18" sheetId="4" r:id="rId1"/>
    <sheet name="Inventaire Cablage après FF18" sheetId="5" r:id="rId2"/>
    <sheet name="Inventaire Mobilier après FF18" sheetId="6" r:id="rId3"/>
    <sheet name="Acceuil artiste" sheetId="2" r:id="rId4"/>
    <sheet name="Acceuil VIP" sheetId="7" r:id="rId5"/>
    <sheet name="Aremacs" sheetId="9" r:id="rId6"/>
    <sheet name="Animation" sheetId="8" r:id="rId7"/>
    <sheet name="Bar coca" sheetId="10" r:id="rId8"/>
    <sheet name="Bar container" sheetId="11" r:id="rId9"/>
    <sheet name="Bar Fire" sheetId="20" r:id="rId10"/>
    <sheet name="Bar mayo loco" sheetId="13" r:id="rId11"/>
    <sheet name="Bar ricard" sheetId="12" r:id="rId12"/>
    <sheet name="Billetterie centrale" sheetId="14" r:id="rId13"/>
    <sheet name="Billetterrie entrée" sheetId="15" r:id="rId14"/>
    <sheet name="Camping bénévole" sheetId="16" r:id="rId15"/>
    <sheet name="Camping festivaliers" sheetId="17" r:id="rId16"/>
    <sheet name="Entrée public" sheetId="18" r:id="rId17"/>
    <sheet name="Espace presse" sheetId="19" r:id="rId18"/>
    <sheet name="Freeshu Pichu" sheetId="21" r:id="rId19"/>
    <sheet name="Magasin" sheetId="22" r:id="rId20"/>
    <sheet name="Merchandising" sheetId="23" r:id="rId21"/>
    <sheet name="Parking festivalier" sheetId="24" r:id="rId22"/>
    <sheet name="Production" sheetId="26" r:id="rId23"/>
    <sheet name="Régie Extérieur" sheetId="25" r:id="rId24"/>
    <sheet name="Régie scene" sheetId="27" r:id="rId25"/>
    <sheet name="Régie site" sheetId="28" r:id="rId26"/>
    <sheet name="Restauration bénévole" sheetId="29" r:id="rId27"/>
    <sheet name="Runners" sheetId="32" r:id="rId28"/>
    <sheet name="Signalétique" sheetId="30" r:id="rId29"/>
    <sheet name="Sofree" sheetId="31" r:id="rId30"/>
  </sheets>
  <definedNames>
    <definedName name="Fournitures">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31" l="1"/>
  <c r="H27" i="31"/>
  <c r="H13" i="31"/>
  <c r="H41" i="30"/>
  <c r="H27" i="30"/>
  <c r="H13" i="30"/>
  <c r="H41" i="32"/>
  <c r="H27" i="32"/>
  <c r="H13" i="32"/>
  <c r="H41" i="29"/>
  <c r="H27" i="29"/>
  <c r="H13" i="29"/>
  <c r="H41" i="28"/>
  <c r="H27" i="28"/>
  <c r="H13" i="28"/>
  <c r="H41" i="27"/>
  <c r="H27" i="27"/>
  <c r="H13" i="27"/>
  <c r="H13" i="25"/>
  <c r="E31" i="31"/>
  <c r="E32" i="31"/>
  <c r="E33" i="31"/>
  <c r="E34" i="31"/>
  <c r="E35" i="31"/>
  <c r="E36" i="31"/>
  <c r="E37" i="31"/>
  <c r="E38" i="31"/>
  <c r="E39" i="31"/>
  <c r="E40" i="31"/>
  <c r="E41" i="31"/>
  <c r="E17" i="31"/>
  <c r="E18" i="31"/>
  <c r="E19" i="31"/>
  <c r="E20" i="31"/>
  <c r="E21" i="31"/>
  <c r="E22" i="31"/>
  <c r="E23" i="31"/>
  <c r="E24" i="31"/>
  <c r="E25" i="31"/>
  <c r="E26" i="31"/>
  <c r="E27" i="31"/>
  <c r="E3" i="31"/>
  <c r="E4" i="31"/>
  <c r="E5" i="31"/>
  <c r="E6" i="31"/>
  <c r="E7" i="31"/>
  <c r="E8" i="31"/>
  <c r="E9" i="31"/>
  <c r="E10" i="31"/>
  <c r="E11" i="31"/>
  <c r="E12" i="31"/>
  <c r="E13" i="31"/>
  <c r="E31" i="30"/>
  <c r="E32" i="30"/>
  <c r="E33" i="30"/>
  <c r="E34" i="30"/>
  <c r="E35" i="30"/>
  <c r="E36" i="30"/>
  <c r="E37" i="30"/>
  <c r="E38" i="30"/>
  <c r="E39" i="30"/>
  <c r="E40" i="30"/>
  <c r="E41" i="30"/>
  <c r="E17" i="30"/>
  <c r="E18" i="30"/>
  <c r="E19" i="30"/>
  <c r="E20" i="30"/>
  <c r="E21" i="30"/>
  <c r="E22" i="30"/>
  <c r="E23" i="30"/>
  <c r="E24" i="30"/>
  <c r="E25" i="30"/>
  <c r="E26" i="30"/>
  <c r="E27" i="30"/>
  <c r="E3" i="30"/>
  <c r="E4" i="30"/>
  <c r="E5" i="30"/>
  <c r="E6" i="30"/>
  <c r="E7" i="30"/>
  <c r="E8" i="30"/>
  <c r="E9" i="30"/>
  <c r="E10" i="30"/>
  <c r="E11" i="30"/>
  <c r="E12" i="30"/>
  <c r="E13" i="30"/>
  <c r="E31" i="32"/>
  <c r="E32" i="32"/>
  <c r="E33" i="32"/>
  <c r="E34" i="32"/>
  <c r="E35" i="32"/>
  <c r="E36" i="32"/>
  <c r="E37" i="32"/>
  <c r="E38" i="32"/>
  <c r="E39" i="32"/>
  <c r="E40" i="32"/>
  <c r="E41" i="32"/>
  <c r="E17" i="32"/>
  <c r="E18" i="32"/>
  <c r="E19" i="32"/>
  <c r="E20" i="32"/>
  <c r="E21" i="32"/>
  <c r="E22" i="32"/>
  <c r="E23" i="32"/>
  <c r="E24" i="32"/>
  <c r="E25" i="32"/>
  <c r="E26" i="32"/>
  <c r="E27" i="32"/>
  <c r="E3" i="32"/>
  <c r="E4" i="32"/>
  <c r="E5" i="32"/>
  <c r="E6" i="32"/>
  <c r="E7" i="32"/>
  <c r="E8" i="32"/>
  <c r="E9" i="32"/>
  <c r="E10" i="32"/>
  <c r="E11" i="32"/>
  <c r="E12" i="32"/>
  <c r="E13" i="32"/>
  <c r="E31" i="29"/>
  <c r="E32" i="29"/>
  <c r="E33" i="29"/>
  <c r="E34" i="29"/>
  <c r="E35" i="29"/>
  <c r="E36" i="29"/>
  <c r="E37" i="29"/>
  <c r="E38" i="29"/>
  <c r="E39" i="29"/>
  <c r="E40" i="29"/>
  <c r="E41" i="29"/>
  <c r="E17" i="29"/>
  <c r="E18" i="29"/>
  <c r="E19" i="29"/>
  <c r="E20" i="29"/>
  <c r="E21" i="29"/>
  <c r="E22" i="29"/>
  <c r="E23" i="29"/>
  <c r="E24" i="29"/>
  <c r="E25" i="29"/>
  <c r="E26" i="29"/>
  <c r="E27" i="29"/>
  <c r="E3" i="29"/>
  <c r="E4" i="29"/>
  <c r="E5" i="29"/>
  <c r="E6" i="29"/>
  <c r="E7" i="29"/>
  <c r="E8" i="29"/>
  <c r="E9" i="29"/>
  <c r="E10" i="29"/>
  <c r="E11" i="29"/>
  <c r="E12" i="29"/>
  <c r="E13" i="29"/>
  <c r="E31" i="28"/>
  <c r="E32" i="28"/>
  <c r="E33" i="28"/>
  <c r="E34" i="28"/>
  <c r="E35" i="28"/>
  <c r="E36" i="28"/>
  <c r="E37" i="28"/>
  <c r="E38" i="28"/>
  <c r="E39" i="28"/>
  <c r="E40" i="28"/>
  <c r="E41" i="28"/>
  <c r="E17" i="28"/>
  <c r="E18" i="28"/>
  <c r="E19" i="28"/>
  <c r="E20" i="28"/>
  <c r="E21" i="28"/>
  <c r="E22" i="28"/>
  <c r="E23" i="28"/>
  <c r="E24" i="28"/>
  <c r="E25" i="28"/>
  <c r="E26" i="28"/>
  <c r="E27" i="28"/>
  <c r="E3" i="28"/>
  <c r="E4" i="28"/>
  <c r="E5" i="28"/>
  <c r="E6" i="28"/>
  <c r="E7" i="28"/>
  <c r="E8" i="28"/>
  <c r="E9" i="28"/>
  <c r="E10" i="28"/>
  <c r="E11" i="28"/>
  <c r="E12" i="28"/>
  <c r="E13" i="28"/>
  <c r="E31" i="27"/>
  <c r="E32" i="27"/>
  <c r="E33" i="27"/>
  <c r="E34" i="27"/>
  <c r="E35" i="27"/>
  <c r="E36" i="27"/>
  <c r="E37" i="27"/>
  <c r="E38" i="27"/>
  <c r="E39" i="27"/>
  <c r="E40" i="27"/>
  <c r="E41" i="27"/>
  <c r="E17" i="27"/>
  <c r="E18" i="27"/>
  <c r="E19" i="27"/>
  <c r="E20" i="27"/>
  <c r="E21" i="27"/>
  <c r="E22" i="27"/>
  <c r="E23" i="27"/>
  <c r="E24" i="27"/>
  <c r="E25" i="27"/>
  <c r="E26" i="27"/>
  <c r="E27" i="27"/>
  <c r="E3" i="27"/>
  <c r="E4" i="27"/>
  <c r="E5" i="27"/>
  <c r="E6" i="27"/>
  <c r="E7" i="27"/>
  <c r="E8" i="27"/>
  <c r="E9" i="27"/>
  <c r="E10" i="27"/>
  <c r="E11" i="27"/>
  <c r="E12" i="27"/>
  <c r="E13" i="27"/>
  <c r="E31" i="25"/>
  <c r="E32" i="25"/>
  <c r="E33" i="25"/>
  <c r="E34" i="25"/>
  <c r="E35" i="25"/>
  <c r="E36" i="25"/>
  <c r="E37" i="25"/>
  <c r="E38" i="25"/>
  <c r="E39" i="25"/>
  <c r="E40" i="25"/>
  <c r="E41" i="25"/>
  <c r="E17" i="25"/>
  <c r="E18" i="25"/>
  <c r="E19" i="25"/>
  <c r="E20" i="25"/>
  <c r="E21" i="25"/>
  <c r="E22" i="25"/>
  <c r="E23" i="25"/>
  <c r="E24" i="25"/>
  <c r="E25" i="25"/>
  <c r="E26" i="25"/>
  <c r="E27" i="25"/>
  <c r="E3" i="25"/>
  <c r="E4" i="25"/>
  <c r="E5" i="25"/>
  <c r="E6" i="25"/>
  <c r="E7" i="25"/>
  <c r="E8" i="25"/>
  <c r="E9" i="25"/>
  <c r="E10" i="25"/>
  <c r="E11" i="25"/>
  <c r="E12" i="25"/>
  <c r="E13" i="25"/>
  <c r="H41" i="25"/>
  <c r="H27" i="25"/>
  <c r="H41" i="26"/>
  <c r="H27" i="26"/>
  <c r="H13" i="26"/>
  <c r="H41" i="24"/>
  <c r="H27" i="24"/>
  <c r="H13" i="24"/>
  <c r="H41" i="23"/>
  <c r="H27" i="23"/>
  <c r="H13" i="23"/>
  <c r="H41" i="22"/>
  <c r="H27" i="22"/>
  <c r="H13" i="22"/>
  <c r="H41" i="21"/>
  <c r="H27" i="21"/>
  <c r="H13" i="21"/>
  <c r="H41" i="19"/>
  <c r="H27" i="19"/>
  <c r="H13" i="19"/>
  <c r="H41" i="18"/>
  <c r="H27" i="18"/>
  <c r="H13" i="18"/>
  <c r="H41" i="17"/>
  <c r="H27" i="17"/>
  <c r="H13" i="17"/>
  <c r="H41" i="16"/>
  <c r="H27" i="16"/>
  <c r="H13" i="16"/>
  <c r="H41" i="15"/>
  <c r="H27" i="15"/>
  <c r="H13" i="15"/>
  <c r="H41" i="14"/>
  <c r="H27" i="14"/>
  <c r="H13" i="14"/>
  <c r="H41" i="12"/>
  <c r="H27" i="12"/>
  <c r="H13" i="12"/>
  <c r="H41" i="13"/>
  <c r="H27" i="13"/>
  <c r="H13" i="13"/>
  <c r="H41" i="20"/>
  <c r="H27" i="20"/>
  <c r="H13" i="20"/>
  <c r="H41" i="11"/>
  <c r="H27" i="11"/>
  <c r="H13" i="11"/>
  <c r="H41" i="10"/>
  <c r="H27" i="10"/>
  <c r="H13" i="10"/>
  <c r="H41" i="8"/>
  <c r="H27" i="8"/>
  <c r="H13" i="8"/>
  <c r="H41" i="9"/>
  <c r="H27" i="9"/>
  <c r="H13" i="9"/>
  <c r="H41" i="7"/>
  <c r="H27" i="7"/>
  <c r="H13" i="7"/>
  <c r="H42" i="2"/>
  <c r="H28" i="2"/>
  <c r="H14" i="2"/>
  <c r="E4" i="2"/>
  <c r="E3" i="2"/>
  <c r="E5" i="2"/>
  <c r="E6" i="2"/>
  <c r="E7" i="2"/>
  <c r="E8" i="2"/>
  <c r="E9" i="2"/>
  <c r="E10" i="2"/>
  <c r="E11" i="2"/>
  <c r="E12" i="2"/>
  <c r="E13" i="2"/>
  <c r="E14" i="2"/>
  <c r="E6" i="4"/>
  <c r="E7" i="4"/>
  <c r="E31" i="26"/>
  <c r="E32" i="26"/>
  <c r="E33" i="26"/>
  <c r="E34" i="26"/>
  <c r="E35" i="26"/>
  <c r="E36" i="26"/>
  <c r="E37" i="26"/>
  <c r="E38" i="26"/>
  <c r="E39" i="26"/>
  <c r="E40" i="26"/>
  <c r="E41" i="26"/>
  <c r="E17" i="26"/>
  <c r="E18" i="26"/>
  <c r="E19" i="26"/>
  <c r="E20" i="26"/>
  <c r="E21" i="26"/>
  <c r="E22" i="26"/>
  <c r="E23" i="26"/>
  <c r="E24" i="26"/>
  <c r="E25" i="26"/>
  <c r="E26" i="26"/>
  <c r="E27" i="26"/>
  <c r="E3" i="26"/>
  <c r="E4" i="26"/>
  <c r="E5" i="26"/>
  <c r="E6" i="26"/>
  <c r="E7" i="26"/>
  <c r="E8" i="26"/>
  <c r="E9" i="26"/>
  <c r="E10" i="26"/>
  <c r="E11" i="26"/>
  <c r="E12" i="26"/>
  <c r="E13" i="26"/>
  <c r="E31" i="24"/>
  <c r="E32" i="24"/>
  <c r="E33" i="24"/>
  <c r="E34" i="24"/>
  <c r="E35" i="24"/>
  <c r="E36" i="24"/>
  <c r="E37" i="24"/>
  <c r="E38" i="24"/>
  <c r="E39" i="24"/>
  <c r="E40" i="24"/>
  <c r="E41" i="24"/>
  <c r="E17" i="24"/>
  <c r="E18" i="24"/>
  <c r="E19" i="24"/>
  <c r="E20" i="24"/>
  <c r="E21" i="24"/>
  <c r="E22" i="24"/>
  <c r="E23" i="24"/>
  <c r="E24" i="24"/>
  <c r="E25" i="24"/>
  <c r="E26" i="24"/>
  <c r="E27" i="24"/>
  <c r="E3" i="24"/>
  <c r="E4" i="24"/>
  <c r="E5" i="24"/>
  <c r="E6" i="24"/>
  <c r="E7" i="24"/>
  <c r="E8" i="24"/>
  <c r="E9" i="24"/>
  <c r="E10" i="24"/>
  <c r="E11" i="24"/>
  <c r="E12" i="24"/>
  <c r="E13" i="24"/>
  <c r="E31" i="22"/>
  <c r="E32" i="22"/>
  <c r="E33" i="22"/>
  <c r="E34" i="22"/>
  <c r="E35" i="22"/>
  <c r="E36" i="22"/>
  <c r="E37" i="22"/>
  <c r="E38" i="22"/>
  <c r="E39" i="22"/>
  <c r="E40" i="22"/>
  <c r="E41" i="22"/>
  <c r="E17" i="22"/>
  <c r="E18" i="22"/>
  <c r="E19" i="22"/>
  <c r="E20" i="22"/>
  <c r="E21" i="22"/>
  <c r="E22" i="22"/>
  <c r="E23" i="22"/>
  <c r="E24" i="22"/>
  <c r="E25" i="22"/>
  <c r="E26" i="22"/>
  <c r="E27" i="22"/>
  <c r="E3" i="22"/>
  <c r="E4" i="22"/>
  <c r="E5" i="22"/>
  <c r="E6" i="22"/>
  <c r="E7" i="22"/>
  <c r="E8" i="22"/>
  <c r="E9" i="22"/>
  <c r="E10" i="22"/>
  <c r="E11" i="22"/>
  <c r="E12" i="22"/>
  <c r="E13" i="22"/>
  <c r="E31" i="21"/>
  <c r="E32" i="21"/>
  <c r="E33" i="21"/>
  <c r="E34" i="21"/>
  <c r="E35" i="21"/>
  <c r="E36" i="21"/>
  <c r="E37" i="21"/>
  <c r="E38" i="21"/>
  <c r="E39" i="21"/>
  <c r="E40" i="21"/>
  <c r="E41" i="21"/>
  <c r="E17" i="21"/>
  <c r="E18" i="21"/>
  <c r="E19" i="21"/>
  <c r="E20" i="21"/>
  <c r="E21" i="21"/>
  <c r="E22" i="21"/>
  <c r="E23" i="21"/>
  <c r="E24" i="21"/>
  <c r="E25" i="21"/>
  <c r="E26" i="21"/>
  <c r="E27" i="21"/>
  <c r="E3" i="21"/>
  <c r="E4" i="21"/>
  <c r="E5" i="21"/>
  <c r="E6" i="21"/>
  <c r="E7" i="21"/>
  <c r="E8" i="21"/>
  <c r="E9" i="21"/>
  <c r="E10" i="21"/>
  <c r="E11" i="21"/>
  <c r="E12" i="21"/>
  <c r="E13" i="21"/>
  <c r="E31" i="19"/>
  <c r="E32" i="19"/>
  <c r="E33" i="19"/>
  <c r="E34" i="19"/>
  <c r="E35" i="19"/>
  <c r="E36" i="19"/>
  <c r="E37" i="19"/>
  <c r="E38" i="19"/>
  <c r="E39" i="19"/>
  <c r="E40" i="19"/>
  <c r="E41" i="19"/>
  <c r="E17" i="19"/>
  <c r="E18" i="19"/>
  <c r="E19" i="19"/>
  <c r="E20" i="19"/>
  <c r="E21" i="19"/>
  <c r="E22" i="19"/>
  <c r="E23" i="19"/>
  <c r="E24" i="19"/>
  <c r="E25" i="19"/>
  <c r="E26" i="19"/>
  <c r="E27" i="19"/>
  <c r="E3" i="19"/>
  <c r="E4" i="19"/>
  <c r="E5" i="19"/>
  <c r="E6" i="19"/>
  <c r="E7" i="19"/>
  <c r="E8" i="19"/>
  <c r="E9" i="19"/>
  <c r="E10" i="19"/>
  <c r="E11" i="19"/>
  <c r="E12" i="19"/>
  <c r="E13" i="19"/>
  <c r="E31" i="18"/>
  <c r="E32" i="18"/>
  <c r="E33" i="18"/>
  <c r="E34" i="18"/>
  <c r="E35" i="18"/>
  <c r="E36" i="18"/>
  <c r="E37" i="18"/>
  <c r="E38" i="18"/>
  <c r="E39" i="18"/>
  <c r="E40" i="18"/>
  <c r="E41" i="18"/>
  <c r="E17" i="18"/>
  <c r="E18" i="18"/>
  <c r="E19" i="18"/>
  <c r="E20" i="18"/>
  <c r="E21" i="18"/>
  <c r="E22" i="18"/>
  <c r="E23" i="18"/>
  <c r="E24" i="18"/>
  <c r="E25" i="18"/>
  <c r="E26" i="18"/>
  <c r="E27" i="18"/>
  <c r="E3" i="18"/>
  <c r="E4" i="18"/>
  <c r="E5" i="18"/>
  <c r="E6" i="18"/>
  <c r="E7" i="18"/>
  <c r="E8" i="18"/>
  <c r="E9" i="18"/>
  <c r="E10" i="18"/>
  <c r="E11" i="18"/>
  <c r="E12" i="18"/>
  <c r="E13" i="18"/>
  <c r="E31" i="17"/>
  <c r="E32" i="17"/>
  <c r="E33" i="17"/>
  <c r="E34" i="17"/>
  <c r="E35" i="17"/>
  <c r="E36" i="17"/>
  <c r="E37" i="17"/>
  <c r="E38" i="17"/>
  <c r="E39" i="17"/>
  <c r="E40" i="17"/>
  <c r="E41" i="17"/>
  <c r="E17" i="17"/>
  <c r="E18" i="17"/>
  <c r="E19" i="17"/>
  <c r="E20" i="17"/>
  <c r="E21" i="17"/>
  <c r="E22" i="17"/>
  <c r="E23" i="17"/>
  <c r="E24" i="17"/>
  <c r="E25" i="17"/>
  <c r="E26" i="17"/>
  <c r="E27" i="17"/>
  <c r="E3" i="17"/>
  <c r="E4" i="17"/>
  <c r="E5" i="17"/>
  <c r="E6" i="17"/>
  <c r="E7" i="17"/>
  <c r="E8" i="17"/>
  <c r="E9" i="17"/>
  <c r="E10" i="17"/>
  <c r="E11" i="17"/>
  <c r="E12" i="17"/>
  <c r="E13" i="17"/>
  <c r="E31" i="16"/>
  <c r="E32" i="16"/>
  <c r="E33" i="16"/>
  <c r="E34" i="16"/>
  <c r="E35" i="16"/>
  <c r="E36" i="16"/>
  <c r="E37" i="16"/>
  <c r="E38" i="16"/>
  <c r="E39" i="16"/>
  <c r="E40" i="16"/>
  <c r="E41" i="16"/>
  <c r="E17" i="16"/>
  <c r="E18" i="16"/>
  <c r="E19" i="16"/>
  <c r="E20" i="16"/>
  <c r="E21" i="16"/>
  <c r="E22" i="16"/>
  <c r="E23" i="16"/>
  <c r="E24" i="16"/>
  <c r="E25" i="16"/>
  <c r="E26" i="16"/>
  <c r="E27" i="16"/>
  <c r="E3" i="16"/>
  <c r="E4" i="16"/>
  <c r="E5" i="16"/>
  <c r="E6" i="16"/>
  <c r="E7" i="16"/>
  <c r="E8" i="16"/>
  <c r="E9" i="16"/>
  <c r="E10" i="16"/>
  <c r="E11" i="16"/>
  <c r="E12" i="16"/>
  <c r="E13" i="16"/>
  <c r="E31" i="15"/>
  <c r="E32" i="15"/>
  <c r="E33" i="15"/>
  <c r="E34" i="15"/>
  <c r="E35" i="15"/>
  <c r="E36" i="15"/>
  <c r="E37" i="15"/>
  <c r="E38" i="15"/>
  <c r="E39" i="15"/>
  <c r="E40" i="15"/>
  <c r="E41" i="15"/>
  <c r="E17" i="15"/>
  <c r="E18" i="15"/>
  <c r="E19" i="15"/>
  <c r="E20" i="15"/>
  <c r="E21" i="15"/>
  <c r="E22" i="15"/>
  <c r="E23" i="15"/>
  <c r="E24" i="15"/>
  <c r="E25" i="15"/>
  <c r="E26" i="15"/>
  <c r="E27" i="15"/>
  <c r="E3" i="15"/>
  <c r="E4" i="15"/>
  <c r="E5" i="15"/>
  <c r="E6" i="15"/>
  <c r="E7" i="15"/>
  <c r="E8" i="15"/>
  <c r="E9" i="15"/>
  <c r="E10" i="15"/>
  <c r="E11" i="15"/>
  <c r="E12" i="15"/>
  <c r="E13" i="15"/>
  <c r="E31" i="14"/>
  <c r="E32" i="14"/>
  <c r="E33" i="14"/>
  <c r="E34" i="14"/>
  <c r="E35" i="14"/>
  <c r="E36" i="14"/>
  <c r="E37" i="14"/>
  <c r="E38" i="14"/>
  <c r="E39" i="14"/>
  <c r="E40" i="14"/>
  <c r="E41" i="14"/>
  <c r="E17" i="14"/>
  <c r="E18" i="14"/>
  <c r="E19" i="14"/>
  <c r="E20" i="14"/>
  <c r="E21" i="14"/>
  <c r="E22" i="14"/>
  <c r="E23" i="14"/>
  <c r="E24" i="14"/>
  <c r="E25" i="14"/>
  <c r="E26" i="14"/>
  <c r="E27" i="14"/>
  <c r="E3" i="14"/>
  <c r="E4" i="14"/>
  <c r="E5" i="14"/>
  <c r="E6" i="14"/>
  <c r="E7" i="14"/>
  <c r="E8" i="14"/>
  <c r="E9" i="14"/>
  <c r="E10" i="14"/>
  <c r="E11" i="14"/>
  <c r="E12" i="14"/>
  <c r="E13" i="14"/>
  <c r="E31" i="12"/>
  <c r="E32" i="12"/>
  <c r="E33" i="12"/>
  <c r="E34" i="12"/>
  <c r="E35" i="12"/>
  <c r="E36" i="12"/>
  <c r="E37" i="12"/>
  <c r="E38" i="12"/>
  <c r="E39" i="12"/>
  <c r="E40" i="12"/>
  <c r="E41" i="12"/>
  <c r="E17" i="12"/>
  <c r="E18" i="12"/>
  <c r="E19" i="12"/>
  <c r="E20" i="12"/>
  <c r="E21" i="12"/>
  <c r="E22" i="12"/>
  <c r="E23" i="12"/>
  <c r="E24" i="12"/>
  <c r="E25" i="12"/>
  <c r="E26" i="12"/>
  <c r="E27" i="12"/>
  <c r="E3" i="12"/>
  <c r="E4" i="12"/>
  <c r="E5" i="12"/>
  <c r="E6" i="12"/>
  <c r="E7" i="12"/>
  <c r="E8" i="12"/>
  <c r="E9" i="12"/>
  <c r="E10" i="12"/>
  <c r="E11" i="12"/>
  <c r="E12" i="12"/>
  <c r="E13" i="12"/>
  <c r="E31" i="13"/>
  <c r="E32" i="13"/>
  <c r="E33" i="13"/>
  <c r="E34" i="13"/>
  <c r="E35" i="13"/>
  <c r="E36" i="13"/>
  <c r="E37" i="13"/>
  <c r="E38" i="13"/>
  <c r="E39" i="13"/>
  <c r="E40" i="13"/>
  <c r="E41" i="13"/>
  <c r="E17" i="13"/>
  <c r="E18" i="13"/>
  <c r="E19" i="13"/>
  <c r="E20" i="13"/>
  <c r="E21" i="13"/>
  <c r="E22" i="13"/>
  <c r="E23" i="13"/>
  <c r="E24" i="13"/>
  <c r="E25" i="13"/>
  <c r="E26" i="13"/>
  <c r="E27" i="13"/>
  <c r="E3" i="13"/>
  <c r="E4" i="13"/>
  <c r="E5" i="13"/>
  <c r="E6" i="13"/>
  <c r="E7" i="13"/>
  <c r="E8" i="13"/>
  <c r="E9" i="13"/>
  <c r="E10" i="13"/>
  <c r="E11" i="13"/>
  <c r="E12" i="13"/>
  <c r="E13" i="13"/>
  <c r="E31" i="20"/>
  <c r="E32" i="20"/>
  <c r="E33" i="20"/>
  <c r="E34" i="20"/>
  <c r="E35" i="20"/>
  <c r="E36" i="20"/>
  <c r="E37" i="20"/>
  <c r="E38" i="20"/>
  <c r="E39" i="20"/>
  <c r="E40" i="20"/>
  <c r="E41" i="20"/>
  <c r="E17" i="20"/>
  <c r="E18" i="20"/>
  <c r="E19" i="20"/>
  <c r="E20" i="20"/>
  <c r="E21" i="20"/>
  <c r="E22" i="20"/>
  <c r="E23" i="20"/>
  <c r="E24" i="20"/>
  <c r="E25" i="20"/>
  <c r="E26" i="20"/>
  <c r="E27" i="20"/>
  <c r="E3" i="20"/>
  <c r="E4" i="20"/>
  <c r="E5" i="20"/>
  <c r="E6" i="20"/>
  <c r="E7" i="20"/>
  <c r="E8" i="20"/>
  <c r="E9" i="20"/>
  <c r="E10" i="20"/>
  <c r="E11" i="20"/>
  <c r="E12" i="20"/>
  <c r="E13" i="20"/>
  <c r="E31" i="11"/>
  <c r="E32" i="11"/>
  <c r="E33" i="11"/>
  <c r="E34" i="11"/>
  <c r="E35" i="11"/>
  <c r="E36" i="11"/>
  <c r="E37" i="11"/>
  <c r="E38" i="11"/>
  <c r="E39" i="11"/>
  <c r="E40" i="11"/>
  <c r="E41" i="11"/>
  <c r="E17" i="11"/>
  <c r="E18" i="11"/>
  <c r="E19" i="11"/>
  <c r="E20" i="11"/>
  <c r="E21" i="11"/>
  <c r="E22" i="11"/>
  <c r="E23" i="11"/>
  <c r="E24" i="11"/>
  <c r="E25" i="11"/>
  <c r="E26" i="11"/>
  <c r="E27" i="11"/>
  <c r="E3" i="11"/>
  <c r="E4" i="11"/>
  <c r="E5" i="11"/>
  <c r="E6" i="11"/>
  <c r="E7" i="11"/>
  <c r="E8" i="11"/>
  <c r="E9" i="11"/>
  <c r="E10" i="11"/>
  <c r="E11" i="11"/>
  <c r="E12" i="11"/>
  <c r="E13" i="11"/>
  <c r="E31" i="10"/>
  <c r="E32" i="10"/>
  <c r="E33" i="10"/>
  <c r="E34" i="10"/>
  <c r="E35" i="10"/>
  <c r="E36" i="10"/>
  <c r="E37" i="10"/>
  <c r="E38" i="10"/>
  <c r="E39" i="10"/>
  <c r="E40" i="10"/>
  <c r="E41" i="10"/>
  <c r="E17" i="10"/>
  <c r="E18" i="10"/>
  <c r="E19" i="10"/>
  <c r="E20" i="10"/>
  <c r="E21" i="10"/>
  <c r="E22" i="10"/>
  <c r="E23" i="10"/>
  <c r="E24" i="10"/>
  <c r="E25" i="10"/>
  <c r="E26" i="10"/>
  <c r="E27" i="10"/>
  <c r="E3" i="10"/>
  <c r="E4" i="10"/>
  <c r="E5" i="10"/>
  <c r="E6" i="10"/>
  <c r="E7" i="10"/>
  <c r="E8" i="10"/>
  <c r="E9" i="10"/>
  <c r="E10" i="10"/>
  <c r="E11" i="10"/>
  <c r="E12" i="10"/>
  <c r="E13" i="10"/>
  <c r="E31" i="9"/>
  <c r="E32" i="9"/>
  <c r="E33" i="9"/>
  <c r="E34" i="9"/>
  <c r="E35" i="9"/>
  <c r="E36" i="9"/>
  <c r="E37" i="9"/>
  <c r="E38" i="9"/>
  <c r="E39" i="9"/>
  <c r="E40" i="9"/>
  <c r="E41" i="9"/>
  <c r="E17" i="9"/>
  <c r="E18" i="9"/>
  <c r="E19" i="9"/>
  <c r="E20" i="9"/>
  <c r="E21" i="9"/>
  <c r="E22" i="9"/>
  <c r="E23" i="9"/>
  <c r="E24" i="9"/>
  <c r="E25" i="9"/>
  <c r="E26" i="9"/>
  <c r="E27" i="9"/>
  <c r="E3" i="9"/>
  <c r="E4" i="9"/>
  <c r="E5" i="9"/>
  <c r="E6" i="9"/>
  <c r="E7" i="9"/>
  <c r="E8" i="9"/>
  <c r="E9" i="9"/>
  <c r="E10" i="9"/>
  <c r="E11" i="9"/>
  <c r="E12" i="9"/>
  <c r="E13" i="9"/>
  <c r="E31" i="8"/>
  <c r="E32" i="8"/>
  <c r="E33" i="8"/>
  <c r="E34" i="8"/>
  <c r="E35" i="8"/>
  <c r="E36" i="8"/>
  <c r="E37" i="8"/>
  <c r="E38" i="8"/>
  <c r="E39" i="8"/>
  <c r="E40" i="8"/>
  <c r="E41" i="8"/>
  <c r="E17" i="8"/>
  <c r="E18" i="8"/>
  <c r="E19" i="8"/>
  <c r="E20" i="8"/>
  <c r="E21" i="8"/>
  <c r="E22" i="8"/>
  <c r="E23" i="8"/>
  <c r="E24" i="8"/>
  <c r="E25" i="8"/>
  <c r="E26" i="8"/>
  <c r="E27" i="8"/>
  <c r="E3" i="8"/>
  <c r="E4" i="8"/>
  <c r="E5" i="8"/>
  <c r="E6" i="8"/>
  <c r="E7" i="8"/>
  <c r="E8" i="8"/>
  <c r="E9" i="8"/>
  <c r="E10" i="8"/>
  <c r="E11" i="8"/>
  <c r="E12" i="8"/>
  <c r="E13" i="8"/>
  <c r="E31" i="7"/>
  <c r="E32" i="7"/>
  <c r="E33" i="7"/>
  <c r="E34" i="7"/>
  <c r="E35" i="7"/>
  <c r="E36" i="7"/>
  <c r="E37" i="7"/>
  <c r="E38" i="7"/>
  <c r="E39" i="7"/>
  <c r="E40" i="7"/>
  <c r="E41" i="7"/>
  <c r="E17" i="7"/>
  <c r="E18" i="7"/>
  <c r="E19" i="7"/>
  <c r="E20" i="7"/>
  <c r="E21" i="7"/>
  <c r="E22" i="7"/>
  <c r="E23" i="7"/>
  <c r="E24" i="7"/>
  <c r="E25" i="7"/>
  <c r="E26" i="7"/>
  <c r="E27" i="7"/>
  <c r="E3" i="7"/>
  <c r="E4" i="7"/>
  <c r="E5" i="7"/>
  <c r="E6" i="7"/>
  <c r="E7" i="7"/>
  <c r="E8" i="7"/>
  <c r="E9" i="7"/>
  <c r="E10" i="7"/>
  <c r="E11" i="7"/>
  <c r="E12" i="7"/>
  <c r="E13" i="7"/>
  <c r="E32" i="2"/>
  <c r="E33" i="2"/>
  <c r="E34" i="2"/>
  <c r="E35" i="2"/>
  <c r="E36" i="2"/>
  <c r="E37" i="2"/>
  <c r="E38" i="2"/>
  <c r="E39" i="2"/>
  <c r="E40" i="2"/>
  <c r="E41" i="2"/>
  <c r="E42" i="2"/>
  <c r="E18" i="2"/>
  <c r="E19" i="2"/>
  <c r="E20" i="2"/>
  <c r="E21" i="2"/>
  <c r="E22" i="2"/>
  <c r="E23" i="2"/>
  <c r="E24" i="2"/>
  <c r="E25" i="2"/>
  <c r="E26" i="2"/>
  <c r="E27" i="2"/>
  <c r="E28" i="2"/>
  <c r="E31" i="23"/>
  <c r="E32" i="23"/>
  <c r="E33" i="23"/>
  <c r="E34" i="23"/>
  <c r="E35" i="23"/>
  <c r="E36" i="23"/>
  <c r="E37" i="23"/>
  <c r="E38" i="23"/>
  <c r="E39" i="23"/>
  <c r="E40" i="23"/>
  <c r="E41" i="23"/>
  <c r="E17" i="23"/>
  <c r="E18" i="23"/>
  <c r="E19" i="23"/>
  <c r="E20" i="23"/>
  <c r="E21" i="23"/>
  <c r="E22" i="23"/>
  <c r="E23" i="23"/>
  <c r="E24" i="23"/>
  <c r="E25" i="23"/>
  <c r="E26" i="23"/>
  <c r="E27" i="23"/>
  <c r="E3" i="23"/>
  <c r="E4" i="23"/>
  <c r="E5" i="23"/>
  <c r="E6" i="23"/>
  <c r="E7" i="23"/>
  <c r="E8" i="23"/>
  <c r="E9" i="23"/>
  <c r="E10" i="23"/>
  <c r="E11" i="23"/>
  <c r="E12" i="23"/>
  <c r="E13" i="23"/>
  <c r="E6" i="6"/>
  <c r="E6" i="5"/>
  <c r="E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4" authorId="0" shapeId="0" xr:uid="{372F89C1-F8C9-4F51-AF27-F7D14ADC324F}">
      <text>
        <r>
          <rPr>
            <b/>
            <sz val="9"/>
            <color indexed="81"/>
            <rFont val="Tahoma"/>
            <family val="2"/>
          </rPr>
          <t>Tiksm:</t>
        </r>
        <r>
          <rPr>
            <sz val="9"/>
            <color indexed="81"/>
            <rFont val="Tahoma"/>
            <family val="2"/>
          </rPr>
          <t xml:space="preserve">
°Toute les données sont fictifs
°Des matériels "exemple" sont répartis dans les différents secteurs ainsi que des quantités
°Les secteurs vont de "Acceuil artistes" à "Sofree"
°Le résultat dans disponible doit être 4</t>
        </r>
      </text>
    </comment>
  </commentList>
</comments>
</file>

<file path=xl/sharedStrings.xml><?xml version="1.0" encoding="utf-8"?>
<sst xmlns="http://schemas.openxmlformats.org/spreadsheetml/2006/main" count="672" uniqueCount="16">
  <si>
    <t>Présente dans la malle</t>
  </si>
  <si>
    <t>Demande</t>
  </si>
  <si>
    <t>Manque</t>
  </si>
  <si>
    <t xml:space="preserve">Inventaire général </t>
  </si>
  <si>
    <t>Quantité</t>
  </si>
  <si>
    <t>Matériel courant</t>
  </si>
  <si>
    <t>Disponible</t>
  </si>
  <si>
    <t>Total</t>
  </si>
  <si>
    <t>Cablage</t>
  </si>
  <si>
    <t>Mobilier</t>
  </si>
  <si>
    <t>Matériel</t>
  </si>
  <si>
    <t>exemple</t>
  </si>
  <si>
    <t>Prêté</t>
  </si>
  <si>
    <t xml:space="preserve"> </t>
  </si>
  <si>
    <t>CT</t>
  </si>
  <si>
    <t>CU du matos rajouté acheté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</si>
</sst>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0" fontId="0" fillId="2" borderId="0" xfId="0" applyFill="1"/>
    <xf numFmtId="44" fontId="0" fillId="0" borderId="0" xfId="1" applyFont="1"/>
    <xf numFmtId="0" fontId="0" fillId="3" borderId="0" xfId="0" applyFill="1"/>
    <xf numFmtId="44" fontId="1" fillId="0" borderId="0" xfId="0" applyNumberFormat="1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Monétaire" xfId="1" builtinId="4"/>
    <cellStyle name="Normal" xfId="0" builtinId="0"/>
  </cellStyles>
  <dxfs count="2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1273A7-746E-4BE2-889B-F7DEFC239F9F}" name="Tableau1" displayName="Tableau1" ref="B3:E8" totalsRowCount="1">
  <autoFilter ref="B3:E7" xr:uid="{A1E8BA5F-D87E-438D-A7EE-4C50318B7DE2}"/>
  <tableColumns count="4">
    <tableColumn id="1" xr3:uid="{80EACB07-F37D-4895-8E90-E880A21C091C}" name="Inventaire général " totalsRowLabel="Total"/>
    <tableColumn id="2" xr3:uid="{F4303AD8-8D25-4B8C-95C8-340E3F84EFA0}" name="Quantité"/>
    <tableColumn id="4" xr3:uid="{9DA0ADFB-F959-4E23-8606-CEFDBD142E99}" name="Prêté"/>
    <tableColumn id="3" xr3:uid="{C5470340-FF8E-4353-9E90-C4C9DD53CF10}" name="Disponible" totalsRowFunction="count" dataDxfId="259">
      <calculatedColumnFormula>Tableau1[[#This Row],[Quantité]]-Tableau1[[#This Row],[Prêté]]-IF('Acceuil artiste'!E3&lt;0,0,'Acceuil artiste'!E3)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FE4D9E-78D1-4CE8-AB55-1944AD7D33F1}" name="Tableau13" displayName="Tableau13" ref="B3:E6" totalsRowCount="1">
  <autoFilter ref="B3:E5" xr:uid="{28E7B04E-F9DC-43EF-AC8E-7B96BB75843C}"/>
  <tableColumns count="4">
    <tableColumn id="1" xr3:uid="{138DA510-487D-4405-B79D-2781AEFEBF55}" name="Inventaire général " totalsRowLabel="Total"/>
    <tableColumn id="2" xr3:uid="{ECB5C12A-29EB-4CF6-9A59-FE07ACFE0B98}" name="Quantité"/>
    <tableColumn id="4" xr3:uid="{109E6FC8-077A-438F-887B-DA3815F63382}" name="Prêté"/>
    <tableColumn id="3" xr3:uid="{7CBBD851-3020-4D8A-9594-7525E1BEE2F1}" name="Disponible" totalsRowFunction="count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7BE708-DB20-4F94-8169-3888D4C1797D}" name="Tableau134" displayName="Tableau134" ref="B3:E6" totalsRowCount="1">
  <autoFilter ref="B3:E5" xr:uid="{866639E4-9F63-495F-A1F8-32FDE5D2906C}"/>
  <tableColumns count="4">
    <tableColumn id="1" xr3:uid="{F00BF7A2-2FCE-4379-8216-358F17916A58}" name="Inventaire général " totalsRowLabel="Total"/>
    <tableColumn id="2" xr3:uid="{0C5EB522-4B72-4D3F-A0D3-39EB2601019F}" name="Quantité"/>
    <tableColumn id="4" xr3:uid="{87976110-C0D6-40C0-8D62-3F6180A6FF04}" name="Prêté"/>
    <tableColumn id="3" xr3:uid="{A5AAFD0F-7A23-4A41-8589-6AECB9E3CBBC}" name="Disponible" totalsRowFunction="cou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2FDDC5-C607-4A6F-A3E8-E9E0152BCFB4}" name="Tableau4" displayName="Tableau4" ref="B2:E14" totalsRowCount="1">
  <autoFilter ref="B2:E13" xr:uid="{A095A0C8-182D-40CB-83AC-7677080B9E64}">
    <filterColumn colId="0" hiddenButton="1"/>
    <filterColumn colId="1" hiddenButton="1"/>
    <filterColumn colId="2" hiddenButton="1"/>
    <filterColumn colId="3" hiddenButton="1"/>
  </autoFilter>
  <tableColumns count="4">
    <tableColumn id="1" xr3:uid="{B756FAD3-128D-46E7-ACB4-0EFBDCC28116}" name="Matériel" totalsRowLabel="Total"/>
    <tableColumn id="2" xr3:uid="{8FC3B986-F6C6-4BEA-BC34-9620557166C6}" name="Présente dans la malle"/>
    <tableColumn id="3" xr3:uid="{00D0880B-DFC7-4F77-837C-CBCEFED24C7B}" name="Demande"/>
    <tableColumn id="4" xr3:uid="{2DA18180-F5B6-4B0A-A3C1-10B524576224}" name="Manque" totalsRowFunction="sum">
      <calculatedColumnFormula>Tableau4[Demande]-Tableau4[Présente dans la malle]</calculatedColumnFormula>
    </tableColumn>
  </tableColumns>
  <tableStyleInfo name="TableStyleDark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C5091C3-0A1F-4088-AB00-53CCDA313176}" name="Tableau47" displayName="Tableau47" ref="B17:E28" totalsRowCount="1">
  <autoFilter ref="B17:E27" xr:uid="{DC734E17-201E-4BD4-A765-2B7AE6618465}">
    <filterColumn colId="0" hiddenButton="1"/>
    <filterColumn colId="1" hiddenButton="1"/>
    <filterColumn colId="2" hiddenButton="1"/>
    <filterColumn colId="3" hiddenButton="1"/>
  </autoFilter>
  <tableColumns count="4">
    <tableColumn id="1" xr3:uid="{FEEB3A9E-5FAB-4E2C-AF40-E9583DFDE77E}" name="Cablage" totalsRowLabel="Total"/>
    <tableColumn id="2" xr3:uid="{06A14E99-B4E5-4F8F-88BA-0326141AE72C}" name="Présente dans la malle"/>
    <tableColumn id="3" xr3:uid="{13EA1E10-89EB-40CD-A8DE-F3394FDC5CFA}" name="Demande"/>
    <tableColumn id="4" xr3:uid="{6658B492-5F41-40C8-A575-05907590C1EA}" name="Manque" totalsRowFunction="sum">
      <calculatedColumnFormula>Tableau47[Demande]-Tableau47[Présente dans la malle]</calculatedColumnFormula>
    </tableColumn>
  </tableColumns>
  <tableStyleInfo name="TableStyleDark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BB44D55-5547-48AC-89BC-C674CF19AFD0}" name="Tableau478" displayName="Tableau478" ref="B31:E42" totalsRowCount="1">
  <autoFilter ref="B31:E41" xr:uid="{F07B869E-F5C5-4918-AFE6-EAC4014F6237}">
    <filterColumn colId="0" hiddenButton="1"/>
    <filterColumn colId="1" hiddenButton="1"/>
    <filterColumn colId="2" hiddenButton="1"/>
    <filterColumn colId="3" hiddenButton="1"/>
  </autoFilter>
  <tableColumns count="4">
    <tableColumn id="1" xr3:uid="{B41CFB90-4F59-4D27-85B3-14C5224C9034}" name="Mobilier" totalsRowLabel="Total"/>
    <tableColumn id="2" xr3:uid="{C91086AA-C277-44C3-A61B-75754D2B01EA}" name="Présente dans la malle"/>
    <tableColumn id="3" xr3:uid="{9E3F0B2B-41D5-4AAF-901F-1D28F237000A}" name="Demande"/>
    <tableColumn id="4" xr3:uid="{19E4D9EB-FCA5-4165-BA6A-9BD92BCEA819}" name="Manque" totalsRowFunction="sum">
      <calculatedColumnFormula>Tableau478[Demande]-Tableau478[Présente dans la malle]</calculatedColumnFormula>
    </tableColumn>
  </tableColumns>
  <tableStyleInfo name="TableStyleDark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0BDE955-8D53-47A0-8679-6A12DC7AB299}" name="Tableau8" displayName="Tableau8" ref="G2:H14" totalsRowCount="1" headerRowCellStyle="Monétaire" dataCellStyle="Monétaire" totalsRowCellStyle="Monétaire">
  <autoFilter ref="G2:H13" xr:uid="{2EFEED46-0AA8-40A2-9F80-98A2F4B5531C}">
    <filterColumn colId="0" hiddenButton="1"/>
    <filterColumn colId="1" hiddenButton="1"/>
  </autoFilter>
  <tableColumns count="2">
    <tableColumn id="1" xr3:uid="{F91631A3-179A-4836-8654-E7789F4AED94}" name="CU du matos rajouté acheté" totalsRowLabel="Total" totalsRowDxfId="249" dataCellStyle="Monétaire" totalsRowCellStyle="Monétaire"/>
    <tableColumn id="2" xr3:uid="{2716E0F2-1393-427E-BD87-B7A3649C838E}" name="CT" totalsRowFunction="count" totalsRowDxfId="248" dataCellStyle="Monétaire" totalsRowCellStyle="Monétaire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1B25D00-0CD4-426D-A549-9497AB1FDBFF}" name="Tableau846" displayName="Tableau846" ref="G17:H28" totalsRowCount="1" headerRowCellStyle="Monétaire" dataCellStyle="Monétaire" totalsRowCellStyle="Monétaire">
  <autoFilter ref="G17:H27" xr:uid="{768B7A0D-5363-4D28-BECC-7B0D0FD6DE76}">
    <filterColumn colId="0" hiddenButton="1"/>
    <filterColumn colId="1" hiddenButton="1"/>
  </autoFilter>
  <tableColumns count="2">
    <tableColumn id="1" xr3:uid="{14934301-FF97-4C3B-AFD1-A9E85487DAD0}" name="CU du matos rajouté acheté" totalsRowLabel="Total" dataCellStyle="Monétaire" totalsRowCellStyle="Monétaire"/>
    <tableColumn id="2" xr3:uid="{B399BA9D-0CC1-4A53-AB5B-B4F8F574D62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AFA86F16-39DA-4F90-A4F0-CF81E1B37AAC}" name="Tableau847" displayName="Tableau847" ref="G31:H42" totalsRowCount="1" headerRowCellStyle="Monétaire" dataCellStyle="Monétaire" totalsRowCellStyle="Monétaire">
  <autoFilter ref="G31:H41" xr:uid="{18458756-49C8-4014-81EC-28F420EBA9A8}">
    <filterColumn colId="0" hiddenButton="1"/>
    <filterColumn colId="1" hiddenButton="1"/>
  </autoFilter>
  <tableColumns count="2">
    <tableColumn id="1" xr3:uid="{8B0146F2-A4E7-4193-AA43-F5312DDBE33C}" name="CU du matos rajouté acheté" totalsRowLabel="Total" dataCellStyle="Monétaire" totalsRowCellStyle="Monétaire"/>
    <tableColumn id="2" xr3:uid="{D6B2C7DB-D800-439F-AAA2-BA9AD9EE8BCD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C9A20E1-B3AA-46A8-86DB-7D7F092969B8}" name="Tableau410" displayName="Tableau410" ref="B2:E13" totalsRowCount="1">
  <autoFilter ref="B2:E12" xr:uid="{FFF63EB8-3511-4272-81E2-45F9734A1233}"/>
  <tableColumns count="4">
    <tableColumn id="1" xr3:uid="{7409C225-010C-4BF5-AF4F-EACB29AEB316}" name="Matériel" totalsRowLabel="Total"/>
    <tableColumn id="2" xr3:uid="{4753B91F-ABC9-4A80-8863-F0F6A9994C28}" name="Présente dans la malle"/>
    <tableColumn id="3" xr3:uid="{BC77C2CE-027F-46E8-A24E-0A1747AE3B53}" name="Demande"/>
    <tableColumn id="4" xr3:uid="{7EB88E36-76F2-4C4A-A8EB-960DBF58000D}" name="Manque" totalsRowFunction="sum">
      <calculatedColumnFormula>Tableau410[Demande]-Tableau410[Présente dans la malle]</calculatedColumnFormula>
    </tableColumn>
  </tableColumns>
  <tableStyleInfo name="TableStyleDark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E78C26C-0CBA-4BF5-B512-54D3FDABC09B}" name="Tableau4711" displayName="Tableau4711" ref="B16:E27" totalsRowCount="1">
  <autoFilter ref="B16:E26" xr:uid="{E4439B24-4478-49DA-9C4C-80A0DE1AED8D}"/>
  <tableColumns count="4">
    <tableColumn id="1" xr3:uid="{3EE35FE3-9B38-44F0-9451-4D79DDFDE43A}" name="Cablage" totalsRowLabel="Total"/>
    <tableColumn id="2" xr3:uid="{B8626FAC-971E-4E5A-A296-3E56C936BED8}" name="Présente dans la malle"/>
    <tableColumn id="3" xr3:uid="{DFDE65F5-7234-4527-94C8-427C7B760E79}" name="Demande"/>
    <tableColumn id="4" xr3:uid="{0E43247A-EE38-4BB6-A6C7-779BEDC5DCB5}" name="Manque" totalsRowFunction="sum">
      <calculatedColumnFormula>Tableau4711[Demande]-Tableau4711[Présente dans la malle]</calculatedColumnFormula>
    </tableColumn>
  </tableColumns>
  <tableStyleInfo name="TableStyleDark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C1A2433-C4B9-4AFF-B891-58ADDC778583}" name="Tableau47812" displayName="Tableau47812" ref="B30:E41" totalsRowCount="1">
  <autoFilter ref="B30:E40" xr:uid="{C8733F58-2878-4E94-897F-05FE373DF34A}"/>
  <tableColumns count="4">
    <tableColumn id="1" xr3:uid="{BDDE100A-FAFE-427F-B231-41263ACFA29C}" name="Mobilier" totalsRowLabel="Total"/>
    <tableColumn id="2" xr3:uid="{FBB6ED51-3A5D-4066-AC7D-92DAB64DBBC9}" name="Présente dans la malle"/>
    <tableColumn id="3" xr3:uid="{A6A9BAF7-3B96-4547-9386-135B32965D28}" name="Demande"/>
    <tableColumn id="4" xr3:uid="{8F956F10-6CE7-43FF-AEEA-37A8673F90B1}" name="Manque" totalsRowFunction="sum">
      <calculatedColumnFormula>Tableau47812[Demande]-Tableau47812[Présente dans la malle]</calculatedColumnFormula>
    </tableColumn>
  </tableColumns>
  <tableStyleInfo name="TableStyleDark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ACCBCE5B-7A3A-4242-8C32-85E66690746F}" name="Tableau8120" displayName="Tableau8120" ref="G2:H13" totalsRowCount="1" headerRowCellStyle="Monétaire" dataCellStyle="Monétaire" totalsRowCellStyle="Monétaire">
  <autoFilter ref="G2:H12" xr:uid="{59D54589-4179-4ECA-BBBE-5A0B799CE822}"/>
  <tableColumns count="2">
    <tableColumn id="1" xr3:uid="{680B737F-CE0F-4EE8-838C-6690CF2933CD}" name="CU du matos rajouté acheté" totalsRowLabel="Total" dataCellStyle="Monétaire" totalsRowCellStyle="Monétaire"/>
    <tableColumn id="2" xr3:uid="{54297A67-B619-47A8-B72E-09021E242EAC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3C0F6A7B-1DE4-45CD-999F-D2961AC95DDE}" name="Tableau846121" displayName="Tableau846121" ref="G16:H27" totalsRowCount="1" headerRowCellStyle="Monétaire" dataCellStyle="Monétaire" totalsRowCellStyle="Monétaire">
  <autoFilter ref="G16:H26" xr:uid="{016C13FF-C947-4DD4-8056-9FD1664D5120}"/>
  <tableColumns count="2">
    <tableColumn id="1" xr3:uid="{484A8C46-58D6-4883-A975-97940B5BA32B}" name="CU du matos rajouté acheté" totalsRowLabel="Total" dataCellStyle="Monétaire" totalsRowCellStyle="Monétaire"/>
    <tableColumn id="2" xr3:uid="{A8A715E1-C524-4B17-ADA4-62A1930AADB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3A234060-8E81-4FE9-9F95-65861695CE5E}" name="Tableau847122" displayName="Tableau847122" ref="G30:H41" totalsRowCount="1" headerRowCellStyle="Monétaire" dataCellStyle="Monétaire" totalsRowCellStyle="Monétaire">
  <autoFilter ref="G30:H40" xr:uid="{E1C3232C-DDCB-46F6-9875-70059EA37E14}"/>
  <tableColumns count="2">
    <tableColumn id="1" xr3:uid="{887248F6-28F2-4B57-B42B-F61B9E1C649E}" name="CU du matos rajouté acheté" totalsRowLabel="Total" dataCellStyle="Monétaire" totalsRowCellStyle="Monétaire"/>
    <tableColumn id="2" xr3:uid="{1BC0C66C-4F99-4EB5-B9F2-A6E30BC6BEF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8AD3970-51C9-437E-929A-6BC6A98A63CD}" name="Tableau416" displayName="Tableau416" ref="B2:E13" totalsRowCount="1">
  <autoFilter ref="B2:E12" xr:uid="{C5D08DAB-77C1-473E-9289-D1A7EB01B5AC}"/>
  <tableColumns count="4">
    <tableColumn id="1" xr3:uid="{A97C29CE-CBE9-4E61-B0AB-3BFF44D28A16}" name="Matériel" totalsRowLabel="Total"/>
    <tableColumn id="2" xr3:uid="{6404F9EF-F72A-4604-8BD6-955F4A56A4DB}" name="Présente dans la malle"/>
    <tableColumn id="3" xr3:uid="{F5526034-22D0-4AEA-B9CC-7C80ACE9813F}" name="Demande"/>
    <tableColumn id="4" xr3:uid="{1110D53F-220D-4960-ABD7-967D5FEFDE60}" name="Manque" totalsRowFunction="sum">
      <calculatedColumnFormula>Tableau416[Demande]-Tableau416[Présente dans la malle]</calculatedColumnFormula>
    </tableColumn>
  </tableColumns>
  <tableStyleInfo name="TableStyleDark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1E53EC8-C5EB-46C6-8697-E48410B27120}" name="Tableau4717" displayName="Tableau4717" ref="B16:E27" totalsRowCount="1">
  <autoFilter ref="B16:E26" xr:uid="{A3A53BC3-C92B-4ADD-8ACC-4D81403854B7}"/>
  <tableColumns count="4">
    <tableColumn id="1" xr3:uid="{BC5B4AF2-8BEA-4DC0-9CF7-076C4030D4F5}" name="Cablage" totalsRowLabel="Total"/>
    <tableColumn id="2" xr3:uid="{621C888D-DCAC-4D44-96A1-43A280349E6F}" name="Présente dans la malle"/>
    <tableColumn id="3" xr3:uid="{2B4C70E6-C3F9-4A0E-84D5-F91D63EF4A00}" name="Demande"/>
    <tableColumn id="4" xr3:uid="{37A74E5F-E235-4B9E-96B7-236BD593D363}" name="Manque" totalsRowFunction="sum">
      <calculatedColumnFormula>Tableau4717[Demande]-Tableau4717[Présente dans la malle]</calculatedColumnFormula>
    </tableColumn>
  </tableColumns>
  <tableStyleInfo name="TableStyleDark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E3CC9AA-A57A-41A5-8B00-35E80A8CFC66}" name="Tableau47818" displayName="Tableau47818" ref="B30:E41" totalsRowCount="1">
  <autoFilter ref="B30:E40" xr:uid="{8E6BF953-E662-402A-B549-F023E425D706}"/>
  <tableColumns count="4">
    <tableColumn id="1" xr3:uid="{D7D77DB7-F8E7-4007-8081-332179EF51F9}" name="Mobilier" totalsRowLabel="Total"/>
    <tableColumn id="2" xr3:uid="{5089B320-C071-43E5-99D3-017504904930}" name="Présente dans la malle"/>
    <tableColumn id="3" xr3:uid="{A021295B-3E75-484A-B9D2-038C774FF996}" name="Demande"/>
    <tableColumn id="4" xr3:uid="{AF032017-8FB0-492E-A590-CE1DDF30A32C}" name="Manque" totalsRowFunction="sum">
      <calculatedColumnFormula>Tableau47818[Demande]-Tableau47818[Présente dans la malle]</calculatedColumnFormula>
    </tableColumn>
  </tableColumns>
  <tableStyleInfo name="TableStyleDark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AC3B3290-3AB8-413E-B6A9-8EF5C0FE2ED6}" name="Tableau8120123" displayName="Tableau8120123" ref="G2:H13" totalsRowCount="1" headerRowCellStyle="Monétaire" dataCellStyle="Monétaire" totalsRowCellStyle="Monétaire">
  <autoFilter ref="G2:H12" xr:uid="{117A18D6-2DD6-445E-BF78-5C4BA04A2B3B}"/>
  <tableColumns count="2">
    <tableColumn id="1" xr3:uid="{37B68103-E561-4C2E-A50B-664D9A29A205}" name="CU du matos rajouté acheté" totalsRowLabel="Total" dataCellStyle="Monétaire" totalsRowCellStyle="Monétaire"/>
    <tableColumn id="2" xr3:uid="{DA357895-3B19-4435-8ADD-F58AB6D17A42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B46E61E5-08CD-45F7-AC19-E2728D6A5DCE}" name="Tableau846121124" displayName="Tableau846121124" ref="G16:H27" totalsRowCount="1" headerRowCellStyle="Monétaire" dataCellStyle="Monétaire" totalsRowCellStyle="Monétaire">
  <autoFilter ref="G16:H26" xr:uid="{A5D353B3-A2E4-40FA-91C2-7C4A09426FB1}"/>
  <tableColumns count="2">
    <tableColumn id="1" xr3:uid="{65131FF9-88BC-4603-82B4-9BED3A73D866}" name="CU du matos rajouté acheté" totalsRowLabel="Total" dataCellStyle="Monétaire" totalsRowCellStyle="Monétaire"/>
    <tableColumn id="2" xr3:uid="{E4436F03-6944-408E-841A-D8335E69E37B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47CA3C97-2A81-4564-99CD-D3E07DD8B9A1}" name="Tableau847122125" displayName="Tableau847122125" ref="G30:H41" totalsRowCount="1" headerRowCellStyle="Monétaire" dataCellStyle="Monétaire" totalsRowCellStyle="Monétaire">
  <autoFilter ref="G30:H40" xr:uid="{7A36ED9F-B190-4E16-B1A8-8226695BF9C5}"/>
  <tableColumns count="2">
    <tableColumn id="1" xr3:uid="{0F3B0642-8087-4FF5-894A-BAAA9ADA5E9A}" name="CU du matos rajouté acheté" totalsRowLabel="Total" dataCellStyle="Monétaire" totalsRowCellStyle="Monétaire"/>
    <tableColumn id="2" xr3:uid="{7F19F80E-EB76-4DB2-85EC-1FF2DA60CA49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67C9787-BF87-48DB-8573-A3FCAC8C04C3}" name="Tableau41013" displayName="Tableau41013" ref="B2:E13" totalsRowCount="1">
  <autoFilter ref="B2:E12" xr:uid="{8905AB1A-3219-4C67-A40B-EA0A22420284}"/>
  <tableColumns count="4">
    <tableColumn id="1" xr3:uid="{B4ECDC86-6A8E-4C9C-AD7D-43706B74FAF1}" name="Matériel" totalsRowLabel="Total"/>
    <tableColumn id="2" xr3:uid="{F1D0D7DF-9573-44A1-B6C0-F65991988DB0}" name="Présente dans la malle"/>
    <tableColumn id="3" xr3:uid="{C4B0C1AC-D90E-4B2C-A6EC-24CF34F5199D}" name="Demande"/>
    <tableColumn id="4" xr3:uid="{6873752A-F090-4AF6-9532-A907D66630AB}" name="Manque" totalsRowFunction="sum">
      <calculatedColumnFormula>Tableau41013[Demande]-Tableau41013[Présente dans la malle]</calculatedColumnFormula>
    </tableColumn>
  </tableColumns>
  <tableStyleInfo name="TableStyleDark4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8AE6427-0125-4D9A-8324-D16393EBCFA8}" name="Tableau471114" displayName="Tableau471114" ref="B16:E27" totalsRowCount="1">
  <autoFilter ref="B16:E26" xr:uid="{4049408B-850E-4A2C-B519-03DE3F9FA742}"/>
  <tableColumns count="4">
    <tableColumn id="1" xr3:uid="{B7D5C664-5AE0-464D-BDA4-A8659C671398}" name="Cablage" totalsRowLabel="Total"/>
    <tableColumn id="2" xr3:uid="{A1DB99AF-76CF-47D2-A751-D6661C88CECF}" name="Présente dans la malle"/>
    <tableColumn id="3" xr3:uid="{DDC5E0D9-BFC3-4935-8187-B17E94A52F8F}" name="Demande"/>
    <tableColumn id="4" xr3:uid="{8EB69681-FA04-4F6F-955A-F38F16148C1F}" name="Manque" totalsRowFunction="sum">
      <calculatedColumnFormula>Tableau471114[Demande]-Tableau471114[Présente dans la malle]</calculatedColumnFormula>
    </tableColumn>
  </tableColumns>
  <tableStyleInfo name="TableStyleDark4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69A6848-C752-45A5-B7C0-61A94D5AB884}" name="Tableau4781215" displayName="Tableau4781215" ref="B30:E41" totalsRowCount="1">
  <autoFilter ref="B30:E40" xr:uid="{1420DB37-775B-49FF-853F-6BFED82B904A}"/>
  <tableColumns count="4">
    <tableColumn id="1" xr3:uid="{C7BC4CB3-1DC6-4206-9788-91071FD7DC1D}" name="Mobilier" totalsRowLabel="Total"/>
    <tableColumn id="2" xr3:uid="{DF781125-6864-405C-9A54-7A84A54288A7}" name="Présente dans la malle"/>
    <tableColumn id="3" xr3:uid="{204CEB39-EA49-4F58-A750-CE01B05F0D9C}" name="Demande"/>
    <tableColumn id="4" xr3:uid="{45147A76-FD88-42A2-A39F-8A71DBE52743}" name="Manque" totalsRowFunction="sum">
      <calculatedColumnFormula>Tableau4781215[Demande]-Tableau4781215[Présente dans la malle]</calculatedColumnFormula>
    </tableColumn>
  </tableColumns>
  <tableStyleInfo name="TableStyleDark4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B5A9633C-7AF0-4BE1-B3B2-E7AB625772D3}" name="Tableau8120126" displayName="Tableau8120126" ref="G2:H13" totalsRowCount="1" headerRowCellStyle="Monétaire" dataCellStyle="Monétaire" totalsRowCellStyle="Monétaire">
  <autoFilter ref="G2:H12" xr:uid="{2B56BBCE-93CB-430F-B8B6-9E98A6081FE1}"/>
  <tableColumns count="2">
    <tableColumn id="1" xr3:uid="{2F1B5E94-8BD4-4EAB-80E1-25CB944944A5}" name="CU du matos rajouté acheté" totalsRowLabel="Total" dataCellStyle="Monétaire" totalsRowCellStyle="Monétaire"/>
    <tableColumn id="2" xr3:uid="{9B32FBD6-9D6A-4D14-B432-597764A4415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F171FC8A-1A53-4D06-AD73-95F4C46BBD13}" name="Tableau846121127" displayName="Tableau846121127" ref="G16:H27" totalsRowCount="1" headerRowCellStyle="Monétaire" dataCellStyle="Monétaire" totalsRowCellStyle="Monétaire">
  <autoFilter ref="G16:H26" xr:uid="{E14FB847-22A6-4248-AA9B-63693F563844}"/>
  <tableColumns count="2">
    <tableColumn id="1" xr3:uid="{342ABD6A-137B-4601-9D3C-EF01D4310C33}" name="CU du matos rajouté acheté" totalsRowLabel="Total" dataCellStyle="Monétaire" totalsRowCellStyle="Monétaire"/>
    <tableColumn id="2" xr3:uid="{F6E75028-578E-4415-9F75-39E2172A5107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C85B6D42-8689-43CD-921A-5994A0B340AC}" name="Tableau847122128" displayName="Tableau847122128" ref="G30:H41" totalsRowCount="1" headerRowCellStyle="Monétaire" dataCellStyle="Monétaire" totalsRowCellStyle="Monétaire">
  <autoFilter ref="G30:H40" xr:uid="{AF7389B1-98E4-4682-A608-1203EF09D7EA}"/>
  <tableColumns count="2">
    <tableColumn id="1" xr3:uid="{5D1EB76E-81A3-48AC-9F65-A97BB919C801}" name="CU du matos rajouté acheté" totalsRowLabel="Total" dataCellStyle="Monétaire" totalsRowCellStyle="Monétaire"/>
    <tableColumn id="2" xr3:uid="{A51DB858-1194-4A52-B57C-11C3B1DA66C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D73C4F8-35B0-4F88-85A9-F5BA76748005}" name="Tableau419" displayName="Tableau419" ref="B2:E13" totalsRowCount="1">
  <autoFilter ref="B2:E12" xr:uid="{30CC397A-6FC3-4890-B4E8-9DAA61576690}"/>
  <tableColumns count="4">
    <tableColumn id="1" xr3:uid="{1ACFD918-443E-4D88-BCCD-545569BD3030}" name="Matériel" totalsRowLabel="Total"/>
    <tableColumn id="2" xr3:uid="{1EE2AD1D-7EC1-4E32-BE1B-0BD5D93A38F0}" name="Présente dans la malle"/>
    <tableColumn id="3" xr3:uid="{88D493E4-E1C7-492A-8EE7-515A9BC52F76}" name="Demande"/>
    <tableColumn id="4" xr3:uid="{48F7A18A-6D85-4EA6-83EA-01F1C15CFD9A}" name="Manque" totalsRowFunction="sum">
      <calculatedColumnFormula>Tableau419[Demande]-Tableau419[Présente dans la malle]</calculatedColumnFormula>
    </tableColumn>
  </tableColumns>
  <tableStyleInfo name="TableStyleDark4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2FE1133-B390-44E4-A57D-7B58D980D5B5}" name="Tableau4720" displayName="Tableau4720" ref="B16:E27" totalsRowCount="1">
  <autoFilter ref="B16:E26" xr:uid="{C7715666-73DE-44AA-9ECF-BC5403D54F99}"/>
  <tableColumns count="4">
    <tableColumn id="1" xr3:uid="{7ABD4FF6-AE9D-401A-8715-3F559355265A}" name="Cablage" totalsRowLabel="Total"/>
    <tableColumn id="2" xr3:uid="{E7470322-E27D-4361-B9D5-4DA70012E36A}" name="Présente dans la malle"/>
    <tableColumn id="3" xr3:uid="{097D5098-9C41-49D9-AE11-283FB763BCA2}" name="Demande"/>
    <tableColumn id="4" xr3:uid="{DB81B9ED-7D42-4A31-BCC3-4CC6F8CD2791}" name="Manque" totalsRowFunction="sum">
      <calculatedColumnFormula>Tableau4720[Demande]-Tableau4720[Présente dans la malle]</calculatedColumnFormula>
    </tableColumn>
  </tableColumns>
  <tableStyleInfo name="TableStyleDark4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0E881EA-CFE8-46AE-8D01-FC096CA06E41}" name="Tableau47821" displayName="Tableau47821" ref="B30:E41" totalsRowCount="1">
  <autoFilter ref="B30:E40" xr:uid="{D587509D-A5F2-4465-B0F3-970B4A17AA28}"/>
  <tableColumns count="4">
    <tableColumn id="1" xr3:uid="{00E9BABD-50FB-4364-ADAA-3FE73A3D9EFB}" name="Mobilier" totalsRowLabel="Total"/>
    <tableColumn id="2" xr3:uid="{81CCFE64-21CD-4725-887F-36E147F92D5B}" name="Présente dans la malle"/>
    <tableColumn id="3" xr3:uid="{5CF5E678-8857-48E4-AFCC-7000A134A673}" name="Demande"/>
    <tableColumn id="4" xr3:uid="{3AAFB767-4623-46E4-B459-6A86A8FB1D4A}" name="Manque" totalsRowFunction="sum">
      <calculatedColumnFormula>Tableau47821[Demande]-Tableau47821[Présente dans la malle]</calculatedColumnFormula>
    </tableColumn>
  </tableColumns>
  <tableStyleInfo name="TableStyleDark4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974D9D9-7FC2-43E2-83C7-1EADEFBD2093}" name="Tableau8120129" displayName="Tableau8120129" ref="G2:H13" totalsRowCount="1" headerRowCellStyle="Monétaire" dataCellStyle="Monétaire" totalsRowCellStyle="Monétaire">
  <autoFilter ref="G2:H12" xr:uid="{BC70B0B8-05A3-4E29-BECB-007649F7B663}"/>
  <tableColumns count="2">
    <tableColumn id="1" xr3:uid="{08F272CE-FC63-4FA7-94E2-5D095C2EF1E8}" name="CU du matos rajouté acheté" totalsRowLabel="Total" dataCellStyle="Monétaire" totalsRowCellStyle="Monétaire"/>
    <tableColumn id="2" xr3:uid="{DE60647E-D898-4921-9EFA-EB2C00553BC6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3C540C62-8DE4-4939-9153-80F404732816}" name="Tableau846121130" displayName="Tableau846121130" ref="G16:H27" totalsRowCount="1" headerRowCellStyle="Monétaire" dataCellStyle="Monétaire" totalsRowCellStyle="Monétaire">
  <autoFilter ref="G16:H26" xr:uid="{B0847B46-5478-4BA7-86FC-21F464F4C166}"/>
  <tableColumns count="2">
    <tableColumn id="1" xr3:uid="{28C08BC6-DEBD-4BF5-ABA1-4961C02763BF}" name="CU du matos rajouté acheté" totalsRowLabel="Total" dataCellStyle="Monétaire" totalsRowCellStyle="Monétaire"/>
    <tableColumn id="2" xr3:uid="{CB182AD7-D39F-4A79-B229-F19EA741355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105966D3-908B-47CB-8C97-DCA3CE13D74D}" name="Tableau847122131" displayName="Tableau847122131" ref="G30:H41" totalsRowCount="1" headerRowCellStyle="Monétaire" dataCellStyle="Monétaire" totalsRowCellStyle="Monétaire">
  <autoFilter ref="G30:H40" xr:uid="{F8280A21-5C0B-474C-B26E-529E94F79131}"/>
  <tableColumns count="2">
    <tableColumn id="1" xr3:uid="{BF28BE2A-4468-4BD2-8F41-AD61E7A1B317}" name="CU du matos rajouté acheté" totalsRowLabel="Total" dataCellStyle="Monétaire" totalsRowCellStyle="Monétaire"/>
    <tableColumn id="2" xr3:uid="{32A933D3-754D-4A95-888E-60D1F18A8D8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82858B5-B467-4CB5-BB77-57AC07048941}" name="Tableau422" displayName="Tableau422" ref="B2:E13" totalsRowCount="1">
  <autoFilter ref="B2:E12" xr:uid="{00EDBFCB-EC38-4D2E-99EC-C9E95D48A291}"/>
  <tableColumns count="4">
    <tableColumn id="1" xr3:uid="{7933A721-000D-4638-8147-95404BE0D102}" name="Matériel" totalsRowLabel="Total"/>
    <tableColumn id="2" xr3:uid="{4EA3F48B-1064-4EF3-AA7E-D59117786951}" name="Présente dans la malle"/>
    <tableColumn id="3" xr3:uid="{C417555E-34B5-4C9F-A27E-91A864561CFF}" name="Demande"/>
    <tableColumn id="4" xr3:uid="{4DB07627-83FE-48B0-BB06-1BA01232AB6C}" name="Manque" totalsRowFunction="sum">
      <calculatedColumnFormula>Tableau422[Demande]-Tableau422[Présente dans la malle]</calculatedColumnFormula>
    </tableColumn>
  </tableColumns>
  <tableStyleInfo name="TableStyleDark4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6C6FAD42-48AC-430E-8BDA-07B371616B2E}" name="Tableau4723" displayName="Tableau4723" ref="B16:E27" totalsRowCount="1">
  <autoFilter ref="B16:E26" xr:uid="{100205E6-C304-4AB9-BDCB-A5B882478DCD}"/>
  <tableColumns count="4">
    <tableColumn id="1" xr3:uid="{26AAA6F1-EBED-46D8-AB65-243006C11C14}" name="Cablage" totalsRowLabel="Total"/>
    <tableColumn id="2" xr3:uid="{D5F4088E-A2DF-4304-9ED1-9115F801297F}" name="Présente dans la malle"/>
    <tableColumn id="3" xr3:uid="{70D210CD-A4CA-4F51-88A7-76BD169EDC3C}" name="Demande"/>
    <tableColumn id="4" xr3:uid="{69788270-77AE-47D8-B181-4D2AEAE4948B}" name="Manque" totalsRowFunction="sum">
      <calculatedColumnFormula>Tableau4723[Demande]-Tableau4723[Présente dans la malle]</calculatedColumnFormula>
    </tableColumn>
  </tableColumns>
  <tableStyleInfo name="TableStyleDark4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984236FE-8118-4395-A41B-6DF68376234C}" name="Tableau47824" displayName="Tableau47824" ref="B30:E41" totalsRowCount="1">
  <autoFilter ref="B30:E40" xr:uid="{C75B4834-DF95-4039-96F9-CA505A941BF8}"/>
  <tableColumns count="4">
    <tableColumn id="1" xr3:uid="{A173CA36-4164-4D76-9F18-1977BED2109E}" name="Mobilier" totalsRowLabel="Total"/>
    <tableColumn id="2" xr3:uid="{14B50779-EB43-470C-A662-A5C89D1DB1F1}" name="Présente dans la malle"/>
    <tableColumn id="3" xr3:uid="{D7DC1878-AE1F-4296-B1AB-160EC142C434}" name="Demande"/>
    <tableColumn id="4" xr3:uid="{B613544F-54F2-4298-98F7-7A3A746335AA}" name="Manque" totalsRowFunction="sum">
      <calculatedColumnFormula>Tableau47824[Demande]-Tableau47824[Présente dans la malle]</calculatedColumnFormula>
    </tableColumn>
  </tableColumns>
  <tableStyleInfo name="TableStyleDark4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34C8F7CA-0F68-4FB0-897C-462399C26340}" name="Tableau8120132" displayName="Tableau8120132" ref="G2:H13" totalsRowCount="1" headerRowCellStyle="Monétaire" dataCellStyle="Monétaire" totalsRowCellStyle="Monétaire">
  <autoFilter ref="G2:H12" xr:uid="{B24848A1-09CB-46E6-9667-3B8D339D5E3F}"/>
  <tableColumns count="2">
    <tableColumn id="1" xr3:uid="{036E2B58-E8D3-443F-AE80-0E55A0820C51}" name="CU du matos rajouté acheté" totalsRowLabel="Total" dataCellStyle="Monétaire" totalsRowCellStyle="Monétaire"/>
    <tableColumn id="2" xr3:uid="{91DA868F-39D0-41F7-AC59-1F36AD0B7956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851D9684-A06D-4656-A360-41DB9044F40C}" name="Tableau846121133" displayName="Tableau846121133" ref="G16:H27" totalsRowCount="1" headerRowCellStyle="Monétaire" dataCellStyle="Monétaire" totalsRowCellStyle="Monétaire">
  <autoFilter ref="G16:H26" xr:uid="{3A639BBF-7A48-4142-9885-A2B9E49520FE}"/>
  <tableColumns count="2">
    <tableColumn id="1" xr3:uid="{8F9191D4-A1B6-400A-99C0-E3E4133E55B0}" name="CU du matos rajouté acheté" totalsRowLabel="Total" dataCellStyle="Monétaire" totalsRowCellStyle="Monétaire"/>
    <tableColumn id="2" xr3:uid="{766509AF-5BA4-4C8E-9B5F-0C1142284E0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F8BC78DF-E5EF-4B39-881A-AA3A8179D92F}" name="Tableau847122134" displayName="Tableau847122134" ref="G30:H41" totalsRowCount="1" headerRowCellStyle="Monétaire" dataCellStyle="Monétaire" totalsRowCellStyle="Monétaire">
  <autoFilter ref="G30:H40" xr:uid="{C2059CAF-3000-48CD-AD96-124A35F06DDF}"/>
  <tableColumns count="2">
    <tableColumn id="1" xr3:uid="{E5C2FD69-5BD1-4EC1-932E-A089F8529536}" name="CU du matos rajouté acheté" totalsRowLabel="Total" dataCellStyle="Monétaire" totalsRowCellStyle="Monétaire"/>
    <tableColumn id="2" xr3:uid="{259C4827-6359-4752-AAC6-31F3CDEA7B7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36C636F0-5894-4619-9D3F-1894F15F2EFB}" name="Tableau425" displayName="Tableau425" ref="B2:E13" totalsRowCount="1">
  <autoFilter ref="B2:E12" xr:uid="{8CE768CC-0F34-424D-8861-908B2C5046B7}"/>
  <tableColumns count="4">
    <tableColumn id="1" xr3:uid="{73ADB744-F33B-446A-B58D-0296967A5B1F}" name="Matériel" totalsRowLabel="Total"/>
    <tableColumn id="2" xr3:uid="{7DF556E8-EC7A-4782-9041-44A90EC0D82C}" name="Présente dans la malle"/>
    <tableColumn id="3" xr3:uid="{273F797F-16EB-4660-AE5B-A68D9262DF88}" name="Demande"/>
    <tableColumn id="4" xr3:uid="{92B5EE63-40E1-4E80-80D9-5BCD4CD625BF}" name="Manque" totalsRowFunction="sum">
      <calculatedColumnFormula>Tableau425[Demande]-Tableau425[Présente dans la malle]</calculatedColumnFormula>
    </tableColumn>
  </tableColumns>
  <tableStyleInfo name="TableStyleDark4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45D991B7-0D90-455D-82AB-334BF62F60B6}" name="Tableau4726" displayName="Tableau4726" ref="B16:E27" totalsRowCount="1">
  <autoFilter ref="B16:E26" xr:uid="{A59DB649-D0DD-4BA2-8358-FEEE29E5C881}"/>
  <tableColumns count="4">
    <tableColumn id="1" xr3:uid="{32093204-8750-417C-A91D-88B8D1598BA8}" name="Cablage" totalsRowLabel="Total"/>
    <tableColumn id="2" xr3:uid="{3664BD69-AB85-4165-8BC2-DF2A5BC11FC0}" name="Présente dans la malle"/>
    <tableColumn id="3" xr3:uid="{AE3ED517-D8DE-4F0C-921E-DB2DC6E71E91}" name="Demande"/>
    <tableColumn id="4" xr3:uid="{BC174FFA-479B-46C6-87E2-D78FAE9B1545}" name="Manque" totalsRowFunction="sum">
      <calculatedColumnFormula>Tableau4726[Demande]-Tableau4726[Présente dans la malle]</calculatedColumnFormula>
    </tableColumn>
  </tableColumns>
  <tableStyleInfo name="TableStyleDark4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B137A220-A25F-4D31-8E29-209BD7661D7E}" name="Tableau47827" displayName="Tableau47827" ref="B30:E41" totalsRowCount="1">
  <autoFilter ref="B30:E40" xr:uid="{C319E16C-C2C6-4641-8575-E0EFAD09BD52}"/>
  <tableColumns count="4">
    <tableColumn id="1" xr3:uid="{8BDD2D3B-0D4B-4E9A-9E03-B25D3C55E578}" name="Mobilier" totalsRowLabel="Total"/>
    <tableColumn id="2" xr3:uid="{B4291F2A-5E57-4109-AEAD-CB8F81CE8046}" name="Présente dans la malle"/>
    <tableColumn id="3" xr3:uid="{3482FABB-454C-4CAC-AB56-9EAF0EED7A54}" name="Demande"/>
    <tableColumn id="4" xr3:uid="{0A7930F0-27F4-4C86-B179-46524A2F01B6}" name="Manque" totalsRowFunction="sum">
      <calculatedColumnFormula>Tableau47827[Demande]-Tableau47827[Présente dans la malle]</calculatedColumnFormula>
    </tableColumn>
  </tableColumns>
  <tableStyleInfo name="TableStyleDark4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3A7A0AD6-C2BB-4CD0-AB8A-4896D3DCF780}" name="Tableau8120135" displayName="Tableau8120135" ref="G2:H13" totalsRowCount="1" headerRowCellStyle="Monétaire" dataCellStyle="Monétaire" totalsRowCellStyle="Monétaire">
  <autoFilter ref="G2:H12" xr:uid="{8A9BA613-6566-4EE4-9A7D-50F8CE5DDBBE}"/>
  <tableColumns count="2">
    <tableColumn id="1" xr3:uid="{7AC7CA97-E4F1-4B09-8DD8-A74090914DF8}" name="CU du matos rajouté acheté" totalsRowLabel="Total" dataCellStyle="Monétaire" totalsRowCellStyle="Monétaire"/>
    <tableColumn id="2" xr3:uid="{BE63AAE8-A553-4C03-AD4C-084474E7E9C9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BC6B64C0-F7D2-4DAF-9B80-1D5F1514FAFB}" name="Tableau846121136" displayName="Tableau846121136" ref="G16:H27" totalsRowCount="1" headerRowCellStyle="Monétaire" dataCellStyle="Monétaire" totalsRowCellStyle="Monétaire">
  <autoFilter ref="G16:H26" xr:uid="{2DD0E695-A3AA-47D2-851E-C2043041FB43}"/>
  <tableColumns count="2">
    <tableColumn id="1" xr3:uid="{AAC852AF-0091-40C3-B9BD-ECEDBAFDC5A1}" name="CU du matos rajouté acheté" totalsRowLabel="Total" dataCellStyle="Monétaire" totalsRowCellStyle="Monétaire"/>
    <tableColumn id="2" xr3:uid="{67BD3B2D-0ABB-4255-AE13-6B2A1535B4E8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EDF44F09-2889-4B33-ACAD-5493B5F5336E}" name="Tableau847122137" displayName="Tableau847122137" ref="G30:H41" totalsRowCount="1" headerRowCellStyle="Monétaire" dataCellStyle="Monétaire" totalsRowCellStyle="Monétaire">
  <autoFilter ref="G30:H40" xr:uid="{1A1AB1C3-74B9-46AB-BCED-FB5A3E9EA033}"/>
  <tableColumns count="2">
    <tableColumn id="1" xr3:uid="{8F4A1647-2F5A-44A1-9AF4-147172C04C5A}" name="CU du matos rajouté acheté" totalsRowLabel="Total" dataCellStyle="Monétaire" totalsRowCellStyle="Monétaire"/>
    <tableColumn id="2" xr3:uid="{9CA16919-3B69-4CA9-A7E9-FF6464E01CB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21F68E41-F8DE-4E05-97DC-2ED845B6B989}" name="Tableau428" displayName="Tableau428" ref="B2:E13" totalsRowCount="1">
  <autoFilter ref="B2:E12" xr:uid="{17B21505-A440-4FBF-A1C7-F001B1F35185}"/>
  <tableColumns count="4">
    <tableColumn id="1" xr3:uid="{D47D3400-52E5-44F2-BD43-DE58D7BEDEF3}" name="Matériel" totalsRowLabel="Total"/>
    <tableColumn id="2" xr3:uid="{FD715DCB-C276-47BB-9A7E-70772F323499}" name="Présente dans la malle"/>
    <tableColumn id="3" xr3:uid="{32C73B43-136F-40BE-8AD9-97DEF6712FAB}" name="Demande"/>
    <tableColumn id="4" xr3:uid="{28391DF0-23E5-46CC-9599-AF3E4B862AFB}" name="Manque" totalsRowFunction="sum">
      <calculatedColumnFormula>Tableau428[Demande]-Tableau428[Présente dans la malle]</calculatedColumnFormula>
    </tableColumn>
  </tableColumns>
  <tableStyleInfo name="TableStyleDark4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60276C3-C669-418A-BC7D-4ABEC2864DA7}" name="Tableau4729" displayName="Tableau4729" ref="B16:E27" totalsRowCount="1">
  <autoFilter ref="B16:E26" xr:uid="{CFD8165F-8FCC-40FD-B167-F47884410F88}"/>
  <tableColumns count="4">
    <tableColumn id="1" xr3:uid="{46F3FACB-CCC7-45EA-9F87-6D91FAF0D888}" name="Cablage" totalsRowLabel="Total"/>
    <tableColumn id="2" xr3:uid="{CD2C85EA-9599-4F20-AA96-5E1AA72AD4BE}" name="Présente dans la malle"/>
    <tableColumn id="3" xr3:uid="{CEF8FD75-D628-46F2-9149-6BF7B7147543}" name="Demande"/>
    <tableColumn id="4" xr3:uid="{39E4701B-6D60-4BD1-B5D0-17A55E8AA3A2}" name="Manque" totalsRowFunction="sum">
      <calculatedColumnFormula>Tableau4729[Demande]-Tableau4729[Présente dans la malle]</calculatedColumnFormula>
    </tableColumn>
  </tableColumns>
  <tableStyleInfo name="TableStyleDark4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9F23F4B-9B50-409C-9809-D15EA2759CC1}" name="Tableau47830" displayName="Tableau47830" ref="B30:E41" totalsRowCount="1">
  <autoFilter ref="B30:E40" xr:uid="{96E0CE30-1FB3-411E-B859-3E56C85B6FAC}"/>
  <tableColumns count="4">
    <tableColumn id="1" xr3:uid="{ACE570C1-5F19-46B1-AD99-008C433B6205}" name="Mobilier" totalsRowLabel="Total"/>
    <tableColumn id="2" xr3:uid="{01668BF2-728F-405E-B541-46F6BBB58DE7}" name="Présente dans la malle"/>
    <tableColumn id="3" xr3:uid="{C74A2987-66A6-4B3E-9EBB-EFC5C849A816}" name="Demande"/>
    <tableColumn id="4" xr3:uid="{837C5161-6445-4A4D-9DC0-77B968CC0936}" name="Manque" totalsRowFunction="sum">
      <calculatedColumnFormula>Tableau47830[Demande]-Tableau47830[Présente dans la malle]</calculatedColumnFormula>
    </tableColumn>
  </tableColumns>
  <tableStyleInfo name="TableStyleDark4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CB96AD9E-698A-462E-A8DB-6EAA4B053CB6}" name="Tableau8120138" displayName="Tableau8120138" ref="G2:H13" totalsRowCount="1" headerRowCellStyle="Monétaire" dataCellStyle="Monétaire" totalsRowCellStyle="Monétaire">
  <autoFilter ref="G2:H12" xr:uid="{664B31BC-A92E-4860-BF1F-4EB1EE5B7A7B}"/>
  <tableColumns count="2">
    <tableColumn id="1" xr3:uid="{8A6ABADC-256D-4A84-BD2B-98E0CF58EB80}" name="CU du matos rajouté acheté" totalsRowLabel="Total" dataCellStyle="Monétaire" totalsRowCellStyle="Monétaire"/>
    <tableColumn id="2" xr3:uid="{1E448E1D-C403-4BFD-B64F-72B6E75C6737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C58D7892-7A1F-4D53-A752-D201F0130036}" name="Tableau846121139" displayName="Tableau846121139" ref="G16:H27" totalsRowCount="1" headerRowCellStyle="Monétaire" dataCellStyle="Monétaire" totalsRowCellStyle="Monétaire">
  <autoFilter ref="G16:H26" xr:uid="{C761416C-1E0F-4EAE-AFBE-1330C685E132}"/>
  <tableColumns count="2">
    <tableColumn id="1" xr3:uid="{CD0CA318-5D8B-4F12-AA5D-74C482B456D1}" name="CU du matos rajouté acheté" totalsRowLabel="Total" dataCellStyle="Monétaire" totalsRowCellStyle="Monétaire"/>
    <tableColumn id="2" xr3:uid="{83F32CDA-3DB0-43F3-A7DB-FCA17C8287C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DA2D3B94-6934-4AF7-9E71-DCC6365114C7}" name="Tableau847122140" displayName="Tableau847122140" ref="G30:H41" totalsRowCount="1" headerRowCellStyle="Monétaire" dataCellStyle="Monétaire" totalsRowCellStyle="Monétaire">
  <autoFilter ref="G30:H40" xr:uid="{886286B0-CF3E-4BD9-BD53-F302A9D94C93}"/>
  <tableColumns count="2">
    <tableColumn id="1" xr3:uid="{45F33CBF-52B4-4D5D-AFED-F4B18EF8494E}" name="CU du matos rajouté acheté" totalsRowLabel="Total" dataCellStyle="Monétaire" totalsRowCellStyle="Monétaire"/>
    <tableColumn id="2" xr3:uid="{72AD39DD-9054-4E58-9F5A-34CA080E212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48D6F4BE-FD78-496D-BACC-505461DFBCEA}" name="Tableau42831" displayName="Tableau42831" ref="B2:E13" totalsRowCount="1">
  <autoFilter ref="B2:E12" xr:uid="{CD4A3D10-7D6B-487A-AF78-7143E706551B}"/>
  <tableColumns count="4">
    <tableColumn id="1" xr3:uid="{CD0AFEFC-190E-49DF-81C5-67175D8C22CF}" name="Matériel" totalsRowLabel="Total"/>
    <tableColumn id="2" xr3:uid="{2AE3C94B-0090-4254-B335-2B3BF6A2C7DD}" name="Présente dans la malle"/>
    <tableColumn id="3" xr3:uid="{F92B7BC6-370A-4545-9960-0FFC66C03DD1}" name="Demande"/>
    <tableColumn id="4" xr3:uid="{650D5408-C326-4E72-9434-3FDA4025C469}" name="Manque" totalsRowFunction="sum">
      <calculatedColumnFormula>Tableau42831[Demande]-Tableau42831[Présente dans la malle]</calculatedColumnFormula>
    </tableColumn>
  </tableColumns>
  <tableStyleInfo name="TableStyleDark4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F8B33472-9C81-4E78-A9D1-F9DF29A81866}" name="Tableau472932" displayName="Tableau472932" ref="B16:E27" totalsRowCount="1">
  <autoFilter ref="B16:E26" xr:uid="{066246E6-7F06-45E0-85FF-22AB2CCC06B3}"/>
  <tableColumns count="4">
    <tableColumn id="1" xr3:uid="{22E50A6D-6E3A-482E-852F-0B15508F02E0}" name="Cablage" totalsRowLabel="Total"/>
    <tableColumn id="2" xr3:uid="{FC97F497-CD15-4EFA-BBEA-73F80EE4C703}" name="Présente dans la malle"/>
    <tableColumn id="3" xr3:uid="{4B4E8C54-FBE9-4C24-A6F3-6283705A5A0E}" name="Demande"/>
    <tableColumn id="4" xr3:uid="{FCDA99A1-F2D8-43B0-8F31-9CE52FFC0971}" name="Manque" totalsRowFunction="sum">
      <calculatedColumnFormula>Tableau472932[Demande]-Tableau472932[Présente dans la malle]</calculatedColumnFormula>
    </tableColumn>
  </tableColumns>
  <tableStyleInfo name="TableStyleDark4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CCB5FC5F-B898-4BBE-B4B5-5060476EE7D8}" name="Tableau4783033" displayName="Tableau4783033" ref="B30:E41" totalsRowCount="1">
  <autoFilter ref="B30:E40" xr:uid="{621B8AFF-AADF-488C-9652-9D154CE4D077}"/>
  <tableColumns count="4">
    <tableColumn id="1" xr3:uid="{714A92A3-EC78-4B78-B4BF-B5D7B7ADE0C1}" name="Mobilier" totalsRowLabel="Total"/>
    <tableColumn id="2" xr3:uid="{71DCDC80-58E4-49C5-95FB-2A1A4CD8AA19}" name="Présente dans la malle"/>
    <tableColumn id="3" xr3:uid="{D145A6A6-915E-4675-80C9-E7FD7868DC24}" name="Demande"/>
    <tableColumn id="4" xr3:uid="{9CDCBB74-D1D6-4F17-85C4-CFACF9EC8FF6}" name="Manque" totalsRowFunction="sum">
      <calculatedColumnFormula>Tableau4783033[Demande]-Tableau4783033[Présente dans la malle]</calculatedColumnFormula>
    </tableColumn>
  </tableColumns>
  <tableStyleInfo name="TableStyleDark4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EFAA8AD3-08F4-47F6-886C-F2CB4001482D}" name="Tableau8120141" displayName="Tableau8120141" ref="G2:H13" totalsRowCount="1" headerRowCellStyle="Monétaire" dataCellStyle="Monétaire" totalsRowCellStyle="Monétaire">
  <autoFilter ref="G2:H12" xr:uid="{2946E4F9-7852-42EA-9F94-D78327768ED2}"/>
  <tableColumns count="2">
    <tableColumn id="1" xr3:uid="{AD8B9DED-6B74-4C58-B891-F9DD99FAF3A8}" name="CU du matos rajouté acheté" totalsRowLabel="Total" dataCellStyle="Monétaire" totalsRowCellStyle="Monétaire"/>
    <tableColumn id="2" xr3:uid="{320E75BA-5D23-454C-8DD0-03E39931C11E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3654C7D1-86FB-4BF1-A56A-D5ADCDF133B1}" name="Tableau846121142" displayName="Tableau846121142" ref="G16:H27" totalsRowCount="1" headerRowCellStyle="Monétaire" dataCellStyle="Monétaire" totalsRowCellStyle="Monétaire">
  <autoFilter ref="G16:H26" xr:uid="{EEAD294E-EFCE-4A28-8893-4CDD08DAD3D6}"/>
  <tableColumns count="2">
    <tableColumn id="1" xr3:uid="{9924D4FB-949A-435E-9C5E-A606FF4CA74A}" name="CU du matos rajouté acheté" totalsRowLabel="Total" dataCellStyle="Monétaire" totalsRowCellStyle="Monétaire"/>
    <tableColumn id="2" xr3:uid="{05E592D1-48D5-42B3-A57C-D719CB7A6EB1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6219AE93-6735-42DE-993F-34DC532A9CAC}" name="Tableau847122143" displayName="Tableau847122143" ref="G30:H41" totalsRowCount="1" headerRowCellStyle="Monétaire" dataCellStyle="Monétaire" totalsRowCellStyle="Monétaire">
  <autoFilter ref="G30:H40" xr:uid="{FC172E85-600B-4B20-91DD-3D7B91A9AE81}"/>
  <tableColumns count="2">
    <tableColumn id="1" xr3:uid="{4B37F447-9BD4-4E33-9345-4ADA20932B99}" name="CU du matos rajouté acheté" totalsRowLabel="Total" dataCellStyle="Monétaire" totalsRowCellStyle="Monétaire"/>
    <tableColumn id="2" xr3:uid="{9A6CEB79-4B48-4111-83FE-36E5394005A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1392B460-04C8-42DF-B039-6414C1A76A29}" name="Tableau42834" displayName="Tableau42834" ref="B2:E13" totalsRowCount="1">
  <autoFilter ref="B2:E12" xr:uid="{444AF6EC-BA99-4992-856E-C7CE8DE878C1}"/>
  <tableColumns count="4">
    <tableColumn id="1" xr3:uid="{4506AD6A-B2EE-44A5-89D8-2B78EA9C8A42}" name="Matériel" totalsRowLabel="Total"/>
    <tableColumn id="2" xr3:uid="{C7F2C6D3-F091-41E3-8A77-6BD2D6BC58DC}" name="Présente dans la malle"/>
    <tableColumn id="3" xr3:uid="{ADE685A0-EED9-473C-BB38-7CB41103E450}" name="Demande"/>
    <tableColumn id="4" xr3:uid="{16BB3230-CCB0-4185-A012-8455B0E11D78}" name="Manque" totalsRowFunction="sum">
      <calculatedColumnFormula>Tableau42834[Demande]-Tableau42834[Présente dans la malle]</calculatedColumnFormula>
    </tableColumn>
  </tableColumns>
  <tableStyleInfo name="TableStyleDark4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B7A1CDEE-E8D0-4ECC-AEAE-2F86F2C4B06A}" name="Tableau472935" displayName="Tableau472935" ref="B16:E27" totalsRowCount="1">
  <autoFilter ref="B16:E26" xr:uid="{38108CA2-2E91-47BA-BCF0-7104795E6459}"/>
  <tableColumns count="4">
    <tableColumn id="1" xr3:uid="{1752704D-2AFC-42F2-8E37-42ECFC7F5881}" name="Cablage" totalsRowLabel="Total"/>
    <tableColumn id="2" xr3:uid="{177E78DF-65FA-4570-9D3E-40FE0DCFDAE6}" name="Présente dans la malle"/>
    <tableColumn id="3" xr3:uid="{CE7F2FB7-B9DA-4345-8033-D892655D7EFF}" name="Demande"/>
    <tableColumn id="4" xr3:uid="{E5E631C4-300E-43E7-A1B5-FB6CB76EE933}" name="Manque" totalsRowFunction="sum">
      <calculatedColumnFormula>Tableau472935[Demande]-Tableau472935[Présente dans la malle]</calculatedColumnFormula>
    </tableColumn>
  </tableColumns>
  <tableStyleInfo name="TableStyleDark4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B3C5C160-7ABD-417C-97F4-C95FB4EF45A4}" name="Tableau4783036" displayName="Tableau4783036" ref="B30:E41" totalsRowCount="1">
  <autoFilter ref="B30:E40" xr:uid="{8D67E810-71C7-4EF9-81BB-D9B86C17B502}"/>
  <tableColumns count="4">
    <tableColumn id="1" xr3:uid="{32DB6639-7468-4031-BA20-9083A3CEBC63}" name="Mobilier" totalsRowLabel="Total"/>
    <tableColumn id="2" xr3:uid="{8F169A40-A092-46FD-9F85-B7E27DBF51F9}" name="Présente dans la malle"/>
    <tableColumn id="3" xr3:uid="{91EF7566-ABD8-445A-B488-2B0416111B67}" name="Demande"/>
    <tableColumn id="4" xr3:uid="{3D41340C-E80C-467D-B0F0-56F59DCDDD89}" name="Manque" totalsRowFunction="sum">
      <calculatedColumnFormula>Tableau4783036[Demande]-Tableau4783036[Présente dans la malle]</calculatedColumnFormula>
    </tableColumn>
  </tableColumns>
  <tableStyleInfo name="TableStyleDark4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D1DA5BC1-1C68-4FAE-9A91-BDB82FD49787}" name="Tableau8120144" displayName="Tableau8120144" ref="G2:H13" totalsRowCount="1" headerRowCellStyle="Monétaire" dataCellStyle="Monétaire" totalsRowCellStyle="Monétaire">
  <autoFilter ref="G2:H12" xr:uid="{06203787-BEE6-4D34-A0F1-5A1A787C20E9}"/>
  <tableColumns count="2">
    <tableColumn id="1" xr3:uid="{4FF7BA96-265E-4AC5-838B-FEE6DFD1DBA2}" name="CU du matos rajouté acheté" totalsRowLabel="Total" dataCellStyle="Monétaire" totalsRowCellStyle="Monétaire"/>
    <tableColumn id="2" xr3:uid="{CFD9CF45-2C0E-442E-A268-EB3494D0099C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96C2A28F-5DE8-4E62-A329-5ECDDFEBE2D6}" name="Tableau846121145" displayName="Tableau846121145" ref="G16:H27" totalsRowCount="1" headerRowCellStyle="Monétaire" dataCellStyle="Monétaire" totalsRowCellStyle="Monétaire">
  <autoFilter ref="G16:H26" xr:uid="{36328CB8-A5C4-4E5F-8527-B4A4439053C2}"/>
  <tableColumns count="2">
    <tableColumn id="1" xr3:uid="{10C9337A-D7DC-4086-84AF-E8D101091438}" name="CU du matos rajouté acheté" totalsRowLabel="Total" dataCellStyle="Monétaire" totalsRowCellStyle="Monétaire"/>
    <tableColumn id="2" xr3:uid="{EAE24E47-2DF6-46A6-92E0-74EA36EC24BB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D938EF81-83C8-4C48-8665-B54C0B457857}" name="Tableau847122146" displayName="Tableau847122146" ref="G30:H41" totalsRowCount="1" headerRowCellStyle="Monétaire" dataCellStyle="Monétaire" totalsRowCellStyle="Monétaire">
  <autoFilter ref="G30:H40" xr:uid="{A7F7BDED-8E7E-41F7-8584-D6A30D8301B5}"/>
  <tableColumns count="2">
    <tableColumn id="1" xr3:uid="{BC41F63B-2CD8-4C5B-B9D9-F31D2117B90A}" name="CU du matos rajouté acheté" totalsRowLabel="Total" dataCellStyle="Monétaire" totalsRowCellStyle="Monétaire"/>
    <tableColumn id="2" xr3:uid="{6A798769-5294-4F9B-9827-48C06F4CE988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21F469D6-61DF-4D82-96F1-E54F400AED09}" name="Tableau42837" displayName="Tableau42837" ref="B2:E13" totalsRowCount="1">
  <autoFilter ref="B2:E12" xr:uid="{287B18E2-8552-4184-B5F9-D207FC911A84}"/>
  <tableColumns count="4">
    <tableColumn id="1" xr3:uid="{A7FC1EE6-C13D-4A62-AB6C-59FB1C621BE1}" name="Matériel" totalsRowLabel="Total"/>
    <tableColumn id="2" xr3:uid="{CBF6F703-0622-4F2D-885F-5B16A0635A84}" name="Présente dans la malle"/>
    <tableColumn id="3" xr3:uid="{4C8E92B2-F287-4170-8AC6-D0614743C439}" name="Demande"/>
    <tableColumn id="4" xr3:uid="{763B05CA-DBA0-488B-B801-303F318F149D}" name="Manque" totalsRowFunction="sum">
      <calculatedColumnFormula>Tableau42837[Demande]-Tableau42837[Présente dans la malle]</calculatedColumnFormula>
    </tableColumn>
  </tableColumns>
  <tableStyleInfo name="TableStyleDark4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CFB6070A-E241-4E51-A0AA-1FB3505871DD}" name="Tableau472938" displayName="Tableau472938" ref="B16:E27" totalsRowCount="1">
  <autoFilter ref="B16:E26" xr:uid="{A8BC38FF-8918-4D2A-87C5-6990EAA880EC}"/>
  <tableColumns count="4">
    <tableColumn id="1" xr3:uid="{195E0053-CC55-4C5F-8069-04E7677A5C48}" name="Cablage" totalsRowLabel="Total"/>
    <tableColumn id="2" xr3:uid="{177726FF-34D4-42A3-B2F4-42FF94367E69}" name="Présente dans la malle"/>
    <tableColumn id="3" xr3:uid="{A364B155-0C86-4EC0-8143-9BC275B143F7}" name="Demande"/>
    <tableColumn id="4" xr3:uid="{9A440190-E4EE-4D96-A87E-F2930CA08ED6}" name="Manque" totalsRowFunction="sum">
      <calculatedColumnFormula>Tableau472938[Demande]-Tableau472938[Présente dans la malle]</calculatedColumnFormula>
    </tableColumn>
  </tableColumns>
  <tableStyleInfo name="TableStyleDark4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246466DE-204A-4BDC-8CBA-2D7FC519CC09}" name="Tableau4783039" displayName="Tableau4783039" ref="B30:E41" totalsRowCount="1">
  <autoFilter ref="B30:E40" xr:uid="{406F2AEB-CB09-4E76-9760-1921F80067B1}"/>
  <tableColumns count="4">
    <tableColumn id="1" xr3:uid="{429802A3-7A06-4621-8807-4B291155220B}" name="Mobilier" totalsRowLabel="Total"/>
    <tableColumn id="2" xr3:uid="{56254A2F-1F0D-4620-9FFB-D457205C1156}" name="Présente dans la malle"/>
    <tableColumn id="3" xr3:uid="{7FF0A77A-6EE7-4FC6-B0A9-21A977304DCD}" name="Demande"/>
    <tableColumn id="4" xr3:uid="{43DFF2AC-C0B8-44E3-8708-F92D36E70A21}" name="Manque" totalsRowFunction="sum">
      <calculatedColumnFormula>Tableau4783039[Demande]-Tableau4783039[Présente dans la malle]</calculatedColumnFormula>
    </tableColumn>
  </tableColumns>
  <tableStyleInfo name="TableStyleDark4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FC46C3BD-0580-4508-A54A-5AF453CE28AB}" name="Tableau8120147" displayName="Tableau8120147" ref="G2:H13" totalsRowCount="1" headerRowCellStyle="Monétaire" dataCellStyle="Monétaire" totalsRowCellStyle="Monétaire">
  <autoFilter ref="G2:H12" xr:uid="{573B3163-F637-4BE4-8E2F-9981D3CC071B}"/>
  <tableColumns count="2">
    <tableColumn id="1" xr3:uid="{0CE41211-9044-4A93-B681-26AA8B5C95C3}" name="CU du matos rajouté acheté" totalsRowLabel="Total" dataCellStyle="Monétaire" totalsRowCellStyle="Monétaire"/>
    <tableColumn id="2" xr3:uid="{E46C965D-DC34-401E-ADA8-BB06AB274E6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FA7094D2-BD1A-4D5A-880D-01E49C9CCE75}" name="Tableau846121148" displayName="Tableau846121148" ref="G16:H27" totalsRowCount="1" headerRowCellStyle="Monétaire" dataCellStyle="Monétaire" totalsRowCellStyle="Monétaire">
  <autoFilter ref="G16:H26" xr:uid="{AE02B3CE-F80C-4E27-81B0-BD40A635050D}"/>
  <tableColumns count="2">
    <tableColumn id="1" xr3:uid="{47664F3F-5034-4383-B8C2-CE7FB5310E34}" name="CU du matos rajouté acheté" totalsRowLabel="Total" dataCellStyle="Monétaire" totalsRowCellStyle="Monétaire"/>
    <tableColumn id="2" xr3:uid="{CED53BCC-AC31-4E44-A5C7-E822A30BDE9A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F6ED3FA6-66B8-473A-95B6-117B27AB5E79}" name="Tableau847122149" displayName="Tableau847122149" ref="G30:H41" totalsRowCount="1" headerRowCellStyle="Monétaire" dataCellStyle="Monétaire" totalsRowCellStyle="Monétaire">
  <autoFilter ref="G30:H40" xr:uid="{4345232C-E6A1-4440-B89D-32C076DC5AA8}"/>
  <tableColumns count="2">
    <tableColumn id="1" xr3:uid="{DB232652-8BF1-4631-82E7-5390161BCD3B}" name="CU du matos rajouté acheté" totalsRowLabel="Total" dataCellStyle="Monétaire" totalsRowCellStyle="Monétaire"/>
    <tableColumn id="2" xr3:uid="{77AB2B73-3257-4348-9115-3A2A451E684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DC00BFC8-8539-4709-8D31-1EBC7DEF5D1D}" name="Tableau42840" displayName="Tableau42840" ref="B2:E13" totalsRowCount="1">
  <autoFilter ref="B2:E12" xr:uid="{7B789DA6-B5F4-4B3B-BBC6-6011299BD17E}"/>
  <tableColumns count="4">
    <tableColumn id="1" xr3:uid="{045A5849-413A-4BDA-993D-C72EF5679D0D}" name="Matériel" totalsRowLabel="Total"/>
    <tableColumn id="2" xr3:uid="{C18035A6-4DB6-459B-A097-AC0769D11FA7}" name="Présente dans la malle"/>
    <tableColumn id="3" xr3:uid="{0626C2ED-D62C-4523-97C9-254FBAB47B2A}" name="Demande"/>
    <tableColumn id="4" xr3:uid="{A59BF22A-71E1-4DD4-B0DA-833B8C6AED60}" name="Manque" totalsRowFunction="sum">
      <calculatedColumnFormula>Tableau42840[Demande]-Tableau42840[Présente dans la malle]</calculatedColumnFormula>
    </tableColumn>
  </tableColumns>
  <tableStyleInfo name="TableStyleDark4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A96DD85A-A8B1-4D3D-8548-86827BB22184}" name="Tableau472941" displayName="Tableau472941" ref="B16:E27" totalsRowCount="1">
  <autoFilter ref="B16:E26" xr:uid="{727F8FC6-E139-4DAE-8BBF-09EEAB5D1B8D}"/>
  <tableColumns count="4">
    <tableColumn id="1" xr3:uid="{11EB16BB-D8BC-421C-8443-AF7F6075655D}" name="Cablage" totalsRowLabel="Total"/>
    <tableColumn id="2" xr3:uid="{5B561EB0-DE00-4586-9BDE-A16B1D44E47F}" name="Présente dans la malle"/>
    <tableColumn id="3" xr3:uid="{489044E8-D690-4197-983A-7607E3473E44}" name="Demande"/>
    <tableColumn id="4" xr3:uid="{163291DC-A91B-4868-B22F-18E7F7E0A4D0}" name="Manque" totalsRowFunction="sum">
      <calculatedColumnFormula>Tableau472941[Demande]-Tableau472941[Présente dans la malle]</calculatedColumnFormula>
    </tableColumn>
  </tableColumns>
  <tableStyleInfo name="TableStyleDark4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18BD5675-CF9B-4511-9F03-6ED969750DC0}" name="Tableau4783042" displayName="Tableau4783042" ref="B30:E41" totalsRowCount="1">
  <autoFilter ref="B30:E40" xr:uid="{34E0B4A7-0861-40CC-9962-99958675CE14}"/>
  <tableColumns count="4">
    <tableColumn id="1" xr3:uid="{D3AFC820-64CF-444F-83C6-2D0C5157BCCD}" name="Mobilier" totalsRowLabel="Total"/>
    <tableColumn id="2" xr3:uid="{50C29FC6-19E4-47FF-A696-CD4CAF36B2F4}" name="Présente dans la malle"/>
    <tableColumn id="3" xr3:uid="{3E561A41-7149-4007-8E46-0D79FB548961}" name="Demande"/>
    <tableColumn id="4" xr3:uid="{C89ECFCA-73EF-4F85-B0DC-587F06F8F84E}" name="Manque" totalsRowFunction="sum">
      <calculatedColumnFormula>Tableau4783042[Demande]-Tableau4783042[Présente dans la malle]</calculatedColumnFormula>
    </tableColumn>
  </tableColumns>
  <tableStyleInfo name="TableStyleDark4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216718F6-CD02-41B4-9AC1-D272F82A1DE3}" name="Tableau8120150" displayName="Tableau8120150" ref="G2:H13" totalsRowCount="1" headerRowCellStyle="Monétaire" dataCellStyle="Monétaire" totalsRowCellStyle="Monétaire">
  <autoFilter ref="G2:H12" xr:uid="{D0C07806-4C16-4220-8D54-E8F3F454A5DD}"/>
  <tableColumns count="2">
    <tableColumn id="1" xr3:uid="{6F0135E2-6751-4CC5-938E-D3CE8EDB5452}" name="CU du matos rajouté acheté" totalsRowLabel="Total" dataCellStyle="Monétaire" totalsRowCellStyle="Monétaire"/>
    <tableColumn id="2" xr3:uid="{C1814B00-39D4-4102-996B-8CFC7912BB1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BADD1B5-AE5F-4697-AD38-88AC821CE8B6}" name="Tableau846121151" displayName="Tableau846121151" ref="G16:H27" totalsRowCount="1" headerRowCellStyle="Monétaire" dataCellStyle="Monétaire" totalsRowCellStyle="Monétaire">
  <autoFilter ref="G16:H26" xr:uid="{E050EAAC-D427-4DB9-AFF1-AF6F5C228CF6}"/>
  <tableColumns count="2">
    <tableColumn id="1" xr3:uid="{6AFBC4D5-1220-4998-AC21-E845CBF34357}" name="CU du matos rajouté acheté" totalsRowLabel="Total" dataCellStyle="Monétaire" totalsRowCellStyle="Monétaire"/>
    <tableColumn id="2" xr3:uid="{3106CBA9-B22E-43EB-BE86-BFBBF3EAE44D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4EAE5FA5-E45B-4A3C-9395-FFCBEB516248}" name="Tableau847122152" displayName="Tableau847122152" ref="G30:H41" totalsRowCount="1" headerRowCellStyle="Monétaire" dataCellStyle="Monétaire" totalsRowCellStyle="Monétaire">
  <autoFilter ref="G30:H40" xr:uid="{A115C70E-D5D1-419D-8E13-05DA9EFA6508}"/>
  <tableColumns count="2">
    <tableColumn id="1" xr3:uid="{F7563C00-DA45-4090-A466-B274C6D124F6}" name="CU du matos rajouté acheté" totalsRowLabel="Total" dataCellStyle="Monétaire" totalsRowCellStyle="Monétaire"/>
    <tableColumn id="2" xr3:uid="{3A2CB774-843E-4ED4-B4E4-0D44B37A703D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8350373D-60DB-48D0-B294-ADCCAAA1067B}" name="Tableau42843" displayName="Tableau42843" ref="B2:E13" totalsRowCount="1">
  <autoFilter ref="B2:E12" xr:uid="{7B085EF4-26E3-4862-B76C-E5208664F7F1}"/>
  <tableColumns count="4">
    <tableColumn id="1" xr3:uid="{263FE45D-5F5B-4FEC-A341-23BE61F7B081}" name="Matériel" totalsRowLabel="Total"/>
    <tableColumn id="2" xr3:uid="{2EF5CE07-FC24-4D78-83B6-51459E93A0F3}" name="Présente dans la malle"/>
    <tableColumn id="3" xr3:uid="{86AA9285-CD42-4D0E-8FF6-B2E12E5F3F4A}" name="Demande"/>
    <tableColumn id="4" xr3:uid="{1D0450BC-E48E-4142-BC40-C8EF036E560A}" name="Manque" totalsRowFunction="sum">
      <calculatedColumnFormula>Tableau42843[Demande]-Tableau42843[Présente dans la malle]</calculatedColumnFormula>
    </tableColumn>
  </tableColumns>
  <tableStyleInfo name="TableStyleDark4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C71A6703-F331-483F-9F61-FF4729110AFF}" name="Tableau472944" displayName="Tableau472944" ref="B16:E27" totalsRowCount="1">
  <autoFilter ref="B16:E26" xr:uid="{CA0EC0D7-4CD7-473A-9C1D-53EC349909E4}"/>
  <tableColumns count="4">
    <tableColumn id="1" xr3:uid="{5E5AFD0E-C295-4D86-B07F-9CEB4D57A87D}" name="Cablage" totalsRowLabel="Total"/>
    <tableColumn id="2" xr3:uid="{306FBB23-53AC-408C-AAAC-A90F5AED6CD0}" name="Présente dans la malle"/>
    <tableColumn id="3" xr3:uid="{6FEEDC82-6990-4F00-B1D5-B56A420B699B}" name="Demande"/>
    <tableColumn id="4" xr3:uid="{414E7FDA-C489-4BA0-995F-391A372FD9B0}" name="Manque" totalsRowFunction="sum">
      <calculatedColumnFormula>Tableau472944[Demande]-Tableau472944[Présente dans la malle]</calculatedColumnFormula>
    </tableColumn>
  </tableColumns>
  <tableStyleInfo name="TableStyleDark4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8597BF9A-F42B-4D56-A898-028F9370CBF3}" name="Tableau4783045" displayName="Tableau4783045" ref="B30:E41" totalsRowCount="1">
  <autoFilter ref="B30:E40" xr:uid="{20C45665-4BEF-4725-8C51-602DC950F4BA}"/>
  <tableColumns count="4">
    <tableColumn id="1" xr3:uid="{743E9DC6-554A-4891-A63B-C3EBB1789889}" name="Mobilier" totalsRowLabel="Total"/>
    <tableColumn id="2" xr3:uid="{4AF3E12A-4A48-443F-961E-B120FB1A3989}" name="Présente dans la malle"/>
    <tableColumn id="3" xr3:uid="{C5DF8660-FC8E-4EBD-9C6B-2794B7B8A188}" name="Demande"/>
    <tableColumn id="4" xr3:uid="{CFFCC588-DF71-48F7-BFC7-3A3F09630F4B}" name="Manque" totalsRowFunction="sum">
      <calculatedColumnFormula>Tableau4783045[Demande]-Tableau4783045[Présente dans la malle]</calculatedColumnFormula>
    </tableColumn>
  </tableColumns>
  <tableStyleInfo name="TableStyleDark4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6B6D409-5180-42F3-A9E1-3C9C5626FCAF}" name="Tableau8120153" displayName="Tableau8120153" ref="G2:H13" totalsRowCount="1" headerRowCellStyle="Monétaire" dataCellStyle="Monétaire" totalsRowCellStyle="Monétaire">
  <autoFilter ref="G2:H12" xr:uid="{B02A7619-AE5E-42E1-AB5D-E53B0BACA065}"/>
  <tableColumns count="2">
    <tableColumn id="1" xr3:uid="{6CC7C7BA-0966-4895-B863-28832444286F}" name="CU du matos rajouté acheté" totalsRowLabel="Total" dataCellStyle="Monétaire" totalsRowCellStyle="Monétaire"/>
    <tableColumn id="2" xr3:uid="{69A2AFCA-86E4-4333-8ED3-C12DFD6088B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342CDDD3-898E-4B50-87C6-EE15193954A8}" name="Tableau846121154" displayName="Tableau846121154" ref="G16:H27" totalsRowCount="1" headerRowCellStyle="Monétaire" dataCellStyle="Monétaire" totalsRowCellStyle="Monétaire">
  <autoFilter ref="G16:H26" xr:uid="{428C3EBF-5053-442A-B2F3-645321683C9D}"/>
  <tableColumns count="2">
    <tableColumn id="1" xr3:uid="{3184A136-0E54-467A-9FB9-2CF73395A9E9}" name="CU du matos rajouté acheté" totalsRowLabel="Total" dataCellStyle="Monétaire" totalsRowCellStyle="Monétaire"/>
    <tableColumn id="2" xr3:uid="{82845341-5A6F-4F15-8489-2014EEDD8DE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003F82EC-5801-4AFF-B44C-2C9E08B1BF12}" name="Tableau847122155" displayName="Tableau847122155" ref="G30:H41" totalsRowCount="1" headerRowCellStyle="Monétaire" dataCellStyle="Monétaire" totalsRowCellStyle="Monétaire">
  <autoFilter ref="G30:H40" xr:uid="{93F3CEDC-6E51-4B2D-8325-5D75A9978A5F}"/>
  <tableColumns count="2">
    <tableColumn id="1" xr3:uid="{C4C984A3-1632-4713-9296-98EDA62A3804}" name="CU du matos rajouté acheté" totalsRowLabel="Total" dataCellStyle="Monétaire" totalsRowCellStyle="Monétaire"/>
    <tableColumn id="2" xr3:uid="{738F0E6F-B8EB-4BCD-889D-018981D3F7AD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B699F699-2D62-4801-93DC-B43A6E2BF01C}" name="Tableau42849" displayName="Tableau42849" ref="B2:E13" totalsRowCount="1">
  <autoFilter ref="B2:E12" xr:uid="{4538A4C6-35A8-4328-997B-DBC6076BACCD}"/>
  <tableColumns count="4">
    <tableColumn id="1" xr3:uid="{6D2D29A6-D476-4977-A8D5-6717F59860FE}" name="Matériel" totalsRowLabel="Total"/>
    <tableColumn id="2" xr3:uid="{6B113BA2-110D-42FD-A640-F35EADE23F5B}" name="Présente dans la malle"/>
    <tableColumn id="3" xr3:uid="{D9ACB4AE-AC95-48F6-ABBE-AB51DCA0BBEA}" name="Demande"/>
    <tableColumn id="4" xr3:uid="{FF73B96C-881C-4346-B173-BBA0C9F92F93}" name="Manque" totalsRowFunction="sum">
      <calculatedColumnFormula>Tableau42849[Demande]-Tableau42849[Présente dans la malle]</calculatedColumnFormula>
    </tableColumn>
  </tableColumns>
  <tableStyleInfo name="TableStyleDark4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31CE14D4-B559-40C9-9B4A-9A606EDAD4C7}" name="Tableau472950" displayName="Tableau472950" ref="B16:E27" totalsRowCount="1">
  <autoFilter ref="B16:E26" xr:uid="{82848095-D8AB-45CA-BB14-85CF1E772220}"/>
  <tableColumns count="4">
    <tableColumn id="1" xr3:uid="{986105C6-9CE5-48BE-B3FE-D9A87430D4AA}" name="Cablage" totalsRowLabel="Total"/>
    <tableColumn id="2" xr3:uid="{E75FC63F-AC1F-4D6E-809E-8087E8DF089B}" name="Présente dans la malle"/>
    <tableColumn id="3" xr3:uid="{33DE1258-2A11-4EC0-BC00-14A532EF1913}" name="Demande"/>
    <tableColumn id="4" xr3:uid="{9E18E8BD-9A92-4068-91C4-BEDD6CA8795E}" name="Manque" totalsRowFunction="sum">
      <calculatedColumnFormula>Tableau472950[Demande]-Tableau472950[Présente dans la malle]</calculatedColumnFormula>
    </tableColumn>
  </tableColumns>
  <tableStyleInfo name="TableStyleDark4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C69BBD2B-1C5C-4DDE-9C81-61B896EC94D8}" name="Tableau4783051" displayName="Tableau4783051" ref="B30:E41" totalsRowCount="1">
  <autoFilter ref="B30:E40" xr:uid="{1D59005E-D323-4AB9-8D2D-AE762C334CEC}"/>
  <tableColumns count="4">
    <tableColumn id="1" xr3:uid="{159C84E6-6897-4AE8-9D03-E086C1C36EED}" name="Mobilier" totalsRowLabel="Total"/>
    <tableColumn id="2" xr3:uid="{60C6DA61-1D2B-48E4-B991-79557F8C591D}" name="Présente dans la malle"/>
    <tableColumn id="3" xr3:uid="{258F4C11-F73F-4364-86A3-BA909E933DFA}" name="Demande"/>
    <tableColumn id="4" xr3:uid="{BA3EBAB8-78E8-4737-A333-A44DE4B3F444}" name="Manque" totalsRowFunction="sum">
      <calculatedColumnFormula>Tableau4783051[Demande]-Tableau4783051[Présente dans la malle]</calculatedColumnFormula>
    </tableColumn>
  </tableColumns>
  <tableStyleInfo name="TableStyleDark4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AB389B6E-A813-4EEE-9380-7EFBF4ACAF60}" name="Tableau8120156" displayName="Tableau8120156" ref="G2:H13" totalsRowCount="1" headerRowCellStyle="Monétaire" dataCellStyle="Monétaire" totalsRowCellStyle="Monétaire">
  <autoFilter ref="G2:H12" xr:uid="{12D8732E-5022-4529-861B-D87C6ED98A5C}"/>
  <tableColumns count="2">
    <tableColumn id="1" xr3:uid="{A52AE509-FD2E-4DC0-81CE-7BD912CEBCC2}" name="CU du matos rajouté acheté" totalsRowLabel="Total" dataCellStyle="Monétaire" totalsRowCellStyle="Monétaire"/>
    <tableColumn id="2" xr3:uid="{3F4851B2-2DE9-4343-BC95-486BD049E43E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6" xr:uid="{9DE87BC0-7E6E-4400-9C86-BF581980A123}" name="Tableau846121157" displayName="Tableau846121157" ref="G16:H27" totalsRowCount="1" headerRowCellStyle="Monétaire" dataCellStyle="Monétaire" totalsRowCellStyle="Monétaire">
  <autoFilter ref="G16:H26" xr:uid="{52384D1D-0986-4733-945F-18CA98C6484D}"/>
  <tableColumns count="2">
    <tableColumn id="1" xr3:uid="{4FF7E0A1-78CC-4050-938E-64F1A4DCDEB1}" name="CU du matos rajouté acheté" totalsRowLabel="Total" dataCellStyle="Monétaire" totalsRowCellStyle="Monétaire"/>
    <tableColumn id="2" xr3:uid="{A6EAF986-07A7-4B7E-B647-87A3C208021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7" xr:uid="{847B1F33-8632-4FCD-B0A2-19D50AFCD14C}" name="Tableau847122158" displayName="Tableau847122158" ref="G30:H41" totalsRowCount="1" headerRowCellStyle="Monétaire" dataCellStyle="Monétaire" totalsRowCellStyle="Monétaire">
  <autoFilter ref="G30:H40" xr:uid="{0F997E3F-7D8F-44B2-8FB5-939208232B2D}"/>
  <tableColumns count="2">
    <tableColumn id="1" xr3:uid="{CA9D4DD6-FCE6-43D1-9C6B-94BD7C2A7B74}" name="CU du matos rajouté acheté" totalsRowLabel="Total" dataCellStyle="Monétaire" totalsRowCellStyle="Monétaire"/>
    <tableColumn id="2" xr3:uid="{6059153B-8590-4B30-B02E-0C1A547F707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48CFED5-EFC1-4C9C-95DA-75F9734362EA}" name="Tableau42852" displayName="Tableau42852" ref="B2:E13" totalsRowCount="1">
  <autoFilter ref="B2:E12" xr:uid="{A9DBF352-497C-4D9E-9D5F-5B2D6AFBEF9C}"/>
  <tableColumns count="4">
    <tableColumn id="1" xr3:uid="{F6AF7EF6-0CD1-42C9-8FD3-650C8BEC03AE}" name="Matériel" totalsRowLabel="Total"/>
    <tableColumn id="2" xr3:uid="{CA967568-2FB6-4BDF-AAAA-7A3753E27E0D}" name="Présente dans la malle"/>
    <tableColumn id="3" xr3:uid="{2437CF9B-8FFD-4630-9911-6CA10491C56D}" name="Demande"/>
    <tableColumn id="4" xr3:uid="{87F55DA1-2EC8-4396-96A1-39D67203281A}" name="Manque" totalsRowFunction="sum">
      <calculatedColumnFormula>Tableau42852[Demande]-Tableau42852[Présente dans la malle]</calculatedColumnFormula>
    </tableColumn>
  </tableColumns>
  <tableStyleInfo name="TableStyleDark4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98854AD7-10F5-48BE-A40F-011A982CCF8A}" name="Tableau472953" displayName="Tableau472953" ref="B16:E27" totalsRowCount="1">
  <autoFilter ref="B16:E26" xr:uid="{58017F8D-049A-4309-9A6C-47620982FEBB}"/>
  <tableColumns count="4">
    <tableColumn id="1" xr3:uid="{4FA20847-9441-4EFD-A880-D3D888DB27A5}" name="Cablage" totalsRowLabel="Total"/>
    <tableColumn id="2" xr3:uid="{969ACFCD-5DE3-4A90-8260-D7C05B8D9144}" name="Présente dans la malle"/>
    <tableColumn id="3" xr3:uid="{4A729EF4-B567-4A4F-A989-086784961167}" name="Demande"/>
    <tableColumn id="4" xr3:uid="{289F4D6A-1891-4286-9183-2EE685CC552F}" name="Manque" totalsRowFunction="sum">
      <calculatedColumnFormula>Tableau472953[Demande]-Tableau472953[Présente dans la malle]</calculatedColumnFormula>
    </tableColumn>
  </tableColumns>
  <tableStyleInfo name="TableStyleDark4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C5E3661F-730A-4F44-8FC6-823E8995A3B9}" name="Tableau4783054" displayName="Tableau4783054" ref="B30:E41" totalsRowCount="1">
  <autoFilter ref="B30:E40" xr:uid="{18C93A02-138B-4C4D-B2F5-DB3CFBF6C6EC}"/>
  <tableColumns count="4">
    <tableColumn id="1" xr3:uid="{ECCF81B2-972B-495F-BA37-D131D4C394A8}" name="Mobilier" totalsRowLabel="Total"/>
    <tableColumn id="2" xr3:uid="{1A52AB92-8CB8-40AD-9E10-B9865D1FA71F}" name="Présente dans la malle"/>
    <tableColumn id="3" xr3:uid="{D7909CF9-D6EB-4C4C-BC4A-A35A8A463119}" name="Demande"/>
    <tableColumn id="4" xr3:uid="{55070555-0E8C-4844-B596-C918ADFEE17A}" name="Manque" totalsRowFunction="sum">
      <calculatedColumnFormula>Tableau4783054[Demande]-Tableau4783054[Présente dans la malle]</calculatedColumnFormula>
    </tableColumn>
  </tableColumns>
  <tableStyleInfo name="TableStyleDark4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8" xr:uid="{35E0E4F2-A4B6-4EDC-852B-5874D3CC6AC1}" name="Tableau8120159" displayName="Tableau8120159" ref="G2:H13" totalsRowCount="1" headerRowCellStyle="Monétaire" dataCellStyle="Monétaire" totalsRowCellStyle="Monétaire">
  <autoFilter ref="G2:H12" xr:uid="{87564F3D-F486-40CB-B286-972499907D68}"/>
  <tableColumns count="2">
    <tableColumn id="1" xr3:uid="{270D4DEA-7237-4266-8955-481389B8B97C}" name="CU du matos rajouté acheté" totalsRowLabel="Total" dataCellStyle="Monétaire" totalsRowCellStyle="Monétaire"/>
    <tableColumn id="2" xr3:uid="{070009FB-2F15-404F-BF74-760F4999517A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9" xr:uid="{28E01D44-9D7C-4235-9A05-563EC68D7BC9}" name="Tableau846121160" displayName="Tableau846121160" ref="G16:H27" totalsRowCount="1" headerRowCellStyle="Monétaire" dataCellStyle="Monétaire" totalsRowCellStyle="Monétaire">
  <autoFilter ref="G16:H26" xr:uid="{8EE38257-8C14-4A0C-BAFC-DF332B9A79E4}"/>
  <tableColumns count="2">
    <tableColumn id="1" xr3:uid="{D54CE7A8-8ECB-4D60-B740-CF8DC87365CC}" name="CU du matos rajouté acheté" totalsRowLabel="Total" dataCellStyle="Monétaire" totalsRowCellStyle="Monétaire"/>
    <tableColumn id="2" xr3:uid="{59D7ED50-1148-4630-9ACE-DBCFDD3A642D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0" xr:uid="{CD500659-DCF9-4A8E-B0CB-5A69E73C17A0}" name="Tableau847122161" displayName="Tableau847122161" ref="G30:H41" totalsRowCount="1" headerRowCellStyle="Monétaire" dataCellStyle="Monétaire" totalsRowCellStyle="Monétaire">
  <autoFilter ref="G30:H40" xr:uid="{749A7E32-D8F8-404E-B391-29A04C33AC7C}"/>
  <tableColumns count="2">
    <tableColumn id="1" xr3:uid="{DEA8CF17-AE06-486A-A110-AB823528447B}" name="CU du matos rajouté acheté" totalsRowLabel="Total" dataCellStyle="Monétaire" totalsRowCellStyle="Monétaire"/>
    <tableColumn id="2" xr3:uid="{C08172FA-43A0-4738-A54D-5E8295CC2C22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7EF21E88-47C9-460D-9B3E-02179701A4AD}" name="Tableau42855" displayName="Tableau42855" ref="B2:E13" totalsRowCount="1">
  <autoFilter ref="B2:E12" xr:uid="{BE23D242-A55C-44B5-9AA5-4D90AD736EAD}"/>
  <tableColumns count="4">
    <tableColumn id="1" xr3:uid="{A567A4DF-1785-4901-9F69-BA50D2A0B01B}" name="Matériel" totalsRowLabel="Total"/>
    <tableColumn id="2" xr3:uid="{0D54ABBE-39EA-4E03-B59D-5310C489F253}" name="Présente dans la malle"/>
    <tableColumn id="3" xr3:uid="{6F1B1301-7E21-490E-8C7A-ED1348401446}" name="Demande"/>
    <tableColumn id="4" xr3:uid="{C4A1DB93-F7C0-467D-8846-4226E7354515}" name="Manque" totalsRowFunction="sum">
      <calculatedColumnFormula>Tableau42855[Demande]-Tableau42855[Présente dans la malle]</calculatedColumnFormula>
    </tableColumn>
  </tableColumns>
  <tableStyleInfo name="TableStyleDark4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708CE6FA-0EB1-4B66-BF53-314FDB2AD9BC}" name="Tableau472956" displayName="Tableau472956" ref="B16:E27" totalsRowCount="1">
  <autoFilter ref="B16:E26" xr:uid="{B86FC030-FBF2-4CB9-B165-FB4D254089DB}"/>
  <tableColumns count="4">
    <tableColumn id="1" xr3:uid="{C5A1D5F4-FFCF-49BB-8E0C-5080005188C9}" name="Cablage" totalsRowLabel="Total"/>
    <tableColumn id="2" xr3:uid="{E3557AB6-13D1-4EB2-AD27-C238331D4FAB}" name="Présente dans la malle"/>
    <tableColumn id="3" xr3:uid="{45A0027B-244E-45D0-A25D-9CE0153C2CDE}" name="Demande"/>
    <tableColumn id="4" xr3:uid="{D75F135A-031D-4076-8055-017E7C89DDF2}" name="Manque" totalsRowFunction="sum">
      <calculatedColumnFormula>Tableau472956[Demande]-Tableau472956[Présente dans la malle]</calculatedColumnFormula>
    </tableColumn>
  </tableColumns>
  <tableStyleInfo name="TableStyleDark4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B938A261-C095-4975-8997-BB81A1151CA5}" name="Tableau4783057" displayName="Tableau4783057" ref="B30:E41" totalsRowCount="1">
  <autoFilter ref="B30:E40" xr:uid="{4A4C916B-0B4C-43F5-A9CE-BDD71233E8CA}"/>
  <tableColumns count="4">
    <tableColumn id="1" xr3:uid="{0BECEDE6-ADAB-45C2-BD1A-43717466C78F}" name="Mobilier" totalsRowLabel="Total"/>
    <tableColumn id="2" xr3:uid="{EDE4F9EA-4CD5-4145-B0AC-029B438EAC57}" name="Présente dans la malle"/>
    <tableColumn id="3" xr3:uid="{8AE28BD7-3B02-4971-9DC2-ECEEA74572D7}" name="Demande"/>
    <tableColumn id="4" xr3:uid="{226368A3-CE7C-4320-AFE9-D5E9EBEE4373}" name="Manque" totalsRowFunction="sum">
      <calculatedColumnFormula>Tableau4783057[Demande]-Tableau4783057[Présente dans la malle]</calculatedColumnFormula>
    </tableColumn>
  </tableColumns>
  <tableStyleInfo name="TableStyleDark4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1" xr:uid="{E10D5494-E095-474E-BBB0-3C41351B0517}" name="Tableau8120162" displayName="Tableau8120162" ref="G2:H13" totalsRowCount="1" headerRowCellStyle="Monétaire" dataCellStyle="Monétaire" totalsRowCellStyle="Monétaire">
  <autoFilter ref="G2:H12" xr:uid="{F39F29EE-170F-4AA7-9829-10949B1BD8C4}"/>
  <tableColumns count="2">
    <tableColumn id="1" xr3:uid="{B6522856-9C4F-40AB-9119-5BAA8DED02C9}" name="CU du matos rajouté acheté" totalsRowLabel="Total" dataCellStyle="Monétaire" totalsRowCellStyle="Monétaire"/>
    <tableColumn id="2" xr3:uid="{57E09EC6-4C74-4FED-9002-CDF6936991A1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2" xr:uid="{33208FE0-D187-4451-BF52-8470F795C9CA}" name="Tableau846121163" displayName="Tableau846121163" ref="G16:H27" totalsRowCount="1" headerRowCellStyle="Monétaire" dataCellStyle="Monétaire" totalsRowCellStyle="Monétaire">
  <autoFilter ref="G16:H26" xr:uid="{A4B76048-BBC1-40D6-BEB2-D2FD4A99813B}"/>
  <tableColumns count="2">
    <tableColumn id="1" xr3:uid="{B8522F63-6080-4438-89F8-8444DBBCA2E2}" name="CU du matos rajouté acheté" totalsRowLabel="Total" dataCellStyle="Monétaire" totalsRowCellStyle="Monétaire"/>
    <tableColumn id="2" xr3:uid="{DC6FCE67-3C80-4348-A0C1-6F9ADD4A0FA7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3" xr:uid="{2B0468F8-C504-4AFA-9B55-BF10058B8828}" name="Tableau847122164" displayName="Tableau847122164" ref="G30:H41" totalsRowCount="1" headerRowCellStyle="Monétaire" dataCellStyle="Monétaire" totalsRowCellStyle="Monétaire">
  <autoFilter ref="G30:H40" xr:uid="{133332F8-E5BA-497F-AEA5-7E4BCA30600F}"/>
  <tableColumns count="2">
    <tableColumn id="1" xr3:uid="{AA97FB90-12EF-4DE8-B6AD-4B4ED9AE0E30}" name="CU du matos rajouté acheté" totalsRowLabel="Total" dataCellStyle="Monétaire" totalsRowCellStyle="Monétaire"/>
    <tableColumn id="2" xr3:uid="{A3517EB8-754A-47B5-9CCC-7DDA4984E388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2345C394-5E0E-4859-B3BA-6B2196DCA52F}" name="Tableau42858" displayName="Tableau42858" ref="B2:E13" totalsRowCount="1">
  <autoFilter ref="B2:E12" xr:uid="{BF72F9F5-CEEE-48E2-83A3-E97F568DEADA}"/>
  <tableColumns count="4">
    <tableColumn id="1" xr3:uid="{46789E96-E4A2-4E33-B48B-2FE099328383}" name="Matériel" totalsRowLabel="Total"/>
    <tableColumn id="2" xr3:uid="{2B6BF529-DAE0-4AD5-B156-DB4D7D8F87DD}" name="Présente dans la malle"/>
    <tableColumn id="3" xr3:uid="{3E30CF8E-96E1-470D-8787-B2E4265DEF6E}" name="Demande"/>
    <tableColumn id="4" xr3:uid="{E8819C3D-D693-436A-AD24-D54F98D9D847}" name="Manque" totalsRowFunction="sum">
      <calculatedColumnFormula>Tableau42858[Demande]-Tableau42858[Présente dans la malle]</calculatedColumnFormula>
    </tableColumn>
  </tableColumns>
  <tableStyleInfo name="TableStyleDark4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3A7285BE-A125-4E04-B2CC-1D2E4202DC77}" name="Tableau472959" displayName="Tableau472959" ref="B16:E27" totalsRowCount="1">
  <autoFilter ref="B16:E26" xr:uid="{5C240249-A28F-4ADF-9566-E7CC3E1F6C00}"/>
  <tableColumns count="4">
    <tableColumn id="1" xr3:uid="{AFD21884-72A6-4BBD-A758-127D68322B80}" name="Cablage" totalsRowLabel="Total"/>
    <tableColumn id="2" xr3:uid="{AF11FCDD-7BB2-4B42-900D-C5F70E6F16D6}" name="Présente dans la malle"/>
    <tableColumn id="3" xr3:uid="{C9928329-DABE-4A96-A1B8-5B8596C50070}" name="Demande"/>
    <tableColumn id="4" xr3:uid="{3A6553F1-ABA9-4DDC-A725-8E5B3CFDD9EF}" name="Manque" totalsRowFunction="sum">
      <calculatedColumnFormula>Tableau472959[Demande]-Tableau472959[Présente dans la malle]</calculatedColumnFormula>
    </tableColumn>
  </tableColumns>
  <tableStyleInfo name="TableStyleDark4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AF44EB40-6336-4C7E-950D-FBF9232D8A49}" name="Tableau4783060" displayName="Tableau4783060" ref="B30:E41" totalsRowCount="1">
  <autoFilter ref="B30:E40" xr:uid="{3DAB3CBA-51B5-4A02-A24E-41133AB5A3B4}"/>
  <tableColumns count="4">
    <tableColumn id="1" xr3:uid="{C26F1A00-77A6-43C7-81B9-496883BE145A}" name="Mobilier" totalsRowLabel="Total"/>
    <tableColumn id="2" xr3:uid="{2659A366-9097-46A0-BA95-E594DA17129D}" name="Présente dans la malle"/>
    <tableColumn id="3" xr3:uid="{A4B2BF4F-8CB7-41A2-8537-4EA9FC47A304}" name="Demande"/>
    <tableColumn id="4" xr3:uid="{6E5880A0-C49F-4948-AA8D-812CB73F555E}" name="Manque" totalsRowFunction="sum">
      <calculatedColumnFormula>Tableau4783060[Demande]-Tableau4783060[Présente dans la malle]</calculatedColumnFormula>
    </tableColumn>
  </tableColumns>
  <tableStyleInfo name="TableStyleDark4" showFirstColumn="0" showLastColumn="0" showRowStripes="1" showColumnStripes="0"/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4" xr:uid="{1CEF592E-753E-4132-B418-2676A9FFC2A8}" name="Tableau8120165" displayName="Tableau8120165" ref="G2:H13" totalsRowCount="1" headerRowCellStyle="Monétaire" dataCellStyle="Monétaire" totalsRowCellStyle="Monétaire">
  <autoFilter ref="G2:H12" xr:uid="{962ED04E-268C-4773-95F2-3D76881C4C83}"/>
  <tableColumns count="2">
    <tableColumn id="1" xr3:uid="{733147F8-52CD-4775-8E91-E9AA5BBA9917}" name="CU du matos rajouté acheté" totalsRowLabel="Total" dataCellStyle="Monétaire" totalsRowCellStyle="Monétaire"/>
    <tableColumn id="2" xr3:uid="{2481EAEE-BEB6-4100-9410-0C370E3F2C9B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5" xr:uid="{CBEA6A78-0173-4993-A05B-31C3F2DBD750}" name="Tableau846121166" displayName="Tableau846121166" ref="G16:H27" totalsRowCount="1" headerRowCellStyle="Monétaire" dataCellStyle="Monétaire" totalsRowCellStyle="Monétaire">
  <autoFilter ref="G16:H26" xr:uid="{9EEA2575-3B0B-47A7-A115-E04546EF5631}"/>
  <tableColumns count="2">
    <tableColumn id="1" xr3:uid="{ED3820F6-F4C3-4CDF-9EA6-7AD2D65EAB5D}" name="CU du matos rajouté acheté" totalsRowLabel="Total" dataCellStyle="Monétaire" totalsRowCellStyle="Monétaire"/>
    <tableColumn id="2" xr3:uid="{EC55EE3E-DE02-44DA-BDA1-73F402D2DE9E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6" xr:uid="{06781F0F-0A29-4DAF-A01E-15CECFB4AB34}" name="Tableau847122167" displayName="Tableau847122167" ref="G30:H41" totalsRowCount="1" headerRowCellStyle="Monétaire" dataCellStyle="Monétaire" totalsRowCellStyle="Monétaire">
  <autoFilter ref="G30:H40" xr:uid="{E9AF718F-A0DD-4E71-BFAD-B0409D1831B1}"/>
  <tableColumns count="2">
    <tableColumn id="1" xr3:uid="{23C14890-1678-44AC-ACB8-EE0F852B25E0}" name="CU du matos rajouté acheté" totalsRowLabel="Total" dataCellStyle="Monétaire" totalsRowCellStyle="Monétaire"/>
    <tableColumn id="2" xr3:uid="{DE7F0BA0-76C3-4EF2-91DB-AC02C3AF42F2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A2C6AE53-C6DB-482E-8002-873822BAC932}" name="Tableau42861" displayName="Tableau42861" ref="B2:E13" totalsRowCount="1">
  <autoFilter ref="B2:E12" xr:uid="{99198885-6D53-4E97-983E-2893088ADE5B}"/>
  <tableColumns count="4">
    <tableColumn id="1" xr3:uid="{2359F64A-29F3-4426-94DB-FB9A1C5F6FA1}" name="Matériel" totalsRowLabel="Total"/>
    <tableColumn id="2" xr3:uid="{7C09F2FE-265E-449A-89A7-E35362B7339A}" name="Présente dans la malle"/>
    <tableColumn id="3" xr3:uid="{B8A81C1C-CF87-4A4E-826C-EF3F78574297}" name="Demande"/>
    <tableColumn id="4" xr3:uid="{0B434424-B3A8-4A71-B420-874C7D75F596}" name="Manque" totalsRowFunction="sum">
      <calculatedColumnFormula>Tableau42861[Demande]-Tableau42861[Présente dans la malle]</calculatedColumnFormula>
    </tableColumn>
  </tableColumns>
  <tableStyleInfo name="TableStyleDark4" showFirstColumn="0" showLastColumn="0" showRowStripes="1" showColumnStripes="0"/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CDA663ED-37A8-429C-BBD2-BE6780D4BD26}" name="Tableau472962" displayName="Tableau472962" ref="B16:E27" totalsRowCount="1">
  <autoFilter ref="B16:E26" xr:uid="{FC86EF85-1733-41C7-97E5-36CCE995A3B4}"/>
  <tableColumns count="4">
    <tableColumn id="1" xr3:uid="{930F7F74-24D0-4974-A37E-EDAFA002D5A3}" name="Cablage" totalsRowLabel="Total"/>
    <tableColumn id="2" xr3:uid="{43AA3D80-6964-4252-9AC4-A20F981B9EB0}" name="Présente dans la malle"/>
    <tableColumn id="3" xr3:uid="{EAB4FC54-CA72-43AF-B697-7D97EC9AE7FA}" name="Demande"/>
    <tableColumn id="4" xr3:uid="{482485E4-3234-49A3-BA8C-1BC00A336C92}" name="Manque" totalsRowFunction="sum">
      <calculatedColumnFormula>Tableau472962[Demande]-Tableau472962[Présente dans la malle]</calculatedColumnFormula>
    </tableColumn>
  </tableColumns>
  <tableStyleInfo name="TableStyleDark4" showFirstColumn="0" showLastColumn="0" showRowStripes="1" showColumnStripes="0"/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D3614593-36DA-444B-B233-A3D462C98058}" name="Tableau4783063" displayName="Tableau4783063" ref="B30:E41" totalsRowCount="1">
  <autoFilter ref="B30:E40" xr:uid="{EFAAEBCF-5919-42F6-8AF2-86EB790C4621}"/>
  <tableColumns count="4">
    <tableColumn id="1" xr3:uid="{9DFB9BF2-DF11-46F8-950D-75D655241773}" name="Mobilier" totalsRowLabel="Total"/>
    <tableColumn id="2" xr3:uid="{4E2D4F49-E5B5-4F09-8450-EDEC9CC2961E}" name="Présente dans la malle"/>
    <tableColumn id="3" xr3:uid="{D2378223-D52D-45B5-8BA1-0FFD4F54CC44}" name="Demande"/>
    <tableColumn id="4" xr3:uid="{53C91FC3-0079-47AA-9A61-67C7E7BAD9ED}" name="Manque" totalsRowFunction="sum">
      <calculatedColumnFormula>Tableau4783063[Demande]-Tableau4783063[Présente dans la malle]</calculatedColumnFormula>
    </tableColumn>
  </tableColumns>
  <tableStyleInfo name="TableStyleDark4" showFirstColumn="0" showLastColumn="0" showRowStripes="1" showColumnStripes="0"/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7" xr:uid="{CB95A036-22D9-43D5-B8F1-C57D763DCBCB}" name="Tableau8120168" displayName="Tableau8120168" ref="G2:H13" totalsRowCount="1" headerRowCellStyle="Monétaire" dataCellStyle="Monétaire" totalsRowCellStyle="Monétaire">
  <autoFilter ref="G2:H12" xr:uid="{28DAD8DF-7472-4F14-8BF3-FE43DAD15C35}"/>
  <tableColumns count="2">
    <tableColumn id="1" xr3:uid="{62B85422-95D1-4267-8389-697701961F08}" name="CU du matos rajouté acheté" totalsRowLabel="Total" dataCellStyle="Monétaire" totalsRowCellStyle="Monétaire"/>
    <tableColumn id="2" xr3:uid="{AC23CCEA-4D63-4E73-8388-55B43F2402B6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8" xr:uid="{DDEF94A0-4064-4D49-B49A-8A88602786A7}" name="Tableau846121169" displayName="Tableau846121169" ref="G16:H27" totalsRowCount="1" headerRowCellStyle="Monétaire" dataCellStyle="Monétaire" totalsRowCellStyle="Monétaire">
  <autoFilter ref="G16:H26" xr:uid="{73824DF7-C341-43FD-88DB-FFB6B35DCBE8}"/>
  <tableColumns count="2">
    <tableColumn id="1" xr3:uid="{E3CEF1D9-4E00-4B66-80BA-08E4C696F768}" name="CU du matos rajouté acheté" totalsRowLabel="Total" dataCellStyle="Monétaire" totalsRowCellStyle="Monétaire"/>
    <tableColumn id="2" xr3:uid="{F3762C41-92D4-4F81-82F3-E445D3B2C2F5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9" xr:uid="{00EF8B70-624E-455A-B7F7-D81125C87A1B}" name="Tableau847122170" displayName="Tableau847122170" ref="G30:H41" totalsRowCount="1" headerRowCellStyle="Monétaire" dataCellStyle="Monétaire" totalsRowCellStyle="Monétaire">
  <autoFilter ref="G30:H40" xr:uid="{6C11D63D-7EC2-4240-9AEC-23E145408429}"/>
  <tableColumns count="2">
    <tableColumn id="1" xr3:uid="{BA67F60C-498A-46B3-993E-EB4AB218C79D}" name="CU du matos rajouté acheté" totalsRowLabel="Total" dataCellStyle="Monétaire" totalsRowCellStyle="Monétaire"/>
    <tableColumn id="2" xr3:uid="{B886754F-A160-4E1A-A5E3-66A2BB49EC1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EAD16C52-4FC7-494F-B12A-36247C810054}" name="Tableau4286164" displayName="Tableau4286164" ref="B2:E13" totalsRowCount="1">
  <autoFilter ref="B2:E12" xr:uid="{28859D30-5168-4BFE-A396-ADCFF24AFBBC}"/>
  <tableColumns count="4">
    <tableColumn id="1" xr3:uid="{00DAF54F-9608-4D4E-8821-9E746733120F}" name="Matériel" totalsRowLabel="Total"/>
    <tableColumn id="2" xr3:uid="{4C39F585-50C7-47F1-96C0-3316CD2DED37}" name="Présente dans la malle"/>
    <tableColumn id="3" xr3:uid="{DA9308CF-2511-4AFE-9009-D9FB2BD25BB4}" name="Demande"/>
    <tableColumn id="4" xr3:uid="{A5D8FE88-AA1B-4D91-B0F6-50F3B0C69FBD}" name="Manque" totalsRowFunction="sum">
      <calculatedColumnFormula>Tableau4286164[Demande]-Tableau4286164[Présente dans la malle]</calculatedColumnFormula>
    </tableColumn>
  </tableColumns>
  <tableStyleInfo name="TableStyleDark4" showFirstColumn="0" showLastColumn="0" showRowStripes="1" showColumnStripes="0"/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1909D0F9-4A2F-4B4D-9EDB-96E4CBF80DFF}" name="Tableau47296265" displayName="Tableau47296265" ref="B16:E27" totalsRowCount="1">
  <autoFilter ref="B16:E26" xr:uid="{0A3429C0-D5FC-427D-8D82-A68F9C4557A7}"/>
  <tableColumns count="4">
    <tableColumn id="1" xr3:uid="{6672F6A2-9643-4329-BE60-18EBC7636549}" name="Cablage" totalsRowLabel="Total"/>
    <tableColumn id="2" xr3:uid="{260A36C8-ECD1-4AA5-961C-79F6AE4EA994}" name="Présente dans la malle"/>
    <tableColumn id="3" xr3:uid="{7B059BF2-9781-4D1E-BC3E-2458EA870638}" name="Demande"/>
    <tableColumn id="4" xr3:uid="{CF35C460-D6F6-4720-98A2-E2FBF98497FC}" name="Manque" totalsRowFunction="sum">
      <calculatedColumnFormula>Tableau47296265[Demande]-Tableau47296265[Présente dans la malle]</calculatedColumnFormula>
    </tableColumn>
  </tableColumns>
  <tableStyleInfo name="TableStyleDark4" showFirstColumn="0" showLastColumn="0" showRowStripes="1" showColumnStripes="0"/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95364921-5E15-4E2B-A76A-B9B849C30F64}" name="Tableau478306366" displayName="Tableau478306366" ref="B30:E41" totalsRowCount="1">
  <autoFilter ref="B30:E40" xr:uid="{9DFAFAFD-8E5A-4D88-88EF-F2811E617501}"/>
  <tableColumns count="4">
    <tableColumn id="1" xr3:uid="{31372847-F3CE-4440-A387-9A2CB770EF3D}" name="Mobilier" totalsRowLabel="Total"/>
    <tableColumn id="2" xr3:uid="{F747CE9F-C6FC-44D0-87A2-9EFBF12D141E}" name="Présente dans la malle"/>
    <tableColumn id="3" xr3:uid="{225551F0-807E-4722-B61C-8B7FEE040F93}" name="Demande"/>
    <tableColumn id="4" xr3:uid="{BD114C21-2293-4E3A-A4FC-5FC2445C8625}" name="Manque" totalsRowFunction="sum">
      <calculatedColumnFormula>Tableau478306366[Demande]-Tableau478306366[Présente dans la malle]</calculatedColumnFormula>
    </tableColumn>
  </tableColumns>
  <tableStyleInfo name="TableStyleDark4" showFirstColumn="0" showLastColumn="0" showRowStripes="1" showColumnStripes="0"/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0" xr:uid="{11544019-0937-43F9-B323-96ECBA2B5054}" name="Tableau8120171" displayName="Tableau8120171" ref="G2:H13" totalsRowCount="1" headerRowCellStyle="Monétaire" dataCellStyle="Monétaire" totalsRowCellStyle="Monétaire">
  <autoFilter ref="G2:H12" xr:uid="{EE7EB61A-B74B-48C6-B1B3-C5932931E593}"/>
  <tableColumns count="2">
    <tableColumn id="1" xr3:uid="{A7673D61-37A9-427B-A631-BD40277CC258}" name="CU du matos rajouté acheté" totalsRowLabel="Total" dataCellStyle="Monétaire" totalsRowCellStyle="Monétaire"/>
    <tableColumn id="2" xr3:uid="{5CC33B7D-E435-4A5F-87F8-4FE9B4CC635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1" xr:uid="{BC9463E0-A0A8-4BFB-9058-3FFF59979684}" name="Tableau846121172" displayName="Tableau846121172" ref="G16:H27" totalsRowCount="1" headerRowCellStyle="Monétaire" dataCellStyle="Monétaire" totalsRowCellStyle="Monétaire">
  <autoFilter ref="G16:H26" xr:uid="{ECFD9D18-4AE7-4219-97F8-049D39503B92}"/>
  <tableColumns count="2">
    <tableColumn id="1" xr3:uid="{BE04B6CE-5330-45EF-9526-3F6953E198FA}" name="CU du matos rajouté acheté" totalsRowLabel="Total" dataCellStyle="Monétaire" totalsRowCellStyle="Monétaire"/>
    <tableColumn id="2" xr3:uid="{9078F6C7-E440-4318-A173-D183AB04136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2" xr:uid="{9370FC70-FF02-4E75-BD81-10A40173C297}" name="Tableau847122173" displayName="Tableau847122173" ref="G30:H41" totalsRowCount="1" headerRowCellStyle="Monétaire" dataCellStyle="Monétaire" totalsRowCellStyle="Monétaire">
  <autoFilter ref="G30:H40" xr:uid="{73B349B0-C33A-45BD-9A0F-3802BC848FD5}"/>
  <tableColumns count="2">
    <tableColumn id="1" xr3:uid="{4775355E-AD48-45B8-8440-64B426532B6E}" name="CU du matos rajouté acheté" totalsRowLabel="Total" dataCellStyle="Monétaire" totalsRowCellStyle="Monétaire"/>
    <tableColumn id="2" xr3:uid="{00812832-8B36-455E-849A-0D003C12C6F7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72BC1A20-FFFA-4DCA-B993-5112730E9CF6}" name="Tableau4286167" displayName="Tableau4286167" ref="B2:E13" totalsRowCount="1">
  <autoFilter ref="B2:E12" xr:uid="{C55DBD9E-8D1C-4258-AF2F-5F868A3339A1}"/>
  <tableColumns count="4">
    <tableColumn id="1" xr3:uid="{9C3BB4CA-288A-4855-B9C0-EB65CE77F5E7}" name="Matériel" totalsRowLabel="Total"/>
    <tableColumn id="2" xr3:uid="{2DAA8DF6-9B1D-4CBB-BB15-D163B1D837EF}" name="Présente dans la malle"/>
    <tableColumn id="3" xr3:uid="{59B21B94-7EE6-46F2-BC25-22B843A8B53E}" name="Demande"/>
    <tableColumn id="4" xr3:uid="{0771BF22-AA9D-451F-80A6-F4C512275D0A}" name="Manque" totalsRowFunction="sum">
      <calculatedColumnFormula>Tableau4286167[Demande]-Tableau4286167[Présente dans la malle]</calculatedColumnFormula>
    </tableColumn>
  </tableColumns>
  <tableStyleInfo name="TableStyleDark4" showFirstColumn="0" showLastColumn="0" showRowStripes="1" showColumnStripes="0"/>
</table>
</file>

<file path=xl/tables/table1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3853851C-2195-46F1-BC71-66E2FB56EAC0}" name="Tableau47296268" displayName="Tableau47296268" ref="B16:E27" totalsRowCount="1">
  <autoFilter ref="B16:E26" xr:uid="{9EA346D3-81B7-4060-B525-C4F3DDF24A56}"/>
  <tableColumns count="4">
    <tableColumn id="1" xr3:uid="{E3A0C485-7DF1-4D4A-98C1-2D8B749A1593}" name="Cablage" totalsRowLabel="Total"/>
    <tableColumn id="2" xr3:uid="{826ED556-0988-44AF-941E-6D0BDCC605FE}" name="Présente dans la malle"/>
    <tableColumn id="3" xr3:uid="{20248227-3C80-433B-B551-94FED657DC17}" name="Demande"/>
    <tableColumn id="4" xr3:uid="{16AB1FFC-CF11-4031-B24A-2A43510AFC60}" name="Manque" totalsRowFunction="sum">
      <calculatedColumnFormula>Tableau47296268[Demande]-Tableau47296268[Présente dans la malle]</calculatedColumnFormula>
    </tableColumn>
  </tableColumns>
  <tableStyleInfo name="TableStyleDark4" showFirstColumn="0" showLastColumn="0" showRowStripes="1" showColumnStripes="0"/>
</table>
</file>

<file path=xl/tables/table1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67C521C2-6E98-4577-A3BE-010F0FCC5656}" name="Tableau478306369" displayName="Tableau478306369" ref="B30:E41" totalsRowCount="1">
  <autoFilter ref="B30:E40" xr:uid="{2A85EC39-08A2-416B-80C1-7DE6BFEDB6B1}"/>
  <tableColumns count="4">
    <tableColumn id="1" xr3:uid="{1DB078B9-15F9-40F2-90A7-567730F77043}" name="Mobilier" totalsRowLabel="Total"/>
    <tableColumn id="2" xr3:uid="{82EB2961-E52E-4A64-A133-3B77760E2559}" name="Présente dans la malle"/>
    <tableColumn id="3" xr3:uid="{37BB2115-A3AB-40D8-B6B8-E1C4E6343F7A}" name="Demande"/>
    <tableColumn id="4" xr3:uid="{9232B168-492B-4E28-B82E-EE56E7B10DE7}" name="Manque" totalsRowFunction="sum">
      <calculatedColumnFormula>Tableau478306369[Demande]-Tableau478306369[Présente dans la malle]</calculatedColumnFormula>
    </tableColumn>
  </tableColumns>
  <tableStyleInfo name="TableStyleDark4" showFirstColumn="0" showLastColumn="0" showRowStripes="1" showColumnStripes="0"/>
</table>
</file>

<file path=xl/tables/table1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3" xr:uid="{737EE273-8F63-478D-9C95-999435B742CD}" name="Tableau8120174" displayName="Tableau8120174" ref="G2:H13" totalsRowCount="1" headerRowCellStyle="Monétaire" dataCellStyle="Monétaire" totalsRowCellStyle="Monétaire">
  <autoFilter ref="G2:H12" xr:uid="{D476B48C-A248-4130-A979-86A3A17701E3}"/>
  <tableColumns count="2">
    <tableColumn id="1" xr3:uid="{91EBE4C2-F25E-470C-B4CE-068A022D4F34}" name="CU du matos rajouté acheté" totalsRowLabel="Total" dataCellStyle="Monétaire" totalsRowCellStyle="Monétaire"/>
    <tableColumn id="2" xr3:uid="{64173810-F9E6-43A0-8668-D4A551441D06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4" xr:uid="{48F96700-6501-4B54-ACD7-6AF598DA5EB0}" name="Tableau846121175" displayName="Tableau846121175" ref="G16:H27" totalsRowCount="1" headerRowCellStyle="Monétaire" dataCellStyle="Monétaire" totalsRowCellStyle="Monétaire">
  <autoFilter ref="G16:H26" xr:uid="{32D18749-83EA-4178-8AEC-D876D9D5B3BF}"/>
  <tableColumns count="2">
    <tableColumn id="1" xr3:uid="{8464AE34-7D9F-4FAD-B028-C172403E7E52}" name="CU du matos rajouté acheté" totalsRowLabel="Total" dataCellStyle="Monétaire" totalsRowCellStyle="Monétaire"/>
    <tableColumn id="2" xr3:uid="{09C7BA88-C1DB-4AA6-B9E5-408A6098F397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5" xr:uid="{9BC22C70-7641-4E41-BE87-BDBEE41900B9}" name="Tableau847122176" displayName="Tableau847122176" ref="G30:H41" totalsRowCount="1" headerRowCellStyle="Monétaire" dataCellStyle="Monétaire" totalsRowCellStyle="Monétaire">
  <autoFilter ref="G30:H40" xr:uid="{04A76EFA-7C71-473A-87FC-A60979AE44E3}"/>
  <tableColumns count="2">
    <tableColumn id="1" xr3:uid="{884EB9B6-6B13-47B3-AF36-D92365BEDD9E}" name="CU du matos rajouté acheté" totalsRowLabel="Total" dataCellStyle="Monétaire" totalsRowCellStyle="Monétaire"/>
    <tableColumn id="2" xr3:uid="{95337C59-4D20-4683-BF1A-7D27F016C63B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39171A2F-1842-47DC-B5A6-535A52444DB1}" name="Tableau4286170" displayName="Tableau4286170" ref="B2:E13" totalsRowCount="1">
  <autoFilter ref="B2:E12" xr:uid="{4A7FE768-D471-4727-BD14-02CDA9BE8465}"/>
  <tableColumns count="4">
    <tableColumn id="1" xr3:uid="{1398393F-D0E3-4C14-B666-583D0E3FE4E7}" name="Matériel" totalsRowLabel="Total"/>
    <tableColumn id="2" xr3:uid="{D0D2E3EB-5133-492D-A92F-201E1D411CFA}" name="Présente dans la malle"/>
    <tableColumn id="3" xr3:uid="{A2131911-A85C-4639-953F-1B947D7EBEA0}" name="Demande"/>
    <tableColumn id="4" xr3:uid="{509AF232-B692-4A35-8EF6-CDBE331BCD51}" name="Manque" totalsRowFunction="sum">
      <calculatedColumnFormula>Tableau4286170[Demande]-Tableau4286170[Présente dans la malle]</calculatedColumnFormula>
    </tableColumn>
  </tableColumns>
  <tableStyleInfo name="TableStyleDark4" showFirstColumn="0" showLastColumn="0" showRowStripes="1" showColumnStripes="0"/>
</table>
</file>

<file path=xl/tables/table1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DB4F5399-5D1E-429D-8E60-AAEE0812A2AE}" name="Tableau47296271" displayName="Tableau47296271" ref="B16:E27" totalsRowCount="1">
  <autoFilter ref="B16:E26" xr:uid="{96A550DE-45DD-4C93-AE53-DB7E9489A85E}"/>
  <tableColumns count="4">
    <tableColumn id="1" xr3:uid="{CBAA0E34-B45C-408F-A9BB-F7055B1A81FB}" name="Cablage" totalsRowLabel="Total"/>
    <tableColumn id="2" xr3:uid="{C33DEE8D-6DC3-40B9-8989-8950E38665D6}" name="Présente dans la malle"/>
    <tableColumn id="3" xr3:uid="{1C7A7EBE-FD0C-4BD3-8C48-6ACA9933B925}" name="Demande"/>
    <tableColumn id="4" xr3:uid="{252009D1-E484-47B9-9F67-B3E3A42A2585}" name="Manque" totalsRowFunction="sum">
      <calculatedColumnFormula>Tableau47296271[Demande]-Tableau47296271[Présente dans la malle]</calculatedColumnFormula>
    </tableColumn>
  </tableColumns>
  <tableStyleInfo name="TableStyleDark4" showFirstColumn="0" showLastColumn="0" showRowStripes="1" showColumnStripes="0"/>
</table>
</file>

<file path=xl/tables/table1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C94B822D-BCED-4BBF-A558-E29ACDA19319}" name="Tableau478306372" displayName="Tableau478306372" ref="B30:E41" totalsRowCount="1">
  <autoFilter ref="B30:E40" xr:uid="{5142AD57-50BB-4919-99D8-A285BABBB305}"/>
  <tableColumns count="4">
    <tableColumn id="1" xr3:uid="{E9E0BA1A-D22C-4F1A-AFA0-B29CE795C467}" name="Mobilier" totalsRowLabel="Total"/>
    <tableColumn id="2" xr3:uid="{01471F34-1E62-4FD7-99B8-9F6CCF2359EB}" name="Présente dans la malle"/>
    <tableColumn id="3" xr3:uid="{DB42C0AA-C56F-4104-B3D2-23446F1CAE87}" name="Demande"/>
    <tableColumn id="4" xr3:uid="{9F915CD0-C5E7-42BA-9FC0-FD4D78960531}" name="Manque" totalsRowFunction="sum">
      <calculatedColumnFormula>Tableau478306372[Demande]-Tableau478306372[Présente dans la malle]</calculatedColumnFormula>
    </tableColumn>
  </tableColumns>
  <tableStyleInfo name="TableStyleDark4" showFirstColumn="0" showLastColumn="0" showRowStripes="1" showColumnStripes="0"/>
</table>
</file>

<file path=xl/tables/table1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6" xr:uid="{2BF3E885-5353-4F0F-8264-9B0FC69342C4}" name="Tableau8120177" displayName="Tableau8120177" ref="G2:H13" totalsRowCount="1" headerRowCellStyle="Monétaire" dataCellStyle="Monétaire" totalsRowCellStyle="Monétaire">
  <autoFilter ref="G2:H12" xr:uid="{9ED9ACFE-D592-4BFF-9BD4-6E553184E6D4}">
    <filterColumn colId="0" hiddenButton="1"/>
    <filterColumn colId="1" hiddenButton="1"/>
  </autoFilter>
  <tableColumns count="2">
    <tableColumn id="1" xr3:uid="{6EE6B04F-FDD1-4244-9636-8F7FAB465C82}" name="CU du matos rajouté acheté" totalsRowLabel="Total" totalsRowDxfId="67" dataCellStyle="Monétaire"/>
    <tableColumn id="2" xr3:uid="{ACEB952D-50EA-4078-BFE5-8359CC5B0848}" name="CT" totalsRowFunction="count" totalsRowDxfId="66" dataCellStyle="Monétaire"/>
  </tableColumns>
  <tableStyleInfo name="TableStyleMedium8" showFirstColumn="0" showLastColumn="0" showRowStripes="1" showColumnStripes="0"/>
</table>
</file>

<file path=xl/tables/table1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7" xr:uid="{D1DC8158-17B4-443B-BA0F-E8B71F98FA99}" name="Tableau846121178" displayName="Tableau846121178" ref="G16:H27" totalsRowCount="1" headerRowCellStyle="Monétaire" dataCellStyle="Monétaire" totalsRowCellStyle="Monétaire">
  <autoFilter ref="G16:H26" xr:uid="{55432319-9E96-4BF9-8D7D-ECCC8899FC6B}">
    <filterColumn colId="0" hiddenButton="1"/>
    <filterColumn colId="1" hiddenButton="1"/>
  </autoFilter>
  <tableColumns count="2">
    <tableColumn id="1" xr3:uid="{08620B2A-40A2-4850-95E8-FD9C00DAACAA}" name="CU du matos rajouté acheté" totalsRowLabel="Total" dataCellStyle="Monétaire" totalsRowCellStyle="Monétaire"/>
    <tableColumn id="2" xr3:uid="{6AB6594D-41E2-4594-863D-E85D9E8E1049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8" xr:uid="{643A7B88-A7E7-41D6-94EE-CA876628ED54}" name="Tableau847122179" displayName="Tableau847122179" ref="G30:H41" totalsRowCount="1" headerRowCellStyle="Monétaire" dataCellStyle="Monétaire" totalsRowCellStyle="Monétaire">
  <autoFilter ref="G30:H40" xr:uid="{E55525D6-9A2F-41F9-B9C7-2AE9E2538583}">
    <filterColumn colId="0" hiddenButton="1"/>
    <filterColumn colId="1" hiddenButton="1"/>
  </autoFilter>
  <tableColumns count="2">
    <tableColumn id="1" xr3:uid="{5990B018-D497-4EA0-A151-6FD2C892C3AB}" name="CU du matos rajouté acheté" totalsRowLabel="Total" dataCellStyle="Monétaire" totalsRowCellStyle="Monétaire"/>
    <tableColumn id="2" xr3:uid="{1A950C12-E3C6-4249-9F39-D919B0B8A3CA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01ED6D51-66DB-4A19-A1DF-6C93367C4BBB}" name="Tableau4286173" displayName="Tableau4286173" ref="B2:E13" totalsRowCount="1">
  <autoFilter ref="B2:E12" xr:uid="{2FB48364-AA2B-476F-8B55-C293AF44291B}"/>
  <tableColumns count="4">
    <tableColumn id="1" xr3:uid="{37752431-A76A-46B4-AD8A-A9B64908DA38}" name="Matériel" totalsRowLabel="Total"/>
    <tableColumn id="2" xr3:uid="{1C3D4A27-616E-4A81-AAC0-6E9596C215D4}" name="Présente dans la malle"/>
    <tableColumn id="3" xr3:uid="{A6F03DDE-0184-4485-B725-50BC197484B1}" name="Demande"/>
    <tableColumn id="4" xr3:uid="{D42CF80B-A77A-4535-A46F-30D8E9654185}" name="Manque" totalsRowFunction="sum">
      <calculatedColumnFormula>Tableau4286173[Demande]-Tableau4286173[Présente dans la malle]</calculatedColumnFormula>
    </tableColumn>
  </tableColumns>
  <tableStyleInfo name="TableStyleDark4" showFirstColumn="0" showLastColumn="0" showRowStripes="1" showColumnStripes="0"/>
</table>
</file>

<file path=xl/tables/table1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39C35B9C-E961-4934-A66D-0F9920BED429}" name="Tableau47296274" displayName="Tableau47296274" ref="B16:E27" totalsRowCount="1">
  <autoFilter ref="B16:E26" xr:uid="{58E568C6-29BA-45A6-BC76-B73A90CE5274}"/>
  <tableColumns count="4">
    <tableColumn id="1" xr3:uid="{E26EB2A8-FFBF-4F8E-ABB9-99E4C05C7ADA}" name="Cablage" totalsRowLabel="Total"/>
    <tableColumn id="2" xr3:uid="{D18DACBD-00D6-412C-9071-52585AAE5AE0}" name="Présente dans la malle"/>
    <tableColumn id="3" xr3:uid="{3E04191F-9B7B-4F73-867C-65FB7C52BD30}" name="Demande"/>
    <tableColumn id="4" xr3:uid="{56E16A9A-54F0-4BEE-A934-A1957CC1CD3F}" name="Manque" totalsRowFunction="sum">
      <calculatedColumnFormula>Tableau47296274[Demande]-Tableau47296274[Présente dans la malle]</calculatedColumnFormula>
    </tableColumn>
  </tableColumns>
  <tableStyleInfo name="TableStyleDark4" showFirstColumn="0" showLastColumn="0" showRowStripes="1" showColumnStripes="0"/>
</table>
</file>

<file path=xl/tables/table1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7A3501BD-9B8A-4C1B-9615-6D9B213614F4}" name="Tableau478306375" displayName="Tableau478306375" ref="B30:E41" totalsRowCount="1">
  <autoFilter ref="B30:E40" xr:uid="{6F15ED2D-0864-4D31-A900-60C36F706F62}"/>
  <tableColumns count="4">
    <tableColumn id="1" xr3:uid="{95900F68-D248-4D86-BF0A-E905FDA0BA5E}" name="Mobilier" totalsRowLabel="Total"/>
    <tableColumn id="2" xr3:uid="{C5973372-266D-4920-BA56-4F7A6E8C5AC7}" name="Présente dans la malle"/>
    <tableColumn id="3" xr3:uid="{949C6E04-707A-4BDD-8C07-48360C4FBB31}" name="Demande"/>
    <tableColumn id="4" xr3:uid="{D34FEF2A-E84F-43E5-9E8D-9E02C806FA43}" name="Manque" totalsRowFunction="sum">
      <calculatedColumnFormula>Tableau478306375[Demande]-Tableau478306375[Présente dans la malle]</calculatedColumnFormula>
    </tableColumn>
  </tableColumns>
  <tableStyleInfo name="TableStyleDark4" showFirstColumn="0" showLastColumn="0" showRowStripes="1" showColumnStripes="0"/>
</table>
</file>

<file path=xl/tables/table1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9" xr:uid="{54616D07-ACB7-4444-B783-69BB3A89CBD3}" name="Tableau8120177180" displayName="Tableau8120177180" ref="G2:H13" totalsRowCount="1" headerRowCellStyle="Monétaire" dataCellStyle="Monétaire" totalsRowCellStyle="Monétaire">
  <autoFilter ref="G2:H12" xr:uid="{5B958532-E745-4E94-9DE8-4A53EA815C38}"/>
  <tableColumns count="2">
    <tableColumn id="1" xr3:uid="{2985F4A2-D8E1-4C81-B19D-B9A8A4E90751}" name="CU du matos rajouté acheté" totalsRowLabel="Total" totalsRowDxfId="56" dataCellStyle="Monétaire"/>
    <tableColumn id="2" xr3:uid="{06D6C2C6-6F5A-4373-9644-E09214536ABC}" name="CT" totalsRowFunction="count" totalsRowDxfId="55" dataCellStyle="Monétaire"/>
  </tableColumns>
  <tableStyleInfo name="TableStyleMedium8" showFirstColumn="0" showLastColumn="0" showRowStripes="1" showColumnStripes="0"/>
</table>
</file>

<file path=xl/tables/table1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0" xr:uid="{377AEA35-21EC-4311-AC2F-644942E4CD52}" name="Tableau846121178181" displayName="Tableau846121178181" ref="G16:H27" totalsRowCount="1" headerRowCellStyle="Monétaire" dataCellStyle="Monétaire" totalsRowCellStyle="Monétaire">
  <autoFilter ref="G16:H26" xr:uid="{EF3D5AEC-CE9E-41CB-A8CD-DA94104B7DFA}"/>
  <tableColumns count="2">
    <tableColumn id="1" xr3:uid="{A22F93CF-9A3B-4E97-AE80-C9EB5F75CBCD}" name="CU du matos rajouté acheté" totalsRowLabel="Total" dataCellStyle="Monétaire" totalsRowCellStyle="Monétaire"/>
    <tableColumn id="2" xr3:uid="{D673CE2A-42FC-4C88-8644-597248035003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1" xr:uid="{3CFACEE3-B230-412F-B12D-CDCABFE48D2F}" name="Tableau847122179182" displayName="Tableau847122179182" ref="G30:H41" totalsRowCount="1" headerRowCellStyle="Monétaire" dataCellStyle="Monétaire" totalsRowCellStyle="Monétaire">
  <autoFilter ref="G30:H40" xr:uid="{49E1E649-F84C-4A4F-87F1-9A4FF57A3D7D}"/>
  <tableColumns count="2">
    <tableColumn id="1" xr3:uid="{EC7D2E74-7879-421E-9EE2-31B382F22E79}" name="CU du matos rajouté acheté" totalsRowLabel="Total" dataCellStyle="Monétaire" totalsRowCellStyle="Monétaire"/>
    <tableColumn id="2" xr3:uid="{B45CD23A-E7DD-498C-8751-C40BD667C12B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FBAF9127-A18E-47DB-B56F-4CBBB6B57D46}" name="Tableau4286176" displayName="Tableau4286176" ref="B2:E13" totalsRowCount="1">
  <autoFilter ref="B2:E12" xr:uid="{8F00A878-1F9E-4612-A94B-F9092589E975}"/>
  <tableColumns count="4">
    <tableColumn id="1" xr3:uid="{E48CE8B8-7F1E-47B9-A73E-86A4A5128CCF}" name="Matériel" totalsRowLabel="Total"/>
    <tableColumn id="2" xr3:uid="{E4AB88D7-D899-47A4-8ECA-1ACE93741925}" name="Présente dans la malle"/>
    <tableColumn id="3" xr3:uid="{9E9E0768-01D4-4746-9B0B-593B78344218}" name="Demande"/>
    <tableColumn id="4" xr3:uid="{2402B236-43E3-43F5-A860-6EF49F954AAA}" name="Manque" totalsRowFunction="sum">
      <calculatedColumnFormula>Tableau4286176[Demande]-Tableau4286176[Présente dans la malle]</calculatedColumnFormula>
    </tableColumn>
  </tableColumns>
  <tableStyleInfo name="TableStyleDark4" showFirstColumn="0" showLastColumn="0" showRowStripes="1" showColumnStripes="0"/>
</table>
</file>

<file path=xl/tables/table1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D1956AE5-B0FC-407D-AAB3-E2AACCB47EEF}" name="Tableau47296277" displayName="Tableau47296277" ref="B16:E27" totalsRowCount="1">
  <autoFilter ref="B16:E26" xr:uid="{93AD1738-1E87-43DA-9999-2D589AFB3792}"/>
  <tableColumns count="4">
    <tableColumn id="1" xr3:uid="{0107F59F-1696-4485-BDA0-D6CD9094CE26}" name="Cablage" totalsRowLabel="Total"/>
    <tableColumn id="2" xr3:uid="{DDC31687-2B1E-47E5-A661-D19A649337C5}" name="Présente dans la malle"/>
    <tableColumn id="3" xr3:uid="{2D5F940D-DEE2-4B59-B774-4592BD93E4FC}" name="Demande"/>
    <tableColumn id="4" xr3:uid="{24AE53D5-0784-4154-9049-E26CA91E6D0B}" name="Manque" totalsRowFunction="sum">
      <calculatedColumnFormula>Tableau47296277[Demande]-Tableau47296277[Présente dans la malle]</calculatedColumnFormula>
    </tableColumn>
  </tableColumns>
  <tableStyleInfo name="TableStyleDark4" showFirstColumn="0" showLastColumn="0" showRowStripes="1" showColumnStripes="0"/>
</table>
</file>

<file path=xl/tables/table1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65C8B3B4-1004-41F1-B2D9-722540CE6BAB}" name="Tableau478306378" displayName="Tableau478306378" ref="B30:E41" totalsRowCount="1">
  <autoFilter ref="B30:E40" xr:uid="{3BA5C1FD-FD27-4A00-A12E-692CB7205B67}"/>
  <tableColumns count="4">
    <tableColumn id="1" xr3:uid="{05EF8471-4DBB-444B-9CB8-2ACE7D1A056E}" name="Mobilier" totalsRowLabel="Total"/>
    <tableColumn id="2" xr3:uid="{CF1E4B68-58B5-4C98-A1BF-15F719A78B18}" name="Présente dans la malle"/>
    <tableColumn id="3" xr3:uid="{9F162487-2B65-4BC5-B471-38C8784ED3F6}" name="Demande"/>
    <tableColumn id="4" xr3:uid="{DADFFF4E-52B0-49E7-90D0-03FD9F258B53}" name="Manque" totalsRowFunction="sum">
      <calculatedColumnFormula>Tableau478306378[Demande]-Tableau478306378[Présente dans la malle]</calculatedColumnFormula>
    </tableColumn>
  </tableColumns>
  <tableStyleInfo name="TableStyleDark4" showFirstColumn="0" showLastColumn="0" showRowStripes="1" showColumnStripes="0"/>
</table>
</file>

<file path=xl/tables/table1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2" xr:uid="{54380E8A-131D-43F5-B5B7-4EA4958AD7B0}" name="Tableau8120177183" displayName="Tableau8120177183" ref="G2:H13" totalsRowCount="1" headerRowCellStyle="Monétaire" dataCellStyle="Monétaire" totalsRowCellStyle="Monétaire">
  <autoFilter ref="G2:H12" xr:uid="{487590E0-C0E4-4142-BBA7-A83DA41C37ED}"/>
  <tableColumns count="2">
    <tableColumn id="1" xr3:uid="{6AB5C5AA-439C-4EA6-8B42-7DE7986782E6}" name="CU du matos rajouté acheté" totalsRowLabel="Total" totalsRowDxfId="45" dataCellStyle="Monétaire"/>
    <tableColumn id="2" xr3:uid="{10AA7202-0B7E-4B88-804E-5A081A89A7EE}" name="CT" totalsRowFunction="count" totalsRowDxfId="44" dataCellStyle="Monétaire"/>
  </tableColumns>
  <tableStyleInfo name="TableStyleMedium8" showFirstColumn="0" showLastColumn="0" showRowStripes="1" showColumnStripes="0"/>
</table>
</file>

<file path=xl/tables/table1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3" xr:uid="{B08EA01B-4572-4E47-9CCC-522D40E1A488}" name="Tableau846121178184" displayName="Tableau846121178184" ref="G16:H27" totalsRowCount="1" headerRowCellStyle="Monétaire" dataCellStyle="Monétaire" totalsRowCellStyle="Monétaire">
  <autoFilter ref="G16:H26" xr:uid="{DC56F4D1-6682-4FF8-8AC2-DCEED9895C8E}"/>
  <tableColumns count="2">
    <tableColumn id="1" xr3:uid="{0A1500E2-867B-4EF0-948E-37091775C368}" name="CU du matos rajouté acheté" totalsRowLabel="Total" dataCellStyle="Monétaire" totalsRowCellStyle="Monétaire"/>
    <tableColumn id="2" xr3:uid="{13D8D701-384E-4CC5-86C4-F94A294895C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4" xr:uid="{B6713E08-51B2-4C1B-AF4A-DD0DB5BCEC3C}" name="Tableau847122179185" displayName="Tableau847122179185" ref="G30:H41" totalsRowCount="1" headerRowCellStyle="Monétaire" dataCellStyle="Monétaire" totalsRowCellStyle="Monétaire">
  <autoFilter ref="G30:H40" xr:uid="{5DF5E45F-F85E-4C49-A813-B714841FDF3A}"/>
  <tableColumns count="2">
    <tableColumn id="1" xr3:uid="{C1E361C6-3DE9-4994-9E43-A9E21E8A5193}" name="CU du matos rajouté acheté" totalsRowLabel="Total" dataCellStyle="Monétaire" totalsRowCellStyle="Monétaire"/>
    <tableColumn id="2" xr3:uid="{CE1113DE-57C8-48F2-89AA-7F9F6CFB32C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BD2AB00C-3898-4301-AAF1-30D540A1EC5F}" name="Tableau4286179" displayName="Tableau4286179" ref="B2:E13" totalsRowCount="1">
  <autoFilter ref="B2:E12" xr:uid="{6C72E88B-967E-4E7F-98A1-BD424966442A}"/>
  <tableColumns count="4">
    <tableColumn id="1" xr3:uid="{DE72239F-5D0D-4FDC-8A6D-7C5969146BC8}" name="Matériel" totalsRowLabel="Total"/>
    <tableColumn id="2" xr3:uid="{2B1A9C20-233F-4B1F-A42A-8A23D2D94536}" name="Présente dans la malle"/>
    <tableColumn id="3" xr3:uid="{BFEC4A0F-9B26-45C4-96E0-EA9C6EDCC70D}" name="Demande"/>
    <tableColumn id="4" xr3:uid="{AF89D398-36B8-4407-B41A-39335CC7C84C}" name="Manque" totalsRowFunction="sum">
      <calculatedColumnFormula>Tableau4286179[Demande]-Tableau4286179[Présente dans la malle]</calculatedColumnFormula>
    </tableColumn>
  </tableColumns>
  <tableStyleInfo name="TableStyleDark4" showFirstColumn="0" showLastColumn="0" showRowStripes="1" showColumnStripes="0"/>
</table>
</file>

<file path=xl/tables/table1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840AD212-5ABD-44AE-8BAA-0E17FAB9C3C0}" name="Tableau47296280" displayName="Tableau47296280" ref="B16:E27" totalsRowCount="1">
  <autoFilter ref="B16:E26" xr:uid="{60645EF6-3A23-4216-964E-690F4E40E6C9}"/>
  <tableColumns count="4">
    <tableColumn id="1" xr3:uid="{D6C5BEE4-7AE0-4090-8F76-CFDC7AF957F1}" name="Cablage" totalsRowLabel="Total"/>
    <tableColumn id="2" xr3:uid="{8C5C01A7-FCB8-4A3A-AFD3-DF3E02F61BFD}" name="Présente dans la malle"/>
    <tableColumn id="3" xr3:uid="{B60831BE-EA4A-463E-9B64-C0F4F4F0B532}" name="Demande"/>
    <tableColumn id="4" xr3:uid="{90149253-4F78-4930-A23B-0D1331A90DB1}" name="Manque" totalsRowFunction="sum">
      <calculatedColumnFormula>Tableau47296280[Demande]-Tableau47296280[Présente dans la malle]</calculatedColumnFormula>
    </tableColumn>
  </tableColumns>
  <tableStyleInfo name="TableStyleDark4" showFirstColumn="0" showLastColumn="0" showRowStripes="1" showColumnStripes="0"/>
</table>
</file>

<file path=xl/tables/table1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E89D0B48-3358-4E16-9100-DA76F18C85F2}" name="Tableau478306381" displayName="Tableau478306381" ref="B30:E41" totalsRowCount="1">
  <autoFilter ref="B30:E40" xr:uid="{F70601A7-947E-415F-9614-15F4086C8E40}"/>
  <tableColumns count="4">
    <tableColumn id="1" xr3:uid="{2CB010F0-D455-474D-9B08-91AD71D19D6A}" name="Mobilier" totalsRowLabel="Total"/>
    <tableColumn id="2" xr3:uid="{B48B95E1-DE31-4C99-ACBE-3C3672FBE50F}" name="Présente dans la malle"/>
    <tableColumn id="3" xr3:uid="{3CBC02B7-8196-4452-BAD6-B91CC0A2E687}" name="Demande"/>
    <tableColumn id="4" xr3:uid="{434D645B-E749-446C-96C8-9631D2F670A3}" name="Manque" totalsRowFunction="sum">
      <calculatedColumnFormula>Tableau478306381[Demande]-Tableau478306381[Présente dans la malle]</calculatedColumnFormula>
    </tableColumn>
  </tableColumns>
  <tableStyleInfo name="TableStyleDark4" showFirstColumn="0" showLastColumn="0" showRowStripes="1" showColumnStripes="0"/>
</table>
</file>

<file path=xl/tables/table1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5" xr:uid="{35F02817-C93B-43ED-BAEC-49A856B67A6A}" name="Tableau8120177186" displayName="Tableau8120177186" ref="G2:H13" totalsRowCount="1" headerRowCellStyle="Monétaire" dataCellStyle="Monétaire" totalsRowCellStyle="Monétaire">
  <autoFilter ref="G2:H12" xr:uid="{054B5D92-7FA4-414D-8BA7-6441CA4DDE4F}"/>
  <tableColumns count="2">
    <tableColumn id="1" xr3:uid="{FE3AD6B0-B901-4C51-A25A-2C49F2D5A3CD}" name="CU du matos rajouté acheté" totalsRowLabel="Total" totalsRowDxfId="34" dataCellStyle="Monétaire"/>
    <tableColumn id="2" xr3:uid="{1D9526F3-B0DA-43E1-9012-A72ABF5BFCE8}" name="CT" totalsRowFunction="count" totalsRowDxfId="33" dataCellStyle="Monétaire"/>
  </tableColumns>
  <tableStyleInfo name="TableStyleMedium8" showFirstColumn="0" showLastColumn="0" showRowStripes="1" showColumnStripes="0"/>
</table>
</file>

<file path=xl/tables/table1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6" xr:uid="{D3532D16-4801-42CA-9D47-2293F8AF80DD}" name="Tableau846121178187" displayName="Tableau846121178187" ref="G16:H27" totalsRowCount="1" headerRowCellStyle="Monétaire" dataCellStyle="Monétaire" totalsRowCellStyle="Monétaire">
  <autoFilter ref="G16:H26" xr:uid="{EC47B07D-1A83-42A2-BDDF-7A49EB4A273F}"/>
  <tableColumns count="2">
    <tableColumn id="1" xr3:uid="{00158161-43F1-4B19-B087-B7810B189E02}" name="CU du matos rajouté acheté" totalsRowLabel="Total" dataCellStyle="Monétaire" totalsRowCellStyle="Monétaire"/>
    <tableColumn id="2" xr3:uid="{9DEBA844-D07F-4C5A-9F93-2A9433ED060D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7" xr:uid="{627E3460-1B9B-45C7-A697-272D600E4645}" name="Tableau847122179188" displayName="Tableau847122179188" ref="G30:H41" totalsRowCount="1" headerRowCellStyle="Monétaire" dataCellStyle="Monétaire" totalsRowCellStyle="Monétaire">
  <autoFilter ref="G30:H40" xr:uid="{27C81259-5B58-40D5-BA86-50AF1D69B1AE}"/>
  <tableColumns count="2">
    <tableColumn id="1" xr3:uid="{EA25B32D-4C4E-43EE-912A-A783F10F2930}" name="CU du matos rajouté acheté" totalsRowLabel="Total" dataCellStyle="Monétaire" totalsRowCellStyle="Monétaire"/>
    <tableColumn id="2" xr3:uid="{E29A7E18-A2B3-4F80-A535-BBE353985A84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61D5FD02-86BF-4089-9DBD-46F0A458C05F}" name="Tableau428617682" displayName="Tableau428617682" ref="B2:E13" totalsRowCount="1">
  <autoFilter ref="B2:E12" xr:uid="{5FB43C3F-1092-4832-8824-1EBDBCF0A73B}">
    <filterColumn colId="0" hiddenButton="1"/>
    <filterColumn colId="1" hiddenButton="1"/>
    <filterColumn colId="2" hiddenButton="1"/>
    <filterColumn colId="3" hiddenButton="1"/>
  </autoFilter>
  <tableColumns count="4">
    <tableColumn id="1" xr3:uid="{8D649849-8E45-4145-B5E9-9968C640F5B6}" name="Matériel" totalsRowLabel="Total"/>
    <tableColumn id="2" xr3:uid="{807C12E2-F022-44F8-A893-EB3E9710720D}" name="Présente dans la malle"/>
    <tableColumn id="3" xr3:uid="{D8E2FBD4-5C8D-4777-BB25-777E5D3A468A}" name="Demande"/>
    <tableColumn id="4" xr3:uid="{E1D0E8CE-EB3A-4FE6-B03A-E7D41D01C573}" name="Manque" totalsRowFunction="sum">
      <calculatedColumnFormula>Tableau428617682[Demande]-Tableau428617682[Présente dans la malle]</calculatedColumnFormula>
    </tableColumn>
  </tableColumns>
  <tableStyleInfo name="TableStyleDark4" showFirstColumn="0" showLastColumn="0" showRowStripes="1" showColumnStripes="0"/>
</table>
</file>

<file path=xl/tables/table1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1941631F-CCAC-45C9-8787-CF2D59C9F2A0}" name="Tableau4729627783" displayName="Tableau4729627783" ref="B16:E27" totalsRowCount="1">
  <autoFilter ref="B16:E26" xr:uid="{AABA5E23-DB1D-4EF5-9BF4-E343B59A4E61}">
    <filterColumn colId="0" hiddenButton="1"/>
    <filterColumn colId="1" hiddenButton="1"/>
    <filterColumn colId="2" hiddenButton="1"/>
    <filterColumn colId="3" hiddenButton="1"/>
  </autoFilter>
  <tableColumns count="4">
    <tableColumn id="1" xr3:uid="{AD79F8AE-79FC-4AB1-A5FB-DD4E203CA15B}" name="Cablage" totalsRowLabel="Total"/>
    <tableColumn id="2" xr3:uid="{1D80FCE9-BC2C-4BC0-9390-481AE0D665CA}" name="Présente dans la malle"/>
    <tableColumn id="3" xr3:uid="{8F361C99-072F-4517-8467-60AB5DC37C2E}" name="Demande"/>
    <tableColumn id="4" xr3:uid="{FCA62505-0ECB-4CA9-A6BE-20F69A4B141E}" name="Manque" totalsRowFunction="sum">
      <calculatedColumnFormula>Tableau4729627783[Demande]-Tableau4729627783[Présente dans la malle]</calculatedColumnFormula>
    </tableColumn>
  </tableColumns>
  <tableStyleInfo name="TableStyleDark4" showFirstColumn="0" showLastColumn="0" showRowStripes="1" showColumnStripes="0"/>
</table>
</file>

<file path=xl/tables/table1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C58A6799-37C9-409D-B1CE-4DBFA47C3820}" name="Tableau47830637884" displayName="Tableau47830637884" ref="B30:E41" totalsRowCount="1">
  <autoFilter ref="B30:E40" xr:uid="{5AF0A78E-8870-4227-9431-4A3DA8FA1457}">
    <filterColumn colId="0" hiddenButton="1"/>
    <filterColumn colId="1" hiddenButton="1"/>
    <filterColumn colId="2" hiddenButton="1"/>
    <filterColumn colId="3" hiddenButton="1"/>
  </autoFilter>
  <tableColumns count="4">
    <tableColumn id="1" xr3:uid="{E04D9E08-F5EC-4699-9262-D707FD56E291}" name="Mobilier" totalsRowLabel="Total"/>
    <tableColumn id="2" xr3:uid="{DADA3ACC-C8EA-41B4-B67F-E5885E8C1F1E}" name="Présente dans la malle"/>
    <tableColumn id="3" xr3:uid="{84AC2E6D-DD38-4FC8-96DC-7E1D3DBA4842}" name="Demande"/>
    <tableColumn id="4" xr3:uid="{2D5FEA29-4B63-4F2A-8874-D203E933C200}" name="Manque" totalsRowFunction="sum">
      <calculatedColumnFormula>Tableau47830637884[Demande]-Tableau47830637884[Présente dans la malle]</calculatedColumnFormula>
    </tableColumn>
  </tableColumns>
  <tableStyleInfo name="TableStyleDark4" showFirstColumn="0" showLastColumn="0" showRowStripes="1" showColumnStripes="0"/>
</table>
</file>

<file path=xl/tables/table1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8" xr:uid="{4CE80415-E479-4435-934F-471B9E73A46C}" name="Tableau8120177189" displayName="Tableau8120177189" ref="G2:H13" totalsRowCount="1" headerRowCellStyle="Monétaire" dataCellStyle="Monétaire" totalsRowCellStyle="Monétaire">
  <autoFilter ref="G2:H12" xr:uid="{1B746CCC-A5B6-480C-87F7-FA1B7A851E2B}"/>
  <tableColumns count="2">
    <tableColumn id="1" xr3:uid="{58AAFD8E-E728-4DE3-BEF2-D83B2F365FC9}" name="CU du matos rajouté acheté" totalsRowLabel="Total" totalsRowDxfId="23" dataCellStyle="Monétaire"/>
    <tableColumn id="2" xr3:uid="{74521E48-6DB2-486A-9AF2-9408DE724902}" name="CT" totalsRowFunction="count" totalsRowDxfId="22" dataCellStyle="Monétaire"/>
  </tableColumns>
  <tableStyleInfo name="TableStyleMedium8" showFirstColumn="0" showLastColumn="0" showRowStripes="1" showColumnStripes="0"/>
</table>
</file>

<file path=xl/tables/table1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9" xr:uid="{0E10D668-EC77-44B3-BF3B-306E0F1DB4EE}" name="Tableau846121178190" displayName="Tableau846121178190" ref="G16:H27" totalsRowCount="1" headerRowCellStyle="Monétaire" dataCellStyle="Monétaire" totalsRowCellStyle="Monétaire">
  <autoFilter ref="G16:H26" xr:uid="{71487BA5-E327-4E52-BEA5-4131D9B9298E}"/>
  <tableColumns count="2">
    <tableColumn id="1" xr3:uid="{7D817719-DDCD-41E2-9C50-7ADD3DDC2427}" name="CU du matos rajouté acheté" totalsRowLabel="Total" dataCellStyle="Monétaire" totalsRowCellStyle="Monétaire"/>
    <tableColumn id="2" xr3:uid="{04F1AA02-3EDE-4D5D-90B8-A1E5EDA61BEF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0" xr:uid="{70DEBD49-F763-4D99-8822-CE5A24DF15F2}" name="Tableau847122179191" displayName="Tableau847122179191" ref="G30:H41" totalsRowCount="1" headerRowCellStyle="Monétaire" dataCellStyle="Monétaire" totalsRowCellStyle="Monétaire">
  <autoFilter ref="G30:H40" xr:uid="{C2CEAD2E-D588-4D29-8853-C46BBFC48089}"/>
  <tableColumns count="2">
    <tableColumn id="1" xr3:uid="{B0E7DFDF-ABAA-419A-90BF-6A051E8770A0}" name="CU du matos rajouté acheté" totalsRowLabel="Total" dataCellStyle="Monétaire" totalsRowCellStyle="Monétaire"/>
    <tableColumn id="2" xr3:uid="{DF3DA370-B6C8-4C3A-B777-91CC97414B00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9A59B5B5-72C8-4A81-82C2-1784F770B489}" name="Tableau428617685" displayName="Tableau428617685" ref="B2:E13" totalsRowCount="1">
  <autoFilter ref="B2:E12" xr:uid="{EC71A2AF-1770-4D66-8A43-B432272A1C1E}">
    <filterColumn colId="0" hiddenButton="1"/>
    <filterColumn colId="1" hiddenButton="1"/>
    <filterColumn colId="2" hiddenButton="1"/>
    <filterColumn colId="3" hiddenButton="1"/>
  </autoFilter>
  <tableColumns count="4">
    <tableColumn id="1" xr3:uid="{916E5B7A-E5FC-4700-89EF-AA91EA666EC8}" name="Matériel" totalsRowLabel="Total"/>
    <tableColumn id="2" xr3:uid="{E3297005-830A-4877-B8D8-C1B95A975C6D}" name="Présente dans la malle"/>
    <tableColumn id="3" xr3:uid="{789F5CDF-30B2-48E5-857D-E2F2FB349F8E}" name="Demande"/>
    <tableColumn id="4" xr3:uid="{E7CFA60F-08D8-458A-93C8-BADD724AA981}" name="Manque" totalsRowFunction="sum">
      <calculatedColumnFormula>Tableau428617685[Demande]-Tableau428617685[Présente dans la malle]</calculatedColumnFormula>
    </tableColumn>
  </tableColumns>
  <tableStyleInfo name="TableStyleDark4" showFirstColumn="0" showLastColumn="0" showRowStripes="1" showColumnStripes="0"/>
</table>
</file>

<file path=xl/tables/table1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67ED5E41-F18F-4B99-B787-1A9F7A3AD621}" name="Tableau4729627786" displayName="Tableau4729627786" ref="B16:E27" totalsRowCount="1">
  <autoFilter ref="B16:E26" xr:uid="{6875C4A9-4753-4DE1-9D79-F1BDE5DC10BE}">
    <filterColumn colId="0" hiddenButton="1"/>
    <filterColumn colId="1" hiddenButton="1"/>
    <filterColumn colId="2" hiddenButton="1"/>
    <filterColumn colId="3" hiddenButton="1"/>
  </autoFilter>
  <tableColumns count="4">
    <tableColumn id="1" xr3:uid="{A9782773-F6A1-4A72-ABB4-3CABDA79F9FC}" name="Cablage" totalsRowLabel="Total"/>
    <tableColumn id="2" xr3:uid="{EDC4C3D3-131F-449B-8C3E-28BC9EB83CFF}" name="Présente dans la malle"/>
    <tableColumn id="3" xr3:uid="{76653AA3-A07F-456D-BA19-BC491D9A1CD8}" name="Demande"/>
    <tableColumn id="4" xr3:uid="{DF287DD6-549D-4DB2-B5FB-9E4345A4F278}" name="Manque" totalsRowFunction="sum">
      <calculatedColumnFormula>Tableau4729627786[Demande]-Tableau4729627786[Présente dans la malle]</calculatedColumnFormula>
    </tableColumn>
  </tableColumns>
  <tableStyleInfo name="TableStyleDark4" showFirstColumn="0" showLastColumn="0" showRowStripes="1" showColumnStripes="0"/>
</table>
</file>

<file path=xl/tables/table1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7D2E9324-98CF-4325-95F2-D82D3E238FD7}" name="Tableau47830637887" displayName="Tableau47830637887" ref="B30:E41" totalsRowCount="1">
  <autoFilter ref="B30:E40" xr:uid="{11095177-44D0-48DB-9553-5691881C5F92}">
    <filterColumn colId="0" hiddenButton="1"/>
    <filterColumn colId="1" hiddenButton="1"/>
    <filterColumn colId="2" hiddenButton="1"/>
    <filterColumn colId="3" hiddenButton="1"/>
  </autoFilter>
  <tableColumns count="4">
    <tableColumn id="1" xr3:uid="{4ABB6AB7-F7AD-40EF-9864-FE8998336311}" name="Mobilier" totalsRowLabel="Total"/>
    <tableColumn id="2" xr3:uid="{D6D320A7-DC9C-4AF4-9846-89A6979B3FA0}" name="Présente dans la malle"/>
    <tableColumn id="3" xr3:uid="{9FFD650D-5DCE-4FC0-BC16-4BD57F8A6BFB}" name="Demande"/>
    <tableColumn id="4" xr3:uid="{05DAB7BA-8F94-4BBA-97AE-765647BC3699}" name="Manque" totalsRowFunction="sum">
      <calculatedColumnFormula>Tableau47830637887[Demande]-Tableau47830637887[Présente dans la malle]</calculatedColumnFormula>
    </tableColumn>
  </tableColumns>
  <tableStyleInfo name="TableStyleDark4" showFirstColumn="0" showLastColumn="0" showRowStripes="1" showColumnStripes="0"/>
</table>
</file>

<file path=xl/tables/table1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1" xr:uid="{6E9E29E0-1955-421A-9AF3-596CA662F38C}" name="Tableau8120177192" displayName="Tableau8120177192" ref="G2:H13" totalsRowCount="1" headerRowCellStyle="Monétaire" dataCellStyle="Monétaire" totalsRowCellStyle="Monétaire">
  <autoFilter ref="G2:H12" xr:uid="{C5E241DA-FC90-4C7F-A46D-472BE9910BA9}"/>
  <tableColumns count="2">
    <tableColumn id="1" xr3:uid="{A7608A47-D0E0-4C9B-BDA2-9E20EFB19F92}" name="CU du matos rajouté acheté" totalsRowLabel="Total" totalsRowDxfId="12" dataCellStyle="Monétaire"/>
    <tableColumn id="2" xr3:uid="{306A60AD-1174-40B4-8BF2-9E6279A6B41F}" name="CT" totalsRowFunction="count" totalsRowDxfId="11" dataCellStyle="Monétaire"/>
  </tableColumns>
  <tableStyleInfo name="TableStyleMedium8" showFirstColumn="0" showLastColumn="0" showRowStripes="1" showColumnStripes="0"/>
</table>
</file>

<file path=xl/tables/table1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2" xr:uid="{B521F33A-3783-463B-BE0F-108D6ACF27D0}" name="Tableau846121178193" displayName="Tableau846121178193" ref="G16:H27" totalsRowCount="1" headerRowCellStyle="Monétaire" dataCellStyle="Monétaire" totalsRowCellStyle="Monétaire">
  <autoFilter ref="G16:H26" xr:uid="{56489CBF-ABEA-43D9-B462-C8388B31AAE5}"/>
  <tableColumns count="2">
    <tableColumn id="1" xr3:uid="{CB8C71A5-A195-4898-B196-49D373D49CF3}" name="CU du matos rajouté acheté" totalsRowLabel="Total" dataCellStyle="Monétaire" totalsRowCellStyle="Monétaire"/>
    <tableColumn id="2" xr3:uid="{A98A14F1-DE66-4BBA-A869-922BC30A982B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3" xr:uid="{EE9B0C9A-3189-40A7-93F8-26124AB4E1E7}" name="Tableau847122179194" displayName="Tableau847122179194" ref="G30:H41" totalsRowCount="1" headerRowCellStyle="Monétaire" dataCellStyle="Monétaire" totalsRowCellStyle="Monétaire">
  <autoFilter ref="G30:H40" xr:uid="{E7D088B1-4C72-4C8C-8EED-535FDC6D841A}"/>
  <tableColumns count="2">
    <tableColumn id="1" xr3:uid="{09DC31B4-007D-48CF-8F4F-48E57514F011}" name="CU du matos rajouté acheté" totalsRowLabel="Total" dataCellStyle="Monétaire" totalsRowCellStyle="Monétaire"/>
    <tableColumn id="2" xr3:uid="{DBFC1F75-2188-40D9-A792-81EC4EFA0153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A043BBC6-0B72-4808-A408-400F8A17317F}" name="Tableau428617688" displayName="Tableau428617688" ref="B2:E13" totalsRowCount="1">
  <autoFilter ref="B2:E12" xr:uid="{9BBCDC49-F099-4B27-AA5F-23AFF96BF639}">
    <filterColumn colId="0" hiddenButton="1"/>
    <filterColumn colId="1" hiddenButton="1"/>
    <filterColumn colId="2" hiddenButton="1"/>
    <filterColumn colId="3" hiddenButton="1"/>
  </autoFilter>
  <tableColumns count="4">
    <tableColumn id="1" xr3:uid="{0C1DF319-0161-4CA8-B039-192DA456FFA7}" name="Matériel" totalsRowLabel="Total"/>
    <tableColumn id="2" xr3:uid="{E39B1677-AE1E-495E-AE7A-BA4925422DE6}" name="Présente dans la malle"/>
    <tableColumn id="3" xr3:uid="{7174CE27-8986-4CF4-9B4D-37FE54C1EA86}" name="Demande"/>
    <tableColumn id="4" xr3:uid="{800C9BEC-B5C7-4943-94FF-C308B9272B9C}" name="Manque" totalsRowFunction="sum">
      <calculatedColumnFormula>Tableau428617688[Demande]-Tableau428617688[Présente dans la malle]</calculatedColumnFormula>
    </tableColumn>
  </tableColumns>
  <tableStyleInfo name="TableStyleDark4" showFirstColumn="0" showLastColumn="0" showRowStripes="1" showColumnStripes="0"/>
</table>
</file>

<file path=xl/tables/table1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9511408E-EEEE-43A0-8133-C396EEA98B47}" name="Tableau4729627789" displayName="Tableau4729627789" ref="B16:E27" totalsRowCount="1">
  <autoFilter ref="B16:E26" xr:uid="{46AE2D0E-1DBA-4EF6-9BC7-D44BB71CA073}">
    <filterColumn colId="0" hiddenButton="1"/>
    <filterColumn colId="1" hiddenButton="1"/>
    <filterColumn colId="2" hiddenButton="1"/>
    <filterColumn colId="3" hiddenButton="1"/>
  </autoFilter>
  <tableColumns count="4">
    <tableColumn id="1" xr3:uid="{DA6EA2B3-560E-4C32-810B-59798A55E9CB}" name="Cablage" totalsRowLabel="Total"/>
    <tableColumn id="2" xr3:uid="{05B92FBD-8CC1-4BAF-B229-028784EE8361}" name="Présente dans la malle"/>
    <tableColumn id="3" xr3:uid="{2827C56E-D44A-4872-B49D-A8DFFE3FB23B}" name="Demande"/>
    <tableColumn id="4" xr3:uid="{66F7A48E-5F32-40AF-8A50-DB66B7C0D28A}" name="Manque" totalsRowFunction="sum">
      <calculatedColumnFormula>Tableau4729627789[Demande]-Tableau4729627789[Présente dans la malle]</calculatedColumnFormula>
    </tableColumn>
  </tableColumns>
  <tableStyleInfo name="TableStyleDark4" showFirstColumn="0" showLastColumn="0" showRowStripes="1" showColumnStripes="0"/>
</table>
</file>

<file path=xl/tables/table1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F771429D-2AA4-49D0-A70F-05FD3847FFBC}" name="Tableau47830637890" displayName="Tableau47830637890" ref="B30:E41" totalsRowCount="1">
  <autoFilter ref="B30:E40" xr:uid="{A1E51D3B-6F27-49E4-B671-6A368DB5F12E}">
    <filterColumn colId="0" hiddenButton="1"/>
    <filterColumn colId="1" hiddenButton="1"/>
    <filterColumn colId="2" hiddenButton="1"/>
    <filterColumn colId="3" hiddenButton="1"/>
  </autoFilter>
  <tableColumns count="4">
    <tableColumn id="1" xr3:uid="{5CA7014D-4DC7-4C6C-AE78-3A9DEC65368E}" name="Mobilier" totalsRowLabel="Total"/>
    <tableColumn id="2" xr3:uid="{13968B06-3818-48F2-B776-F453DDAFFEFD}" name="Présente dans la malle"/>
    <tableColumn id="3" xr3:uid="{E216BB07-08E3-4540-A3A4-CB17B718EF5A}" name="Demande"/>
    <tableColumn id="4" xr3:uid="{46690D2E-C54A-425C-BFD8-68113C80CA22}" name="Manque" totalsRowFunction="sum">
      <calculatedColumnFormula>Tableau47830637890[Demande]-Tableau47830637890[Présente dans la malle]</calculatedColumnFormula>
    </tableColumn>
  </tableColumns>
  <tableStyleInfo name="TableStyleDark4" showFirstColumn="0" showLastColumn="0" showRowStripes="1" showColumnStripes="0"/>
</table>
</file>

<file path=xl/tables/table1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4" xr:uid="{7BF398E7-92E3-46AC-AE6D-DC2AD464DE75}" name="Tableau8120177195" displayName="Tableau8120177195" ref="G2:H13" totalsRowCount="1" headerRowCellStyle="Monétaire" dataCellStyle="Monétaire" totalsRowCellStyle="Monétaire">
  <autoFilter ref="G2:H12" xr:uid="{F42E97AC-ACF7-4BCB-94FA-C858A9318497}"/>
  <tableColumns count="2">
    <tableColumn id="1" xr3:uid="{BC7A0631-2DD8-452A-BF46-69CBBCB9EC15}" name="CU du matos rajouté acheté" totalsRowLabel="Total" totalsRowDxfId="1" dataCellStyle="Monétaire"/>
    <tableColumn id="2" xr3:uid="{9F580619-ED72-49D8-8D04-108858C2DD1A}" name="CT" totalsRowFunction="count" totalsRowDxfId="0" dataCellStyle="Monétaire"/>
  </tableColumns>
  <tableStyleInfo name="TableStyleMedium8" showFirstColumn="0" showLastColumn="0" showRowStripes="1" showColumnStripes="0"/>
</table>
</file>

<file path=xl/tables/table1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5" xr:uid="{E9576BF0-F014-4D24-93B7-BB75CE315304}" name="Tableau846121178196" displayName="Tableau846121178196" ref="G16:H27" totalsRowCount="1" headerRowCellStyle="Monétaire" dataCellStyle="Monétaire" totalsRowCellStyle="Monétaire">
  <autoFilter ref="G16:H26" xr:uid="{A7519C3F-AA4F-4E63-9C00-FA3E797D9FBD}"/>
  <tableColumns count="2">
    <tableColumn id="1" xr3:uid="{C6F1F659-26D1-47E5-98DF-FDA5A80B03B9}" name="CU du matos rajouté acheté" totalsRowLabel="Total" dataCellStyle="Monétaire" totalsRowCellStyle="Monétaire"/>
    <tableColumn id="2" xr3:uid="{A7536804-0AEE-4EC7-A452-DDC09E25ED2C}" name="CT" totalsRowFunction="count" dataCellStyle="Monétaire" totalsRowCellStyle="Monétaire"/>
  </tableColumns>
  <tableStyleInfo name="TableStyleMedium8" showFirstColumn="0" showLastColumn="0" showRowStripes="1" showColumnStripes="0"/>
</table>
</file>

<file path=xl/tables/table1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6" xr:uid="{92174B15-EF53-43BD-BC5D-5C5A1BD725B0}" name="Tableau847122179197" displayName="Tableau847122179197" ref="G30:H41" totalsRowCount="1" headerRowCellStyle="Monétaire" dataCellStyle="Monétaire" totalsRowCellStyle="Monétaire">
  <autoFilter ref="G30:H40" xr:uid="{883625C2-592E-49B0-9984-258F0B75E83C}"/>
  <tableColumns count="2">
    <tableColumn id="1" xr3:uid="{A1F84E21-313F-4DB8-B375-B0610EAFFEE5}" name="CU du matos rajouté acheté" totalsRowLabel="Total" dataCellStyle="Monétaire" totalsRowCellStyle="Monétaire"/>
    <tableColumn id="2" xr3:uid="{1D603F94-EA88-47EF-B4FB-037E21216BC7}" name="CT" totalsRowFunction="count" dataCellStyle="Monétaire" totalsRowCellStyle="Monétair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Relationship Id="rId6" Type="http://schemas.openxmlformats.org/officeDocument/2006/relationships/table" Target="../tables/table21.xml"/><Relationship Id="rId5" Type="http://schemas.openxmlformats.org/officeDocument/2006/relationships/table" Target="../tables/table20.xml"/><Relationship Id="rId4" Type="http://schemas.openxmlformats.org/officeDocument/2006/relationships/table" Target="../tables/table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table" Target="../tables/table23.xml"/><Relationship Id="rId1" Type="http://schemas.openxmlformats.org/officeDocument/2006/relationships/table" Target="../tables/table22.xml"/><Relationship Id="rId6" Type="http://schemas.openxmlformats.org/officeDocument/2006/relationships/table" Target="../tables/table27.xml"/><Relationship Id="rId5" Type="http://schemas.openxmlformats.org/officeDocument/2006/relationships/table" Target="../tables/table26.xml"/><Relationship Id="rId4" Type="http://schemas.openxmlformats.org/officeDocument/2006/relationships/table" Target="../tables/table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table" Target="../tables/table29.xml"/><Relationship Id="rId1" Type="http://schemas.openxmlformats.org/officeDocument/2006/relationships/table" Target="../tables/table28.xml"/><Relationship Id="rId6" Type="http://schemas.openxmlformats.org/officeDocument/2006/relationships/table" Target="../tables/table33.xml"/><Relationship Id="rId5" Type="http://schemas.openxmlformats.org/officeDocument/2006/relationships/table" Target="../tables/table32.xml"/><Relationship Id="rId4" Type="http://schemas.openxmlformats.org/officeDocument/2006/relationships/table" Target="../tables/table3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table" Target="../tables/table35.xml"/><Relationship Id="rId1" Type="http://schemas.openxmlformats.org/officeDocument/2006/relationships/table" Target="../tables/table34.xml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2.xml"/><Relationship Id="rId2" Type="http://schemas.openxmlformats.org/officeDocument/2006/relationships/table" Target="../tables/table41.xml"/><Relationship Id="rId1" Type="http://schemas.openxmlformats.org/officeDocument/2006/relationships/table" Target="../tables/table40.xml"/><Relationship Id="rId6" Type="http://schemas.openxmlformats.org/officeDocument/2006/relationships/table" Target="../tables/table45.xml"/><Relationship Id="rId5" Type="http://schemas.openxmlformats.org/officeDocument/2006/relationships/table" Target="../tables/table44.xml"/><Relationship Id="rId4" Type="http://schemas.openxmlformats.org/officeDocument/2006/relationships/table" Target="../tables/table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8.xml"/><Relationship Id="rId2" Type="http://schemas.openxmlformats.org/officeDocument/2006/relationships/table" Target="../tables/table47.xml"/><Relationship Id="rId1" Type="http://schemas.openxmlformats.org/officeDocument/2006/relationships/table" Target="../tables/table46.xml"/><Relationship Id="rId6" Type="http://schemas.openxmlformats.org/officeDocument/2006/relationships/table" Target="../tables/table51.xml"/><Relationship Id="rId5" Type="http://schemas.openxmlformats.org/officeDocument/2006/relationships/table" Target="../tables/table50.xml"/><Relationship Id="rId4" Type="http://schemas.openxmlformats.org/officeDocument/2006/relationships/table" Target="../tables/table4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4.xml"/><Relationship Id="rId2" Type="http://schemas.openxmlformats.org/officeDocument/2006/relationships/table" Target="../tables/table53.xml"/><Relationship Id="rId1" Type="http://schemas.openxmlformats.org/officeDocument/2006/relationships/table" Target="../tables/table52.xml"/><Relationship Id="rId6" Type="http://schemas.openxmlformats.org/officeDocument/2006/relationships/table" Target="../tables/table57.xml"/><Relationship Id="rId5" Type="http://schemas.openxmlformats.org/officeDocument/2006/relationships/table" Target="../tables/table56.xml"/><Relationship Id="rId4" Type="http://schemas.openxmlformats.org/officeDocument/2006/relationships/table" Target="../tables/table5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0.xml"/><Relationship Id="rId2" Type="http://schemas.openxmlformats.org/officeDocument/2006/relationships/table" Target="../tables/table59.xml"/><Relationship Id="rId1" Type="http://schemas.openxmlformats.org/officeDocument/2006/relationships/table" Target="../tables/table58.xml"/><Relationship Id="rId6" Type="http://schemas.openxmlformats.org/officeDocument/2006/relationships/table" Target="../tables/table63.xml"/><Relationship Id="rId5" Type="http://schemas.openxmlformats.org/officeDocument/2006/relationships/table" Target="../tables/table62.xml"/><Relationship Id="rId4" Type="http://schemas.openxmlformats.org/officeDocument/2006/relationships/table" Target="../tables/table6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6.xml"/><Relationship Id="rId2" Type="http://schemas.openxmlformats.org/officeDocument/2006/relationships/table" Target="../tables/table65.xml"/><Relationship Id="rId1" Type="http://schemas.openxmlformats.org/officeDocument/2006/relationships/table" Target="../tables/table64.xml"/><Relationship Id="rId6" Type="http://schemas.openxmlformats.org/officeDocument/2006/relationships/table" Target="../tables/table69.xml"/><Relationship Id="rId5" Type="http://schemas.openxmlformats.org/officeDocument/2006/relationships/table" Target="../tables/table68.xml"/><Relationship Id="rId4" Type="http://schemas.openxmlformats.org/officeDocument/2006/relationships/table" Target="../tables/table6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2.xml"/><Relationship Id="rId2" Type="http://schemas.openxmlformats.org/officeDocument/2006/relationships/table" Target="../tables/table71.xml"/><Relationship Id="rId1" Type="http://schemas.openxmlformats.org/officeDocument/2006/relationships/table" Target="../tables/table70.xml"/><Relationship Id="rId6" Type="http://schemas.openxmlformats.org/officeDocument/2006/relationships/table" Target="../tables/table75.xml"/><Relationship Id="rId5" Type="http://schemas.openxmlformats.org/officeDocument/2006/relationships/table" Target="../tables/table74.xml"/><Relationship Id="rId4" Type="http://schemas.openxmlformats.org/officeDocument/2006/relationships/table" Target="../tables/table7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8.xml"/><Relationship Id="rId2" Type="http://schemas.openxmlformats.org/officeDocument/2006/relationships/table" Target="../tables/table77.xml"/><Relationship Id="rId1" Type="http://schemas.openxmlformats.org/officeDocument/2006/relationships/table" Target="../tables/table76.xml"/><Relationship Id="rId6" Type="http://schemas.openxmlformats.org/officeDocument/2006/relationships/table" Target="../tables/table81.xml"/><Relationship Id="rId5" Type="http://schemas.openxmlformats.org/officeDocument/2006/relationships/table" Target="../tables/table80.xml"/><Relationship Id="rId4" Type="http://schemas.openxmlformats.org/officeDocument/2006/relationships/table" Target="../tables/table7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4.xml"/><Relationship Id="rId2" Type="http://schemas.openxmlformats.org/officeDocument/2006/relationships/table" Target="../tables/table83.xml"/><Relationship Id="rId1" Type="http://schemas.openxmlformats.org/officeDocument/2006/relationships/table" Target="../tables/table82.xml"/><Relationship Id="rId6" Type="http://schemas.openxmlformats.org/officeDocument/2006/relationships/table" Target="../tables/table87.xml"/><Relationship Id="rId5" Type="http://schemas.openxmlformats.org/officeDocument/2006/relationships/table" Target="../tables/table86.xml"/><Relationship Id="rId4" Type="http://schemas.openxmlformats.org/officeDocument/2006/relationships/table" Target="../tables/table8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0.xml"/><Relationship Id="rId2" Type="http://schemas.openxmlformats.org/officeDocument/2006/relationships/table" Target="../tables/table89.xml"/><Relationship Id="rId1" Type="http://schemas.openxmlformats.org/officeDocument/2006/relationships/table" Target="../tables/table88.xml"/><Relationship Id="rId6" Type="http://schemas.openxmlformats.org/officeDocument/2006/relationships/table" Target="../tables/table93.xml"/><Relationship Id="rId5" Type="http://schemas.openxmlformats.org/officeDocument/2006/relationships/table" Target="../tables/table92.xml"/><Relationship Id="rId4" Type="http://schemas.openxmlformats.org/officeDocument/2006/relationships/table" Target="../tables/table91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6.xml"/><Relationship Id="rId2" Type="http://schemas.openxmlformats.org/officeDocument/2006/relationships/table" Target="../tables/table95.xml"/><Relationship Id="rId1" Type="http://schemas.openxmlformats.org/officeDocument/2006/relationships/table" Target="../tables/table94.xml"/><Relationship Id="rId6" Type="http://schemas.openxmlformats.org/officeDocument/2006/relationships/table" Target="../tables/table99.xml"/><Relationship Id="rId5" Type="http://schemas.openxmlformats.org/officeDocument/2006/relationships/table" Target="../tables/table98.xml"/><Relationship Id="rId4" Type="http://schemas.openxmlformats.org/officeDocument/2006/relationships/table" Target="../tables/table9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2.xml"/><Relationship Id="rId2" Type="http://schemas.openxmlformats.org/officeDocument/2006/relationships/table" Target="../tables/table101.xml"/><Relationship Id="rId1" Type="http://schemas.openxmlformats.org/officeDocument/2006/relationships/table" Target="../tables/table100.xml"/><Relationship Id="rId6" Type="http://schemas.openxmlformats.org/officeDocument/2006/relationships/table" Target="../tables/table105.xml"/><Relationship Id="rId5" Type="http://schemas.openxmlformats.org/officeDocument/2006/relationships/table" Target="../tables/table104.xml"/><Relationship Id="rId4" Type="http://schemas.openxmlformats.org/officeDocument/2006/relationships/table" Target="../tables/table10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8.xml"/><Relationship Id="rId2" Type="http://schemas.openxmlformats.org/officeDocument/2006/relationships/table" Target="../tables/table107.xml"/><Relationship Id="rId1" Type="http://schemas.openxmlformats.org/officeDocument/2006/relationships/table" Target="../tables/table106.xml"/><Relationship Id="rId6" Type="http://schemas.openxmlformats.org/officeDocument/2006/relationships/table" Target="../tables/table111.xml"/><Relationship Id="rId5" Type="http://schemas.openxmlformats.org/officeDocument/2006/relationships/table" Target="../tables/table110.xml"/><Relationship Id="rId4" Type="http://schemas.openxmlformats.org/officeDocument/2006/relationships/table" Target="../tables/table10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4.xml"/><Relationship Id="rId2" Type="http://schemas.openxmlformats.org/officeDocument/2006/relationships/table" Target="../tables/table113.xml"/><Relationship Id="rId1" Type="http://schemas.openxmlformats.org/officeDocument/2006/relationships/table" Target="../tables/table112.xml"/><Relationship Id="rId6" Type="http://schemas.openxmlformats.org/officeDocument/2006/relationships/table" Target="../tables/table117.xml"/><Relationship Id="rId5" Type="http://schemas.openxmlformats.org/officeDocument/2006/relationships/table" Target="../tables/table116.xml"/><Relationship Id="rId4" Type="http://schemas.openxmlformats.org/officeDocument/2006/relationships/table" Target="../tables/table11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0.xml"/><Relationship Id="rId2" Type="http://schemas.openxmlformats.org/officeDocument/2006/relationships/table" Target="../tables/table119.xml"/><Relationship Id="rId1" Type="http://schemas.openxmlformats.org/officeDocument/2006/relationships/table" Target="../tables/table118.xml"/><Relationship Id="rId6" Type="http://schemas.openxmlformats.org/officeDocument/2006/relationships/table" Target="../tables/table123.xml"/><Relationship Id="rId5" Type="http://schemas.openxmlformats.org/officeDocument/2006/relationships/table" Target="../tables/table122.xml"/><Relationship Id="rId4" Type="http://schemas.openxmlformats.org/officeDocument/2006/relationships/table" Target="../tables/table12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6.xml"/><Relationship Id="rId2" Type="http://schemas.openxmlformats.org/officeDocument/2006/relationships/table" Target="../tables/table125.xml"/><Relationship Id="rId1" Type="http://schemas.openxmlformats.org/officeDocument/2006/relationships/table" Target="../tables/table124.xml"/><Relationship Id="rId6" Type="http://schemas.openxmlformats.org/officeDocument/2006/relationships/table" Target="../tables/table129.xml"/><Relationship Id="rId5" Type="http://schemas.openxmlformats.org/officeDocument/2006/relationships/table" Target="../tables/table128.xml"/><Relationship Id="rId4" Type="http://schemas.openxmlformats.org/officeDocument/2006/relationships/table" Target="../tables/table127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2.xml"/><Relationship Id="rId2" Type="http://schemas.openxmlformats.org/officeDocument/2006/relationships/table" Target="../tables/table131.xml"/><Relationship Id="rId1" Type="http://schemas.openxmlformats.org/officeDocument/2006/relationships/table" Target="../tables/table130.xml"/><Relationship Id="rId6" Type="http://schemas.openxmlformats.org/officeDocument/2006/relationships/table" Target="../tables/table135.xml"/><Relationship Id="rId5" Type="http://schemas.openxmlformats.org/officeDocument/2006/relationships/table" Target="../tables/table134.xml"/><Relationship Id="rId4" Type="http://schemas.openxmlformats.org/officeDocument/2006/relationships/table" Target="../tables/table13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8.xml"/><Relationship Id="rId2" Type="http://schemas.openxmlformats.org/officeDocument/2006/relationships/table" Target="../tables/table137.xml"/><Relationship Id="rId1" Type="http://schemas.openxmlformats.org/officeDocument/2006/relationships/table" Target="../tables/table136.xml"/><Relationship Id="rId6" Type="http://schemas.openxmlformats.org/officeDocument/2006/relationships/table" Target="../tables/table141.xml"/><Relationship Id="rId5" Type="http://schemas.openxmlformats.org/officeDocument/2006/relationships/table" Target="../tables/table140.xml"/><Relationship Id="rId4" Type="http://schemas.openxmlformats.org/officeDocument/2006/relationships/table" Target="../tables/table139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4.xml"/><Relationship Id="rId2" Type="http://schemas.openxmlformats.org/officeDocument/2006/relationships/table" Target="../tables/table143.xml"/><Relationship Id="rId1" Type="http://schemas.openxmlformats.org/officeDocument/2006/relationships/table" Target="../tables/table142.xml"/><Relationship Id="rId6" Type="http://schemas.openxmlformats.org/officeDocument/2006/relationships/table" Target="../tables/table147.xml"/><Relationship Id="rId5" Type="http://schemas.openxmlformats.org/officeDocument/2006/relationships/table" Target="../tables/table146.xml"/><Relationship Id="rId4" Type="http://schemas.openxmlformats.org/officeDocument/2006/relationships/table" Target="../tables/table145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0.xml"/><Relationship Id="rId2" Type="http://schemas.openxmlformats.org/officeDocument/2006/relationships/table" Target="../tables/table149.xml"/><Relationship Id="rId1" Type="http://schemas.openxmlformats.org/officeDocument/2006/relationships/table" Target="../tables/table148.xml"/><Relationship Id="rId6" Type="http://schemas.openxmlformats.org/officeDocument/2006/relationships/table" Target="../tables/table153.xml"/><Relationship Id="rId5" Type="http://schemas.openxmlformats.org/officeDocument/2006/relationships/table" Target="../tables/table152.xml"/><Relationship Id="rId4" Type="http://schemas.openxmlformats.org/officeDocument/2006/relationships/table" Target="../tables/table151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6.xml"/><Relationship Id="rId2" Type="http://schemas.openxmlformats.org/officeDocument/2006/relationships/table" Target="../tables/table155.xml"/><Relationship Id="rId1" Type="http://schemas.openxmlformats.org/officeDocument/2006/relationships/table" Target="../tables/table154.xml"/><Relationship Id="rId6" Type="http://schemas.openxmlformats.org/officeDocument/2006/relationships/table" Target="../tables/table159.xml"/><Relationship Id="rId5" Type="http://schemas.openxmlformats.org/officeDocument/2006/relationships/table" Target="../tables/table158.xml"/><Relationship Id="rId4" Type="http://schemas.openxmlformats.org/officeDocument/2006/relationships/table" Target="../tables/table157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2.xml"/><Relationship Id="rId2" Type="http://schemas.openxmlformats.org/officeDocument/2006/relationships/table" Target="../tables/table161.xml"/><Relationship Id="rId1" Type="http://schemas.openxmlformats.org/officeDocument/2006/relationships/table" Target="../tables/table160.xml"/><Relationship Id="rId6" Type="http://schemas.openxmlformats.org/officeDocument/2006/relationships/table" Target="../tables/table165.xml"/><Relationship Id="rId5" Type="http://schemas.openxmlformats.org/officeDocument/2006/relationships/table" Target="../tables/table164.xml"/><Relationship Id="rId4" Type="http://schemas.openxmlformats.org/officeDocument/2006/relationships/table" Target="../tables/table1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70046-B5DD-40A5-B108-1B4CFC896731}">
  <dimension ref="A2:G16"/>
  <sheetViews>
    <sheetView tabSelected="1" workbookViewId="0">
      <selection activeCell="F4" sqref="F4"/>
    </sheetView>
  </sheetViews>
  <sheetFormatPr baseColWidth="10" defaultRowHeight="15" x14ac:dyDescent="0.25"/>
  <cols>
    <col min="2" max="2" width="40.7109375" customWidth="1"/>
    <col min="3" max="5" width="12.7109375" customWidth="1"/>
    <col min="6" max="6" width="18.7109375" customWidth="1"/>
    <col min="8" max="9" width="20.140625" customWidth="1"/>
  </cols>
  <sheetData>
    <row r="2" spans="1:7" x14ac:dyDescent="0.25">
      <c r="B2" s="9" t="s">
        <v>5</v>
      </c>
      <c r="C2" s="10"/>
      <c r="D2" s="10"/>
      <c r="E2" s="10"/>
    </row>
    <row r="3" spans="1:7" x14ac:dyDescent="0.25">
      <c r="B3" t="s">
        <v>3</v>
      </c>
      <c r="C3" t="s">
        <v>4</v>
      </c>
      <c r="D3" t="s">
        <v>12</v>
      </c>
      <c r="E3" t="s">
        <v>6</v>
      </c>
    </row>
    <row r="4" spans="1:7" x14ac:dyDescent="0.25">
      <c r="B4" t="s">
        <v>11</v>
      </c>
      <c r="C4">
        <v>15</v>
      </c>
      <c r="D4">
        <v>1</v>
      </c>
    </row>
    <row r="5" spans="1:7" x14ac:dyDescent="0.25">
      <c r="A5" t="s">
        <v>13</v>
      </c>
    </row>
    <row r="6" spans="1:7" x14ac:dyDescent="0.25">
      <c r="E6" s="1">
        <f>Tableau1[[#This Row],[Quantité]]-Tableau1[[#This Row],[Prêté]]-IF('Acceuil artiste'!E5&lt;0,0,'Acceuil artiste'!E5)</f>
        <v>0</v>
      </c>
    </row>
    <row r="7" spans="1:7" x14ac:dyDescent="0.25">
      <c r="E7" s="1">
        <f>Tableau1[[#This Row],[Quantité]]-Tableau1[[#This Row],[Prêté]]-IF('Acceuil artiste'!E6&lt;0,0,'Acceuil artiste'!E6)</f>
        <v>0</v>
      </c>
    </row>
    <row r="8" spans="1:7" x14ac:dyDescent="0.25">
      <c r="B8" t="s">
        <v>7</v>
      </c>
      <c r="E8">
        <f>SUBTOTAL(103,Tableau1[Disponible])</f>
        <v>2</v>
      </c>
    </row>
    <row r="15" spans="1:7" x14ac:dyDescent="0.25">
      <c r="E15" s="1"/>
    </row>
    <row r="16" spans="1:7" x14ac:dyDescent="0.25">
      <c r="E16" s="1"/>
    </row>
  </sheetData>
  <mergeCells count="1">
    <mergeCell ref="B2:E2"/>
  </mergeCells>
  <pageMargins left="0.7" right="0.7" top="0.75" bottom="0.75" header="0.3" footer="0.3"/>
  <pageSetup paperSize="9" orientation="portrait" horizontalDpi="4294967293" vertic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3E9D-973C-4D4F-A54F-04C264F66034}">
  <dimension ref="B2:E6"/>
  <sheetViews>
    <sheetView workbookViewId="0">
      <selection activeCell="C4" sqref="C4"/>
    </sheetView>
  </sheetViews>
  <sheetFormatPr baseColWidth="10" defaultRowHeight="15" x14ac:dyDescent="0.25"/>
  <cols>
    <col min="2" max="2" width="40.7109375" customWidth="1"/>
    <col min="3" max="5" width="12.7109375" customWidth="1"/>
  </cols>
  <sheetData>
    <row r="2" spans="2:5" x14ac:dyDescent="0.25">
      <c r="B2" s="6" t="s">
        <v>8</v>
      </c>
      <c r="C2" s="7"/>
      <c r="D2" s="8"/>
    </row>
    <row r="3" spans="2:5" x14ac:dyDescent="0.25">
      <c r="B3" t="s">
        <v>3</v>
      </c>
      <c r="C3" t="s">
        <v>4</v>
      </c>
      <c r="D3" t="s">
        <v>12</v>
      </c>
      <c r="E3" t="s">
        <v>6</v>
      </c>
    </row>
    <row r="6" spans="2:5" x14ac:dyDescent="0.25">
      <c r="B6" t="s">
        <v>7</v>
      </c>
      <c r="E6">
        <f>SUBTOTAL(103,Tableau13[Disponible])</f>
        <v>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AB47-B1DA-4D5D-95C1-90737DB41015}">
  <dimension ref="B2:E6"/>
  <sheetViews>
    <sheetView workbookViewId="0">
      <selection activeCell="G13" sqref="G13"/>
    </sheetView>
  </sheetViews>
  <sheetFormatPr baseColWidth="10" defaultRowHeight="15" x14ac:dyDescent="0.25"/>
  <cols>
    <col min="2" max="2" width="40.7109375" customWidth="1"/>
    <col min="3" max="5" width="12.7109375" customWidth="1"/>
  </cols>
  <sheetData>
    <row r="2" spans="2:5" x14ac:dyDescent="0.25">
      <c r="B2" s="6" t="s">
        <v>9</v>
      </c>
      <c r="C2" s="7"/>
      <c r="D2" s="8"/>
    </row>
    <row r="3" spans="2:5" x14ac:dyDescent="0.25">
      <c r="B3" t="s">
        <v>3</v>
      </c>
      <c r="C3" t="s">
        <v>4</v>
      </c>
      <c r="D3" t="s">
        <v>12</v>
      </c>
      <c r="E3" t="s">
        <v>6</v>
      </c>
    </row>
    <row r="6" spans="2:5" x14ac:dyDescent="0.25">
      <c r="B6" t="s">
        <v>7</v>
      </c>
      <c r="E6">
        <f>SUBTOTAL(103,Tableau134[Disponible])</f>
        <v>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7972D-F54D-44BF-95EB-0FA29EB1340F}">
  <dimension ref="B2:H42"/>
  <sheetViews>
    <sheetView workbookViewId="0">
      <selection activeCell="H23" sqref="H23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 customWidth="1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B3" t="s">
        <v>11</v>
      </c>
      <c r="C3">
        <v>2</v>
      </c>
      <c r="E3">
        <f>Tableau4[Demande]-Tableau4[Présente dans la malle]</f>
        <v>-2</v>
      </c>
      <c r="F3" s="2"/>
    </row>
    <row r="4" spans="2:8" x14ac:dyDescent="0.25">
      <c r="E4">
        <f>Tableau4[Demande]-Tableau4[Présente dans la malle]</f>
        <v>0</v>
      </c>
      <c r="F4" s="2"/>
    </row>
    <row r="5" spans="2:8" x14ac:dyDescent="0.25">
      <c r="E5">
        <f>Tableau4[Demande]-Tableau4[Présente dans la malle]</f>
        <v>0</v>
      </c>
      <c r="F5" s="2"/>
    </row>
    <row r="6" spans="2:8" x14ac:dyDescent="0.25">
      <c r="E6">
        <f>Tableau4[Demande]-Tableau4[Présente dans la malle]</f>
        <v>0</v>
      </c>
      <c r="F6" s="2"/>
    </row>
    <row r="7" spans="2:8" x14ac:dyDescent="0.25">
      <c r="E7">
        <f>Tableau4[Demande]-Tableau4[Présente dans la malle]</f>
        <v>0</v>
      </c>
      <c r="F7" s="2"/>
    </row>
    <row r="8" spans="2:8" x14ac:dyDescent="0.25">
      <c r="E8">
        <f>Tableau4[Demande]-Tableau4[Présente dans la malle]</f>
        <v>0</v>
      </c>
      <c r="F8" s="2"/>
    </row>
    <row r="9" spans="2:8" x14ac:dyDescent="0.25">
      <c r="E9">
        <f>Tableau4[Demande]-Tableau4[Présente dans la malle]</f>
        <v>0</v>
      </c>
      <c r="F9" s="2"/>
    </row>
    <row r="10" spans="2:8" x14ac:dyDescent="0.25">
      <c r="E10">
        <f>Tableau4[Demande]-Tableau4[Présente dans la malle]</f>
        <v>0</v>
      </c>
      <c r="F10" s="2"/>
    </row>
    <row r="11" spans="2:8" x14ac:dyDescent="0.25">
      <c r="E11">
        <f>Tableau4[Demande]-Tableau4[Présente dans la malle]</f>
        <v>0</v>
      </c>
      <c r="F11" s="2"/>
    </row>
    <row r="12" spans="2:8" x14ac:dyDescent="0.25">
      <c r="E12">
        <f>Tableau4[Demande]-Tableau4[Présente dans la malle]</f>
        <v>0</v>
      </c>
      <c r="F12" s="2"/>
    </row>
    <row r="13" spans="2:8" x14ac:dyDescent="0.25">
      <c r="E13">
        <f>Tableau4[Demande]-Tableau4[Présente dans la malle]</f>
        <v>0</v>
      </c>
      <c r="F13" s="2"/>
    </row>
    <row r="14" spans="2:8" x14ac:dyDescent="0.25">
      <c r="B14" t="s">
        <v>7</v>
      </c>
      <c r="E14">
        <f>SUBTOTAL(109,Tableau4[Manque])</f>
        <v>-2</v>
      </c>
      <c r="F14" s="2"/>
      <c r="G14" s="3" t="s">
        <v>7</v>
      </c>
      <c r="H14" s="3">
        <f>SUBTOTAL(103,Tableau8[CT])</f>
        <v>0</v>
      </c>
    </row>
    <row r="17" spans="2:8" x14ac:dyDescent="0.25">
      <c r="B17" t="s">
        <v>8</v>
      </c>
      <c r="C17" t="s">
        <v>0</v>
      </c>
      <c r="D17" t="s">
        <v>1</v>
      </c>
      <c r="E17" t="s">
        <v>2</v>
      </c>
      <c r="F17" s="4"/>
      <c r="G17" s="3" t="s">
        <v>15</v>
      </c>
      <c r="H17" s="3" t="s">
        <v>14</v>
      </c>
    </row>
    <row r="18" spans="2:8" x14ac:dyDescent="0.25">
      <c r="E18">
        <f>Tableau47[Demande]-Tableau47[Présente dans la malle]</f>
        <v>0</v>
      </c>
      <c r="F18" s="4"/>
    </row>
    <row r="19" spans="2:8" x14ac:dyDescent="0.25">
      <c r="E19">
        <f>Tableau47[Demande]-Tableau47[Présente dans la malle]</f>
        <v>0</v>
      </c>
      <c r="F19" s="4"/>
    </row>
    <row r="20" spans="2:8" x14ac:dyDescent="0.25">
      <c r="E20">
        <f>Tableau47[Demande]-Tableau47[Présente dans la malle]</f>
        <v>0</v>
      </c>
      <c r="F20" s="4"/>
    </row>
    <row r="21" spans="2:8" x14ac:dyDescent="0.25">
      <c r="E21">
        <f>Tableau47[Demande]-Tableau47[Présente dans la malle]</f>
        <v>0</v>
      </c>
      <c r="F21" s="4"/>
    </row>
    <row r="22" spans="2:8" x14ac:dyDescent="0.25">
      <c r="E22">
        <f>Tableau47[Demande]-Tableau47[Présente dans la malle]</f>
        <v>0</v>
      </c>
      <c r="F22" s="4"/>
    </row>
    <row r="23" spans="2:8" x14ac:dyDescent="0.25">
      <c r="E23">
        <f>Tableau47[Demande]-Tableau47[Présente dans la malle]</f>
        <v>0</v>
      </c>
      <c r="F23" s="4"/>
    </row>
    <row r="24" spans="2:8" x14ac:dyDescent="0.25">
      <c r="E24">
        <f>Tableau47[Demande]-Tableau47[Présente dans la malle]</f>
        <v>0</v>
      </c>
      <c r="F24" s="4"/>
    </row>
    <row r="25" spans="2:8" x14ac:dyDescent="0.25">
      <c r="E25">
        <f>Tableau47[Demande]-Tableau47[Présente dans la malle]</f>
        <v>0</v>
      </c>
      <c r="F25" s="4"/>
    </row>
    <row r="26" spans="2:8" x14ac:dyDescent="0.25">
      <c r="E26">
        <f>Tableau47[Demande]-Tableau47[Présente dans la malle]</f>
        <v>0</v>
      </c>
      <c r="F26" s="4"/>
    </row>
    <row r="27" spans="2:8" x14ac:dyDescent="0.25">
      <c r="E27">
        <f>Tableau47[Demande]-Tableau47[Présente dans la malle]</f>
        <v>0</v>
      </c>
      <c r="F27" s="4"/>
    </row>
    <row r="28" spans="2:8" x14ac:dyDescent="0.25">
      <c r="B28" t="s">
        <v>7</v>
      </c>
      <c r="E28">
        <f>SUBTOTAL(109,Tableau47[Manque])</f>
        <v>0</v>
      </c>
      <c r="F28" s="4"/>
      <c r="G28" s="3" t="s">
        <v>7</v>
      </c>
      <c r="H28" s="3">
        <f>SUBTOTAL(103,Tableau846[CT])</f>
        <v>0</v>
      </c>
    </row>
    <row r="31" spans="2:8" x14ac:dyDescent="0.25">
      <c r="B31" t="s">
        <v>9</v>
      </c>
      <c r="C31" t="s">
        <v>0</v>
      </c>
      <c r="D31" t="s">
        <v>1</v>
      </c>
      <c r="E31" t="s">
        <v>2</v>
      </c>
      <c r="F31" s="4"/>
      <c r="G31" s="3" t="s">
        <v>15</v>
      </c>
      <c r="H31" s="3" t="s">
        <v>14</v>
      </c>
    </row>
    <row r="32" spans="2:8" x14ac:dyDescent="0.25">
      <c r="E32">
        <f>Tableau478[Demande]-Tableau478[Présente dans la malle]</f>
        <v>0</v>
      </c>
      <c r="F32" s="4"/>
    </row>
    <row r="33" spans="2:8" x14ac:dyDescent="0.25">
      <c r="E33">
        <f>Tableau478[Demande]-Tableau478[Présente dans la malle]</f>
        <v>0</v>
      </c>
      <c r="F33" s="4"/>
    </row>
    <row r="34" spans="2:8" x14ac:dyDescent="0.25">
      <c r="E34">
        <f>Tableau478[Demande]-Tableau478[Présente dans la malle]</f>
        <v>0</v>
      </c>
      <c r="F34" s="4"/>
    </row>
    <row r="35" spans="2:8" x14ac:dyDescent="0.25">
      <c r="E35">
        <f>Tableau478[Demande]-Tableau478[Présente dans la malle]</f>
        <v>0</v>
      </c>
      <c r="F35" s="4"/>
    </row>
    <row r="36" spans="2:8" x14ac:dyDescent="0.25">
      <c r="E36">
        <f>Tableau478[Demande]-Tableau478[Présente dans la malle]</f>
        <v>0</v>
      </c>
      <c r="F36" s="4"/>
    </row>
    <row r="37" spans="2:8" x14ac:dyDescent="0.25">
      <c r="E37">
        <f>Tableau478[Demande]-Tableau478[Présente dans la malle]</f>
        <v>0</v>
      </c>
      <c r="F37" s="4"/>
    </row>
    <row r="38" spans="2:8" x14ac:dyDescent="0.25">
      <c r="E38">
        <f>Tableau478[Demande]-Tableau478[Présente dans la malle]</f>
        <v>0</v>
      </c>
      <c r="F38" s="4"/>
    </row>
    <row r="39" spans="2:8" x14ac:dyDescent="0.25">
      <c r="E39">
        <f>Tableau478[Demande]-Tableau478[Présente dans la malle]</f>
        <v>0</v>
      </c>
      <c r="F39" s="4"/>
    </row>
    <row r="40" spans="2:8" x14ac:dyDescent="0.25">
      <c r="E40">
        <f>Tableau478[Demande]-Tableau478[Présente dans la malle]</f>
        <v>0</v>
      </c>
      <c r="F40" s="4"/>
    </row>
    <row r="41" spans="2:8" x14ac:dyDescent="0.25">
      <c r="E41">
        <f>Tableau478[Demande]-Tableau478[Présente dans la malle]</f>
        <v>0</v>
      </c>
      <c r="F41" s="4"/>
    </row>
    <row r="42" spans="2:8" x14ac:dyDescent="0.25">
      <c r="B42" t="s">
        <v>7</v>
      </c>
      <c r="E42">
        <f>SUBTOTAL(109,Tableau478[Manque])</f>
        <v>0</v>
      </c>
      <c r="F42" s="4"/>
      <c r="G42" s="3" t="s">
        <v>7</v>
      </c>
      <c r="H42" s="3">
        <f>SUBTOTAL(103,Tableau847[CT])</f>
        <v>0</v>
      </c>
    </row>
  </sheetData>
  <conditionalFormatting sqref="E3:E13">
    <cfRule type="cellIs" dxfId="258" priority="7" operator="equal">
      <formula>0</formula>
    </cfRule>
    <cfRule type="cellIs" dxfId="257" priority="8" operator="lessThan">
      <formula>0</formula>
    </cfRule>
    <cfRule type="cellIs" dxfId="256" priority="9" operator="greaterThan">
      <formula>0</formula>
    </cfRule>
  </conditionalFormatting>
  <conditionalFormatting sqref="E18:E27">
    <cfRule type="cellIs" dxfId="255" priority="4" operator="equal">
      <formula>0</formula>
    </cfRule>
    <cfRule type="cellIs" dxfId="254" priority="5" operator="lessThan">
      <formula>0</formula>
    </cfRule>
    <cfRule type="cellIs" dxfId="253" priority="6" operator="greaterThan">
      <formula>0</formula>
    </cfRule>
  </conditionalFormatting>
  <conditionalFormatting sqref="E32:E41">
    <cfRule type="cellIs" dxfId="252" priority="1" operator="equal">
      <formula>0</formula>
    </cfRule>
    <cfRule type="cellIs" dxfId="251" priority="2" operator="lessThan">
      <formula>0</formula>
    </cfRule>
    <cfRule type="cellIs" dxfId="250" priority="3" operator="greaterThan">
      <formula>0</formula>
    </cfRule>
  </conditionalFormatting>
  <dataValidations xWindow="785" yWindow="253" count="7">
    <dataValidation type="list" allowBlank="1" showInputMessage="1" showErrorMessage="1" prompt="Insérez la fourniture désiré" sqref="B32:B41 B18:B27 B3:B13" xr:uid="{356A8E9A-877F-4653-8013-C79F64FE9B33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3 E18:E27 E32:E41" xr:uid="{4C9CB413-36E6-48EF-ABEC-BC307567D8CF}"/>
    <dataValidation allowBlank="1" showInputMessage="1" showErrorMessage="1" prompt="Insérez la quantité présente dans les malles" sqref="C10:C13 C32:C36 C24:C27 C18:C22 C38:C41 C3:C8" xr:uid="{CE4968D7-2FD7-4A2A-9D65-CDBC1A3778AF}"/>
    <dataValidation allowBlank="1" showInputMessage="1" showErrorMessage="1" prompt="Insérez la quantité demandé" sqref="D10:D13 D32:D36 D24:D27 D18:D22 D38:D41 D3:D8" xr:uid="{8C0AFD86-54A1-4C33-A982-B1F9A5D73EDA}"/>
    <dataValidation allowBlank="1" showInputMessage="1" showErrorMessage="1" prompt="Quantité acheté rajouté * CU" sqref="H3 H18 H32" xr:uid="{5679EE67-D77A-4599-9B16-1E86AD571D31}"/>
    <dataValidation allowBlank="1" showInputMessage="1" showErrorMessage="1" prompt="CU = Cout unitaire" sqref="G2 G17 G31:G32" xr:uid="{15F12455-27DB-4B2B-9890-0E36361527D4}"/>
    <dataValidation allowBlank="1" showInputMessage="1" showErrorMessage="1" prompt="CT = Cout total" sqref="H2 H17 H31" xr:uid="{AC514531-6712-4E79-9312-3DE02D33DDDA}"/>
  </dataValidations>
  <pageMargins left="0.7" right="0.7" top="0.75" bottom="0.75" header="0.3" footer="0.3"/>
  <pageSetup paperSize="9"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10408-E9DA-434E-BFE9-C471836C8F72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B3" t="s">
        <v>11</v>
      </c>
      <c r="C3">
        <v>3</v>
      </c>
      <c r="E3">
        <f>Tableau410[Demande]-Tableau410[Présente dans la malle]</f>
        <v>-3</v>
      </c>
      <c r="F3" s="2"/>
    </row>
    <row r="4" spans="2:8" x14ac:dyDescent="0.25">
      <c r="E4">
        <f>Tableau410[Demande]-Tableau410[Présente dans la malle]</f>
        <v>0</v>
      </c>
      <c r="F4" s="2"/>
    </row>
    <row r="5" spans="2:8" x14ac:dyDescent="0.25">
      <c r="E5">
        <f>Tableau410[Demande]-Tableau410[Présente dans la malle]</f>
        <v>0</v>
      </c>
      <c r="F5" s="2"/>
    </row>
    <row r="6" spans="2:8" x14ac:dyDescent="0.25">
      <c r="E6">
        <f>Tableau410[Demande]-Tableau410[Présente dans la malle]</f>
        <v>0</v>
      </c>
      <c r="F6" s="2"/>
    </row>
    <row r="7" spans="2:8" x14ac:dyDescent="0.25">
      <c r="E7">
        <f>Tableau410[Demande]-Tableau410[Présente dans la malle]</f>
        <v>0</v>
      </c>
      <c r="F7" s="2"/>
    </row>
    <row r="8" spans="2:8" x14ac:dyDescent="0.25">
      <c r="E8">
        <f>Tableau410[Demande]-Tableau410[Présente dans la malle]</f>
        <v>0</v>
      </c>
      <c r="F8" s="2"/>
    </row>
    <row r="9" spans="2:8" x14ac:dyDescent="0.25">
      <c r="E9">
        <f>Tableau410[Demande]-Tableau410[Présente dans la malle]</f>
        <v>0</v>
      </c>
      <c r="F9" s="2"/>
    </row>
    <row r="10" spans="2:8" x14ac:dyDescent="0.25">
      <c r="E10">
        <f>Tableau410[Demande]-Tableau410[Présente dans la malle]</f>
        <v>0</v>
      </c>
      <c r="F10" s="2"/>
    </row>
    <row r="11" spans="2:8" x14ac:dyDescent="0.25">
      <c r="E11">
        <f>Tableau410[Demande]-Tableau410[Présente dans la malle]</f>
        <v>0</v>
      </c>
      <c r="F11" s="2"/>
    </row>
    <row r="12" spans="2:8" x14ac:dyDescent="0.25">
      <c r="E12">
        <f>Tableau410[Demande]-Tableau410[Présente dans la malle]</f>
        <v>0</v>
      </c>
      <c r="F12" s="2"/>
    </row>
    <row r="13" spans="2:8" x14ac:dyDescent="0.25">
      <c r="B13" t="s">
        <v>7</v>
      </c>
      <c r="E13">
        <f>SUBTOTAL(109,Tableau410[Manque])</f>
        <v>-3</v>
      </c>
      <c r="F13" s="2"/>
      <c r="G13" s="3" t="s">
        <v>7</v>
      </c>
      <c r="H13" s="3">
        <f>SUBTOTAL(103,Tableau8120[CT])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Tableau4711[Demande]-Tableau4711[Présente dans la malle]</f>
        <v>0</v>
      </c>
      <c r="F17" s="4"/>
    </row>
    <row r="18" spans="2:8" x14ac:dyDescent="0.25">
      <c r="E18">
        <f>Tableau4711[Demande]-Tableau4711[Présente dans la malle]</f>
        <v>0</v>
      </c>
      <c r="F18" s="4"/>
    </row>
    <row r="19" spans="2:8" x14ac:dyDescent="0.25">
      <c r="E19">
        <f>Tableau4711[Demande]-Tableau4711[Présente dans la malle]</f>
        <v>0</v>
      </c>
      <c r="F19" s="4"/>
    </row>
    <row r="20" spans="2:8" x14ac:dyDescent="0.25">
      <c r="E20">
        <f>Tableau4711[Demande]-Tableau4711[Présente dans la malle]</f>
        <v>0</v>
      </c>
      <c r="F20" s="4"/>
    </row>
    <row r="21" spans="2:8" x14ac:dyDescent="0.25">
      <c r="E21">
        <f>Tableau4711[Demande]-Tableau4711[Présente dans la malle]</f>
        <v>0</v>
      </c>
      <c r="F21" s="4"/>
    </row>
    <row r="22" spans="2:8" x14ac:dyDescent="0.25">
      <c r="E22">
        <f>Tableau4711[Demande]-Tableau4711[Présente dans la malle]</f>
        <v>0</v>
      </c>
      <c r="F22" s="4"/>
    </row>
    <row r="23" spans="2:8" x14ac:dyDescent="0.25">
      <c r="E23">
        <f>Tableau4711[Demande]-Tableau4711[Présente dans la malle]</f>
        <v>0</v>
      </c>
      <c r="F23" s="4"/>
    </row>
    <row r="24" spans="2:8" x14ac:dyDescent="0.25">
      <c r="E24">
        <f>Tableau4711[Demande]-Tableau4711[Présente dans la malle]</f>
        <v>0</v>
      </c>
      <c r="F24" s="4"/>
    </row>
    <row r="25" spans="2:8" x14ac:dyDescent="0.25">
      <c r="E25">
        <f>Tableau4711[Demande]-Tableau4711[Présente dans la malle]</f>
        <v>0</v>
      </c>
      <c r="F25" s="4"/>
    </row>
    <row r="26" spans="2:8" x14ac:dyDescent="0.25">
      <c r="E26">
        <f>Tableau4711[Demande]-Tableau4711[Présente dans la malle]</f>
        <v>0</v>
      </c>
      <c r="F26" s="4"/>
    </row>
    <row r="27" spans="2:8" x14ac:dyDescent="0.25">
      <c r="B27" t="s">
        <v>7</v>
      </c>
      <c r="E27">
        <f>SUBTOTAL(109,Tableau4711[Manque])</f>
        <v>0</v>
      </c>
      <c r="F27" s="4"/>
      <c r="G27" s="3" t="s">
        <v>7</v>
      </c>
      <c r="H27" s="3">
        <f>SUBTOTAL(103,Tableau846121[CT])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Tableau47812[Demande]-Tableau47812[Présente dans la malle]</f>
        <v>0</v>
      </c>
      <c r="F31" s="4"/>
    </row>
    <row r="32" spans="2:8" x14ac:dyDescent="0.25">
      <c r="E32">
        <f>Tableau47812[Demande]-Tableau47812[Présente dans la malle]</f>
        <v>0</v>
      </c>
      <c r="F32" s="4"/>
    </row>
    <row r="33" spans="2:8" x14ac:dyDescent="0.25">
      <c r="E33">
        <f>Tableau47812[Demande]-Tableau47812[Présente dans la malle]</f>
        <v>0</v>
      </c>
      <c r="F33" s="4"/>
    </row>
    <row r="34" spans="2:8" x14ac:dyDescent="0.25">
      <c r="E34">
        <f>Tableau47812[Demande]-Tableau47812[Présente dans la malle]</f>
        <v>0</v>
      </c>
      <c r="F34" s="4"/>
    </row>
    <row r="35" spans="2:8" x14ac:dyDescent="0.25">
      <c r="E35">
        <f>Tableau47812[Demande]-Tableau47812[Présente dans la malle]</f>
        <v>0</v>
      </c>
      <c r="F35" s="4"/>
    </row>
    <row r="36" spans="2:8" x14ac:dyDescent="0.25">
      <c r="E36">
        <f>Tableau47812[Demande]-Tableau47812[Présente dans la malle]</f>
        <v>0</v>
      </c>
      <c r="F36" s="4"/>
    </row>
    <row r="37" spans="2:8" x14ac:dyDescent="0.25">
      <c r="E37">
        <f>Tableau47812[Demande]-Tableau47812[Présente dans la malle]</f>
        <v>0</v>
      </c>
      <c r="F37" s="4"/>
    </row>
    <row r="38" spans="2:8" x14ac:dyDescent="0.25">
      <c r="E38">
        <f>Tableau47812[Demande]-Tableau47812[Présente dans la malle]</f>
        <v>0</v>
      </c>
      <c r="F38" s="4"/>
    </row>
    <row r="39" spans="2:8" x14ac:dyDescent="0.25">
      <c r="E39">
        <f>Tableau47812[Demande]-Tableau47812[Présente dans la malle]</f>
        <v>0</v>
      </c>
      <c r="F39" s="4"/>
    </row>
    <row r="40" spans="2:8" x14ac:dyDescent="0.25">
      <c r="E40">
        <f>Tableau47812[Demande]-Tableau47812[Présente dans la malle]</f>
        <v>0</v>
      </c>
      <c r="F40" s="4"/>
    </row>
    <row r="41" spans="2:8" x14ac:dyDescent="0.25">
      <c r="B41" t="s">
        <v>7</v>
      </c>
      <c r="E41">
        <f>SUBTOTAL(109,Tableau47812[Manque])</f>
        <v>0</v>
      </c>
      <c r="F41" s="4"/>
      <c r="G41" s="3" t="s">
        <v>7</v>
      </c>
      <c r="H41" s="3">
        <f>SUBTOTAL(103,Tableau847122[CT])</f>
        <v>0</v>
      </c>
    </row>
  </sheetData>
  <conditionalFormatting sqref="E31:E40">
    <cfRule type="cellIs" dxfId="247" priority="1" operator="equal">
      <formula>0</formula>
    </cfRule>
    <cfRule type="cellIs" dxfId="246" priority="2" operator="lessThan">
      <formula>0</formula>
    </cfRule>
    <cfRule type="cellIs" dxfId="245" priority="3" operator="greaterThan">
      <formula>0</formula>
    </cfRule>
  </conditionalFormatting>
  <conditionalFormatting sqref="E3:E12">
    <cfRule type="cellIs" dxfId="244" priority="7" operator="equal">
      <formula>0</formula>
    </cfRule>
    <cfRule type="cellIs" dxfId="243" priority="8" operator="lessThan">
      <formula>0</formula>
    </cfRule>
    <cfRule type="cellIs" dxfId="242" priority="9" operator="greaterThan">
      <formula>0</formula>
    </cfRule>
  </conditionalFormatting>
  <conditionalFormatting sqref="E17:E26">
    <cfRule type="cellIs" dxfId="241" priority="4" operator="equal">
      <formula>0</formula>
    </cfRule>
    <cfRule type="cellIs" dxfId="240" priority="5" operator="lessThan">
      <formula>0</formula>
    </cfRule>
    <cfRule type="cellIs" dxfId="239" priority="6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0BD79A15-72E9-41A6-AE3A-1DBBA1BC0EE4}"/>
    <dataValidation allowBlank="1" showInputMessage="1" showErrorMessage="1" prompt="Insérez la quantité présente dans les malles" sqref="C9:C12 C3:C7 C23:C26 C17:C21 C37:C40 C31:C35" xr:uid="{9FE8E150-26EE-4F14-B72B-ED8E61A5CC24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70543D98-7924-4FF6-A6A6-16746D6D9353}"/>
    <dataValidation type="list" allowBlank="1" showInputMessage="1" showErrorMessage="1" prompt="Insérez la fourniture désiré" sqref="B3:B12 B17:B26 B31:B40" xr:uid="{9F1711D0-C32C-48E2-B07A-7D0122E43A56}">
      <formula1>Fournitures</formula1>
    </dataValidation>
    <dataValidation allowBlank="1" showInputMessage="1" showErrorMessage="1" prompt="CT = Cout total" sqref="H2 H16 H30" xr:uid="{34403F9B-E9F8-4D9B-A9E9-1D17AE1B67FA}"/>
    <dataValidation allowBlank="1" showInputMessage="1" showErrorMessage="1" prompt="CU = Cout unitaire" sqref="G2 G16 G30:G31" xr:uid="{DA2DADEE-CA36-444F-BC8A-42F304243A7D}"/>
    <dataValidation allowBlank="1" showInputMessage="1" showErrorMessage="1" prompt="Quantité acheté rajouté * CU" sqref="H3 H17 H31" xr:uid="{943549D3-6D3B-4DB3-8628-BAFC3E134011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9736D-574C-4E24-A409-EB62D0175B10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Tableau416[Demande]-Tableau416[Présente dans la malle]</f>
        <v>0</v>
      </c>
      <c r="F3" s="2"/>
    </row>
    <row r="4" spans="2:8" x14ac:dyDescent="0.25">
      <c r="E4">
        <f>Tableau416[Demande]-Tableau416[Présente dans la malle]</f>
        <v>0</v>
      </c>
      <c r="F4" s="2"/>
    </row>
    <row r="5" spans="2:8" x14ac:dyDescent="0.25">
      <c r="E5">
        <f>Tableau416[Demande]-Tableau416[Présente dans la malle]</f>
        <v>0</v>
      </c>
      <c r="F5" s="2"/>
    </row>
    <row r="6" spans="2:8" x14ac:dyDescent="0.25">
      <c r="E6">
        <f>Tableau416[Demande]-Tableau416[Présente dans la malle]</f>
        <v>0</v>
      </c>
      <c r="F6" s="2"/>
    </row>
    <row r="7" spans="2:8" x14ac:dyDescent="0.25">
      <c r="E7">
        <f>Tableau416[Demande]-Tableau416[Présente dans la malle]</f>
        <v>0</v>
      </c>
      <c r="F7" s="2"/>
    </row>
    <row r="8" spans="2:8" x14ac:dyDescent="0.25">
      <c r="E8">
        <f>Tableau416[Demande]-Tableau416[Présente dans la malle]</f>
        <v>0</v>
      </c>
      <c r="F8" s="2"/>
    </row>
    <row r="9" spans="2:8" x14ac:dyDescent="0.25">
      <c r="E9">
        <f>Tableau416[Demande]-Tableau416[Présente dans la malle]</f>
        <v>0</v>
      </c>
      <c r="F9" s="2"/>
    </row>
    <row r="10" spans="2:8" x14ac:dyDescent="0.25">
      <c r="E10">
        <f>Tableau416[Demande]-Tableau416[Présente dans la malle]</f>
        <v>0</v>
      </c>
      <c r="F10" s="2"/>
    </row>
    <row r="11" spans="2:8" x14ac:dyDescent="0.25">
      <c r="E11">
        <f>Tableau416[Demande]-Tableau416[Présente dans la malle]</f>
        <v>0</v>
      </c>
      <c r="F11" s="2"/>
    </row>
    <row r="12" spans="2:8" x14ac:dyDescent="0.25">
      <c r="E12">
        <f>Tableau416[Demande]-Tableau416[Présente dans la malle]</f>
        <v>0</v>
      </c>
      <c r="F12" s="2"/>
    </row>
    <row r="13" spans="2:8" x14ac:dyDescent="0.25">
      <c r="B13" t="s">
        <v>7</v>
      </c>
      <c r="E13">
        <f>SUBTOTAL(109,Tableau416[Manque])</f>
        <v>0</v>
      </c>
      <c r="F13" s="2"/>
      <c r="G13" s="3" t="s">
        <v>7</v>
      </c>
      <c r="H13" s="3">
        <f>SUBTOTAL(103,Tableau8120123[CT])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Tableau4717[Demande]-Tableau4717[Présente dans la malle]</f>
        <v>0</v>
      </c>
      <c r="F17" s="4"/>
    </row>
    <row r="18" spans="2:8" x14ac:dyDescent="0.25">
      <c r="E18">
        <f>Tableau4717[Demande]-Tableau4717[Présente dans la malle]</f>
        <v>0</v>
      </c>
      <c r="F18" s="4"/>
    </row>
    <row r="19" spans="2:8" x14ac:dyDescent="0.25">
      <c r="E19">
        <f>Tableau4717[Demande]-Tableau4717[Présente dans la malle]</f>
        <v>0</v>
      </c>
      <c r="F19" s="4"/>
    </row>
    <row r="20" spans="2:8" x14ac:dyDescent="0.25">
      <c r="E20">
        <f>Tableau4717[Demande]-Tableau4717[Présente dans la malle]</f>
        <v>0</v>
      </c>
      <c r="F20" s="4"/>
    </row>
    <row r="21" spans="2:8" x14ac:dyDescent="0.25">
      <c r="E21">
        <f>Tableau4717[Demande]-Tableau4717[Présente dans la malle]</f>
        <v>0</v>
      </c>
      <c r="F21" s="4"/>
    </row>
    <row r="22" spans="2:8" x14ac:dyDescent="0.25">
      <c r="E22">
        <f>Tableau4717[Demande]-Tableau4717[Présente dans la malle]</f>
        <v>0</v>
      </c>
      <c r="F22" s="4"/>
    </row>
    <row r="23" spans="2:8" x14ac:dyDescent="0.25">
      <c r="E23">
        <f>Tableau4717[Demande]-Tableau4717[Présente dans la malle]</f>
        <v>0</v>
      </c>
      <c r="F23" s="4"/>
    </row>
    <row r="24" spans="2:8" x14ac:dyDescent="0.25">
      <c r="E24">
        <f>Tableau4717[Demande]-Tableau4717[Présente dans la malle]</f>
        <v>0</v>
      </c>
      <c r="F24" s="4"/>
    </row>
    <row r="25" spans="2:8" x14ac:dyDescent="0.25">
      <c r="E25">
        <f>Tableau4717[Demande]-Tableau4717[Présente dans la malle]</f>
        <v>0</v>
      </c>
      <c r="F25" s="4"/>
    </row>
    <row r="26" spans="2:8" x14ac:dyDescent="0.25">
      <c r="E26">
        <f>Tableau4717[Demande]-Tableau4717[Présente dans la malle]</f>
        <v>0</v>
      </c>
      <c r="F26" s="4"/>
    </row>
    <row r="27" spans="2:8" x14ac:dyDescent="0.25">
      <c r="B27" t="s">
        <v>7</v>
      </c>
      <c r="E27">
        <f>SUBTOTAL(109,Tableau4717[Manque])</f>
        <v>0</v>
      </c>
      <c r="F27" s="4"/>
      <c r="G27" s="3" t="s">
        <v>7</v>
      </c>
      <c r="H27" s="3">
        <f>SUBTOTAL(103,Tableau846121124[CT])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Tableau47818[Demande]-Tableau47818[Présente dans la malle]</f>
        <v>0</v>
      </c>
      <c r="F31" s="4"/>
    </row>
    <row r="32" spans="2:8" x14ac:dyDescent="0.25">
      <c r="E32">
        <f>Tableau47818[Demande]-Tableau47818[Présente dans la malle]</f>
        <v>0</v>
      </c>
      <c r="F32" s="4"/>
    </row>
    <row r="33" spans="2:8" x14ac:dyDescent="0.25">
      <c r="E33">
        <f>Tableau47818[Demande]-Tableau47818[Présente dans la malle]</f>
        <v>0</v>
      </c>
      <c r="F33" s="4"/>
    </row>
    <row r="34" spans="2:8" x14ac:dyDescent="0.25">
      <c r="E34">
        <f>Tableau47818[Demande]-Tableau47818[Présente dans la malle]</f>
        <v>0</v>
      </c>
      <c r="F34" s="4"/>
    </row>
    <row r="35" spans="2:8" x14ac:dyDescent="0.25">
      <c r="E35">
        <f>Tableau47818[Demande]-Tableau47818[Présente dans la malle]</f>
        <v>0</v>
      </c>
      <c r="F35" s="4"/>
    </row>
    <row r="36" spans="2:8" x14ac:dyDescent="0.25">
      <c r="E36">
        <f>Tableau47818[Demande]-Tableau47818[Présente dans la malle]</f>
        <v>0</v>
      </c>
      <c r="F36" s="4"/>
    </row>
    <row r="37" spans="2:8" x14ac:dyDescent="0.25">
      <c r="E37">
        <f>Tableau47818[Demande]-Tableau47818[Présente dans la malle]</f>
        <v>0</v>
      </c>
      <c r="F37" s="4"/>
    </row>
    <row r="38" spans="2:8" x14ac:dyDescent="0.25">
      <c r="E38">
        <f>Tableau47818[Demande]-Tableau47818[Présente dans la malle]</f>
        <v>0</v>
      </c>
      <c r="F38" s="4"/>
    </row>
    <row r="39" spans="2:8" x14ac:dyDescent="0.25">
      <c r="E39">
        <f>Tableau47818[Demande]-Tableau47818[Présente dans la malle]</f>
        <v>0</v>
      </c>
      <c r="F39" s="4"/>
    </row>
    <row r="40" spans="2:8" x14ac:dyDescent="0.25">
      <c r="E40">
        <f>Tableau47818[Demande]-Tableau47818[Présente dans la malle]</f>
        <v>0</v>
      </c>
      <c r="F40" s="4"/>
    </row>
    <row r="41" spans="2:8" x14ac:dyDescent="0.25">
      <c r="B41" t="s">
        <v>7</v>
      </c>
      <c r="E41">
        <f>SUBTOTAL(109,Tableau47818[Manque])</f>
        <v>0</v>
      </c>
      <c r="F41" s="4"/>
      <c r="G41" s="3" t="s">
        <v>7</v>
      </c>
      <c r="H41" s="3">
        <f>SUBTOTAL(103,Tableau847122125[CT])</f>
        <v>0</v>
      </c>
    </row>
  </sheetData>
  <conditionalFormatting sqref="E3:E12">
    <cfRule type="cellIs" dxfId="238" priority="7" operator="equal">
      <formula>0</formula>
    </cfRule>
    <cfRule type="cellIs" dxfId="237" priority="8" operator="lessThan">
      <formula>0</formula>
    </cfRule>
    <cfRule type="cellIs" dxfId="236" priority="9" operator="greaterThan">
      <formula>0</formula>
    </cfRule>
  </conditionalFormatting>
  <conditionalFormatting sqref="E17:E26">
    <cfRule type="cellIs" dxfId="235" priority="4" operator="equal">
      <formula>0</formula>
    </cfRule>
    <cfRule type="cellIs" dxfId="234" priority="5" operator="lessThan">
      <formula>0</formula>
    </cfRule>
    <cfRule type="cellIs" dxfId="233" priority="6" operator="greaterThan">
      <formula>0</formula>
    </cfRule>
  </conditionalFormatting>
  <conditionalFormatting sqref="E31:E40">
    <cfRule type="cellIs" dxfId="232" priority="1" operator="equal">
      <formula>0</formula>
    </cfRule>
    <cfRule type="cellIs" dxfId="231" priority="2" operator="lessThan">
      <formula>0</formula>
    </cfRule>
    <cfRule type="cellIs" dxfId="230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27FB680F-8793-485E-9B3B-AC74ED57C8BE}"/>
    <dataValidation allowBlank="1" showInputMessage="1" showErrorMessage="1" prompt="Insérez la quantité présente dans les malles" sqref="C9:C12 C3:C7 C23:C26 C17:C21 C37:C40 C31:C35" xr:uid="{0ADF92FE-3642-44A8-87B5-CA21B55C68BB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CD090900-82D7-4CD3-9A18-CD384B846873}"/>
    <dataValidation type="list" allowBlank="1" showInputMessage="1" showErrorMessage="1" prompt="Insérez la fourniture désiré" sqref="B3:B12 B17:B26 B31:B40" xr:uid="{F70C5D60-96DE-4C75-B0CA-0520E580EBC0}">
      <formula1>Fournitures</formula1>
    </dataValidation>
    <dataValidation allowBlank="1" showInputMessage="1" showErrorMessage="1" prompt="CT = Cout total" sqref="H2 H16 H30" xr:uid="{C9C6BC69-6AA8-4922-A30F-06ADE0DEDC6B}"/>
    <dataValidation allowBlank="1" showInputMessage="1" showErrorMessage="1" prompt="CU = Cout unitaire" sqref="G2 G16 G30:G31" xr:uid="{AA058353-DD33-438A-BA0F-284244B29DB3}"/>
    <dataValidation allowBlank="1" showInputMessage="1" showErrorMessage="1" prompt="Quantité acheté rajouté * CU" sqref="H3 H17 H31" xr:uid="{6044C940-94E7-4FC4-9455-E3ED4D6A7D74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EA02-4CC4-452A-B266-8178811C0BA5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Tableau41013[Demande]-Tableau41013[Présente dans la malle]</f>
        <v>0</v>
      </c>
      <c r="F3" s="2"/>
    </row>
    <row r="4" spans="2:8" x14ac:dyDescent="0.25">
      <c r="E4">
        <f>Tableau41013[Demande]-Tableau41013[Présente dans la malle]</f>
        <v>0</v>
      </c>
      <c r="F4" s="2"/>
    </row>
    <row r="5" spans="2:8" x14ac:dyDescent="0.25">
      <c r="E5">
        <f>Tableau41013[Demande]-Tableau41013[Présente dans la malle]</f>
        <v>0</v>
      </c>
      <c r="F5" s="2"/>
    </row>
    <row r="6" spans="2:8" x14ac:dyDescent="0.25">
      <c r="E6">
        <f>Tableau41013[Demande]-Tableau41013[Présente dans la malle]</f>
        <v>0</v>
      </c>
      <c r="F6" s="2"/>
    </row>
    <row r="7" spans="2:8" x14ac:dyDescent="0.25">
      <c r="E7">
        <f>Tableau41013[Demande]-Tableau41013[Présente dans la malle]</f>
        <v>0</v>
      </c>
      <c r="F7" s="2"/>
    </row>
    <row r="8" spans="2:8" x14ac:dyDescent="0.25">
      <c r="E8">
        <f>Tableau41013[Demande]-Tableau41013[Présente dans la malle]</f>
        <v>0</v>
      </c>
      <c r="F8" s="2"/>
    </row>
    <row r="9" spans="2:8" x14ac:dyDescent="0.25">
      <c r="E9">
        <f>Tableau41013[Demande]-Tableau41013[Présente dans la malle]</f>
        <v>0</v>
      </c>
      <c r="F9" s="2"/>
    </row>
    <row r="10" spans="2:8" x14ac:dyDescent="0.25">
      <c r="E10">
        <f>Tableau41013[Demande]-Tableau41013[Présente dans la malle]</f>
        <v>0</v>
      </c>
      <c r="F10" s="2"/>
    </row>
    <row r="11" spans="2:8" x14ac:dyDescent="0.25">
      <c r="E11">
        <f>Tableau41013[Demande]-Tableau41013[Présente dans la malle]</f>
        <v>0</v>
      </c>
      <c r="F11" s="2"/>
    </row>
    <row r="12" spans="2:8" x14ac:dyDescent="0.25">
      <c r="E12">
        <f>Tableau41013[Demande]-Tableau41013[Présente dans la malle]</f>
        <v>0</v>
      </c>
      <c r="F12" s="2"/>
    </row>
    <row r="13" spans="2:8" x14ac:dyDescent="0.25">
      <c r="B13" t="s">
        <v>7</v>
      </c>
      <c r="E13">
        <f>SUBTOTAL(109,Tableau41013[Manque])</f>
        <v>0</v>
      </c>
      <c r="F13" s="2"/>
      <c r="G13" s="3" t="s">
        <v>7</v>
      </c>
      <c r="H13" s="3">
        <f>SUBTOTAL(103,Tableau8120126[CT])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Tableau471114[Demande]-Tableau471114[Présente dans la malle]</f>
        <v>0</v>
      </c>
      <c r="F17" s="4"/>
    </row>
    <row r="18" spans="2:8" x14ac:dyDescent="0.25">
      <c r="E18">
        <f>Tableau471114[Demande]-Tableau471114[Présente dans la malle]</f>
        <v>0</v>
      </c>
      <c r="F18" s="4"/>
    </row>
    <row r="19" spans="2:8" x14ac:dyDescent="0.25">
      <c r="E19">
        <f>Tableau471114[Demande]-Tableau471114[Présente dans la malle]</f>
        <v>0</v>
      </c>
      <c r="F19" s="4"/>
    </row>
    <row r="20" spans="2:8" x14ac:dyDescent="0.25">
      <c r="E20">
        <f>Tableau471114[Demande]-Tableau471114[Présente dans la malle]</f>
        <v>0</v>
      </c>
      <c r="F20" s="4"/>
    </row>
    <row r="21" spans="2:8" x14ac:dyDescent="0.25">
      <c r="E21">
        <f>Tableau471114[Demande]-Tableau471114[Présente dans la malle]</f>
        <v>0</v>
      </c>
      <c r="F21" s="4"/>
    </row>
    <row r="22" spans="2:8" x14ac:dyDescent="0.25">
      <c r="E22">
        <f>Tableau471114[Demande]-Tableau471114[Présente dans la malle]</f>
        <v>0</v>
      </c>
      <c r="F22" s="4"/>
    </row>
    <row r="23" spans="2:8" x14ac:dyDescent="0.25">
      <c r="E23">
        <f>Tableau471114[Demande]-Tableau471114[Présente dans la malle]</f>
        <v>0</v>
      </c>
      <c r="F23" s="4"/>
    </row>
    <row r="24" spans="2:8" x14ac:dyDescent="0.25">
      <c r="E24">
        <f>Tableau471114[Demande]-Tableau471114[Présente dans la malle]</f>
        <v>0</v>
      </c>
      <c r="F24" s="4"/>
    </row>
    <row r="25" spans="2:8" x14ac:dyDescent="0.25">
      <c r="E25">
        <f>Tableau471114[Demande]-Tableau471114[Présente dans la malle]</f>
        <v>0</v>
      </c>
      <c r="F25" s="4"/>
    </row>
    <row r="26" spans="2:8" x14ac:dyDescent="0.25">
      <c r="E26">
        <f>Tableau471114[Demande]-Tableau471114[Présente dans la malle]</f>
        <v>0</v>
      </c>
      <c r="F26" s="4"/>
    </row>
    <row r="27" spans="2:8" x14ac:dyDescent="0.25">
      <c r="B27" t="s">
        <v>7</v>
      </c>
      <c r="E27">
        <f>SUBTOTAL(109,Tableau471114[Manque])</f>
        <v>0</v>
      </c>
      <c r="F27" s="4"/>
      <c r="G27" s="3" t="s">
        <v>7</v>
      </c>
      <c r="H27" s="3">
        <f>SUBTOTAL(103,Tableau846121127[CT])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Tableau4781215[Demande]-Tableau4781215[Présente dans la malle]</f>
        <v>0</v>
      </c>
      <c r="F31" s="4"/>
    </row>
    <row r="32" spans="2:8" x14ac:dyDescent="0.25">
      <c r="E32">
        <f>Tableau4781215[Demande]-Tableau4781215[Présente dans la malle]</f>
        <v>0</v>
      </c>
      <c r="F32" s="4"/>
    </row>
    <row r="33" spans="2:8" x14ac:dyDescent="0.25">
      <c r="E33">
        <f>Tableau4781215[Demande]-Tableau4781215[Présente dans la malle]</f>
        <v>0</v>
      </c>
      <c r="F33" s="4"/>
    </row>
    <row r="34" spans="2:8" x14ac:dyDescent="0.25">
      <c r="E34">
        <f>Tableau4781215[Demande]-Tableau4781215[Présente dans la malle]</f>
        <v>0</v>
      </c>
      <c r="F34" s="4"/>
    </row>
    <row r="35" spans="2:8" x14ac:dyDescent="0.25">
      <c r="E35">
        <f>Tableau4781215[Demande]-Tableau4781215[Présente dans la malle]</f>
        <v>0</v>
      </c>
      <c r="F35" s="4"/>
    </row>
    <row r="36" spans="2:8" x14ac:dyDescent="0.25">
      <c r="E36">
        <f>Tableau4781215[Demande]-Tableau4781215[Présente dans la malle]</f>
        <v>0</v>
      </c>
      <c r="F36" s="4"/>
    </row>
    <row r="37" spans="2:8" x14ac:dyDescent="0.25">
      <c r="E37">
        <f>Tableau4781215[Demande]-Tableau4781215[Présente dans la malle]</f>
        <v>0</v>
      </c>
      <c r="F37" s="4"/>
    </row>
    <row r="38" spans="2:8" x14ac:dyDescent="0.25">
      <c r="E38">
        <f>Tableau4781215[Demande]-Tableau4781215[Présente dans la malle]</f>
        <v>0</v>
      </c>
      <c r="F38" s="4"/>
    </row>
    <row r="39" spans="2:8" x14ac:dyDescent="0.25">
      <c r="E39">
        <f>Tableau4781215[Demande]-Tableau4781215[Présente dans la malle]</f>
        <v>0</v>
      </c>
      <c r="F39" s="4"/>
    </row>
    <row r="40" spans="2:8" x14ac:dyDescent="0.25">
      <c r="E40">
        <f>Tableau4781215[Demande]-Tableau4781215[Présente dans la malle]</f>
        <v>0</v>
      </c>
      <c r="F40" s="4"/>
    </row>
    <row r="41" spans="2:8" x14ac:dyDescent="0.25">
      <c r="B41" t="s">
        <v>7</v>
      </c>
      <c r="E41">
        <f>SUBTOTAL(109,Tableau4781215[Manque])</f>
        <v>0</v>
      </c>
      <c r="F41" s="4"/>
      <c r="G41" s="3" t="s">
        <v>7</v>
      </c>
      <c r="H41" s="3">
        <f>SUBTOTAL(103,Tableau847122128[CT])</f>
        <v>0</v>
      </c>
    </row>
  </sheetData>
  <conditionalFormatting sqref="E3:E12">
    <cfRule type="cellIs" dxfId="229" priority="7" operator="equal">
      <formula>0</formula>
    </cfRule>
    <cfRule type="cellIs" dxfId="228" priority="8" operator="lessThan">
      <formula>0</formula>
    </cfRule>
    <cfRule type="cellIs" dxfId="227" priority="9" operator="greaterThan">
      <formula>0</formula>
    </cfRule>
  </conditionalFormatting>
  <conditionalFormatting sqref="E17:E26">
    <cfRule type="cellIs" dxfId="226" priority="4" operator="equal">
      <formula>0</formula>
    </cfRule>
    <cfRule type="cellIs" dxfId="225" priority="5" operator="lessThan">
      <formula>0</formula>
    </cfRule>
    <cfRule type="cellIs" dxfId="224" priority="6" operator="greaterThan">
      <formula>0</formula>
    </cfRule>
  </conditionalFormatting>
  <conditionalFormatting sqref="E31:E40">
    <cfRule type="cellIs" dxfId="223" priority="1" operator="equal">
      <formula>0</formula>
    </cfRule>
    <cfRule type="cellIs" dxfId="222" priority="2" operator="lessThan">
      <formula>0</formula>
    </cfRule>
    <cfRule type="cellIs" dxfId="221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049B7827-0CB7-4B0D-AC5B-EA4A95402749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C6FECCB1-6EB4-4DD2-B2DA-10B705A72728}"/>
    <dataValidation allowBlank="1" showInputMessage="1" showErrorMessage="1" prompt="Insérez la quantité présente dans les malles" sqref="C9:C12 C3:C7 C23:C26 C17:C21 C37:C40 C31:C35" xr:uid="{C0DC19C7-FF90-452B-BE61-D9AF7F491812}"/>
    <dataValidation allowBlank="1" showInputMessage="1" showErrorMessage="1" prompt="Insérez la quantité demandé" sqref="D9:D12 D3:D7 D23:D26 D17:D21 D37:D40 D31:D35" xr:uid="{4D36C897-18EB-4911-8DE9-EC87C0659824}"/>
    <dataValidation allowBlank="1" showInputMessage="1" showErrorMessage="1" prompt="CT = Cout total" sqref="H2 H16 H30" xr:uid="{D73C967D-C164-404C-BDA0-419B80414B3A}"/>
    <dataValidation allowBlank="1" showInputMessage="1" showErrorMessage="1" prompt="CU = Cout unitaire" sqref="G2 G16 G30:G31" xr:uid="{65B7BE2D-DEA2-474F-A786-C5131505106B}"/>
    <dataValidation allowBlank="1" showInputMessage="1" showErrorMessage="1" prompt="Quantité acheté rajouté * CU" sqref="H3 H17 H31" xr:uid="{5584DF99-7CCD-41C2-8290-BD1D62A27CF4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7BB57-CE4A-4A92-8D3F-C82AD0C3A7AC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Tableau419[Demande]-Tableau419[Présente dans la malle]</f>
        <v>0</v>
      </c>
      <c r="F3" s="2"/>
    </row>
    <row r="4" spans="2:8" x14ac:dyDescent="0.25">
      <c r="E4">
        <f>Tableau419[Demande]-Tableau419[Présente dans la malle]</f>
        <v>0</v>
      </c>
      <c r="F4" s="2"/>
    </row>
    <row r="5" spans="2:8" x14ac:dyDescent="0.25">
      <c r="E5">
        <f>Tableau419[Demande]-Tableau419[Présente dans la malle]</f>
        <v>0</v>
      </c>
      <c r="F5" s="2"/>
    </row>
    <row r="6" spans="2:8" x14ac:dyDescent="0.25">
      <c r="E6">
        <f>Tableau419[Demande]-Tableau419[Présente dans la malle]</f>
        <v>0</v>
      </c>
      <c r="F6" s="2"/>
    </row>
    <row r="7" spans="2:8" x14ac:dyDescent="0.25">
      <c r="E7">
        <f>Tableau419[Demande]-Tableau419[Présente dans la malle]</f>
        <v>0</v>
      </c>
      <c r="F7" s="2"/>
    </row>
    <row r="8" spans="2:8" x14ac:dyDescent="0.25">
      <c r="E8">
        <f>Tableau419[Demande]-Tableau419[Présente dans la malle]</f>
        <v>0</v>
      </c>
      <c r="F8" s="2"/>
    </row>
    <row r="9" spans="2:8" x14ac:dyDescent="0.25">
      <c r="E9">
        <f>Tableau419[Demande]-Tableau419[Présente dans la malle]</f>
        <v>0</v>
      </c>
      <c r="F9" s="2"/>
    </row>
    <row r="10" spans="2:8" x14ac:dyDescent="0.25">
      <c r="E10">
        <f>Tableau419[Demande]-Tableau419[Présente dans la malle]</f>
        <v>0</v>
      </c>
      <c r="F10" s="2"/>
    </row>
    <row r="11" spans="2:8" x14ac:dyDescent="0.25">
      <c r="E11">
        <f>Tableau419[Demande]-Tableau419[Présente dans la malle]</f>
        <v>0</v>
      </c>
      <c r="F11" s="2"/>
    </row>
    <row r="12" spans="2:8" x14ac:dyDescent="0.25">
      <c r="E12">
        <f>Tableau419[Demande]-Tableau419[Présente dans la malle]</f>
        <v>0</v>
      </c>
      <c r="F12" s="2"/>
    </row>
    <row r="13" spans="2:8" x14ac:dyDescent="0.25">
      <c r="B13" t="s">
        <v>7</v>
      </c>
      <c r="E13">
        <f>SUBTOTAL(109,Tableau419[Manque])</f>
        <v>0</v>
      </c>
      <c r="F13" s="2"/>
      <c r="G13" s="3" t="s">
        <v>7</v>
      </c>
      <c r="H13" s="3">
        <f>SUBTOTAL(103,Tableau8120129[CT])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Tableau4720[Demande]-Tableau4720[Présente dans la malle]</f>
        <v>0</v>
      </c>
      <c r="F17" s="4"/>
    </row>
    <row r="18" spans="2:8" x14ac:dyDescent="0.25">
      <c r="E18">
        <f>Tableau4720[Demande]-Tableau4720[Présente dans la malle]</f>
        <v>0</v>
      </c>
      <c r="F18" s="4"/>
    </row>
    <row r="19" spans="2:8" x14ac:dyDescent="0.25">
      <c r="E19">
        <f>Tableau4720[Demande]-Tableau4720[Présente dans la malle]</f>
        <v>0</v>
      </c>
      <c r="F19" s="4"/>
    </row>
    <row r="20" spans="2:8" x14ac:dyDescent="0.25">
      <c r="E20">
        <f>Tableau4720[Demande]-Tableau4720[Présente dans la malle]</f>
        <v>0</v>
      </c>
      <c r="F20" s="4"/>
    </row>
    <row r="21" spans="2:8" x14ac:dyDescent="0.25">
      <c r="E21">
        <f>Tableau4720[Demande]-Tableau4720[Présente dans la malle]</f>
        <v>0</v>
      </c>
      <c r="F21" s="4"/>
    </row>
    <row r="22" spans="2:8" x14ac:dyDescent="0.25">
      <c r="E22">
        <f>Tableau4720[Demande]-Tableau4720[Présente dans la malle]</f>
        <v>0</v>
      </c>
      <c r="F22" s="4"/>
    </row>
    <row r="23" spans="2:8" x14ac:dyDescent="0.25">
      <c r="E23">
        <f>Tableau4720[Demande]-Tableau4720[Présente dans la malle]</f>
        <v>0</v>
      </c>
      <c r="F23" s="4"/>
    </row>
    <row r="24" spans="2:8" x14ac:dyDescent="0.25">
      <c r="E24">
        <f>Tableau4720[Demande]-Tableau4720[Présente dans la malle]</f>
        <v>0</v>
      </c>
      <c r="F24" s="4"/>
    </row>
    <row r="25" spans="2:8" x14ac:dyDescent="0.25">
      <c r="E25">
        <f>Tableau4720[Demande]-Tableau4720[Présente dans la malle]</f>
        <v>0</v>
      </c>
      <c r="F25" s="4"/>
    </row>
    <row r="26" spans="2:8" x14ac:dyDescent="0.25">
      <c r="E26">
        <f>Tableau4720[Demande]-Tableau4720[Présente dans la malle]</f>
        <v>0</v>
      </c>
      <c r="F26" s="4"/>
    </row>
    <row r="27" spans="2:8" x14ac:dyDescent="0.25">
      <c r="B27" t="s">
        <v>7</v>
      </c>
      <c r="E27">
        <f>SUBTOTAL(109,Tableau4720[Manque])</f>
        <v>0</v>
      </c>
      <c r="F27" s="4"/>
      <c r="G27" s="3" t="s">
        <v>7</v>
      </c>
      <c r="H27" s="3">
        <f>SUBTOTAL(103,Tableau846121130[CT])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Tableau47821[Demande]-Tableau47821[Présente dans la malle]</f>
        <v>0</v>
      </c>
      <c r="F31" s="4"/>
    </row>
    <row r="32" spans="2:8" x14ac:dyDescent="0.25">
      <c r="E32">
        <f>Tableau47821[Demande]-Tableau47821[Présente dans la malle]</f>
        <v>0</v>
      </c>
      <c r="F32" s="4"/>
    </row>
    <row r="33" spans="2:8" x14ac:dyDescent="0.25">
      <c r="E33">
        <f>Tableau47821[Demande]-Tableau47821[Présente dans la malle]</f>
        <v>0</v>
      </c>
      <c r="F33" s="4"/>
    </row>
    <row r="34" spans="2:8" x14ac:dyDescent="0.25">
      <c r="E34">
        <f>Tableau47821[Demande]-Tableau47821[Présente dans la malle]</f>
        <v>0</v>
      </c>
      <c r="F34" s="4"/>
    </row>
    <row r="35" spans="2:8" x14ac:dyDescent="0.25">
      <c r="E35">
        <f>Tableau47821[Demande]-Tableau47821[Présente dans la malle]</f>
        <v>0</v>
      </c>
      <c r="F35" s="4"/>
    </row>
    <row r="36" spans="2:8" x14ac:dyDescent="0.25">
      <c r="E36">
        <f>Tableau47821[Demande]-Tableau47821[Présente dans la malle]</f>
        <v>0</v>
      </c>
      <c r="F36" s="4"/>
    </row>
    <row r="37" spans="2:8" x14ac:dyDescent="0.25">
      <c r="E37">
        <f>Tableau47821[Demande]-Tableau47821[Présente dans la malle]</f>
        <v>0</v>
      </c>
      <c r="F37" s="4"/>
    </row>
    <row r="38" spans="2:8" x14ac:dyDescent="0.25">
      <c r="E38">
        <f>Tableau47821[Demande]-Tableau47821[Présente dans la malle]</f>
        <v>0</v>
      </c>
      <c r="F38" s="4"/>
    </row>
    <row r="39" spans="2:8" x14ac:dyDescent="0.25">
      <c r="E39">
        <f>Tableau47821[Demande]-Tableau47821[Présente dans la malle]</f>
        <v>0</v>
      </c>
      <c r="F39" s="4"/>
    </row>
    <row r="40" spans="2:8" x14ac:dyDescent="0.25">
      <c r="E40">
        <f>Tableau47821[Demande]-Tableau47821[Présente dans la malle]</f>
        <v>0</v>
      </c>
      <c r="F40" s="4"/>
    </row>
    <row r="41" spans="2:8" x14ac:dyDescent="0.25">
      <c r="B41" t="s">
        <v>7</v>
      </c>
      <c r="E41">
        <f>SUBTOTAL(109,Tableau47821[Manque])</f>
        <v>0</v>
      </c>
      <c r="F41" s="4"/>
      <c r="G41" s="3" t="s">
        <v>7</v>
      </c>
      <c r="H41" s="3">
        <f>SUBTOTAL(103,Tableau847122131[CT])</f>
        <v>0</v>
      </c>
    </row>
  </sheetData>
  <conditionalFormatting sqref="E3:E12">
    <cfRule type="cellIs" dxfId="220" priority="7" operator="equal">
      <formula>0</formula>
    </cfRule>
    <cfRule type="cellIs" dxfId="219" priority="8" operator="lessThan">
      <formula>0</formula>
    </cfRule>
    <cfRule type="cellIs" dxfId="218" priority="9" operator="greaterThan">
      <formula>0</formula>
    </cfRule>
  </conditionalFormatting>
  <conditionalFormatting sqref="E17:E26">
    <cfRule type="cellIs" dxfId="217" priority="4" operator="equal">
      <formula>0</formula>
    </cfRule>
    <cfRule type="cellIs" dxfId="216" priority="5" operator="lessThan">
      <formula>0</formula>
    </cfRule>
    <cfRule type="cellIs" dxfId="215" priority="6" operator="greaterThan">
      <formula>0</formula>
    </cfRule>
  </conditionalFormatting>
  <conditionalFormatting sqref="E31:E40">
    <cfRule type="cellIs" dxfId="214" priority="1" operator="equal">
      <formula>0</formula>
    </cfRule>
    <cfRule type="cellIs" dxfId="213" priority="2" operator="lessThan">
      <formula>0</formula>
    </cfRule>
    <cfRule type="cellIs" dxfId="212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C512C2A9-30EF-4F3E-807F-83E2D41DB970}"/>
    <dataValidation allowBlank="1" showInputMessage="1" showErrorMessage="1" prompt="Insérez la quantité présente dans les malles" sqref="C9:C12 C3:C7 C23:C26 C17:C21 C37:C40 C31:C35" xr:uid="{652A431C-9535-4ECB-96D3-EBDA7CCCA830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39725001-1E2A-44A7-9DF9-D282A3AD14A0}"/>
    <dataValidation type="list" allowBlank="1" showInputMessage="1" showErrorMessage="1" prompt="Insérez la fourniture désiré" sqref="B3:B12 B17:B26 B31:B40" xr:uid="{AC049570-0AE3-474C-AC16-1E2AA8905536}">
      <formula1>Fournitures</formula1>
    </dataValidation>
    <dataValidation allowBlank="1" showInputMessage="1" showErrorMessage="1" prompt="CT = Cout total" sqref="H2 H16 H30" xr:uid="{4DFF52F8-964A-492E-9B2A-28207B573D06}"/>
    <dataValidation allowBlank="1" showInputMessage="1" showErrorMessage="1" prompt="CU = Cout unitaire" sqref="G2 G16 G30:G31" xr:uid="{33545C04-34B4-4BAD-9474-EA33100EFE53}"/>
    <dataValidation allowBlank="1" showInputMessage="1" showErrorMessage="1" prompt="Quantité acheté rajouté * CU" sqref="H3 H17 H31" xr:uid="{42B5F789-0FA8-4A46-9A98-12B1E881BCC9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41547-5214-4269-8EC6-B6D2D09B3746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Tableau422[Demande]-Tableau422[Présente dans la malle]</f>
        <v>0</v>
      </c>
      <c r="F3" s="2"/>
    </row>
    <row r="4" spans="2:8" x14ac:dyDescent="0.25">
      <c r="E4">
        <f>Tableau422[Demande]-Tableau422[Présente dans la malle]</f>
        <v>0</v>
      </c>
      <c r="F4" s="2"/>
    </row>
    <row r="5" spans="2:8" x14ac:dyDescent="0.25">
      <c r="E5">
        <f>Tableau422[Demande]-Tableau422[Présente dans la malle]</f>
        <v>0</v>
      </c>
      <c r="F5" s="2"/>
    </row>
    <row r="6" spans="2:8" x14ac:dyDescent="0.25">
      <c r="E6">
        <f>Tableau422[Demande]-Tableau422[Présente dans la malle]</f>
        <v>0</v>
      </c>
      <c r="F6" s="2"/>
    </row>
    <row r="7" spans="2:8" x14ac:dyDescent="0.25">
      <c r="E7">
        <f>Tableau422[Demande]-Tableau422[Présente dans la malle]</f>
        <v>0</v>
      </c>
      <c r="F7" s="2"/>
    </row>
    <row r="8" spans="2:8" x14ac:dyDescent="0.25">
      <c r="E8">
        <f>Tableau422[Demande]-Tableau422[Présente dans la malle]</f>
        <v>0</v>
      </c>
      <c r="F8" s="2"/>
    </row>
    <row r="9" spans="2:8" x14ac:dyDescent="0.25">
      <c r="E9">
        <f>Tableau422[Demande]-Tableau422[Présente dans la malle]</f>
        <v>0</v>
      </c>
      <c r="F9" s="2"/>
    </row>
    <row r="10" spans="2:8" x14ac:dyDescent="0.25">
      <c r="E10">
        <f>Tableau422[Demande]-Tableau422[Présente dans la malle]</f>
        <v>0</v>
      </c>
      <c r="F10" s="2"/>
    </row>
    <row r="11" spans="2:8" x14ac:dyDescent="0.25">
      <c r="E11">
        <f>Tableau422[Demande]-Tableau422[Présente dans la malle]</f>
        <v>0</v>
      </c>
      <c r="F11" s="2"/>
    </row>
    <row r="12" spans="2:8" x14ac:dyDescent="0.25">
      <c r="E12">
        <f>Tableau422[Demande]-Tableau422[Présente dans la malle]</f>
        <v>0</v>
      </c>
      <c r="F12" s="2"/>
    </row>
    <row r="13" spans="2:8" x14ac:dyDescent="0.25">
      <c r="B13" t="s">
        <v>7</v>
      </c>
      <c r="E13">
        <f>SUBTOTAL(109,Tableau422[Manque])</f>
        <v>0</v>
      </c>
      <c r="F13" s="2"/>
      <c r="G13" s="3" t="s">
        <v>7</v>
      </c>
      <c r="H13" s="3">
        <f>SUBTOTAL(103,Tableau8120132[CT])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Tableau4723[Demande]-Tableau4723[Présente dans la malle]</f>
        <v>0</v>
      </c>
      <c r="F17" s="4"/>
    </row>
    <row r="18" spans="2:8" x14ac:dyDescent="0.25">
      <c r="E18">
        <f>Tableau4723[Demande]-Tableau4723[Présente dans la malle]</f>
        <v>0</v>
      </c>
      <c r="F18" s="4"/>
    </row>
    <row r="19" spans="2:8" x14ac:dyDescent="0.25">
      <c r="E19">
        <f>Tableau4723[Demande]-Tableau4723[Présente dans la malle]</f>
        <v>0</v>
      </c>
      <c r="F19" s="4"/>
    </row>
    <row r="20" spans="2:8" x14ac:dyDescent="0.25">
      <c r="E20">
        <f>Tableau4723[Demande]-Tableau4723[Présente dans la malle]</f>
        <v>0</v>
      </c>
      <c r="F20" s="4"/>
    </row>
    <row r="21" spans="2:8" x14ac:dyDescent="0.25">
      <c r="E21">
        <f>Tableau4723[Demande]-Tableau4723[Présente dans la malle]</f>
        <v>0</v>
      </c>
      <c r="F21" s="4"/>
    </row>
    <row r="22" spans="2:8" x14ac:dyDescent="0.25">
      <c r="E22">
        <f>Tableau4723[Demande]-Tableau4723[Présente dans la malle]</f>
        <v>0</v>
      </c>
      <c r="F22" s="4"/>
    </row>
    <row r="23" spans="2:8" x14ac:dyDescent="0.25">
      <c r="E23">
        <f>Tableau4723[Demande]-Tableau4723[Présente dans la malle]</f>
        <v>0</v>
      </c>
      <c r="F23" s="4"/>
    </row>
    <row r="24" spans="2:8" x14ac:dyDescent="0.25">
      <c r="E24">
        <f>Tableau4723[Demande]-Tableau4723[Présente dans la malle]</f>
        <v>0</v>
      </c>
      <c r="F24" s="4"/>
    </row>
    <row r="25" spans="2:8" x14ac:dyDescent="0.25">
      <c r="E25">
        <f>Tableau4723[Demande]-Tableau4723[Présente dans la malle]</f>
        <v>0</v>
      </c>
      <c r="F25" s="4"/>
    </row>
    <row r="26" spans="2:8" x14ac:dyDescent="0.25">
      <c r="E26">
        <f>Tableau4723[Demande]-Tableau4723[Présente dans la malle]</f>
        <v>0</v>
      </c>
      <c r="F26" s="4"/>
    </row>
    <row r="27" spans="2:8" x14ac:dyDescent="0.25">
      <c r="B27" t="s">
        <v>7</v>
      </c>
      <c r="E27">
        <f>SUBTOTAL(109,Tableau4723[Manque])</f>
        <v>0</v>
      </c>
      <c r="F27" s="4"/>
      <c r="G27" s="3" t="s">
        <v>7</v>
      </c>
      <c r="H27" s="3">
        <f>SUBTOTAL(103,Tableau846121133[CT])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Tableau47824[Demande]-Tableau47824[Présente dans la malle]</f>
        <v>0</v>
      </c>
      <c r="F31" s="4"/>
    </row>
    <row r="32" spans="2:8" x14ac:dyDescent="0.25">
      <c r="E32">
        <f>Tableau47824[Demande]-Tableau47824[Présente dans la malle]</f>
        <v>0</v>
      </c>
      <c r="F32" s="4"/>
    </row>
    <row r="33" spans="2:8" x14ac:dyDescent="0.25">
      <c r="E33">
        <f>Tableau47824[Demande]-Tableau47824[Présente dans la malle]</f>
        <v>0</v>
      </c>
      <c r="F33" s="4"/>
    </row>
    <row r="34" spans="2:8" x14ac:dyDescent="0.25">
      <c r="E34">
        <f>Tableau47824[Demande]-Tableau47824[Présente dans la malle]</f>
        <v>0</v>
      </c>
      <c r="F34" s="4"/>
    </row>
    <row r="35" spans="2:8" x14ac:dyDescent="0.25">
      <c r="E35">
        <f>Tableau47824[Demande]-Tableau47824[Présente dans la malle]</f>
        <v>0</v>
      </c>
      <c r="F35" s="4"/>
    </row>
    <row r="36" spans="2:8" x14ac:dyDescent="0.25">
      <c r="E36">
        <f>Tableau47824[Demande]-Tableau47824[Présente dans la malle]</f>
        <v>0</v>
      </c>
      <c r="F36" s="4"/>
    </row>
    <row r="37" spans="2:8" x14ac:dyDescent="0.25">
      <c r="E37">
        <f>Tableau47824[Demande]-Tableau47824[Présente dans la malle]</f>
        <v>0</v>
      </c>
      <c r="F37" s="4"/>
    </row>
    <row r="38" spans="2:8" x14ac:dyDescent="0.25">
      <c r="E38">
        <f>Tableau47824[Demande]-Tableau47824[Présente dans la malle]</f>
        <v>0</v>
      </c>
      <c r="F38" s="4"/>
    </row>
    <row r="39" spans="2:8" x14ac:dyDescent="0.25">
      <c r="E39">
        <f>Tableau47824[Demande]-Tableau47824[Présente dans la malle]</f>
        <v>0</v>
      </c>
      <c r="F39" s="4"/>
    </row>
    <row r="40" spans="2:8" x14ac:dyDescent="0.25">
      <c r="E40">
        <f>Tableau47824[Demande]-Tableau47824[Présente dans la malle]</f>
        <v>0</v>
      </c>
      <c r="F40" s="4"/>
    </row>
    <row r="41" spans="2:8" x14ac:dyDescent="0.25">
      <c r="B41" t="s">
        <v>7</v>
      </c>
      <c r="E41">
        <f>SUBTOTAL(109,Tableau47824[Manque])</f>
        <v>0</v>
      </c>
      <c r="F41" s="4"/>
      <c r="G41" s="3" t="s">
        <v>7</v>
      </c>
      <c r="H41" s="3">
        <f>SUBTOTAL(103,Tableau847122134[CT])</f>
        <v>0</v>
      </c>
    </row>
  </sheetData>
  <conditionalFormatting sqref="E3:E12">
    <cfRule type="cellIs" dxfId="211" priority="7" operator="equal">
      <formula>0</formula>
    </cfRule>
    <cfRule type="cellIs" dxfId="210" priority="8" operator="lessThan">
      <formula>0</formula>
    </cfRule>
    <cfRule type="cellIs" dxfId="209" priority="9" operator="greaterThan">
      <formula>0</formula>
    </cfRule>
  </conditionalFormatting>
  <conditionalFormatting sqref="E17:E26">
    <cfRule type="cellIs" dxfId="208" priority="4" operator="equal">
      <formula>0</formula>
    </cfRule>
    <cfRule type="cellIs" dxfId="207" priority="5" operator="lessThan">
      <formula>0</formula>
    </cfRule>
    <cfRule type="cellIs" dxfId="206" priority="6" operator="greaterThan">
      <formula>0</formula>
    </cfRule>
  </conditionalFormatting>
  <conditionalFormatting sqref="E31:E40">
    <cfRule type="cellIs" dxfId="205" priority="1" operator="equal">
      <formula>0</formula>
    </cfRule>
    <cfRule type="cellIs" dxfId="204" priority="2" operator="lessThan">
      <formula>0</formula>
    </cfRule>
    <cfRule type="cellIs" dxfId="203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E75FEA2E-32AE-4C73-ABA6-E215E555AFAB}"/>
    <dataValidation allowBlank="1" showInputMessage="1" showErrorMessage="1" prompt="Insérez la quantité présente dans les malles" sqref="C9:C12 C3:C7 C23:C26 C17:C21 C37:C40 C31:C35" xr:uid="{49CA88AE-C181-4598-94A9-7BCFE374FE2F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CAB3E5BA-9648-489D-9A17-964B0B8DDC5A}"/>
    <dataValidation type="list" allowBlank="1" showInputMessage="1" showErrorMessage="1" prompt="Insérez la fourniture désiré" sqref="B3:B12 B17:B26 B31:B40" xr:uid="{910739F3-8F1A-4839-993E-9AB5FAC26CF4}">
      <formula1>Fournitures</formula1>
    </dataValidation>
    <dataValidation allowBlank="1" showInputMessage="1" showErrorMessage="1" prompt="CT = Cout total" sqref="H2 H16 H30" xr:uid="{AC4C4DF0-CBD5-450C-BA31-15054331F049}"/>
    <dataValidation allowBlank="1" showInputMessage="1" showErrorMessage="1" prompt="CU = Cout unitaire" sqref="G2 G16 G30:G31" xr:uid="{74394A6A-F4C6-4928-824C-97E7BFB10DEC}"/>
    <dataValidation allowBlank="1" showInputMessage="1" showErrorMessage="1" prompt="Quantité acheté rajouté * CU" sqref="H3 H17 H31" xr:uid="{C34D3DF6-3EFD-4ECD-9804-4BEFE60AC4B3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03FA6-6E9F-472D-85A9-35A347D3CD27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Tableau425[Demande]-Tableau425[Présente dans la malle]</f>
        <v>0</v>
      </c>
      <c r="F3" s="2"/>
    </row>
    <row r="4" spans="2:8" x14ac:dyDescent="0.25">
      <c r="E4">
        <f>Tableau425[Demande]-Tableau425[Présente dans la malle]</f>
        <v>0</v>
      </c>
      <c r="F4" s="2"/>
    </row>
    <row r="5" spans="2:8" x14ac:dyDescent="0.25">
      <c r="E5">
        <f>Tableau425[Demande]-Tableau425[Présente dans la malle]</f>
        <v>0</v>
      </c>
      <c r="F5" s="2"/>
    </row>
    <row r="6" spans="2:8" x14ac:dyDescent="0.25">
      <c r="E6">
        <f>Tableau425[Demande]-Tableau425[Présente dans la malle]</f>
        <v>0</v>
      </c>
      <c r="F6" s="2"/>
    </row>
    <row r="7" spans="2:8" x14ac:dyDescent="0.25">
      <c r="E7">
        <f>Tableau425[Demande]-Tableau425[Présente dans la malle]</f>
        <v>0</v>
      </c>
      <c r="F7" s="2"/>
    </row>
    <row r="8" spans="2:8" x14ac:dyDescent="0.25">
      <c r="E8">
        <f>Tableau425[Demande]-Tableau425[Présente dans la malle]</f>
        <v>0</v>
      </c>
      <c r="F8" s="2"/>
    </row>
    <row r="9" spans="2:8" x14ac:dyDescent="0.25">
      <c r="E9">
        <f>Tableau425[Demande]-Tableau425[Présente dans la malle]</f>
        <v>0</v>
      </c>
      <c r="F9" s="2"/>
    </row>
    <row r="10" spans="2:8" x14ac:dyDescent="0.25">
      <c r="E10">
        <f>Tableau425[Demande]-Tableau425[Présente dans la malle]</f>
        <v>0</v>
      </c>
      <c r="F10" s="2"/>
    </row>
    <row r="11" spans="2:8" x14ac:dyDescent="0.25">
      <c r="E11">
        <f>Tableau425[Demande]-Tableau425[Présente dans la malle]</f>
        <v>0</v>
      </c>
      <c r="F11" s="2"/>
    </row>
    <row r="12" spans="2:8" x14ac:dyDescent="0.25">
      <c r="E12">
        <f>Tableau425[Demande]-Tableau425[Présente dans la malle]</f>
        <v>0</v>
      </c>
      <c r="F12" s="2"/>
    </row>
    <row r="13" spans="2:8" x14ac:dyDescent="0.25">
      <c r="B13" t="s">
        <v>7</v>
      </c>
      <c r="E13">
        <f>SUBTOTAL(109,Tableau425[Manque])</f>
        <v>0</v>
      </c>
      <c r="F13" s="2"/>
      <c r="G13" s="3" t="s">
        <v>7</v>
      </c>
      <c r="H13" s="3">
        <f>SUBTOTAL(103,Tableau8120135[CT])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Tableau4726[Demande]-Tableau4726[Présente dans la malle]</f>
        <v>0</v>
      </c>
      <c r="F17" s="4"/>
    </row>
    <row r="18" spans="2:8" x14ac:dyDescent="0.25">
      <c r="E18">
        <f>Tableau4726[Demande]-Tableau4726[Présente dans la malle]</f>
        <v>0</v>
      </c>
      <c r="F18" s="4"/>
    </row>
    <row r="19" spans="2:8" x14ac:dyDescent="0.25">
      <c r="E19">
        <f>Tableau4726[Demande]-Tableau4726[Présente dans la malle]</f>
        <v>0</v>
      </c>
      <c r="F19" s="4"/>
    </row>
    <row r="20" spans="2:8" x14ac:dyDescent="0.25">
      <c r="E20">
        <f>Tableau4726[Demande]-Tableau4726[Présente dans la malle]</f>
        <v>0</v>
      </c>
      <c r="F20" s="4"/>
    </row>
    <row r="21" spans="2:8" x14ac:dyDescent="0.25">
      <c r="E21">
        <f>Tableau4726[Demande]-Tableau4726[Présente dans la malle]</f>
        <v>0</v>
      </c>
      <c r="F21" s="4"/>
    </row>
    <row r="22" spans="2:8" x14ac:dyDescent="0.25">
      <c r="E22">
        <f>Tableau4726[Demande]-Tableau4726[Présente dans la malle]</f>
        <v>0</v>
      </c>
      <c r="F22" s="4"/>
    </row>
    <row r="23" spans="2:8" x14ac:dyDescent="0.25">
      <c r="E23">
        <f>Tableau4726[Demande]-Tableau4726[Présente dans la malle]</f>
        <v>0</v>
      </c>
      <c r="F23" s="4"/>
    </row>
    <row r="24" spans="2:8" x14ac:dyDescent="0.25">
      <c r="E24">
        <f>Tableau4726[Demande]-Tableau4726[Présente dans la malle]</f>
        <v>0</v>
      </c>
      <c r="F24" s="4"/>
    </row>
    <row r="25" spans="2:8" x14ac:dyDescent="0.25">
      <c r="E25">
        <f>Tableau4726[Demande]-Tableau4726[Présente dans la malle]</f>
        <v>0</v>
      </c>
      <c r="F25" s="4"/>
    </row>
    <row r="26" spans="2:8" x14ac:dyDescent="0.25">
      <c r="E26">
        <f>Tableau4726[Demande]-Tableau4726[Présente dans la malle]</f>
        <v>0</v>
      </c>
      <c r="F26" s="4"/>
    </row>
    <row r="27" spans="2:8" x14ac:dyDescent="0.25">
      <c r="B27" t="s">
        <v>7</v>
      </c>
      <c r="E27">
        <f>SUBTOTAL(109,Tableau4726[Manque])</f>
        <v>0</v>
      </c>
      <c r="F27" s="4"/>
      <c r="G27" s="3" t="s">
        <v>7</v>
      </c>
      <c r="H27" s="3">
        <f>SUBTOTAL(103,Tableau846121136[CT])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Tableau47827[Demande]-Tableau47827[Présente dans la malle]</f>
        <v>0</v>
      </c>
      <c r="F31" s="4"/>
    </row>
    <row r="32" spans="2:8" x14ac:dyDescent="0.25">
      <c r="E32">
        <f>Tableau47827[Demande]-Tableau47827[Présente dans la malle]</f>
        <v>0</v>
      </c>
      <c r="F32" s="4"/>
    </row>
    <row r="33" spans="2:8" x14ac:dyDescent="0.25">
      <c r="E33">
        <f>Tableau47827[Demande]-Tableau47827[Présente dans la malle]</f>
        <v>0</v>
      </c>
      <c r="F33" s="4"/>
    </row>
    <row r="34" spans="2:8" x14ac:dyDescent="0.25">
      <c r="E34">
        <f>Tableau47827[Demande]-Tableau47827[Présente dans la malle]</f>
        <v>0</v>
      </c>
      <c r="F34" s="4"/>
    </row>
    <row r="35" spans="2:8" x14ac:dyDescent="0.25">
      <c r="E35">
        <f>Tableau47827[Demande]-Tableau47827[Présente dans la malle]</f>
        <v>0</v>
      </c>
      <c r="F35" s="4"/>
    </row>
    <row r="36" spans="2:8" x14ac:dyDescent="0.25">
      <c r="E36">
        <f>Tableau47827[Demande]-Tableau47827[Présente dans la malle]</f>
        <v>0</v>
      </c>
      <c r="F36" s="4"/>
    </row>
    <row r="37" spans="2:8" x14ac:dyDescent="0.25">
      <c r="E37">
        <f>Tableau47827[Demande]-Tableau47827[Présente dans la malle]</f>
        <v>0</v>
      </c>
      <c r="F37" s="4"/>
    </row>
    <row r="38" spans="2:8" x14ac:dyDescent="0.25">
      <c r="E38">
        <f>Tableau47827[Demande]-Tableau47827[Présente dans la malle]</f>
        <v>0</v>
      </c>
      <c r="F38" s="4"/>
    </row>
    <row r="39" spans="2:8" x14ac:dyDescent="0.25">
      <c r="E39">
        <f>Tableau47827[Demande]-Tableau47827[Présente dans la malle]</f>
        <v>0</v>
      </c>
      <c r="F39" s="4"/>
    </row>
    <row r="40" spans="2:8" x14ac:dyDescent="0.25">
      <c r="E40">
        <f>Tableau47827[Demande]-Tableau47827[Présente dans la malle]</f>
        <v>0</v>
      </c>
      <c r="F40" s="4"/>
    </row>
    <row r="41" spans="2:8" x14ac:dyDescent="0.25">
      <c r="B41" t="s">
        <v>7</v>
      </c>
      <c r="E41">
        <f>SUBTOTAL(109,Tableau47827[Manque])</f>
        <v>0</v>
      </c>
      <c r="F41" s="4"/>
      <c r="G41" s="3" t="s">
        <v>7</v>
      </c>
      <c r="H41" s="3">
        <f>SUBTOTAL(103,Tableau847122137[CT])</f>
        <v>0</v>
      </c>
    </row>
  </sheetData>
  <conditionalFormatting sqref="E3:E12">
    <cfRule type="cellIs" dxfId="202" priority="7" operator="equal">
      <formula>0</formula>
    </cfRule>
    <cfRule type="cellIs" dxfId="201" priority="8" operator="lessThan">
      <formula>0</formula>
    </cfRule>
    <cfRule type="cellIs" dxfId="200" priority="9" operator="greaterThan">
      <formula>0</formula>
    </cfRule>
  </conditionalFormatting>
  <conditionalFormatting sqref="E17:E26">
    <cfRule type="cellIs" dxfId="199" priority="4" operator="equal">
      <formula>0</formula>
    </cfRule>
    <cfRule type="cellIs" dxfId="198" priority="5" operator="lessThan">
      <formula>0</formula>
    </cfRule>
    <cfRule type="cellIs" dxfId="197" priority="6" operator="greaterThan">
      <formula>0</formula>
    </cfRule>
  </conditionalFormatting>
  <conditionalFormatting sqref="E31:E40">
    <cfRule type="cellIs" dxfId="196" priority="1" operator="equal">
      <formula>0</formula>
    </cfRule>
    <cfRule type="cellIs" dxfId="195" priority="2" operator="lessThan">
      <formula>0</formula>
    </cfRule>
    <cfRule type="cellIs" dxfId="194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460C82CF-CA84-4DC6-B858-427049F8D64B}"/>
    <dataValidation allowBlank="1" showInputMessage="1" showErrorMessage="1" prompt="Insérez la quantité présente dans les malles" sqref="C9:C12 C3:C7 C23:C26 C17:C21 C37:C40 C31:C35" xr:uid="{9F09E19E-C204-4CB5-AF3A-2D607F5FF8AC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0D5F36EF-D774-42DE-A8AA-75D7329DE431}"/>
    <dataValidation type="list" allowBlank="1" showInputMessage="1" showErrorMessage="1" prompt="Insérez la fourniture désiré" sqref="B3:B12 B17:B26 B31:B40" xr:uid="{577C7C55-6007-47D4-BFD4-A5D4162CAB6E}">
      <formula1>Fournitures</formula1>
    </dataValidation>
    <dataValidation allowBlank="1" showInputMessage="1" showErrorMessage="1" prompt="CT = Cout total" sqref="H2 H16 H30" xr:uid="{92CFB94E-39F1-4F7E-B019-9B3722D4623A}"/>
    <dataValidation allowBlank="1" showInputMessage="1" showErrorMessage="1" prompt="CU = Cout unitaire" sqref="G2 G16 G30:G31" xr:uid="{F769B93B-E616-484A-B649-8454A4BA688B}"/>
    <dataValidation allowBlank="1" showInputMessage="1" showErrorMessage="1" prompt="Quantité acheté rajouté * CU" sqref="H3 H17 H31" xr:uid="{921AEC94-D47B-45A7-8F9D-25E7C180061F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08FA-C0D7-45BA-AF49-A8FCD9432624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Tableau428[Demande]-Tableau428[Présente dans la malle]</f>
        <v>0</v>
      </c>
      <c r="F3" s="2"/>
    </row>
    <row r="4" spans="2:8" x14ac:dyDescent="0.25">
      <c r="E4">
        <f>Tableau428[Demande]-Tableau428[Présente dans la malle]</f>
        <v>0</v>
      </c>
      <c r="F4" s="2"/>
    </row>
    <row r="5" spans="2:8" x14ac:dyDescent="0.25">
      <c r="E5">
        <f>Tableau428[Demande]-Tableau428[Présente dans la malle]</f>
        <v>0</v>
      </c>
      <c r="F5" s="2"/>
    </row>
    <row r="6" spans="2:8" x14ac:dyDescent="0.25">
      <c r="E6">
        <f>Tableau428[Demande]-Tableau428[Présente dans la malle]</f>
        <v>0</v>
      </c>
      <c r="F6" s="2"/>
    </row>
    <row r="7" spans="2:8" x14ac:dyDescent="0.25">
      <c r="E7">
        <f>Tableau428[Demande]-Tableau428[Présente dans la malle]</f>
        <v>0</v>
      </c>
      <c r="F7" s="2"/>
    </row>
    <row r="8" spans="2:8" x14ac:dyDescent="0.25">
      <c r="E8">
        <f>Tableau428[Demande]-Tableau428[Présente dans la malle]</f>
        <v>0</v>
      </c>
      <c r="F8" s="2"/>
    </row>
    <row r="9" spans="2:8" x14ac:dyDescent="0.25">
      <c r="E9">
        <f>Tableau428[Demande]-Tableau428[Présente dans la malle]</f>
        <v>0</v>
      </c>
      <c r="F9" s="2"/>
    </row>
    <row r="10" spans="2:8" x14ac:dyDescent="0.25">
      <c r="E10">
        <f>Tableau428[Demande]-Tableau428[Présente dans la malle]</f>
        <v>0</v>
      </c>
      <c r="F10" s="2"/>
    </row>
    <row r="11" spans="2:8" x14ac:dyDescent="0.25">
      <c r="E11">
        <f>Tableau428[Demande]-Tableau428[Présente dans la malle]</f>
        <v>0</v>
      </c>
      <c r="F11" s="2"/>
    </row>
    <row r="12" spans="2:8" x14ac:dyDescent="0.25">
      <c r="E12">
        <f>Tableau428[Demande]-Tableau428[Présente dans la malle]</f>
        <v>0</v>
      </c>
      <c r="F12" s="2"/>
    </row>
    <row r="13" spans="2:8" x14ac:dyDescent="0.25">
      <c r="B13" t="s">
        <v>7</v>
      </c>
      <c r="E13">
        <f>SUBTOTAL(109,Tableau428[Manque])</f>
        <v>0</v>
      </c>
      <c r="F13" s="2"/>
      <c r="G13" s="3" t="s">
        <v>7</v>
      </c>
      <c r="H13" s="3">
        <f>SUBTOTAL(103,Tableau8120138[CT])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Tableau4729[Demande]-Tableau4729[Présente dans la malle]</f>
        <v>0</v>
      </c>
      <c r="F17" s="4"/>
    </row>
    <row r="18" spans="2:8" x14ac:dyDescent="0.25">
      <c r="E18">
        <f>Tableau4729[Demande]-Tableau4729[Présente dans la malle]</f>
        <v>0</v>
      </c>
      <c r="F18" s="4"/>
    </row>
    <row r="19" spans="2:8" x14ac:dyDescent="0.25">
      <c r="E19">
        <f>Tableau4729[Demande]-Tableau4729[Présente dans la malle]</f>
        <v>0</v>
      </c>
      <c r="F19" s="4"/>
    </row>
    <row r="20" spans="2:8" x14ac:dyDescent="0.25">
      <c r="E20">
        <f>Tableau4729[Demande]-Tableau4729[Présente dans la malle]</f>
        <v>0</v>
      </c>
      <c r="F20" s="4"/>
    </row>
    <row r="21" spans="2:8" x14ac:dyDescent="0.25">
      <c r="E21">
        <f>Tableau4729[Demande]-Tableau4729[Présente dans la malle]</f>
        <v>0</v>
      </c>
      <c r="F21" s="4"/>
    </row>
    <row r="22" spans="2:8" x14ac:dyDescent="0.25">
      <c r="E22">
        <f>Tableau4729[Demande]-Tableau4729[Présente dans la malle]</f>
        <v>0</v>
      </c>
      <c r="F22" s="4"/>
    </row>
    <row r="23" spans="2:8" x14ac:dyDescent="0.25">
      <c r="E23">
        <f>Tableau4729[Demande]-Tableau4729[Présente dans la malle]</f>
        <v>0</v>
      </c>
      <c r="F23" s="4"/>
    </row>
    <row r="24" spans="2:8" x14ac:dyDescent="0.25">
      <c r="E24">
        <f>Tableau4729[Demande]-Tableau4729[Présente dans la malle]</f>
        <v>0</v>
      </c>
      <c r="F24" s="4"/>
    </row>
    <row r="25" spans="2:8" x14ac:dyDescent="0.25">
      <c r="E25">
        <f>Tableau4729[Demande]-Tableau4729[Présente dans la malle]</f>
        <v>0</v>
      </c>
      <c r="F25" s="4"/>
    </row>
    <row r="26" spans="2:8" x14ac:dyDescent="0.25">
      <c r="E26">
        <f>Tableau4729[Demande]-Tableau4729[Présente dans la malle]</f>
        <v>0</v>
      </c>
      <c r="F26" s="4"/>
    </row>
    <row r="27" spans="2:8" x14ac:dyDescent="0.25">
      <c r="B27" t="s">
        <v>7</v>
      </c>
      <c r="E27">
        <f>SUBTOTAL(109,Tableau4729[Manque])</f>
        <v>0</v>
      </c>
      <c r="F27" s="4"/>
      <c r="G27" s="3" t="s">
        <v>7</v>
      </c>
      <c r="H27" s="3">
        <f>SUBTOTAL(103,Tableau846121139[CT])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Tableau47830[Demande]-Tableau47830[Présente dans la malle]</f>
        <v>0</v>
      </c>
      <c r="F31" s="4"/>
    </row>
    <row r="32" spans="2:8" x14ac:dyDescent="0.25">
      <c r="E32">
        <f>Tableau47830[Demande]-Tableau47830[Présente dans la malle]</f>
        <v>0</v>
      </c>
      <c r="F32" s="4"/>
    </row>
    <row r="33" spans="2:8" x14ac:dyDescent="0.25">
      <c r="E33">
        <f>Tableau47830[Demande]-Tableau47830[Présente dans la malle]</f>
        <v>0</v>
      </c>
      <c r="F33" s="4"/>
    </row>
    <row r="34" spans="2:8" x14ac:dyDescent="0.25">
      <c r="E34">
        <f>Tableau47830[Demande]-Tableau47830[Présente dans la malle]</f>
        <v>0</v>
      </c>
      <c r="F34" s="4"/>
    </row>
    <row r="35" spans="2:8" x14ac:dyDescent="0.25">
      <c r="E35">
        <f>Tableau47830[Demande]-Tableau47830[Présente dans la malle]</f>
        <v>0</v>
      </c>
      <c r="F35" s="4"/>
    </row>
    <row r="36" spans="2:8" x14ac:dyDescent="0.25">
      <c r="E36">
        <f>Tableau47830[Demande]-Tableau47830[Présente dans la malle]</f>
        <v>0</v>
      </c>
      <c r="F36" s="4"/>
    </row>
    <row r="37" spans="2:8" x14ac:dyDescent="0.25">
      <c r="E37">
        <f>Tableau47830[Demande]-Tableau47830[Présente dans la malle]</f>
        <v>0</v>
      </c>
      <c r="F37" s="4"/>
    </row>
    <row r="38" spans="2:8" x14ac:dyDescent="0.25">
      <c r="E38">
        <f>Tableau47830[Demande]-Tableau47830[Présente dans la malle]</f>
        <v>0</v>
      </c>
      <c r="F38" s="4"/>
    </row>
    <row r="39" spans="2:8" x14ac:dyDescent="0.25">
      <c r="E39">
        <f>Tableau47830[Demande]-Tableau47830[Présente dans la malle]</f>
        <v>0</v>
      </c>
      <c r="F39" s="4"/>
    </row>
    <row r="40" spans="2:8" x14ac:dyDescent="0.25">
      <c r="E40">
        <f>Tableau47830[Demande]-Tableau47830[Présente dans la malle]</f>
        <v>0</v>
      </c>
      <c r="F40" s="4"/>
    </row>
    <row r="41" spans="2:8" x14ac:dyDescent="0.25">
      <c r="B41" t="s">
        <v>7</v>
      </c>
      <c r="E41">
        <f>SUBTOTAL(109,Tableau47830[Manque])</f>
        <v>0</v>
      </c>
      <c r="F41" s="4"/>
      <c r="G41" s="3" t="s">
        <v>7</v>
      </c>
      <c r="H41" s="3">
        <f>SUBTOTAL(103,Tableau847122140[CT])</f>
        <v>0</v>
      </c>
    </row>
  </sheetData>
  <conditionalFormatting sqref="E3:E12">
    <cfRule type="cellIs" dxfId="193" priority="7" operator="equal">
      <formula>0</formula>
    </cfRule>
    <cfRule type="cellIs" dxfId="192" priority="8" operator="lessThan">
      <formula>0</formula>
    </cfRule>
    <cfRule type="cellIs" dxfId="191" priority="9" operator="greaterThan">
      <formula>0</formula>
    </cfRule>
  </conditionalFormatting>
  <conditionalFormatting sqref="E17:E26">
    <cfRule type="cellIs" dxfId="190" priority="4" operator="equal">
      <formula>0</formula>
    </cfRule>
    <cfRule type="cellIs" dxfId="189" priority="5" operator="lessThan">
      <formula>0</formula>
    </cfRule>
    <cfRule type="cellIs" dxfId="188" priority="6" operator="greaterThan">
      <formula>0</formula>
    </cfRule>
  </conditionalFormatting>
  <conditionalFormatting sqref="E31:E40">
    <cfRule type="cellIs" dxfId="187" priority="1" operator="equal">
      <formula>0</formula>
    </cfRule>
    <cfRule type="cellIs" dxfId="186" priority="2" operator="lessThan">
      <formula>0</formula>
    </cfRule>
    <cfRule type="cellIs" dxfId="185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2E13EE3A-901D-40F6-9804-5CF51997B7F1}"/>
    <dataValidation allowBlank="1" showInputMessage="1" showErrorMessage="1" prompt="Insérez la quantité présente dans les malles" sqref="C9:C12 C3:C7 C23:C26 C17:C21 C37:C40 C31:C35" xr:uid="{C8E6D93D-4ABC-4C52-91EF-7D4D8B6DBA6B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76581C4E-11F2-4050-AFDF-F82868F8E67A}"/>
    <dataValidation type="list" allowBlank="1" showInputMessage="1" showErrorMessage="1" prompt="Insérez la fourniture désiré" sqref="B3:B12 B17:B26 B31:B40" xr:uid="{963571F0-F299-4A11-81E5-237CBD373E15}">
      <formula1>Fournitures</formula1>
    </dataValidation>
    <dataValidation allowBlank="1" showInputMessage="1" showErrorMessage="1" prompt="CT = Cout total" sqref="H2 H16 H30" xr:uid="{BEEDFEF2-9B92-4C99-8C7C-BAE2D8C724F9}"/>
    <dataValidation allowBlank="1" showInputMessage="1" showErrorMessage="1" prompt="CU = Cout unitaire" sqref="G2 G16 G30:G31" xr:uid="{74C5FE0B-0F55-4260-A854-8C5309F0DF8D}"/>
    <dataValidation allowBlank="1" showInputMessage="1" showErrorMessage="1" prompt="Quantité acheté rajouté * CU" sqref="H3 H17 H31" xr:uid="{FB93BF30-DE9D-4714-A975-960082D83E0F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C983B-E631-408B-A887-5AB5B518003C}">
  <dimension ref="B2:H41"/>
  <sheetViews>
    <sheetView workbookViewId="0">
      <selection activeCell="D14" sqref="D14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B3" t="s">
        <v>11</v>
      </c>
      <c r="C3">
        <v>1</v>
      </c>
      <c r="E3">
        <f>Tableau42831[Demande]-Tableau42831[Présente dans la malle]</f>
        <v>-1</v>
      </c>
      <c r="F3" s="2"/>
    </row>
    <row r="4" spans="2:8" x14ac:dyDescent="0.25">
      <c r="E4">
        <f>Tableau42831[Demande]-Tableau42831[Présente dans la malle]</f>
        <v>0</v>
      </c>
      <c r="F4" s="2"/>
    </row>
    <row r="5" spans="2:8" x14ac:dyDescent="0.25">
      <c r="E5">
        <f>Tableau42831[Demande]-Tableau42831[Présente dans la malle]</f>
        <v>0</v>
      </c>
      <c r="F5" s="2"/>
    </row>
    <row r="6" spans="2:8" x14ac:dyDescent="0.25">
      <c r="E6">
        <f>Tableau42831[Demande]-Tableau42831[Présente dans la malle]</f>
        <v>0</v>
      </c>
      <c r="F6" s="2"/>
    </row>
    <row r="7" spans="2:8" x14ac:dyDescent="0.25">
      <c r="E7">
        <f>Tableau42831[Demande]-Tableau42831[Présente dans la malle]</f>
        <v>0</v>
      </c>
      <c r="F7" s="2"/>
    </row>
    <row r="8" spans="2:8" x14ac:dyDescent="0.25">
      <c r="E8">
        <f>Tableau42831[Demande]-Tableau42831[Présente dans la malle]</f>
        <v>0</v>
      </c>
      <c r="F8" s="2"/>
    </row>
    <row r="9" spans="2:8" x14ac:dyDescent="0.25">
      <c r="E9">
        <f>Tableau42831[Demande]-Tableau42831[Présente dans la malle]</f>
        <v>0</v>
      </c>
      <c r="F9" s="2"/>
    </row>
    <row r="10" spans="2:8" x14ac:dyDescent="0.25">
      <c r="E10">
        <f>Tableau42831[Demande]-Tableau42831[Présente dans la malle]</f>
        <v>0</v>
      </c>
      <c r="F10" s="2"/>
    </row>
    <row r="11" spans="2:8" x14ac:dyDescent="0.25">
      <c r="E11">
        <f>Tableau42831[Demande]-Tableau42831[Présente dans la malle]</f>
        <v>0</v>
      </c>
      <c r="F11" s="2"/>
    </row>
    <row r="12" spans="2:8" x14ac:dyDescent="0.25">
      <c r="E12">
        <f>Tableau42831[Demande]-Tableau42831[Présente dans la malle]</f>
        <v>0</v>
      </c>
      <c r="F12" s="2"/>
    </row>
    <row r="13" spans="2:8" x14ac:dyDescent="0.25">
      <c r="B13" t="s">
        <v>7</v>
      </c>
      <c r="E13">
        <f>SUBTOTAL(109,Tableau42831[Manque])</f>
        <v>-1</v>
      </c>
      <c r="F13" s="2"/>
      <c r="G13" s="3" t="s">
        <v>7</v>
      </c>
      <c r="H13" s="3">
        <f>SUBTOTAL(103,Tableau8120141[CT])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Tableau472932[Demande]-Tableau472932[Présente dans la malle]</f>
        <v>0</v>
      </c>
      <c r="F17" s="4"/>
    </row>
    <row r="18" spans="2:8" x14ac:dyDescent="0.25">
      <c r="E18">
        <f>Tableau472932[Demande]-Tableau472932[Présente dans la malle]</f>
        <v>0</v>
      </c>
      <c r="F18" s="4"/>
    </row>
    <row r="19" spans="2:8" x14ac:dyDescent="0.25">
      <c r="E19">
        <f>Tableau472932[Demande]-Tableau472932[Présente dans la malle]</f>
        <v>0</v>
      </c>
      <c r="F19" s="4"/>
    </row>
    <row r="20" spans="2:8" x14ac:dyDescent="0.25">
      <c r="E20">
        <f>Tableau472932[Demande]-Tableau472932[Présente dans la malle]</f>
        <v>0</v>
      </c>
      <c r="F20" s="4"/>
    </row>
    <row r="21" spans="2:8" x14ac:dyDescent="0.25">
      <c r="E21">
        <f>Tableau472932[Demande]-Tableau472932[Présente dans la malle]</f>
        <v>0</v>
      </c>
      <c r="F21" s="4"/>
    </row>
    <row r="22" spans="2:8" x14ac:dyDescent="0.25">
      <c r="E22">
        <f>Tableau472932[Demande]-Tableau472932[Présente dans la malle]</f>
        <v>0</v>
      </c>
      <c r="F22" s="4"/>
    </row>
    <row r="23" spans="2:8" x14ac:dyDescent="0.25">
      <c r="E23">
        <f>Tableau472932[Demande]-Tableau472932[Présente dans la malle]</f>
        <v>0</v>
      </c>
      <c r="F23" s="4"/>
    </row>
    <row r="24" spans="2:8" x14ac:dyDescent="0.25">
      <c r="E24">
        <f>Tableau472932[Demande]-Tableau472932[Présente dans la malle]</f>
        <v>0</v>
      </c>
      <c r="F24" s="4"/>
    </row>
    <row r="25" spans="2:8" x14ac:dyDescent="0.25">
      <c r="E25">
        <f>Tableau472932[Demande]-Tableau472932[Présente dans la malle]</f>
        <v>0</v>
      </c>
      <c r="F25" s="4"/>
    </row>
    <row r="26" spans="2:8" x14ac:dyDescent="0.25">
      <c r="E26">
        <f>Tableau472932[Demande]-Tableau472932[Présente dans la malle]</f>
        <v>0</v>
      </c>
      <c r="F26" s="4"/>
    </row>
    <row r="27" spans="2:8" x14ac:dyDescent="0.25">
      <c r="B27" t="s">
        <v>7</v>
      </c>
      <c r="E27">
        <f>SUBTOTAL(109,Tableau472932[Manque])</f>
        <v>0</v>
      </c>
      <c r="F27" s="4"/>
      <c r="G27" s="3" t="s">
        <v>7</v>
      </c>
      <c r="H27" s="3">
        <f>SUBTOTAL(103,Tableau846121142[CT])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Tableau4783033[Demande]-Tableau4783033[Présente dans la malle]</f>
        <v>0</v>
      </c>
      <c r="F31" s="4"/>
    </row>
    <row r="32" spans="2:8" x14ac:dyDescent="0.25">
      <c r="E32">
        <f>Tableau4783033[Demande]-Tableau4783033[Présente dans la malle]</f>
        <v>0</v>
      </c>
      <c r="F32" s="4"/>
    </row>
    <row r="33" spans="2:8" x14ac:dyDescent="0.25">
      <c r="E33">
        <f>Tableau4783033[Demande]-Tableau4783033[Présente dans la malle]</f>
        <v>0</v>
      </c>
      <c r="F33" s="4"/>
    </row>
    <row r="34" spans="2:8" x14ac:dyDescent="0.25">
      <c r="E34">
        <f>Tableau4783033[Demande]-Tableau4783033[Présente dans la malle]</f>
        <v>0</v>
      </c>
      <c r="F34" s="4"/>
    </row>
    <row r="35" spans="2:8" x14ac:dyDescent="0.25">
      <c r="E35">
        <f>Tableau4783033[Demande]-Tableau4783033[Présente dans la malle]</f>
        <v>0</v>
      </c>
      <c r="F35" s="4"/>
    </row>
    <row r="36" spans="2:8" x14ac:dyDescent="0.25">
      <c r="E36">
        <f>Tableau4783033[Demande]-Tableau4783033[Présente dans la malle]</f>
        <v>0</v>
      </c>
      <c r="F36" s="4"/>
    </row>
    <row r="37" spans="2:8" x14ac:dyDescent="0.25">
      <c r="E37">
        <f>Tableau4783033[Demande]-Tableau4783033[Présente dans la malle]</f>
        <v>0</v>
      </c>
      <c r="F37" s="4"/>
    </row>
    <row r="38" spans="2:8" x14ac:dyDescent="0.25">
      <c r="E38">
        <f>Tableau4783033[Demande]-Tableau4783033[Présente dans la malle]</f>
        <v>0</v>
      </c>
      <c r="F38" s="4"/>
    </row>
    <row r="39" spans="2:8" x14ac:dyDescent="0.25">
      <c r="E39">
        <f>Tableau4783033[Demande]-Tableau4783033[Présente dans la malle]</f>
        <v>0</v>
      </c>
      <c r="F39" s="4"/>
    </row>
    <row r="40" spans="2:8" x14ac:dyDescent="0.25">
      <c r="E40">
        <f>Tableau4783033[Demande]-Tableau4783033[Présente dans la malle]</f>
        <v>0</v>
      </c>
      <c r="F40" s="4"/>
    </row>
    <row r="41" spans="2:8" x14ac:dyDescent="0.25">
      <c r="B41" t="s">
        <v>7</v>
      </c>
      <c r="E41">
        <f>SUBTOTAL(109,Tableau4783033[Manque])</f>
        <v>0</v>
      </c>
      <c r="F41" s="4"/>
      <c r="G41" s="3" t="s">
        <v>7</v>
      </c>
      <c r="H41" s="3">
        <f>SUBTOTAL(103,Tableau847122143[CT])</f>
        <v>0</v>
      </c>
    </row>
  </sheetData>
  <conditionalFormatting sqref="E3:E12">
    <cfRule type="cellIs" dxfId="184" priority="7" operator="equal">
      <formula>0</formula>
    </cfRule>
    <cfRule type="cellIs" dxfId="183" priority="8" operator="lessThan">
      <formula>0</formula>
    </cfRule>
    <cfRule type="cellIs" dxfId="182" priority="9" operator="greaterThan">
      <formula>0</formula>
    </cfRule>
  </conditionalFormatting>
  <conditionalFormatting sqref="E17:E26">
    <cfRule type="cellIs" dxfId="181" priority="4" operator="equal">
      <formula>0</formula>
    </cfRule>
    <cfRule type="cellIs" dxfId="180" priority="5" operator="lessThan">
      <formula>0</formula>
    </cfRule>
    <cfRule type="cellIs" dxfId="179" priority="6" operator="greaterThan">
      <formula>0</formula>
    </cfRule>
  </conditionalFormatting>
  <conditionalFormatting sqref="E31:E40">
    <cfRule type="cellIs" dxfId="178" priority="1" operator="equal">
      <formula>0</formula>
    </cfRule>
    <cfRule type="cellIs" dxfId="177" priority="2" operator="lessThan">
      <formula>0</formula>
    </cfRule>
    <cfRule type="cellIs" dxfId="176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007ED2AC-68EE-42C7-97D0-940734484179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4C20A3DB-A919-4182-B6C0-F2311E1FDE72}"/>
    <dataValidation allowBlank="1" showInputMessage="1" showErrorMessage="1" prompt="Insérez la quantité présente dans les malles" sqref="C9:C12 C3:C7 C23:C26 C17:C21 C37:C40 C31:C35" xr:uid="{CE103E95-04F0-4EF5-9884-CB305C866F6B}"/>
    <dataValidation allowBlank="1" showInputMessage="1" showErrorMessage="1" prompt="Insérez la quantité demandé" sqref="D9:D12 D3:D7 D23:D26 D17:D21 D37:D40 D31:D35" xr:uid="{09F6F31B-7130-4E09-87E1-C2856006301D}"/>
    <dataValidation allowBlank="1" showInputMessage="1" showErrorMessage="1" prompt="CT = Cout total" sqref="H2 H16 H30" xr:uid="{55EEA7E6-05FD-436A-ACA6-FCF9C34FAEE7}"/>
    <dataValidation allowBlank="1" showInputMessage="1" showErrorMessage="1" prompt="CU = Cout unitaire" sqref="G2 G16 G30:G31" xr:uid="{33D42F94-67A8-4CA2-B680-29E7CC24C75E}"/>
    <dataValidation allowBlank="1" showInputMessage="1" showErrorMessage="1" prompt="Quantité acheté rajouté * CU" sqref="H3 H17 H31" xr:uid="{D6DBF53A-4E1F-4B26-9DA7-E266DAAB0A08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F111F-0B6D-4E37-846E-E548824FFC0D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B3" t="s">
        <v>11</v>
      </c>
      <c r="C3">
        <v>5</v>
      </c>
      <c r="E3">
        <f>Tableau42834[Demande]-Tableau42834[Présente dans la malle]</f>
        <v>-5</v>
      </c>
      <c r="F3" s="2"/>
    </row>
    <row r="4" spans="2:8" x14ac:dyDescent="0.25">
      <c r="E4">
        <f>Tableau42834[Demande]-Tableau42834[Présente dans la malle]</f>
        <v>0</v>
      </c>
      <c r="F4" s="2"/>
    </row>
    <row r="5" spans="2:8" x14ac:dyDescent="0.25">
      <c r="E5">
        <f>Tableau42834[Demande]-Tableau42834[Présente dans la malle]</f>
        <v>0</v>
      </c>
      <c r="F5" s="2"/>
    </row>
    <row r="6" spans="2:8" x14ac:dyDescent="0.25">
      <c r="E6">
        <f>Tableau42834[Demande]-Tableau42834[Présente dans la malle]</f>
        <v>0</v>
      </c>
      <c r="F6" s="2"/>
    </row>
    <row r="7" spans="2:8" x14ac:dyDescent="0.25">
      <c r="E7">
        <f>Tableau42834[Demande]-Tableau42834[Présente dans la malle]</f>
        <v>0</v>
      </c>
      <c r="F7" s="2"/>
    </row>
    <row r="8" spans="2:8" x14ac:dyDescent="0.25">
      <c r="E8">
        <f>Tableau42834[Demande]-Tableau42834[Présente dans la malle]</f>
        <v>0</v>
      </c>
      <c r="F8" s="2"/>
    </row>
    <row r="9" spans="2:8" x14ac:dyDescent="0.25">
      <c r="E9">
        <f>Tableau42834[Demande]-Tableau42834[Présente dans la malle]</f>
        <v>0</v>
      </c>
      <c r="F9" s="2"/>
    </row>
    <row r="10" spans="2:8" x14ac:dyDescent="0.25">
      <c r="E10">
        <f>Tableau42834[Demande]-Tableau42834[Présente dans la malle]</f>
        <v>0</v>
      </c>
      <c r="F10" s="2"/>
    </row>
    <row r="11" spans="2:8" x14ac:dyDescent="0.25">
      <c r="E11">
        <f>Tableau42834[Demande]-Tableau42834[Présente dans la malle]</f>
        <v>0</v>
      </c>
      <c r="F11" s="2"/>
    </row>
    <row r="12" spans="2:8" x14ac:dyDescent="0.25">
      <c r="E12">
        <f>Tableau42834[Demande]-Tableau42834[Présente dans la malle]</f>
        <v>0</v>
      </c>
      <c r="F12" s="2"/>
    </row>
    <row r="13" spans="2:8" x14ac:dyDescent="0.25">
      <c r="B13" t="s">
        <v>7</v>
      </c>
      <c r="E13">
        <f>SUBTOTAL(109,Tableau42834[Manque])</f>
        <v>-5</v>
      </c>
      <c r="F13" s="2"/>
      <c r="G13" s="3" t="s">
        <v>7</v>
      </c>
      <c r="H13" s="3">
        <f>SUBTOTAL(103,Tableau8120144[CT])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Tableau472935[Demande]-Tableau472935[Présente dans la malle]</f>
        <v>0</v>
      </c>
      <c r="F17" s="4"/>
    </row>
    <row r="18" spans="2:8" x14ac:dyDescent="0.25">
      <c r="E18">
        <f>Tableau472935[Demande]-Tableau472935[Présente dans la malle]</f>
        <v>0</v>
      </c>
      <c r="F18" s="4"/>
    </row>
    <row r="19" spans="2:8" x14ac:dyDescent="0.25">
      <c r="E19">
        <f>Tableau472935[Demande]-Tableau472935[Présente dans la malle]</f>
        <v>0</v>
      </c>
      <c r="F19" s="4"/>
    </row>
    <row r="20" spans="2:8" x14ac:dyDescent="0.25">
      <c r="E20">
        <f>Tableau472935[Demande]-Tableau472935[Présente dans la malle]</f>
        <v>0</v>
      </c>
      <c r="F20" s="4"/>
    </row>
    <row r="21" spans="2:8" x14ac:dyDescent="0.25">
      <c r="E21">
        <f>Tableau472935[Demande]-Tableau472935[Présente dans la malle]</f>
        <v>0</v>
      </c>
      <c r="F21" s="4"/>
    </row>
    <row r="22" spans="2:8" x14ac:dyDescent="0.25">
      <c r="E22">
        <f>Tableau472935[Demande]-Tableau472935[Présente dans la malle]</f>
        <v>0</v>
      </c>
      <c r="F22" s="4"/>
    </row>
    <row r="23" spans="2:8" x14ac:dyDescent="0.25">
      <c r="E23">
        <f>Tableau472935[Demande]-Tableau472935[Présente dans la malle]</f>
        <v>0</v>
      </c>
      <c r="F23" s="4"/>
    </row>
    <row r="24" spans="2:8" x14ac:dyDescent="0.25">
      <c r="E24">
        <f>Tableau472935[Demande]-Tableau472935[Présente dans la malle]</f>
        <v>0</v>
      </c>
      <c r="F24" s="4"/>
    </row>
    <row r="25" spans="2:8" x14ac:dyDescent="0.25">
      <c r="E25">
        <f>Tableau472935[Demande]-Tableau472935[Présente dans la malle]</f>
        <v>0</v>
      </c>
      <c r="F25" s="4"/>
    </row>
    <row r="26" spans="2:8" x14ac:dyDescent="0.25">
      <c r="E26">
        <f>Tableau472935[Demande]-Tableau472935[Présente dans la malle]</f>
        <v>0</v>
      </c>
      <c r="F26" s="4"/>
    </row>
    <row r="27" spans="2:8" x14ac:dyDescent="0.25">
      <c r="B27" t="s">
        <v>7</v>
      </c>
      <c r="E27">
        <f>SUBTOTAL(109,Tableau472935[Manque])</f>
        <v>0</v>
      </c>
      <c r="F27" s="4"/>
      <c r="G27" s="3" t="s">
        <v>7</v>
      </c>
      <c r="H27" s="3">
        <f>SUBTOTAL(103,Tableau846121145[CT])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Tableau4783036[Demande]-Tableau4783036[Présente dans la malle]</f>
        <v>0</v>
      </c>
      <c r="F31" s="4"/>
    </row>
    <row r="32" spans="2:8" x14ac:dyDescent="0.25">
      <c r="E32">
        <f>Tableau4783036[Demande]-Tableau4783036[Présente dans la malle]</f>
        <v>0</v>
      </c>
      <c r="F32" s="4"/>
    </row>
    <row r="33" spans="2:8" x14ac:dyDescent="0.25">
      <c r="E33">
        <f>Tableau4783036[Demande]-Tableau4783036[Présente dans la malle]</f>
        <v>0</v>
      </c>
      <c r="F33" s="4"/>
    </row>
    <row r="34" spans="2:8" x14ac:dyDescent="0.25">
      <c r="E34">
        <f>Tableau4783036[Demande]-Tableau4783036[Présente dans la malle]</f>
        <v>0</v>
      </c>
      <c r="F34" s="4"/>
    </row>
    <row r="35" spans="2:8" x14ac:dyDescent="0.25">
      <c r="E35">
        <f>Tableau4783036[Demande]-Tableau4783036[Présente dans la malle]</f>
        <v>0</v>
      </c>
      <c r="F35" s="4"/>
    </row>
    <row r="36" spans="2:8" x14ac:dyDescent="0.25">
      <c r="E36">
        <f>Tableau4783036[Demande]-Tableau4783036[Présente dans la malle]</f>
        <v>0</v>
      </c>
      <c r="F36" s="4"/>
    </row>
    <row r="37" spans="2:8" x14ac:dyDescent="0.25">
      <c r="E37">
        <f>Tableau4783036[Demande]-Tableau4783036[Présente dans la malle]</f>
        <v>0</v>
      </c>
      <c r="F37" s="4"/>
    </row>
    <row r="38" spans="2:8" x14ac:dyDescent="0.25">
      <c r="E38">
        <f>Tableau4783036[Demande]-Tableau4783036[Présente dans la malle]</f>
        <v>0</v>
      </c>
      <c r="F38" s="4"/>
    </row>
    <row r="39" spans="2:8" x14ac:dyDescent="0.25">
      <c r="E39">
        <f>Tableau4783036[Demande]-Tableau4783036[Présente dans la malle]</f>
        <v>0</v>
      </c>
      <c r="F39" s="4"/>
    </row>
    <row r="40" spans="2:8" x14ac:dyDescent="0.25">
      <c r="E40">
        <f>Tableau4783036[Demande]-Tableau4783036[Présente dans la malle]</f>
        <v>0</v>
      </c>
      <c r="F40" s="4"/>
    </row>
    <row r="41" spans="2:8" x14ac:dyDescent="0.25">
      <c r="B41" t="s">
        <v>7</v>
      </c>
      <c r="E41">
        <f>SUBTOTAL(109,Tableau4783036[Manque])</f>
        <v>0</v>
      </c>
      <c r="F41" s="4"/>
      <c r="G41" s="3" t="s">
        <v>7</v>
      </c>
      <c r="H41" s="3">
        <f>SUBTOTAL(103,Tableau847122146[CT])</f>
        <v>0</v>
      </c>
    </row>
  </sheetData>
  <conditionalFormatting sqref="E3:E12">
    <cfRule type="cellIs" dxfId="175" priority="7" operator="equal">
      <formula>0</formula>
    </cfRule>
    <cfRule type="cellIs" dxfId="174" priority="8" operator="lessThan">
      <formula>0</formula>
    </cfRule>
    <cfRule type="cellIs" dxfId="173" priority="9" operator="greaterThan">
      <formula>0</formula>
    </cfRule>
  </conditionalFormatting>
  <conditionalFormatting sqref="E17:E26">
    <cfRule type="cellIs" dxfId="172" priority="4" operator="equal">
      <formula>0</formula>
    </cfRule>
    <cfRule type="cellIs" dxfId="171" priority="5" operator="lessThan">
      <formula>0</formula>
    </cfRule>
    <cfRule type="cellIs" dxfId="170" priority="6" operator="greaterThan">
      <formula>0</formula>
    </cfRule>
  </conditionalFormatting>
  <conditionalFormatting sqref="E31:E40">
    <cfRule type="cellIs" dxfId="169" priority="1" operator="equal">
      <formula>0</formula>
    </cfRule>
    <cfRule type="cellIs" dxfId="168" priority="2" operator="lessThan">
      <formula>0</formula>
    </cfRule>
    <cfRule type="cellIs" dxfId="167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C44AEF22-557D-4B59-9BB5-F81A26BE4FDF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2DFA8D07-57A5-4605-A2A9-1469B1531C51}"/>
    <dataValidation allowBlank="1" showInputMessage="1" showErrorMessage="1" prompt="Insérez la quantité présente dans les malles" sqref="C9:C12 C3:C7 C23:C26 C17:C21 C37:C40 C31:C35" xr:uid="{19AD262B-621A-4A3C-BB35-E870BFF919FB}"/>
    <dataValidation allowBlank="1" showInputMessage="1" showErrorMessage="1" prompt="Insérez la quantité demandé" sqref="D9:D12 D3:D7 D23:D26 D17:D21 D37:D40 D31:D35" xr:uid="{921D0914-E56B-4296-AE07-5CFCF2E14169}"/>
    <dataValidation allowBlank="1" showInputMessage="1" showErrorMessage="1" prompt="Quantité acheté rajouté * CU" sqref="H3 H17 H31" xr:uid="{E0463D89-EB1A-413C-81F7-D67A8175BD31}"/>
    <dataValidation allowBlank="1" showInputMessage="1" showErrorMessage="1" prompt="CU = Cout unitaire" sqref="G2 G16 G30:G31" xr:uid="{390DD279-0014-466C-B00D-53CA086D6B6C}"/>
    <dataValidation allowBlank="1" showInputMessage="1" showErrorMessage="1" prompt="CT = Cout total" sqref="H2 H16 H30" xr:uid="{D9BF5157-93CC-4792-B6F3-12723322A1D6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D515-3ABA-468F-B862-FAC54688CB14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Tableau42837[Demande]-Tableau42837[Présente dans la malle]</f>
        <v>0</v>
      </c>
      <c r="F3" s="2"/>
    </row>
    <row r="4" spans="2:8" x14ac:dyDescent="0.25">
      <c r="E4">
        <f>Tableau42837[Demande]-Tableau42837[Présente dans la malle]</f>
        <v>0</v>
      </c>
      <c r="F4" s="2"/>
    </row>
    <row r="5" spans="2:8" x14ac:dyDescent="0.25">
      <c r="E5">
        <f>Tableau42837[Demande]-Tableau42837[Présente dans la malle]</f>
        <v>0</v>
      </c>
      <c r="F5" s="2"/>
    </row>
    <row r="6" spans="2:8" x14ac:dyDescent="0.25">
      <c r="E6">
        <f>Tableau42837[Demande]-Tableau42837[Présente dans la malle]</f>
        <v>0</v>
      </c>
      <c r="F6" s="2"/>
    </row>
    <row r="7" spans="2:8" x14ac:dyDescent="0.25">
      <c r="E7">
        <f>Tableau42837[Demande]-Tableau42837[Présente dans la malle]</f>
        <v>0</v>
      </c>
      <c r="F7" s="2"/>
    </row>
    <row r="8" spans="2:8" x14ac:dyDescent="0.25">
      <c r="E8">
        <f>Tableau42837[Demande]-Tableau42837[Présente dans la malle]</f>
        <v>0</v>
      </c>
      <c r="F8" s="2"/>
    </row>
    <row r="9" spans="2:8" x14ac:dyDescent="0.25">
      <c r="E9">
        <f>Tableau42837[Demande]-Tableau42837[Présente dans la malle]</f>
        <v>0</v>
      </c>
      <c r="F9" s="2"/>
    </row>
    <row r="10" spans="2:8" x14ac:dyDescent="0.25">
      <c r="E10">
        <f>Tableau42837[Demande]-Tableau42837[Présente dans la malle]</f>
        <v>0</v>
      </c>
      <c r="F10" s="2"/>
    </row>
    <row r="11" spans="2:8" x14ac:dyDescent="0.25">
      <c r="E11">
        <f>Tableau42837[Demande]-Tableau42837[Présente dans la malle]</f>
        <v>0</v>
      </c>
      <c r="F11" s="2"/>
    </row>
    <row r="12" spans="2:8" x14ac:dyDescent="0.25">
      <c r="E12">
        <f>Tableau42837[Demande]-Tableau42837[Présente dans la malle]</f>
        <v>0</v>
      </c>
      <c r="F12" s="2"/>
    </row>
    <row r="13" spans="2:8" x14ac:dyDescent="0.25">
      <c r="B13" t="s">
        <v>7</v>
      </c>
      <c r="E13">
        <f>SUBTOTAL(109,Tableau42837[Manque])</f>
        <v>0</v>
      </c>
      <c r="F13" s="2"/>
      <c r="G13" s="3" t="s">
        <v>7</v>
      </c>
      <c r="H13" s="3">
        <f>SUBTOTAL(103,Tableau8120147[CT])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Tableau472938[Demande]-Tableau472938[Présente dans la malle]</f>
        <v>0</v>
      </c>
      <c r="F17" s="4"/>
    </row>
    <row r="18" spans="2:8" x14ac:dyDescent="0.25">
      <c r="E18">
        <f>Tableau472938[Demande]-Tableau472938[Présente dans la malle]</f>
        <v>0</v>
      </c>
      <c r="F18" s="4"/>
    </row>
    <row r="19" spans="2:8" x14ac:dyDescent="0.25">
      <c r="E19">
        <f>Tableau472938[Demande]-Tableau472938[Présente dans la malle]</f>
        <v>0</v>
      </c>
      <c r="F19" s="4"/>
    </row>
    <row r="20" spans="2:8" x14ac:dyDescent="0.25">
      <c r="E20">
        <f>Tableau472938[Demande]-Tableau472938[Présente dans la malle]</f>
        <v>0</v>
      </c>
      <c r="F20" s="4"/>
    </row>
    <row r="21" spans="2:8" x14ac:dyDescent="0.25">
      <c r="E21">
        <f>Tableau472938[Demande]-Tableau472938[Présente dans la malle]</f>
        <v>0</v>
      </c>
      <c r="F21" s="4"/>
    </row>
    <row r="22" spans="2:8" x14ac:dyDescent="0.25">
      <c r="E22">
        <f>Tableau472938[Demande]-Tableau472938[Présente dans la malle]</f>
        <v>0</v>
      </c>
      <c r="F22" s="4"/>
    </row>
    <row r="23" spans="2:8" x14ac:dyDescent="0.25">
      <c r="E23">
        <f>Tableau472938[Demande]-Tableau472938[Présente dans la malle]</f>
        <v>0</v>
      </c>
      <c r="F23" s="4"/>
    </row>
    <row r="24" spans="2:8" x14ac:dyDescent="0.25">
      <c r="E24">
        <f>Tableau472938[Demande]-Tableau472938[Présente dans la malle]</f>
        <v>0</v>
      </c>
      <c r="F24" s="4"/>
    </row>
    <row r="25" spans="2:8" x14ac:dyDescent="0.25">
      <c r="E25">
        <f>Tableau472938[Demande]-Tableau472938[Présente dans la malle]</f>
        <v>0</v>
      </c>
      <c r="F25" s="4"/>
    </row>
    <row r="26" spans="2:8" x14ac:dyDescent="0.25">
      <c r="E26">
        <f>Tableau472938[Demande]-Tableau472938[Présente dans la malle]</f>
        <v>0</v>
      </c>
      <c r="F26" s="4"/>
    </row>
    <row r="27" spans="2:8" x14ac:dyDescent="0.25">
      <c r="B27" t="s">
        <v>7</v>
      </c>
      <c r="E27">
        <f>SUBTOTAL(109,Tableau472938[Manque])</f>
        <v>0</v>
      </c>
      <c r="F27" s="4"/>
      <c r="G27" s="3" t="s">
        <v>7</v>
      </c>
      <c r="H27" s="3">
        <f>SUBTOTAL(103,Tableau846121148[CT])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Tableau4783039[Demande]-Tableau4783039[Présente dans la malle]</f>
        <v>0</v>
      </c>
      <c r="F31" s="4"/>
    </row>
    <row r="32" spans="2:8" x14ac:dyDescent="0.25">
      <c r="E32">
        <f>Tableau4783039[Demande]-Tableau4783039[Présente dans la malle]</f>
        <v>0</v>
      </c>
      <c r="F32" s="4"/>
    </row>
    <row r="33" spans="2:8" x14ac:dyDescent="0.25">
      <c r="E33">
        <f>Tableau4783039[Demande]-Tableau4783039[Présente dans la malle]</f>
        <v>0</v>
      </c>
      <c r="F33" s="4"/>
    </row>
    <row r="34" spans="2:8" x14ac:dyDescent="0.25">
      <c r="E34">
        <f>Tableau4783039[Demande]-Tableau4783039[Présente dans la malle]</f>
        <v>0</v>
      </c>
      <c r="F34" s="4"/>
    </row>
    <row r="35" spans="2:8" x14ac:dyDescent="0.25">
      <c r="E35">
        <f>Tableau4783039[Demande]-Tableau4783039[Présente dans la malle]</f>
        <v>0</v>
      </c>
      <c r="F35" s="4"/>
    </row>
    <row r="36" spans="2:8" x14ac:dyDescent="0.25">
      <c r="E36">
        <f>Tableau4783039[Demande]-Tableau4783039[Présente dans la malle]</f>
        <v>0</v>
      </c>
      <c r="F36" s="4"/>
    </row>
    <row r="37" spans="2:8" x14ac:dyDescent="0.25">
      <c r="E37">
        <f>Tableau4783039[Demande]-Tableau4783039[Présente dans la malle]</f>
        <v>0</v>
      </c>
      <c r="F37" s="4"/>
    </row>
    <row r="38" spans="2:8" x14ac:dyDescent="0.25">
      <c r="E38">
        <f>Tableau4783039[Demande]-Tableau4783039[Présente dans la malle]</f>
        <v>0</v>
      </c>
      <c r="F38" s="4"/>
    </row>
    <row r="39" spans="2:8" x14ac:dyDescent="0.25">
      <c r="E39">
        <f>Tableau4783039[Demande]-Tableau4783039[Présente dans la malle]</f>
        <v>0</v>
      </c>
      <c r="F39" s="4"/>
    </row>
    <row r="40" spans="2:8" x14ac:dyDescent="0.25">
      <c r="E40">
        <f>Tableau4783039[Demande]-Tableau4783039[Présente dans la malle]</f>
        <v>0</v>
      </c>
      <c r="F40" s="4"/>
    </row>
    <row r="41" spans="2:8" x14ac:dyDescent="0.25">
      <c r="B41" t="s">
        <v>7</v>
      </c>
      <c r="E41">
        <f>SUBTOTAL(109,Tableau4783039[Manque])</f>
        <v>0</v>
      </c>
      <c r="F41" s="4"/>
      <c r="G41" s="3" t="s">
        <v>7</v>
      </c>
      <c r="H41" s="3">
        <f>SUBTOTAL(103,Tableau847122149[CT])</f>
        <v>0</v>
      </c>
    </row>
  </sheetData>
  <conditionalFormatting sqref="E3:E12">
    <cfRule type="cellIs" dxfId="166" priority="7" operator="equal">
      <formula>0</formula>
    </cfRule>
    <cfRule type="cellIs" dxfId="165" priority="8" operator="lessThan">
      <formula>0</formula>
    </cfRule>
    <cfRule type="cellIs" dxfId="164" priority="9" operator="greaterThan">
      <formula>0</formula>
    </cfRule>
  </conditionalFormatting>
  <conditionalFormatting sqref="E17:E26">
    <cfRule type="cellIs" dxfId="163" priority="4" operator="equal">
      <formula>0</formula>
    </cfRule>
    <cfRule type="cellIs" dxfId="162" priority="5" operator="lessThan">
      <formula>0</formula>
    </cfRule>
    <cfRule type="cellIs" dxfId="161" priority="6" operator="greaterThan">
      <formula>0</formula>
    </cfRule>
  </conditionalFormatting>
  <conditionalFormatting sqref="E31:E40">
    <cfRule type="cellIs" dxfId="160" priority="1" operator="equal">
      <formula>0</formula>
    </cfRule>
    <cfRule type="cellIs" dxfId="159" priority="2" operator="lessThan">
      <formula>0</formula>
    </cfRule>
    <cfRule type="cellIs" dxfId="158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B68C6DFA-E8B0-4508-A213-B0F89B1EE346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1AE8BE07-BEDE-448E-B94B-51BED94F7E80}"/>
    <dataValidation allowBlank="1" showInputMessage="1" showErrorMessage="1" prompt="Insérez la quantité présente dans les malles" sqref="C9:C12 C3:C7 C23:C26 C17:C21 C37:C40 C31:C35" xr:uid="{18556E1B-1985-4592-B11B-962835F60057}"/>
    <dataValidation allowBlank="1" showInputMessage="1" showErrorMessage="1" prompt="Insérez la quantité demandé" sqref="D9:D12 D3:D7 D23:D26 D17:D21 D37:D40 D31:D35" xr:uid="{5DEC45A7-4405-4C4C-932D-940CA86F51A0}"/>
    <dataValidation allowBlank="1" showInputMessage="1" showErrorMessage="1" prompt="Quantité acheté rajouté * CU" sqref="H3 H17 H31" xr:uid="{B5D5ED30-1484-467A-B307-209B0612304E}"/>
    <dataValidation allowBlank="1" showInputMessage="1" showErrorMessage="1" prompt="CU = Cout unitaire" sqref="G2 G16 G30:G31" xr:uid="{77C9C8AA-83AF-46AD-8489-639B88C36235}"/>
    <dataValidation allowBlank="1" showInputMessage="1" showErrorMessage="1" prompt="CT = Cout total" sqref="H2 H16 H30" xr:uid="{5DBC50B9-0D6A-4747-A81D-F91A43DBECEC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5DB3-068F-4E45-9C20-3044A910A4A0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Tableau42840[Demande]-Tableau42840[Présente dans la malle]</f>
        <v>0</v>
      </c>
      <c r="F3" s="2"/>
    </row>
    <row r="4" spans="2:8" x14ac:dyDescent="0.25">
      <c r="E4">
        <f>Tableau42840[Demande]-Tableau42840[Présente dans la malle]</f>
        <v>0</v>
      </c>
      <c r="F4" s="2"/>
    </row>
    <row r="5" spans="2:8" x14ac:dyDescent="0.25">
      <c r="E5">
        <f>Tableau42840[Demande]-Tableau42840[Présente dans la malle]</f>
        <v>0</v>
      </c>
      <c r="F5" s="2"/>
    </row>
    <row r="6" spans="2:8" x14ac:dyDescent="0.25">
      <c r="E6">
        <f>Tableau42840[Demande]-Tableau42840[Présente dans la malle]</f>
        <v>0</v>
      </c>
      <c r="F6" s="2"/>
    </row>
    <row r="7" spans="2:8" x14ac:dyDescent="0.25">
      <c r="E7">
        <f>Tableau42840[Demande]-Tableau42840[Présente dans la malle]</f>
        <v>0</v>
      </c>
      <c r="F7" s="2"/>
    </row>
    <row r="8" spans="2:8" x14ac:dyDescent="0.25">
      <c r="E8">
        <f>Tableau42840[Demande]-Tableau42840[Présente dans la malle]</f>
        <v>0</v>
      </c>
      <c r="F8" s="2"/>
    </row>
    <row r="9" spans="2:8" x14ac:dyDescent="0.25">
      <c r="E9">
        <f>Tableau42840[Demande]-Tableau42840[Présente dans la malle]</f>
        <v>0</v>
      </c>
      <c r="F9" s="2"/>
    </row>
    <row r="10" spans="2:8" x14ac:dyDescent="0.25">
      <c r="E10">
        <f>Tableau42840[Demande]-Tableau42840[Présente dans la malle]</f>
        <v>0</v>
      </c>
      <c r="F10" s="2"/>
    </row>
    <row r="11" spans="2:8" x14ac:dyDescent="0.25">
      <c r="E11">
        <f>Tableau42840[Demande]-Tableau42840[Présente dans la malle]</f>
        <v>0</v>
      </c>
      <c r="F11" s="2"/>
    </row>
    <row r="12" spans="2:8" x14ac:dyDescent="0.25">
      <c r="E12">
        <f>Tableau42840[Demande]-Tableau42840[Présente dans la malle]</f>
        <v>0</v>
      </c>
      <c r="F12" s="2"/>
    </row>
    <row r="13" spans="2:8" x14ac:dyDescent="0.25">
      <c r="B13" t="s">
        <v>7</v>
      </c>
      <c r="E13">
        <f>SUBTOTAL(109,Tableau42840[Manque])</f>
        <v>0</v>
      </c>
      <c r="F13" s="2"/>
      <c r="G13" s="3" t="s">
        <v>7</v>
      </c>
      <c r="H13" s="3">
        <f>SUBTOTAL(103,Tableau8120150[CT])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Tableau472941[Demande]-Tableau472941[Présente dans la malle]</f>
        <v>0</v>
      </c>
      <c r="F17" s="4"/>
    </row>
    <row r="18" spans="2:8" x14ac:dyDescent="0.25">
      <c r="E18">
        <f>Tableau472941[Demande]-Tableau472941[Présente dans la malle]</f>
        <v>0</v>
      </c>
      <c r="F18" s="4"/>
    </row>
    <row r="19" spans="2:8" x14ac:dyDescent="0.25">
      <c r="E19">
        <f>Tableau472941[Demande]-Tableau472941[Présente dans la malle]</f>
        <v>0</v>
      </c>
      <c r="F19" s="4"/>
    </row>
    <row r="20" spans="2:8" x14ac:dyDescent="0.25">
      <c r="E20">
        <f>Tableau472941[Demande]-Tableau472941[Présente dans la malle]</f>
        <v>0</v>
      </c>
      <c r="F20" s="4"/>
    </row>
    <row r="21" spans="2:8" x14ac:dyDescent="0.25">
      <c r="E21">
        <f>Tableau472941[Demande]-Tableau472941[Présente dans la malle]</f>
        <v>0</v>
      </c>
      <c r="F21" s="4"/>
    </row>
    <row r="22" spans="2:8" x14ac:dyDescent="0.25">
      <c r="E22">
        <f>Tableau472941[Demande]-Tableau472941[Présente dans la malle]</f>
        <v>0</v>
      </c>
      <c r="F22" s="4"/>
    </row>
    <row r="23" spans="2:8" x14ac:dyDescent="0.25">
      <c r="E23">
        <f>Tableau472941[Demande]-Tableau472941[Présente dans la malle]</f>
        <v>0</v>
      </c>
      <c r="F23" s="4"/>
    </row>
    <row r="24" spans="2:8" x14ac:dyDescent="0.25">
      <c r="E24">
        <f>Tableau472941[Demande]-Tableau472941[Présente dans la malle]</f>
        <v>0</v>
      </c>
      <c r="F24" s="4"/>
    </row>
    <row r="25" spans="2:8" x14ac:dyDescent="0.25">
      <c r="E25">
        <f>Tableau472941[Demande]-Tableau472941[Présente dans la malle]</f>
        <v>0</v>
      </c>
      <c r="F25" s="4"/>
    </row>
    <row r="26" spans="2:8" x14ac:dyDescent="0.25">
      <c r="E26">
        <f>Tableau472941[Demande]-Tableau472941[Présente dans la malle]</f>
        <v>0</v>
      </c>
      <c r="F26" s="4"/>
    </row>
    <row r="27" spans="2:8" x14ac:dyDescent="0.25">
      <c r="B27" t="s">
        <v>7</v>
      </c>
      <c r="E27">
        <f>SUBTOTAL(109,Tableau472941[Manque])</f>
        <v>0</v>
      </c>
      <c r="F27" s="4"/>
      <c r="G27" s="3" t="s">
        <v>7</v>
      </c>
      <c r="H27" s="3">
        <f>SUBTOTAL(103,Tableau846121151[CT])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Tableau4783042[Demande]-Tableau4783042[Présente dans la malle]</f>
        <v>0</v>
      </c>
      <c r="F31" s="4"/>
    </row>
    <row r="32" spans="2:8" x14ac:dyDescent="0.25">
      <c r="E32">
        <f>Tableau4783042[Demande]-Tableau4783042[Présente dans la malle]</f>
        <v>0</v>
      </c>
      <c r="F32" s="4"/>
    </row>
    <row r="33" spans="2:8" x14ac:dyDescent="0.25">
      <c r="E33">
        <f>Tableau4783042[Demande]-Tableau4783042[Présente dans la malle]</f>
        <v>0</v>
      </c>
      <c r="F33" s="4"/>
    </row>
    <row r="34" spans="2:8" x14ac:dyDescent="0.25">
      <c r="E34">
        <f>Tableau4783042[Demande]-Tableau4783042[Présente dans la malle]</f>
        <v>0</v>
      </c>
      <c r="F34" s="4"/>
    </row>
    <row r="35" spans="2:8" x14ac:dyDescent="0.25">
      <c r="E35">
        <f>Tableau4783042[Demande]-Tableau4783042[Présente dans la malle]</f>
        <v>0</v>
      </c>
      <c r="F35" s="4"/>
    </row>
    <row r="36" spans="2:8" x14ac:dyDescent="0.25">
      <c r="E36">
        <f>Tableau4783042[Demande]-Tableau4783042[Présente dans la malle]</f>
        <v>0</v>
      </c>
      <c r="F36" s="4"/>
    </row>
    <row r="37" spans="2:8" x14ac:dyDescent="0.25">
      <c r="E37">
        <f>Tableau4783042[Demande]-Tableau4783042[Présente dans la malle]</f>
        <v>0</v>
      </c>
      <c r="F37" s="4"/>
    </row>
    <row r="38" spans="2:8" x14ac:dyDescent="0.25">
      <c r="E38">
        <f>Tableau4783042[Demande]-Tableau4783042[Présente dans la malle]</f>
        <v>0</v>
      </c>
      <c r="F38" s="4"/>
    </row>
    <row r="39" spans="2:8" x14ac:dyDescent="0.25">
      <c r="E39">
        <f>Tableau4783042[Demande]-Tableau4783042[Présente dans la malle]</f>
        <v>0</v>
      </c>
      <c r="F39" s="4"/>
    </row>
    <row r="40" spans="2:8" x14ac:dyDescent="0.25">
      <c r="E40">
        <f>Tableau4783042[Demande]-Tableau4783042[Présente dans la malle]</f>
        <v>0</v>
      </c>
      <c r="F40" s="4"/>
    </row>
    <row r="41" spans="2:8" x14ac:dyDescent="0.25">
      <c r="B41" t="s">
        <v>7</v>
      </c>
      <c r="E41">
        <f>SUBTOTAL(109,Tableau4783042[Manque])</f>
        <v>0</v>
      </c>
      <c r="F41" s="4"/>
      <c r="G41" s="3" t="s">
        <v>7</v>
      </c>
      <c r="H41" s="3">
        <f>SUBTOTAL(103,Tableau847122152[CT])</f>
        <v>0</v>
      </c>
    </row>
  </sheetData>
  <conditionalFormatting sqref="E3:E12">
    <cfRule type="cellIs" dxfId="157" priority="7" operator="equal">
      <formula>0</formula>
    </cfRule>
    <cfRule type="cellIs" dxfId="156" priority="8" operator="lessThan">
      <formula>0</formula>
    </cfRule>
    <cfRule type="cellIs" dxfId="155" priority="9" operator="greaterThan">
      <formula>0</formula>
    </cfRule>
  </conditionalFormatting>
  <conditionalFormatting sqref="E17:E26">
    <cfRule type="cellIs" dxfId="154" priority="4" operator="equal">
      <formula>0</formula>
    </cfRule>
    <cfRule type="cellIs" dxfId="153" priority="5" operator="lessThan">
      <formula>0</formula>
    </cfRule>
    <cfRule type="cellIs" dxfId="152" priority="6" operator="greaterThan">
      <formula>0</formula>
    </cfRule>
  </conditionalFormatting>
  <conditionalFormatting sqref="E31:E40">
    <cfRule type="cellIs" dxfId="151" priority="1" operator="equal">
      <formula>0</formula>
    </cfRule>
    <cfRule type="cellIs" dxfId="150" priority="2" operator="lessThan">
      <formula>0</formula>
    </cfRule>
    <cfRule type="cellIs" dxfId="149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F343A871-B991-4C86-A2A1-5FD81032F473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728EB6FC-733F-4E35-ADFE-2D66162E3B44}"/>
    <dataValidation allowBlank="1" showInputMessage="1" showErrorMessage="1" prompt="Insérez la quantité présente dans les malles" sqref="C9:C12 C3:C7 C23:C26 C17:C21 C37:C40 C31:C35" xr:uid="{909A7101-E0E4-4250-878F-6AD54E8DE5BA}"/>
    <dataValidation allowBlank="1" showInputMessage="1" showErrorMessage="1" prompt="Insérez la quantité demandé" sqref="D9:D12 D3:D7 D23:D26 D17:D21 D37:D40 D31:D35" xr:uid="{DAFF3F44-8798-4B23-AA82-91464EA57CD9}"/>
    <dataValidation allowBlank="1" showInputMessage="1" showErrorMessage="1" prompt="Quantité acheté rajouté * CU" sqref="H3 H17 H31" xr:uid="{4AA6F8B8-20A8-49F5-8E16-E838830A0C49}"/>
    <dataValidation allowBlank="1" showInputMessage="1" showErrorMessage="1" prompt="CU = Cout unitaire" sqref="G2 G16 G30:G31" xr:uid="{8D9CBBBE-21AA-498F-B9E0-D71241B6AE54}"/>
    <dataValidation allowBlank="1" showInputMessage="1" showErrorMessage="1" prompt="CT = Cout total" sqref="H2 H16 H30" xr:uid="{030983B6-92F1-4DB5-BACD-CB241F3DF61D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6F0A-C5D8-4107-B9BB-73977AF51569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Tableau42843[Demande]-Tableau42843[Présente dans la malle]</f>
        <v>0</v>
      </c>
      <c r="F3" s="2"/>
    </row>
    <row r="4" spans="2:8" x14ac:dyDescent="0.25">
      <c r="E4">
        <f>Tableau42843[Demande]-Tableau42843[Présente dans la malle]</f>
        <v>0</v>
      </c>
      <c r="F4" s="2"/>
    </row>
    <row r="5" spans="2:8" x14ac:dyDescent="0.25">
      <c r="E5">
        <f>Tableau42843[Demande]-Tableau42843[Présente dans la malle]</f>
        <v>0</v>
      </c>
      <c r="F5" s="2"/>
    </row>
    <row r="6" spans="2:8" x14ac:dyDescent="0.25">
      <c r="E6">
        <f>Tableau42843[Demande]-Tableau42843[Présente dans la malle]</f>
        <v>0</v>
      </c>
      <c r="F6" s="2"/>
    </row>
    <row r="7" spans="2:8" x14ac:dyDescent="0.25">
      <c r="E7">
        <f>Tableau42843[Demande]-Tableau42843[Présente dans la malle]</f>
        <v>0</v>
      </c>
      <c r="F7" s="2"/>
    </row>
    <row r="8" spans="2:8" x14ac:dyDescent="0.25">
      <c r="E8">
        <f>Tableau42843[Demande]-Tableau42843[Présente dans la malle]</f>
        <v>0</v>
      </c>
      <c r="F8" s="2"/>
    </row>
    <row r="9" spans="2:8" x14ac:dyDescent="0.25">
      <c r="E9">
        <f>Tableau42843[Demande]-Tableau42843[Présente dans la malle]</f>
        <v>0</v>
      </c>
      <c r="F9" s="2"/>
    </row>
    <row r="10" spans="2:8" x14ac:dyDescent="0.25">
      <c r="E10">
        <f>Tableau42843[Demande]-Tableau42843[Présente dans la malle]</f>
        <v>0</v>
      </c>
      <c r="F10" s="2"/>
    </row>
    <row r="11" spans="2:8" x14ac:dyDescent="0.25">
      <c r="E11">
        <f>Tableau42843[Demande]-Tableau42843[Présente dans la malle]</f>
        <v>0</v>
      </c>
      <c r="F11" s="2"/>
    </row>
    <row r="12" spans="2:8" x14ac:dyDescent="0.25">
      <c r="E12">
        <f>Tableau42843[Demande]-Tableau42843[Présente dans la malle]</f>
        <v>0</v>
      </c>
      <c r="F12" s="2"/>
    </row>
    <row r="13" spans="2:8" x14ac:dyDescent="0.25">
      <c r="B13" t="s">
        <v>7</v>
      </c>
      <c r="E13">
        <f>SUBTOTAL(109,Tableau42843[Manque])</f>
        <v>0</v>
      </c>
      <c r="F13" s="2"/>
      <c r="G13" s="3" t="s">
        <v>7</v>
      </c>
      <c r="H13" s="3">
        <f>SUBTOTAL(103,Tableau8120153[CT])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Tableau472944[Demande]-Tableau472944[Présente dans la malle]</f>
        <v>0</v>
      </c>
      <c r="F17" s="4"/>
    </row>
    <row r="18" spans="2:8" x14ac:dyDescent="0.25">
      <c r="E18">
        <f>Tableau472944[Demande]-Tableau472944[Présente dans la malle]</f>
        <v>0</v>
      </c>
      <c r="F18" s="4"/>
    </row>
    <row r="19" spans="2:8" x14ac:dyDescent="0.25">
      <c r="E19">
        <f>Tableau472944[Demande]-Tableau472944[Présente dans la malle]</f>
        <v>0</v>
      </c>
      <c r="F19" s="4"/>
    </row>
    <row r="20" spans="2:8" x14ac:dyDescent="0.25">
      <c r="E20">
        <f>Tableau472944[Demande]-Tableau472944[Présente dans la malle]</f>
        <v>0</v>
      </c>
      <c r="F20" s="4"/>
    </row>
    <row r="21" spans="2:8" x14ac:dyDescent="0.25">
      <c r="E21">
        <f>Tableau472944[Demande]-Tableau472944[Présente dans la malle]</f>
        <v>0</v>
      </c>
      <c r="F21" s="4"/>
    </row>
    <row r="22" spans="2:8" x14ac:dyDescent="0.25">
      <c r="E22">
        <f>Tableau472944[Demande]-Tableau472944[Présente dans la malle]</f>
        <v>0</v>
      </c>
      <c r="F22" s="4"/>
    </row>
    <row r="23" spans="2:8" x14ac:dyDescent="0.25">
      <c r="E23">
        <f>Tableau472944[Demande]-Tableau472944[Présente dans la malle]</f>
        <v>0</v>
      </c>
      <c r="F23" s="4"/>
    </row>
    <row r="24" spans="2:8" x14ac:dyDescent="0.25">
      <c r="E24">
        <f>Tableau472944[Demande]-Tableau472944[Présente dans la malle]</f>
        <v>0</v>
      </c>
      <c r="F24" s="4"/>
    </row>
    <row r="25" spans="2:8" x14ac:dyDescent="0.25">
      <c r="E25">
        <f>Tableau472944[Demande]-Tableau472944[Présente dans la malle]</f>
        <v>0</v>
      </c>
      <c r="F25" s="4"/>
    </row>
    <row r="26" spans="2:8" x14ac:dyDescent="0.25">
      <c r="E26">
        <f>Tableau472944[Demande]-Tableau472944[Présente dans la malle]</f>
        <v>0</v>
      </c>
      <c r="F26" s="4"/>
    </row>
    <row r="27" spans="2:8" x14ac:dyDescent="0.25">
      <c r="B27" t="s">
        <v>7</v>
      </c>
      <c r="E27">
        <f>SUBTOTAL(109,Tableau472944[Manque])</f>
        <v>0</v>
      </c>
      <c r="F27" s="4"/>
      <c r="G27" s="3" t="s">
        <v>7</v>
      </c>
      <c r="H27" s="3">
        <f>SUBTOTAL(103,Tableau846121154[CT])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Tableau4783045[Demande]-Tableau4783045[Présente dans la malle]</f>
        <v>0</v>
      </c>
      <c r="F31" s="4"/>
    </row>
    <row r="32" spans="2:8" x14ac:dyDescent="0.25">
      <c r="E32">
        <f>Tableau4783045[Demande]-Tableau4783045[Présente dans la malle]</f>
        <v>0</v>
      </c>
      <c r="F32" s="4"/>
    </row>
    <row r="33" spans="2:8" x14ac:dyDescent="0.25">
      <c r="E33">
        <f>Tableau4783045[Demande]-Tableau4783045[Présente dans la malle]</f>
        <v>0</v>
      </c>
      <c r="F33" s="4"/>
    </row>
    <row r="34" spans="2:8" x14ac:dyDescent="0.25">
      <c r="E34">
        <f>Tableau4783045[Demande]-Tableau4783045[Présente dans la malle]</f>
        <v>0</v>
      </c>
      <c r="F34" s="4"/>
    </row>
    <row r="35" spans="2:8" x14ac:dyDescent="0.25">
      <c r="E35">
        <f>Tableau4783045[Demande]-Tableau4783045[Présente dans la malle]</f>
        <v>0</v>
      </c>
      <c r="F35" s="4"/>
    </row>
    <row r="36" spans="2:8" x14ac:dyDescent="0.25">
      <c r="E36">
        <f>Tableau4783045[Demande]-Tableau4783045[Présente dans la malle]</f>
        <v>0</v>
      </c>
      <c r="F36" s="4"/>
    </row>
    <row r="37" spans="2:8" x14ac:dyDescent="0.25">
      <c r="E37">
        <f>Tableau4783045[Demande]-Tableau4783045[Présente dans la malle]</f>
        <v>0</v>
      </c>
      <c r="F37" s="4"/>
    </row>
    <row r="38" spans="2:8" x14ac:dyDescent="0.25">
      <c r="E38">
        <f>Tableau4783045[Demande]-Tableau4783045[Présente dans la malle]</f>
        <v>0</v>
      </c>
      <c r="F38" s="4"/>
    </row>
    <row r="39" spans="2:8" x14ac:dyDescent="0.25">
      <c r="E39">
        <f>Tableau4783045[Demande]-Tableau4783045[Présente dans la malle]</f>
        <v>0</v>
      </c>
      <c r="F39" s="4"/>
    </row>
    <row r="40" spans="2:8" x14ac:dyDescent="0.25">
      <c r="E40">
        <f>Tableau4783045[Demande]-Tableau4783045[Présente dans la malle]</f>
        <v>0</v>
      </c>
      <c r="F40" s="4"/>
    </row>
    <row r="41" spans="2:8" x14ac:dyDescent="0.25">
      <c r="B41" t="s">
        <v>7</v>
      </c>
      <c r="E41">
        <f>SUBTOTAL(109,Tableau4783045[Manque])</f>
        <v>0</v>
      </c>
      <c r="F41" s="4"/>
      <c r="G41" s="3" t="s">
        <v>7</v>
      </c>
      <c r="H41" s="3">
        <f>SUBTOTAL(103,Tableau847122155[CT])</f>
        <v>0</v>
      </c>
    </row>
  </sheetData>
  <conditionalFormatting sqref="E3:E12">
    <cfRule type="cellIs" dxfId="148" priority="7" operator="equal">
      <formula>0</formula>
    </cfRule>
    <cfRule type="cellIs" dxfId="147" priority="8" operator="lessThan">
      <formula>0</formula>
    </cfRule>
    <cfRule type="cellIs" dxfId="146" priority="9" operator="greaterThan">
      <formula>0</formula>
    </cfRule>
  </conditionalFormatting>
  <conditionalFormatting sqref="E17:E26">
    <cfRule type="cellIs" dxfId="145" priority="4" operator="equal">
      <formula>0</formula>
    </cfRule>
    <cfRule type="cellIs" dxfId="144" priority="5" operator="lessThan">
      <formula>0</formula>
    </cfRule>
    <cfRule type="cellIs" dxfId="143" priority="6" operator="greaterThan">
      <formula>0</formula>
    </cfRule>
  </conditionalFormatting>
  <conditionalFormatting sqref="E31:E40">
    <cfRule type="cellIs" dxfId="142" priority="1" operator="equal">
      <formula>0</formula>
    </cfRule>
    <cfRule type="cellIs" dxfId="141" priority="2" operator="lessThan">
      <formula>0</formula>
    </cfRule>
    <cfRule type="cellIs" dxfId="140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8E3406D3-48FE-4141-9717-02132CF45B25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DF042115-888A-431D-811E-FE94618D3E3C}"/>
    <dataValidation allowBlank="1" showInputMessage="1" showErrorMessage="1" prompt="Insérez la quantité présente dans les malles" sqref="C9:C12 C3:C7 C23:C26 C17:C21 C37:C40 C31:C35" xr:uid="{5F7D58CC-B195-451F-8210-D4DB77A4290C}"/>
    <dataValidation allowBlank="1" showInputMessage="1" showErrorMessage="1" prompt="Insérez la quantité demandé" sqref="D9:D12 D3:D7 D23:D26 D17:D21 D37:D40 D31:D35" xr:uid="{9293CAA6-CB3D-45F5-A9BF-F4F454C157D8}"/>
    <dataValidation allowBlank="1" showInputMessage="1" showErrorMessage="1" prompt="Quantité acheté rajouté * CU" sqref="H3 H17 H31" xr:uid="{A7F8E19E-C96C-457A-90FE-2BCFBEC4D97D}"/>
    <dataValidation allowBlank="1" showInputMessage="1" showErrorMessage="1" prompt="CU = Cout unitaire" sqref="G2 G16 G30:G31" xr:uid="{DEFFE99E-B7B1-4162-A79C-226A3D85C6DD}"/>
    <dataValidation allowBlank="1" showInputMessage="1" showErrorMessage="1" prompt="CT = Cout total" sqref="H2 H16 H30" xr:uid="{491CD07A-B22C-4744-A37F-6873C3A45255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4DB1E-820B-4724-BB2E-98B7B0B3FE5E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Tableau42849[Demande]-Tableau42849[Présente dans la malle]</f>
        <v>0</v>
      </c>
      <c r="F3" s="2"/>
    </row>
    <row r="4" spans="2:8" x14ac:dyDescent="0.25">
      <c r="E4">
        <f>Tableau42849[Demande]-Tableau42849[Présente dans la malle]</f>
        <v>0</v>
      </c>
      <c r="F4" s="2"/>
    </row>
    <row r="5" spans="2:8" x14ac:dyDescent="0.25">
      <c r="E5">
        <f>Tableau42849[Demande]-Tableau42849[Présente dans la malle]</f>
        <v>0</v>
      </c>
      <c r="F5" s="2"/>
    </row>
    <row r="6" spans="2:8" x14ac:dyDescent="0.25">
      <c r="E6">
        <f>Tableau42849[Demande]-Tableau42849[Présente dans la malle]</f>
        <v>0</v>
      </c>
      <c r="F6" s="2"/>
    </row>
    <row r="7" spans="2:8" x14ac:dyDescent="0.25">
      <c r="E7">
        <f>Tableau42849[Demande]-Tableau42849[Présente dans la malle]</f>
        <v>0</v>
      </c>
      <c r="F7" s="2"/>
    </row>
    <row r="8" spans="2:8" x14ac:dyDescent="0.25">
      <c r="E8">
        <f>Tableau42849[Demande]-Tableau42849[Présente dans la malle]</f>
        <v>0</v>
      </c>
      <c r="F8" s="2"/>
    </row>
    <row r="9" spans="2:8" x14ac:dyDescent="0.25">
      <c r="E9">
        <f>Tableau42849[Demande]-Tableau42849[Présente dans la malle]</f>
        <v>0</v>
      </c>
      <c r="F9" s="2"/>
    </row>
    <row r="10" spans="2:8" x14ac:dyDescent="0.25">
      <c r="E10">
        <f>Tableau42849[Demande]-Tableau42849[Présente dans la malle]</f>
        <v>0</v>
      </c>
      <c r="F10" s="2"/>
    </row>
    <row r="11" spans="2:8" x14ac:dyDescent="0.25">
      <c r="E11">
        <f>Tableau42849[Demande]-Tableau42849[Présente dans la malle]</f>
        <v>0</v>
      </c>
      <c r="F11" s="2"/>
    </row>
    <row r="12" spans="2:8" x14ac:dyDescent="0.25">
      <c r="E12">
        <f>Tableau42849[Demande]-Tableau42849[Présente dans la malle]</f>
        <v>0</v>
      </c>
      <c r="F12" s="2"/>
    </row>
    <row r="13" spans="2:8" x14ac:dyDescent="0.25">
      <c r="B13" t="s">
        <v>7</v>
      </c>
      <c r="E13">
        <f>SUBTOTAL(109,Tableau42849[Manque])</f>
        <v>0</v>
      </c>
      <c r="F13" s="2"/>
      <c r="G13" s="3" t="s">
        <v>7</v>
      </c>
      <c r="H13" s="3">
        <f>SUBTOTAL(103,Tableau8120156[CT])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Tableau472950[Demande]-Tableau472950[Présente dans la malle]</f>
        <v>0</v>
      </c>
      <c r="F17" s="4"/>
    </row>
    <row r="18" spans="2:8" x14ac:dyDescent="0.25">
      <c r="E18">
        <f>Tableau472950[Demande]-Tableau472950[Présente dans la malle]</f>
        <v>0</v>
      </c>
      <c r="F18" s="4"/>
    </row>
    <row r="19" spans="2:8" x14ac:dyDescent="0.25">
      <c r="E19">
        <f>Tableau472950[Demande]-Tableau472950[Présente dans la malle]</f>
        <v>0</v>
      </c>
      <c r="F19" s="4"/>
    </row>
    <row r="20" spans="2:8" x14ac:dyDescent="0.25">
      <c r="E20">
        <f>Tableau472950[Demande]-Tableau472950[Présente dans la malle]</f>
        <v>0</v>
      </c>
      <c r="F20" s="4"/>
    </row>
    <row r="21" spans="2:8" x14ac:dyDescent="0.25">
      <c r="E21">
        <f>Tableau472950[Demande]-Tableau472950[Présente dans la malle]</f>
        <v>0</v>
      </c>
      <c r="F21" s="4"/>
    </row>
    <row r="22" spans="2:8" x14ac:dyDescent="0.25">
      <c r="E22">
        <f>Tableau472950[Demande]-Tableau472950[Présente dans la malle]</f>
        <v>0</v>
      </c>
      <c r="F22" s="4"/>
    </row>
    <row r="23" spans="2:8" x14ac:dyDescent="0.25">
      <c r="E23">
        <f>Tableau472950[Demande]-Tableau472950[Présente dans la malle]</f>
        <v>0</v>
      </c>
      <c r="F23" s="4"/>
    </row>
    <row r="24" spans="2:8" x14ac:dyDescent="0.25">
      <c r="E24">
        <f>Tableau472950[Demande]-Tableau472950[Présente dans la malle]</f>
        <v>0</v>
      </c>
      <c r="F24" s="4"/>
    </row>
    <row r="25" spans="2:8" x14ac:dyDescent="0.25">
      <c r="E25">
        <f>Tableau472950[Demande]-Tableau472950[Présente dans la malle]</f>
        <v>0</v>
      </c>
      <c r="F25" s="4"/>
    </row>
    <row r="26" spans="2:8" x14ac:dyDescent="0.25">
      <c r="E26">
        <f>Tableau472950[Demande]-Tableau472950[Présente dans la malle]</f>
        <v>0</v>
      </c>
      <c r="F26" s="4"/>
    </row>
    <row r="27" spans="2:8" x14ac:dyDescent="0.25">
      <c r="B27" t="s">
        <v>7</v>
      </c>
      <c r="E27">
        <f>SUBTOTAL(109,Tableau472950[Manque])</f>
        <v>0</v>
      </c>
      <c r="F27" s="4"/>
      <c r="G27" s="3" t="s">
        <v>7</v>
      </c>
      <c r="H27" s="3">
        <f>SUBTOTAL(103,Tableau846121157[CT])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Tableau4783051[Demande]-Tableau4783051[Présente dans la malle]</f>
        <v>0</v>
      </c>
      <c r="F31" s="4"/>
    </row>
    <row r="32" spans="2:8" x14ac:dyDescent="0.25">
      <c r="E32">
        <f>Tableau4783051[Demande]-Tableau4783051[Présente dans la malle]</f>
        <v>0</v>
      </c>
      <c r="F32" s="4"/>
    </row>
    <row r="33" spans="2:8" x14ac:dyDescent="0.25">
      <c r="E33">
        <f>Tableau4783051[Demande]-Tableau4783051[Présente dans la malle]</f>
        <v>0</v>
      </c>
      <c r="F33" s="4"/>
    </row>
    <row r="34" spans="2:8" x14ac:dyDescent="0.25">
      <c r="E34">
        <f>Tableau4783051[Demande]-Tableau4783051[Présente dans la malle]</f>
        <v>0</v>
      </c>
      <c r="F34" s="4"/>
    </row>
    <row r="35" spans="2:8" x14ac:dyDescent="0.25">
      <c r="E35">
        <f>Tableau4783051[Demande]-Tableau4783051[Présente dans la malle]</f>
        <v>0</v>
      </c>
      <c r="F35" s="4"/>
    </row>
    <row r="36" spans="2:8" x14ac:dyDescent="0.25">
      <c r="E36">
        <f>Tableau4783051[Demande]-Tableau4783051[Présente dans la malle]</f>
        <v>0</v>
      </c>
      <c r="F36" s="4"/>
    </row>
    <row r="37" spans="2:8" x14ac:dyDescent="0.25">
      <c r="E37">
        <f>Tableau4783051[Demande]-Tableau4783051[Présente dans la malle]</f>
        <v>0</v>
      </c>
      <c r="F37" s="4"/>
    </row>
    <row r="38" spans="2:8" x14ac:dyDescent="0.25">
      <c r="E38">
        <f>Tableau4783051[Demande]-Tableau4783051[Présente dans la malle]</f>
        <v>0</v>
      </c>
      <c r="F38" s="4"/>
    </row>
    <row r="39" spans="2:8" x14ac:dyDescent="0.25">
      <c r="E39">
        <f>Tableau4783051[Demande]-Tableau4783051[Présente dans la malle]</f>
        <v>0</v>
      </c>
      <c r="F39" s="4"/>
    </row>
    <row r="40" spans="2:8" x14ac:dyDescent="0.25">
      <c r="E40">
        <f>Tableau4783051[Demande]-Tableau4783051[Présente dans la malle]</f>
        <v>0</v>
      </c>
      <c r="F40" s="4"/>
    </row>
    <row r="41" spans="2:8" x14ac:dyDescent="0.25">
      <c r="B41" t="s">
        <v>7</v>
      </c>
      <c r="E41">
        <f>SUBTOTAL(109,Tableau4783051[Manque])</f>
        <v>0</v>
      </c>
      <c r="F41" s="4"/>
      <c r="G41" s="3" t="s">
        <v>7</v>
      </c>
      <c r="H41" s="3">
        <f>SUBTOTAL(103,Tableau847122158[CT])</f>
        <v>0</v>
      </c>
    </row>
  </sheetData>
  <conditionalFormatting sqref="E31:E40">
    <cfRule type="cellIs" dxfId="139" priority="1" operator="equal">
      <formula>0</formula>
    </cfRule>
    <cfRule type="cellIs" dxfId="138" priority="2" operator="lessThan">
      <formula>0</formula>
    </cfRule>
    <cfRule type="cellIs" dxfId="137" priority="3" operator="greaterThan">
      <formula>0</formula>
    </cfRule>
  </conditionalFormatting>
  <conditionalFormatting sqref="E3:E12">
    <cfRule type="cellIs" dxfId="136" priority="7" operator="equal">
      <formula>0</formula>
    </cfRule>
    <cfRule type="cellIs" dxfId="135" priority="8" operator="lessThan">
      <formula>0</formula>
    </cfRule>
    <cfRule type="cellIs" dxfId="134" priority="9" operator="greaterThan">
      <formula>0</formula>
    </cfRule>
  </conditionalFormatting>
  <conditionalFormatting sqref="E17:E26">
    <cfRule type="cellIs" dxfId="133" priority="4" operator="equal">
      <formula>0</formula>
    </cfRule>
    <cfRule type="cellIs" dxfId="132" priority="5" operator="lessThan">
      <formula>0</formula>
    </cfRule>
    <cfRule type="cellIs" dxfId="131" priority="6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73EE5DF8-67F6-4637-9557-A2D4923298E9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DC072717-2E75-4F34-96B4-D0D83F28B8DB}"/>
    <dataValidation allowBlank="1" showInputMessage="1" showErrorMessage="1" prompt="Insérez la quantité présente dans les malles" sqref="C9:C12 C3:C7 C23:C26 C17:C21 C37:C40 C31:C35" xr:uid="{B8A92EB3-EBC7-426C-9509-C309E42454E5}"/>
    <dataValidation allowBlank="1" showInputMessage="1" showErrorMessage="1" prompt="Insérez la quantité demandé" sqref="D9:D12 D3:D7 D23:D26 D17:D21 D37:D40 D31:D35" xr:uid="{D0612426-A5C7-4CC0-B9D9-D008E08BF777}"/>
    <dataValidation allowBlank="1" showInputMessage="1" showErrorMessage="1" prompt="Quantité acheté rajouté * CU" sqref="H3 H17 H31" xr:uid="{3F12B481-0816-4284-8B77-0B582A887E0F}"/>
    <dataValidation allowBlank="1" showInputMessage="1" showErrorMessage="1" prompt="CU = Cout unitaire" sqref="G2 G16 G30:G31" xr:uid="{E982942B-4F02-4492-8A38-285941ECA53B}"/>
    <dataValidation allowBlank="1" showInputMessage="1" showErrorMessage="1" prompt="CT = Cout total" sqref="H2 H16 H30" xr:uid="{2F2C3D77-D4A3-4B1C-9CB7-0C00AAD382DF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7F557-1060-4EFF-B9FD-FCC67EB7C13B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Tableau42852[Demande]-Tableau42852[Présente dans la malle]</f>
        <v>0</v>
      </c>
      <c r="F3" s="2"/>
    </row>
    <row r="4" spans="2:8" x14ac:dyDescent="0.25">
      <c r="E4">
        <f>Tableau42852[Demande]-Tableau42852[Présente dans la malle]</f>
        <v>0</v>
      </c>
      <c r="F4" s="2"/>
    </row>
    <row r="5" spans="2:8" x14ac:dyDescent="0.25">
      <c r="E5">
        <f>Tableau42852[Demande]-Tableau42852[Présente dans la malle]</f>
        <v>0</v>
      </c>
      <c r="F5" s="2"/>
    </row>
    <row r="6" spans="2:8" x14ac:dyDescent="0.25">
      <c r="E6">
        <f>Tableau42852[Demande]-Tableau42852[Présente dans la malle]</f>
        <v>0</v>
      </c>
      <c r="F6" s="2"/>
    </row>
    <row r="7" spans="2:8" x14ac:dyDescent="0.25">
      <c r="E7">
        <f>Tableau42852[Demande]-Tableau42852[Présente dans la malle]</f>
        <v>0</v>
      </c>
      <c r="F7" s="2"/>
    </row>
    <row r="8" spans="2:8" x14ac:dyDescent="0.25">
      <c r="E8">
        <f>Tableau42852[Demande]-Tableau42852[Présente dans la malle]</f>
        <v>0</v>
      </c>
      <c r="F8" s="2"/>
    </row>
    <row r="9" spans="2:8" x14ac:dyDescent="0.25">
      <c r="E9">
        <f>Tableau42852[Demande]-Tableau42852[Présente dans la malle]</f>
        <v>0</v>
      </c>
      <c r="F9" s="2"/>
    </row>
    <row r="10" spans="2:8" x14ac:dyDescent="0.25">
      <c r="E10">
        <f>Tableau42852[Demande]-Tableau42852[Présente dans la malle]</f>
        <v>0</v>
      </c>
      <c r="F10" s="2"/>
    </row>
    <row r="11" spans="2:8" x14ac:dyDescent="0.25">
      <c r="E11">
        <f>Tableau42852[Demande]-Tableau42852[Présente dans la malle]</f>
        <v>0</v>
      </c>
      <c r="F11" s="2"/>
    </row>
    <row r="12" spans="2:8" x14ac:dyDescent="0.25">
      <c r="E12">
        <f>Tableau42852[Demande]-Tableau42852[Présente dans la malle]</f>
        <v>0</v>
      </c>
      <c r="F12" s="2"/>
    </row>
    <row r="13" spans="2:8" x14ac:dyDescent="0.25">
      <c r="B13" t="s">
        <v>7</v>
      </c>
      <c r="E13">
        <f>SUBTOTAL(109,Tableau42852[Manque])</f>
        <v>0</v>
      </c>
      <c r="F13" s="2"/>
      <c r="G13" s="3" t="s">
        <v>7</v>
      </c>
      <c r="H13" s="3">
        <f>SUBTOTAL(103,Tableau8120159[CT])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Tableau472953[Demande]-Tableau472953[Présente dans la malle]</f>
        <v>0</v>
      </c>
      <c r="F17" s="4"/>
    </row>
    <row r="18" spans="2:8" x14ac:dyDescent="0.25">
      <c r="E18">
        <f>Tableau472953[Demande]-Tableau472953[Présente dans la malle]</f>
        <v>0</v>
      </c>
      <c r="F18" s="4"/>
    </row>
    <row r="19" spans="2:8" x14ac:dyDescent="0.25">
      <c r="E19">
        <f>Tableau472953[Demande]-Tableau472953[Présente dans la malle]</f>
        <v>0</v>
      </c>
      <c r="F19" s="4"/>
    </row>
    <row r="20" spans="2:8" x14ac:dyDescent="0.25">
      <c r="E20">
        <f>Tableau472953[Demande]-Tableau472953[Présente dans la malle]</f>
        <v>0</v>
      </c>
      <c r="F20" s="4"/>
    </row>
    <row r="21" spans="2:8" x14ac:dyDescent="0.25">
      <c r="E21">
        <f>Tableau472953[Demande]-Tableau472953[Présente dans la malle]</f>
        <v>0</v>
      </c>
      <c r="F21" s="4"/>
    </row>
    <row r="22" spans="2:8" x14ac:dyDescent="0.25">
      <c r="E22">
        <f>Tableau472953[Demande]-Tableau472953[Présente dans la malle]</f>
        <v>0</v>
      </c>
      <c r="F22" s="4"/>
    </row>
    <row r="23" spans="2:8" x14ac:dyDescent="0.25">
      <c r="E23">
        <f>Tableau472953[Demande]-Tableau472953[Présente dans la malle]</f>
        <v>0</v>
      </c>
      <c r="F23" s="4"/>
    </row>
    <row r="24" spans="2:8" x14ac:dyDescent="0.25">
      <c r="E24">
        <f>Tableau472953[Demande]-Tableau472953[Présente dans la malle]</f>
        <v>0</v>
      </c>
      <c r="F24" s="4"/>
    </row>
    <row r="25" spans="2:8" x14ac:dyDescent="0.25">
      <c r="E25">
        <f>Tableau472953[Demande]-Tableau472953[Présente dans la malle]</f>
        <v>0</v>
      </c>
      <c r="F25" s="4"/>
    </row>
    <row r="26" spans="2:8" x14ac:dyDescent="0.25">
      <c r="E26">
        <f>Tableau472953[Demande]-Tableau472953[Présente dans la malle]</f>
        <v>0</v>
      </c>
      <c r="F26" s="4"/>
    </row>
    <row r="27" spans="2:8" x14ac:dyDescent="0.25">
      <c r="B27" t="s">
        <v>7</v>
      </c>
      <c r="E27">
        <f>SUBTOTAL(109,Tableau472953[Manque])</f>
        <v>0</v>
      </c>
      <c r="F27" s="4"/>
      <c r="G27" s="3" t="s">
        <v>7</v>
      </c>
      <c r="H27" s="3">
        <f>SUBTOTAL(103,Tableau846121160[CT])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Tableau4783054[Demande]-Tableau4783054[Présente dans la malle]</f>
        <v>0</v>
      </c>
      <c r="F31" s="4"/>
    </row>
    <row r="32" spans="2:8" x14ac:dyDescent="0.25">
      <c r="E32">
        <f>Tableau4783054[Demande]-Tableau4783054[Présente dans la malle]</f>
        <v>0</v>
      </c>
      <c r="F32" s="4"/>
    </row>
    <row r="33" spans="2:8" x14ac:dyDescent="0.25">
      <c r="E33">
        <f>Tableau4783054[Demande]-Tableau4783054[Présente dans la malle]</f>
        <v>0</v>
      </c>
      <c r="F33" s="4"/>
    </row>
    <row r="34" spans="2:8" x14ac:dyDescent="0.25">
      <c r="E34">
        <f>Tableau4783054[Demande]-Tableau4783054[Présente dans la malle]</f>
        <v>0</v>
      </c>
      <c r="F34" s="4"/>
    </row>
    <row r="35" spans="2:8" x14ac:dyDescent="0.25">
      <c r="E35">
        <f>Tableau4783054[Demande]-Tableau4783054[Présente dans la malle]</f>
        <v>0</v>
      </c>
      <c r="F35" s="4"/>
    </row>
    <row r="36" spans="2:8" x14ac:dyDescent="0.25">
      <c r="E36">
        <f>Tableau4783054[Demande]-Tableau4783054[Présente dans la malle]</f>
        <v>0</v>
      </c>
      <c r="F36" s="4"/>
    </row>
    <row r="37" spans="2:8" x14ac:dyDescent="0.25">
      <c r="E37">
        <f>Tableau4783054[Demande]-Tableau4783054[Présente dans la malle]</f>
        <v>0</v>
      </c>
      <c r="F37" s="4"/>
    </row>
    <row r="38" spans="2:8" x14ac:dyDescent="0.25">
      <c r="E38">
        <f>Tableau4783054[Demande]-Tableau4783054[Présente dans la malle]</f>
        <v>0</v>
      </c>
      <c r="F38" s="4"/>
    </row>
    <row r="39" spans="2:8" x14ac:dyDescent="0.25">
      <c r="E39">
        <f>Tableau4783054[Demande]-Tableau4783054[Présente dans la malle]</f>
        <v>0</v>
      </c>
      <c r="F39" s="4"/>
    </row>
    <row r="40" spans="2:8" x14ac:dyDescent="0.25">
      <c r="E40">
        <f>Tableau4783054[Demande]-Tableau4783054[Présente dans la malle]</f>
        <v>0</v>
      </c>
      <c r="F40" s="4"/>
    </row>
    <row r="41" spans="2:8" x14ac:dyDescent="0.25">
      <c r="B41" t="s">
        <v>7</v>
      </c>
      <c r="E41">
        <f>SUBTOTAL(109,Tableau4783054[Manque])</f>
        <v>0</v>
      </c>
      <c r="F41" s="4"/>
      <c r="G41" s="3" t="s">
        <v>7</v>
      </c>
      <c r="H41" s="3">
        <f>SUBTOTAL(103,Tableau847122161[CT])</f>
        <v>0</v>
      </c>
    </row>
  </sheetData>
  <conditionalFormatting sqref="E3:E12">
    <cfRule type="cellIs" dxfId="130" priority="7" operator="equal">
      <formula>0</formula>
    </cfRule>
    <cfRule type="cellIs" dxfId="129" priority="8" operator="lessThan">
      <formula>0</formula>
    </cfRule>
    <cfRule type="cellIs" dxfId="128" priority="9" operator="greaterThan">
      <formula>0</formula>
    </cfRule>
  </conditionalFormatting>
  <conditionalFormatting sqref="E17:E26">
    <cfRule type="cellIs" dxfId="127" priority="4" operator="equal">
      <formula>0</formula>
    </cfRule>
    <cfRule type="cellIs" dxfId="126" priority="5" operator="lessThan">
      <formula>0</formula>
    </cfRule>
    <cfRule type="cellIs" dxfId="125" priority="6" operator="greaterThan">
      <formula>0</formula>
    </cfRule>
  </conditionalFormatting>
  <conditionalFormatting sqref="E31:E40">
    <cfRule type="cellIs" dxfId="124" priority="1" operator="equal">
      <formula>0</formula>
    </cfRule>
    <cfRule type="cellIs" dxfId="123" priority="2" operator="lessThan">
      <formula>0</formula>
    </cfRule>
    <cfRule type="cellIs" dxfId="122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6616E07E-7B9C-4A29-8A8A-9EEE5596DAC3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2ED05E7C-4AA6-4082-9129-A6BCA09427BD}"/>
    <dataValidation allowBlank="1" showInputMessage="1" showErrorMessage="1" prompt="Insérez la quantité présente dans les malles" sqref="C9:C12 C3:C7 C23:C26 C17:C21 C37:C40 C31:C35" xr:uid="{6802B069-7882-465A-90DD-A8233C7DC482}"/>
    <dataValidation allowBlank="1" showInputMessage="1" showErrorMessage="1" prompt="Insérez la quantité demandé" sqref="D9:D12 D3:D7 D23:D26 D17:D21 D37:D40 D31:D35" xr:uid="{50C454E4-6FCF-44C6-966A-34ADF9C9AD68}"/>
    <dataValidation allowBlank="1" showInputMessage="1" showErrorMessage="1" prompt="Quantité acheté rajouté * CU" sqref="H3 H17 H31" xr:uid="{91D98730-79C7-417A-8BD1-6DC0D5620E57}"/>
    <dataValidation allowBlank="1" showInputMessage="1" showErrorMessage="1" prompt="CU = Cout unitaire" sqref="G2 G16 G30:G31" xr:uid="{7D867292-2003-4A09-AF7B-D690F0A2105B}"/>
    <dataValidation allowBlank="1" showInputMessage="1" showErrorMessage="1" prompt="CT = Cout total" sqref="H2 H16 H30" xr:uid="{94404309-06B5-4971-BE8A-4E087A31790E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E376D-6D32-4367-8D3B-9B54D4510654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Tableau42855[Demande]-Tableau42855[Présente dans la malle]</f>
        <v>0</v>
      </c>
      <c r="F3" s="2"/>
    </row>
    <row r="4" spans="2:8" x14ac:dyDescent="0.25">
      <c r="E4">
        <f>Tableau42855[Demande]-Tableau42855[Présente dans la malle]</f>
        <v>0</v>
      </c>
      <c r="F4" s="2"/>
    </row>
    <row r="5" spans="2:8" x14ac:dyDescent="0.25">
      <c r="E5">
        <f>Tableau42855[Demande]-Tableau42855[Présente dans la malle]</f>
        <v>0</v>
      </c>
      <c r="F5" s="2"/>
    </row>
    <row r="6" spans="2:8" x14ac:dyDescent="0.25">
      <c r="E6">
        <f>Tableau42855[Demande]-Tableau42855[Présente dans la malle]</f>
        <v>0</v>
      </c>
      <c r="F6" s="2"/>
    </row>
    <row r="7" spans="2:8" x14ac:dyDescent="0.25">
      <c r="E7">
        <f>Tableau42855[Demande]-Tableau42855[Présente dans la malle]</f>
        <v>0</v>
      </c>
      <c r="F7" s="2"/>
    </row>
    <row r="8" spans="2:8" x14ac:dyDescent="0.25">
      <c r="E8">
        <f>Tableau42855[Demande]-Tableau42855[Présente dans la malle]</f>
        <v>0</v>
      </c>
      <c r="F8" s="2"/>
    </row>
    <row r="9" spans="2:8" x14ac:dyDescent="0.25">
      <c r="E9">
        <f>Tableau42855[Demande]-Tableau42855[Présente dans la malle]</f>
        <v>0</v>
      </c>
      <c r="F9" s="2"/>
    </row>
    <row r="10" spans="2:8" x14ac:dyDescent="0.25">
      <c r="E10">
        <f>Tableau42855[Demande]-Tableau42855[Présente dans la malle]</f>
        <v>0</v>
      </c>
      <c r="F10" s="2"/>
    </row>
    <row r="11" spans="2:8" x14ac:dyDescent="0.25">
      <c r="E11">
        <f>Tableau42855[Demande]-Tableau42855[Présente dans la malle]</f>
        <v>0</v>
      </c>
      <c r="F11" s="2"/>
    </row>
    <row r="12" spans="2:8" x14ac:dyDescent="0.25">
      <c r="E12">
        <f>Tableau42855[Demande]-Tableau42855[Présente dans la malle]</f>
        <v>0</v>
      </c>
      <c r="F12" s="2"/>
    </row>
    <row r="13" spans="2:8" x14ac:dyDescent="0.25">
      <c r="B13" t="s">
        <v>7</v>
      </c>
      <c r="E13">
        <f>SUBTOTAL(109,Tableau42855[Manque])</f>
        <v>0</v>
      </c>
      <c r="F13" s="2"/>
      <c r="G13" s="3" t="s">
        <v>7</v>
      </c>
      <c r="H13" s="3">
        <f>SUBTOTAL(103,Tableau8120162[CT])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Tableau472956[Demande]-Tableau472956[Présente dans la malle]</f>
        <v>0</v>
      </c>
      <c r="F17" s="4"/>
    </row>
    <row r="18" spans="2:8" x14ac:dyDescent="0.25">
      <c r="E18">
        <f>Tableau472956[Demande]-Tableau472956[Présente dans la malle]</f>
        <v>0</v>
      </c>
      <c r="F18" s="4"/>
    </row>
    <row r="19" spans="2:8" x14ac:dyDescent="0.25">
      <c r="E19">
        <f>Tableau472956[Demande]-Tableau472956[Présente dans la malle]</f>
        <v>0</v>
      </c>
      <c r="F19" s="4"/>
    </row>
    <row r="20" spans="2:8" x14ac:dyDescent="0.25">
      <c r="E20">
        <f>Tableau472956[Demande]-Tableau472956[Présente dans la malle]</f>
        <v>0</v>
      </c>
      <c r="F20" s="4"/>
    </row>
    <row r="21" spans="2:8" x14ac:dyDescent="0.25">
      <c r="E21">
        <f>Tableau472956[Demande]-Tableau472956[Présente dans la malle]</f>
        <v>0</v>
      </c>
      <c r="F21" s="4"/>
    </row>
    <row r="22" spans="2:8" x14ac:dyDescent="0.25">
      <c r="E22">
        <f>Tableau472956[Demande]-Tableau472956[Présente dans la malle]</f>
        <v>0</v>
      </c>
      <c r="F22" s="4"/>
    </row>
    <row r="23" spans="2:8" x14ac:dyDescent="0.25">
      <c r="E23">
        <f>Tableau472956[Demande]-Tableau472956[Présente dans la malle]</f>
        <v>0</v>
      </c>
      <c r="F23" s="4"/>
    </row>
    <row r="24" spans="2:8" x14ac:dyDescent="0.25">
      <c r="E24">
        <f>Tableau472956[Demande]-Tableau472956[Présente dans la malle]</f>
        <v>0</v>
      </c>
      <c r="F24" s="4"/>
    </row>
    <row r="25" spans="2:8" x14ac:dyDescent="0.25">
      <c r="E25">
        <f>Tableau472956[Demande]-Tableau472956[Présente dans la malle]</f>
        <v>0</v>
      </c>
      <c r="F25" s="4"/>
    </row>
    <row r="26" spans="2:8" x14ac:dyDescent="0.25">
      <c r="E26">
        <f>Tableau472956[Demande]-Tableau472956[Présente dans la malle]</f>
        <v>0</v>
      </c>
      <c r="F26" s="4"/>
    </row>
    <row r="27" spans="2:8" x14ac:dyDescent="0.25">
      <c r="B27" t="s">
        <v>7</v>
      </c>
      <c r="E27">
        <f>SUBTOTAL(109,Tableau472956[Manque])</f>
        <v>0</v>
      </c>
      <c r="F27" s="4"/>
      <c r="G27" s="3" t="s">
        <v>7</v>
      </c>
      <c r="H27" s="3">
        <f>SUBTOTAL(103,Tableau846121163[CT])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Tableau4783057[Demande]-Tableau4783057[Présente dans la malle]</f>
        <v>0</v>
      </c>
      <c r="F31" s="4"/>
    </row>
    <row r="32" spans="2:8" x14ac:dyDescent="0.25">
      <c r="E32">
        <f>Tableau4783057[Demande]-Tableau4783057[Présente dans la malle]</f>
        <v>0</v>
      </c>
      <c r="F32" s="4"/>
    </row>
    <row r="33" spans="2:8" x14ac:dyDescent="0.25">
      <c r="E33">
        <f>Tableau4783057[Demande]-Tableau4783057[Présente dans la malle]</f>
        <v>0</v>
      </c>
      <c r="F33" s="4"/>
    </row>
    <row r="34" spans="2:8" x14ac:dyDescent="0.25">
      <c r="E34">
        <f>Tableau4783057[Demande]-Tableau4783057[Présente dans la malle]</f>
        <v>0</v>
      </c>
      <c r="F34" s="4"/>
    </row>
    <row r="35" spans="2:8" x14ac:dyDescent="0.25">
      <c r="E35">
        <f>Tableau4783057[Demande]-Tableau4783057[Présente dans la malle]</f>
        <v>0</v>
      </c>
      <c r="F35" s="4"/>
    </row>
    <row r="36" spans="2:8" x14ac:dyDescent="0.25">
      <c r="E36">
        <f>Tableau4783057[Demande]-Tableau4783057[Présente dans la malle]</f>
        <v>0</v>
      </c>
      <c r="F36" s="4"/>
    </row>
    <row r="37" spans="2:8" x14ac:dyDescent="0.25">
      <c r="E37">
        <f>Tableau4783057[Demande]-Tableau4783057[Présente dans la malle]</f>
        <v>0</v>
      </c>
      <c r="F37" s="4"/>
    </row>
    <row r="38" spans="2:8" x14ac:dyDescent="0.25">
      <c r="E38">
        <f>Tableau4783057[Demande]-Tableau4783057[Présente dans la malle]</f>
        <v>0</v>
      </c>
      <c r="F38" s="4"/>
    </row>
    <row r="39" spans="2:8" x14ac:dyDescent="0.25">
      <c r="E39">
        <f>Tableau4783057[Demande]-Tableau4783057[Présente dans la malle]</f>
        <v>0</v>
      </c>
      <c r="F39" s="4"/>
    </row>
    <row r="40" spans="2:8" x14ac:dyDescent="0.25">
      <c r="E40">
        <f>Tableau4783057[Demande]-Tableau4783057[Présente dans la malle]</f>
        <v>0</v>
      </c>
      <c r="F40" s="4"/>
    </row>
    <row r="41" spans="2:8" x14ac:dyDescent="0.25">
      <c r="B41" t="s">
        <v>7</v>
      </c>
      <c r="E41">
        <f>SUBTOTAL(109,Tableau4783057[Manque])</f>
        <v>0</v>
      </c>
      <c r="F41" s="4"/>
      <c r="G41" s="3" t="s">
        <v>7</v>
      </c>
      <c r="H41" s="3">
        <f>SUBTOTAL(103,Tableau847122164[CT])</f>
        <v>0</v>
      </c>
    </row>
  </sheetData>
  <conditionalFormatting sqref="E3:E12">
    <cfRule type="cellIs" dxfId="121" priority="7" operator="equal">
      <formula>0</formula>
    </cfRule>
    <cfRule type="cellIs" dxfId="120" priority="8" operator="lessThan">
      <formula>0</formula>
    </cfRule>
    <cfRule type="cellIs" dxfId="119" priority="9" operator="greaterThan">
      <formula>0</formula>
    </cfRule>
  </conditionalFormatting>
  <conditionalFormatting sqref="E17:E26">
    <cfRule type="cellIs" dxfId="118" priority="4" operator="equal">
      <formula>0</formula>
    </cfRule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E31:E40">
    <cfRule type="cellIs" dxfId="115" priority="1" operator="equal">
      <formula>0</formula>
    </cfRule>
    <cfRule type="cellIs" dxfId="114" priority="2" operator="lessThan">
      <formula>0</formula>
    </cfRule>
    <cfRule type="cellIs" dxfId="113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743C39AF-20A5-435B-8514-687722CEC60B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625C1DC1-1898-4299-8C20-37C859F5DBF1}"/>
    <dataValidation allowBlank="1" showInputMessage="1" showErrorMessage="1" prompt="Insérez la quantité présente dans les malles" sqref="C9:C12 C3:C7 C23:C26 C17:C21 C37:C40 C31:C35" xr:uid="{741B007B-2EB7-4BB3-9BA1-C7ED1DAB6CEB}"/>
    <dataValidation allowBlank="1" showInputMessage="1" showErrorMessage="1" prompt="Insérez la quantité demandé" sqref="D9:D12 D3:D7 D23:D26 D17:D21 D37:D40 D31:D35" xr:uid="{ADD0A2C9-A01E-4889-A18F-D1563EDFE72A}"/>
    <dataValidation allowBlank="1" showInputMessage="1" showErrorMessage="1" prompt="Quantité acheté rajouté * CU" sqref="H3 H17 H31" xr:uid="{5DEFC01B-A0A5-4005-B13E-75DB68C8B2D2}"/>
    <dataValidation allowBlank="1" showInputMessage="1" showErrorMessage="1" prompt="CU = Cout unitaire" sqref="G2 G16 G30:G31" xr:uid="{13FF9F6A-54B4-480E-80CE-9727C697F41D}"/>
    <dataValidation allowBlank="1" showInputMessage="1" showErrorMessage="1" prompt="CT = Cout total" sqref="H2 H16 H30" xr:uid="{FB3FD407-80EF-45A2-9024-2AE14A4F3F0B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7125-9D9C-4F0F-BD4A-7A0F2477DCD1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Tableau42858[Demande]-Tableau42858[Présente dans la malle]</f>
        <v>0</v>
      </c>
      <c r="F3" s="2"/>
    </row>
    <row r="4" spans="2:8" x14ac:dyDescent="0.25">
      <c r="E4">
        <f>Tableau42858[Demande]-Tableau42858[Présente dans la malle]</f>
        <v>0</v>
      </c>
      <c r="F4" s="2"/>
    </row>
    <row r="5" spans="2:8" x14ac:dyDescent="0.25">
      <c r="E5">
        <f>Tableau42858[Demande]-Tableau42858[Présente dans la malle]</f>
        <v>0</v>
      </c>
      <c r="F5" s="2"/>
    </row>
    <row r="6" spans="2:8" x14ac:dyDescent="0.25">
      <c r="E6">
        <f>Tableau42858[Demande]-Tableau42858[Présente dans la malle]</f>
        <v>0</v>
      </c>
      <c r="F6" s="2"/>
    </row>
    <row r="7" spans="2:8" x14ac:dyDescent="0.25">
      <c r="E7">
        <f>Tableau42858[Demande]-Tableau42858[Présente dans la malle]</f>
        <v>0</v>
      </c>
      <c r="F7" s="2"/>
    </row>
    <row r="8" spans="2:8" x14ac:dyDescent="0.25">
      <c r="E8">
        <f>Tableau42858[Demande]-Tableau42858[Présente dans la malle]</f>
        <v>0</v>
      </c>
      <c r="F8" s="2"/>
    </row>
    <row r="9" spans="2:8" x14ac:dyDescent="0.25">
      <c r="E9">
        <f>Tableau42858[Demande]-Tableau42858[Présente dans la malle]</f>
        <v>0</v>
      </c>
      <c r="F9" s="2"/>
    </row>
    <row r="10" spans="2:8" x14ac:dyDescent="0.25">
      <c r="E10">
        <f>Tableau42858[Demande]-Tableau42858[Présente dans la malle]</f>
        <v>0</v>
      </c>
      <c r="F10" s="2"/>
    </row>
    <row r="11" spans="2:8" x14ac:dyDescent="0.25">
      <c r="E11">
        <f>Tableau42858[Demande]-Tableau42858[Présente dans la malle]</f>
        <v>0</v>
      </c>
      <c r="F11" s="2"/>
    </row>
    <row r="12" spans="2:8" x14ac:dyDescent="0.25">
      <c r="E12">
        <f>Tableau42858[Demande]-Tableau42858[Présente dans la malle]</f>
        <v>0</v>
      </c>
      <c r="F12" s="2"/>
    </row>
    <row r="13" spans="2:8" x14ac:dyDescent="0.25">
      <c r="B13" t="s">
        <v>7</v>
      </c>
      <c r="E13">
        <f>SUBTOTAL(109,Tableau42858[Manque])</f>
        <v>0</v>
      </c>
      <c r="F13" s="2"/>
      <c r="G13" s="3" t="s">
        <v>7</v>
      </c>
      <c r="H13" s="3">
        <f>SUBTOTAL(103,Tableau8120165[CT])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Tableau472959[Demande]-Tableau472959[Présente dans la malle]</f>
        <v>0</v>
      </c>
      <c r="F17" s="4"/>
    </row>
    <row r="18" spans="2:8" x14ac:dyDescent="0.25">
      <c r="E18">
        <f>Tableau472959[Demande]-Tableau472959[Présente dans la malle]</f>
        <v>0</v>
      </c>
      <c r="F18" s="4"/>
    </row>
    <row r="19" spans="2:8" x14ac:dyDescent="0.25">
      <c r="E19">
        <f>Tableau472959[Demande]-Tableau472959[Présente dans la malle]</f>
        <v>0</v>
      </c>
      <c r="F19" s="4"/>
    </row>
    <row r="20" spans="2:8" x14ac:dyDescent="0.25">
      <c r="E20">
        <f>Tableau472959[Demande]-Tableau472959[Présente dans la malle]</f>
        <v>0</v>
      </c>
      <c r="F20" s="4"/>
    </row>
    <row r="21" spans="2:8" x14ac:dyDescent="0.25">
      <c r="E21">
        <f>Tableau472959[Demande]-Tableau472959[Présente dans la malle]</f>
        <v>0</v>
      </c>
      <c r="F21" s="4"/>
    </row>
    <row r="22" spans="2:8" x14ac:dyDescent="0.25">
      <c r="E22">
        <f>Tableau472959[Demande]-Tableau472959[Présente dans la malle]</f>
        <v>0</v>
      </c>
      <c r="F22" s="4"/>
    </row>
    <row r="23" spans="2:8" x14ac:dyDescent="0.25">
      <c r="E23">
        <f>Tableau472959[Demande]-Tableau472959[Présente dans la malle]</f>
        <v>0</v>
      </c>
      <c r="F23" s="4"/>
    </row>
    <row r="24" spans="2:8" x14ac:dyDescent="0.25">
      <c r="E24">
        <f>Tableau472959[Demande]-Tableau472959[Présente dans la malle]</f>
        <v>0</v>
      </c>
      <c r="F24" s="4"/>
    </row>
    <row r="25" spans="2:8" x14ac:dyDescent="0.25">
      <c r="E25">
        <f>Tableau472959[Demande]-Tableau472959[Présente dans la malle]</f>
        <v>0</v>
      </c>
      <c r="F25" s="4"/>
    </row>
    <row r="26" spans="2:8" x14ac:dyDescent="0.25">
      <c r="E26">
        <f>Tableau472959[Demande]-Tableau472959[Présente dans la malle]</f>
        <v>0</v>
      </c>
      <c r="F26" s="4"/>
    </row>
    <row r="27" spans="2:8" x14ac:dyDescent="0.25">
      <c r="B27" t="s">
        <v>7</v>
      </c>
      <c r="E27">
        <f>SUBTOTAL(109,Tableau472959[Manque])</f>
        <v>0</v>
      </c>
      <c r="F27" s="4"/>
      <c r="G27" s="3" t="s">
        <v>7</v>
      </c>
      <c r="H27" s="3">
        <f>SUBTOTAL(103,Tableau846121166[CT])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Tableau4783060[Demande]-Tableau4783060[Présente dans la malle]</f>
        <v>0</v>
      </c>
      <c r="F31" s="4"/>
    </row>
    <row r="32" spans="2:8" x14ac:dyDescent="0.25">
      <c r="E32">
        <f>Tableau4783060[Demande]-Tableau4783060[Présente dans la malle]</f>
        <v>0</v>
      </c>
      <c r="F32" s="4"/>
    </row>
    <row r="33" spans="2:8" x14ac:dyDescent="0.25">
      <c r="E33">
        <f>Tableau4783060[Demande]-Tableau4783060[Présente dans la malle]</f>
        <v>0</v>
      </c>
      <c r="F33" s="4"/>
    </row>
    <row r="34" spans="2:8" x14ac:dyDescent="0.25">
      <c r="E34">
        <f>Tableau4783060[Demande]-Tableau4783060[Présente dans la malle]</f>
        <v>0</v>
      </c>
      <c r="F34" s="4"/>
    </row>
    <row r="35" spans="2:8" x14ac:dyDescent="0.25">
      <c r="E35">
        <f>Tableau4783060[Demande]-Tableau4783060[Présente dans la malle]</f>
        <v>0</v>
      </c>
      <c r="F35" s="4"/>
    </row>
    <row r="36" spans="2:8" x14ac:dyDescent="0.25">
      <c r="E36">
        <f>Tableau4783060[Demande]-Tableau4783060[Présente dans la malle]</f>
        <v>0</v>
      </c>
      <c r="F36" s="4"/>
    </row>
    <row r="37" spans="2:8" x14ac:dyDescent="0.25">
      <c r="E37">
        <f>Tableau4783060[Demande]-Tableau4783060[Présente dans la malle]</f>
        <v>0</v>
      </c>
      <c r="F37" s="4"/>
    </row>
    <row r="38" spans="2:8" x14ac:dyDescent="0.25">
      <c r="E38">
        <f>Tableau4783060[Demande]-Tableau4783060[Présente dans la malle]</f>
        <v>0</v>
      </c>
      <c r="F38" s="4"/>
    </row>
    <row r="39" spans="2:8" x14ac:dyDescent="0.25">
      <c r="E39">
        <f>Tableau4783060[Demande]-Tableau4783060[Présente dans la malle]</f>
        <v>0</v>
      </c>
      <c r="F39" s="4"/>
    </row>
    <row r="40" spans="2:8" x14ac:dyDescent="0.25">
      <c r="E40">
        <f>Tableau4783060[Demande]-Tableau4783060[Présente dans la malle]</f>
        <v>0</v>
      </c>
      <c r="F40" s="4"/>
    </row>
    <row r="41" spans="2:8" x14ac:dyDescent="0.25">
      <c r="B41" t="s">
        <v>7</v>
      </c>
      <c r="E41">
        <f>SUBTOTAL(109,Tableau4783060[Manque])</f>
        <v>0</v>
      </c>
      <c r="F41" s="4"/>
      <c r="G41" s="3" t="s">
        <v>7</v>
      </c>
      <c r="H41" s="3">
        <f>SUBTOTAL(103,Tableau847122167[CT])</f>
        <v>0</v>
      </c>
    </row>
  </sheetData>
  <conditionalFormatting sqref="E3:E12">
    <cfRule type="cellIs" dxfId="112" priority="7" operator="equal">
      <formula>0</formula>
    </cfRule>
    <cfRule type="cellIs" dxfId="111" priority="8" operator="lessThan">
      <formula>0</formula>
    </cfRule>
    <cfRule type="cellIs" dxfId="110" priority="9" operator="greaterThan">
      <formula>0</formula>
    </cfRule>
  </conditionalFormatting>
  <conditionalFormatting sqref="E17:E26">
    <cfRule type="cellIs" dxfId="109" priority="4" operator="equal">
      <formula>0</formula>
    </cfRule>
    <cfRule type="cellIs" dxfId="108" priority="5" operator="lessThan">
      <formula>0</formula>
    </cfRule>
    <cfRule type="cellIs" dxfId="107" priority="6" operator="greaterThan">
      <formula>0</formula>
    </cfRule>
  </conditionalFormatting>
  <conditionalFormatting sqref="E31:E40">
    <cfRule type="cellIs" dxfId="106" priority="1" operator="equal">
      <formula>0</formula>
    </cfRule>
    <cfRule type="cellIs" dxfId="105" priority="2" operator="lessThan">
      <formula>0</formula>
    </cfRule>
    <cfRule type="cellIs" dxfId="104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787FC6F9-C3E6-4622-B805-0B41C0AAAEDC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7C611F27-3B15-41A9-A7A4-A496531B4288}"/>
    <dataValidation allowBlank="1" showInputMessage="1" showErrorMessage="1" prompt="Insérez la quantité présente dans les malles" sqref="C9:C12 C3:C7 C23:C26 C17:C21 C37:C40 C31:C35" xr:uid="{E8716FE9-1453-4B32-8775-A1CAC251C05B}"/>
    <dataValidation allowBlank="1" showInputMessage="1" showErrorMessage="1" prompt="Insérez la quantité demandé" sqref="D9:D12 D3:D7 D23:D26 D17:D21 D37:D40 D31:D35" xr:uid="{71CA3A76-24D1-4C8E-B67D-97FEFEF03ED6}"/>
    <dataValidation allowBlank="1" showInputMessage="1" showErrorMessage="1" prompt="Quantité acheté rajouté * CU" sqref="H3 H17 H31" xr:uid="{60D2560D-2D33-43B9-9B40-D8CEC203A068}"/>
    <dataValidation allowBlank="1" showInputMessage="1" showErrorMessage="1" prompt="CU = Cout unitaire" sqref="G2 G16 G30:G31" xr:uid="{5C5AB77A-BBF8-42B6-AD99-59E2A05BB45B}"/>
    <dataValidation allowBlank="1" showInputMessage="1" showErrorMessage="1" prompt="CT = Cout total" sqref="H2 H16 H30" xr:uid="{77541771-7C28-4E35-82A6-D4EC260D8D95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2D7E-DCC1-4A10-ADE0-FA5675E61065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Tableau42861[Demande]-Tableau42861[Présente dans la malle]</f>
        <v>0</v>
      </c>
      <c r="F3" s="2"/>
    </row>
    <row r="4" spans="2:8" x14ac:dyDescent="0.25">
      <c r="E4">
        <f>Tableau42861[Demande]-Tableau42861[Présente dans la malle]</f>
        <v>0</v>
      </c>
      <c r="F4" s="2"/>
    </row>
    <row r="5" spans="2:8" x14ac:dyDescent="0.25">
      <c r="E5">
        <f>Tableau42861[Demande]-Tableau42861[Présente dans la malle]</f>
        <v>0</v>
      </c>
      <c r="F5" s="2"/>
    </row>
    <row r="6" spans="2:8" x14ac:dyDescent="0.25">
      <c r="E6">
        <f>Tableau42861[Demande]-Tableau42861[Présente dans la malle]</f>
        <v>0</v>
      </c>
      <c r="F6" s="2"/>
    </row>
    <row r="7" spans="2:8" x14ac:dyDescent="0.25">
      <c r="E7">
        <f>Tableau42861[Demande]-Tableau42861[Présente dans la malle]</f>
        <v>0</v>
      </c>
      <c r="F7" s="2"/>
    </row>
    <row r="8" spans="2:8" x14ac:dyDescent="0.25">
      <c r="E8">
        <f>Tableau42861[Demande]-Tableau42861[Présente dans la malle]</f>
        <v>0</v>
      </c>
      <c r="F8" s="2"/>
    </row>
    <row r="9" spans="2:8" x14ac:dyDescent="0.25">
      <c r="E9">
        <f>Tableau42861[Demande]-Tableau42861[Présente dans la malle]</f>
        <v>0</v>
      </c>
      <c r="F9" s="2"/>
    </row>
    <row r="10" spans="2:8" x14ac:dyDescent="0.25">
      <c r="E10">
        <f>Tableau42861[Demande]-Tableau42861[Présente dans la malle]</f>
        <v>0</v>
      </c>
      <c r="F10" s="2"/>
    </row>
    <row r="11" spans="2:8" x14ac:dyDescent="0.25">
      <c r="E11">
        <f>Tableau42861[Demande]-Tableau42861[Présente dans la malle]</f>
        <v>0</v>
      </c>
      <c r="F11" s="2"/>
    </row>
    <row r="12" spans="2:8" x14ac:dyDescent="0.25">
      <c r="E12">
        <f>Tableau42861[Demande]-Tableau42861[Présente dans la malle]</f>
        <v>0</v>
      </c>
      <c r="F12" s="2"/>
    </row>
    <row r="13" spans="2:8" x14ac:dyDescent="0.25">
      <c r="B13" t="s">
        <v>7</v>
      </c>
      <c r="E13">
        <f>SUBTOTAL(109,Tableau42861[Manque])</f>
        <v>0</v>
      </c>
      <c r="F13" s="2"/>
      <c r="G13" s="3" t="s">
        <v>7</v>
      </c>
      <c r="H13" s="3">
        <f>SUBTOTAL(103,Tableau8120168[CT])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Tableau472962[Demande]-Tableau472962[Présente dans la malle]</f>
        <v>0</v>
      </c>
      <c r="F17" s="4"/>
    </row>
    <row r="18" spans="2:8" x14ac:dyDescent="0.25">
      <c r="E18">
        <f>Tableau472962[Demande]-Tableau472962[Présente dans la malle]</f>
        <v>0</v>
      </c>
      <c r="F18" s="4"/>
    </row>
    <row r="19" spans="2:8" x14ac:dyDescent="0.25">
      <c r="E19">
        <f>Tableau472962[Demande]-Tableau472962[Présente dans la malle]</f>
        <v>0</v>
      </c>
      <c r="F19" s="4"/>
    </row>
    <row r="20" spans="2:8" x14ac:dyDescent="0.25">
      <c r="E20">
        <f>Tableau472962[Demande]-Tableau472962[Présente dans la malle]</f>
        <v>0</v>
      </c>
      <c r="F20" s="4"/>
    </row>
    <row r="21" spans="2:8" x14ac:dyDescent="0.25">
      <c r="E21">
        <f>Tableau472962[Demande]-Tableau472962[Présente dans la malle]</f>
        <v>0</v>
      </c>
      <c r="F21" s="4"/>
    </row>
    <row r="22" spans="2:8" x14ac:dyDescent="0.25">
      <c r="E22">
        <f>Tableau472962[Demande]-Tableau472962[Présente dans la malle]</f>
        <v>0</v>
      </c>
      <c r="F22" s="4"/>
    </row>
    <row r="23" spans="2:8" x14ac:dyDescent="0.25">
      <c r="E23">
        <f>Tableau472962[Demande]-Tableau472962[Présente dans la malle]</f>
        <v>0</v>
      </c>
      <c r="F23" s="4"/>
    </row>
    <row r="24" spans="2:8" x14ac:dyDescent="0.25">
      <c r="E24">
        <f>Tableau472962[Demande]-Tableau472962[Présente dans la malle]</f>
        <v>0</v>
      </c>
      <c r="F24" s="4"/>
    </row>
    <row r="25" spans="2:8" x14ac:dyDescent="0.25">
      <c r="E25">
        <f>Tableau472962[Demande]-Tableau472962[Présente dans la malle]</f>
        <v>0</v>
      </c>
      <c r="F25" s="4"/>
    </row>
    <row r="26" spans="2:8" x14ac:dyDescent="0.25">
      <c r="E26">
        <f>Tableau472962[Demande]-Tableau472962[Présente dans la malle]</f>
        <v>0</v>
      </c>
      <c r="F26" s="4"/>
    </row>
    <row r="27" spans="2:8" x14ac:dyDescent="0.25">
      <c r="B27" t="s">
        <v>7</v>
      </c>
      <c r="E27">
        <f>SUBTOTAL(109,Tableau472962[Manque])</f>
        <v>0</v>
      </c>
      <c r="F27" s="4"/>
      <c r="G27" s="3" t="s">
        <v>7</v>
      </c>
      <c r="H27" s="3">
        <f>SUBTOTAL(103,Tableau846121169[CT])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Tableau4783063[Demande]-Tableau4783063[Présente dans la malle]</f>
        <v>0</v>
      </c>
      <c r="F31" s="4"/>
    </row>
    <row r="32" spans="2:8" x14ac:dyDescent="0.25">
      <c r="E32">
        <f>Tableau4783063[Demande]-Tableau4783063[Présente dans la malle]</f>
        <v>0</v>
      </c>
      <c r="F32" s="4"/>
    </row>
    <row r="33" spans="2:8" x14ac:dyDescent="0.25">
      <c r="E33">
        <f>Tableau4783063[Demande]-Tableau4783063[Présente dans la malle]</f>
        <v>0</v>
      </c>
      <c r="F33" s="4"/>
    </row>
    <row r="34" spans="2:8" x14ac:dyDescent="0.25">
      <c r="E34">
        <f>Tableau4783063[Demande]-Tableau4783063[Présente dans la malle]</f>
        <v>0</v>
      </c>
      <c r="F34" s="4"/>
    </row>
    <row r="35" spans="2:8" x14ac:dyDescent="0.25">
      <c r="E35">
        <f>Tableau4783063[Demande]-Tableau4783063[Présente dans la malle]</f>
        <v>0</v>
      </c>
      <c r="F35" s="4"/>
    </row>
    <row r="36" spans="2:8" x14ac:dyDescent="0.25">
      <c r="E36">
        <f>Tableau4783063[Demande]-Tableau4783063[Présente dans la malle]</f>
        <v>0</v>
      </c>
      <c r="F36" s="4"/>
    </row>
    <row r="37" spans="2:8" x14ac:dyDescent="0.25">
      <c r="E37">
        <f>Tableau4783063[Demande]-Tableau4783063[Présente dans la malle]</f>
        <v>0</v>
      </c>
      <c r="F37" s="4"/>
    </row>
    <row r="38" spans="2:8" x14ac:dyDescent="0.25">
      <c r="E38">
        <f>Tableau4783063[Demande]-Tableau4783063[Présente dans la malle]</f>
        <v>0</v>
      </c>
      <c r="F38" s="4"/>
    </row>
    <row r="39" spans="2:8" x14ac:dyDescent="0.25">
      <c r="E39">
        <f>Tableau4783063[Demande]-Tableau4783063[Présente dans la malle]</f>
        <v>0</v>
      </c>
      <c r="F39" s="4"/>
    </row>
    <row r="40" spans="2:8" x14ac:dyDescent="0.25">
      <c r="E40">
        <f>Tableau4783063[Demande]-Tableau4783063[Présente dans la malle]</f>
        <v>0</v>
      </c>
      <c r="F40" s="4"/>
    </row>
    <row r="41" spans="2:8" x14ac:dyDescent="0.25">
      <c r="B41" t="s">
        <v>7</v>
      </c>
      <c r="E41">
        <f>SUBTOTAL(109,Tableau4783063[Manque])</f>
        <v>0</v>
      </c>
      <c r="F41" s="4"/>
      <c r="G41" s="3" t="s">
        <v>7</v>
      </c>
      <c r="H41" s="3">
        <f>SUBTOTAL(103,Tableau847122170[CT])</f>
        <v>0</v>
      </c>
    </row>
  </sheetData>
  <conditionalFormatting sqref="E3:E12">
    <cfRule type="cellIs" dxfId="103" priority="7" operator="equal">
      <formula>0</formula>
    </cfRule>
    <cfRule type="cellIs" dxfId="102" priority="8" operator="lessThan">
      <formula>0</formula>
    </cfRule>
    <cfRule type="cellIs" dxfId="101" priority="9" operator="greaterThan">
      <formula>0</formula>
    </cfRule>
  </conditionalFormatting>
  <conditionalFormatting sqref="E17:E26">
    <cfRule type="cellIs" dxfId="100" priority="4" operator="equal">
      <formula>0</formula>
    </cfRule>
    <cfRule type="cellIs" dxfId="99" priority="5" operator="lessThan">
      <formula>0</formula>
    </cfRule>
    <cfRule type="cellIs" dxfId="98" priority="6" operator="greaterThan">
      <formula>0</formula>
    </cfRule>
  </conditionalFormatting>
  <conditionalFormatting sqref="E31:E40">
    <cfRule type="cellIs" dxfId="97" priority="1" operator="equal">
      <formula>0</formula>
    </cfRule>
    <cfRule type="cellIs" dxfId="96" priority="2" operator="lessThan">
      <formula>0</formula>
    </cfRule>
    <cfRule type="cellIs" dxfId="95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9AB81A07-51D2-4B98-A8E0-DD0A0A926586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FFFED67F-981F-4765-A91E-10EB844569FC}"/>
    <dataValidation allowBlank="1" showInputMessage="1" showErrorMessage="1" prompt="Insérez la quantité présente dans les malles" sqref="C9:C12 C3:C7 C23:C26 C17:C21 C37:C40 C31:C35" xr:uid="{3B2DCB4C-6B8E-443A-9FC5-0B0FDAA36A63}"/>
    <dataValidation allowBlank="1" showInputMessage="1" showErrorMessage="1" prompt="Insérez la quantité demandé" sqref="D9:D12 D3:D7 D23:D26 D17:D21 D37:D40 D31:D35" xr:uid="{6B155000-7F84-4335-B1EA-B94D27F2C3BA}"/>
    <dataValidation allowBlank="1" showInputMessage="1" showErrorMessage="1" prompt="Quantité acheté rajouté * CU" sqref="H3 H17 H31" xr:uid="{21770BB1-03CF-46CC-8686-B04076B62CE1}"/>
    <dataValidation allowBlank="1" showInputMessage="1" showErrorMessage="1" prompt="CU = Cout unitaire" sqref="G2 G16 G30:G31" xr:uid="{C4229324-E1CD-4DAA-BB52-CEBA0ECE090E}"/>
    <dataValidation allowBlank="1" showInputMessage="1" showErrorMessage="1" prompt="CT = Cout total" sqref="H2 H16 H30" xr:uid="{6BDB9797-6AB7-4CE1-ACDD-5776448F59D1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15F1A-EA78-4688-814E-4E5B6A6AC038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Tableau4286164[Demande]-Tableau4286164[Présente dans la malle]</f>
        <v>0</v>
      </c>
      <c r="F3" s="2"/>
    </row>
    <row r="4" spans="2:8" x14ac:dyDescent="0.25">
      <c r="E4">
        <f>Tableau4286164[Demande]-Tableau4286164[Présente dans la malle]</f>
        <v>0</v>
      </c>
      <c r="F4" s="2"/>
    </row>
    <row r="5" spans="2:8" x14ac:dyDescent="0.25">
      <c r="E5">
        <f>Tableau4286164[Demande]-Tableau4286164[Présente dans la malle]</f>
        <v>0</v>
      </c>
      <c r="F5" s="2"/>
    </row>
    <row r="6" spans="2:8" x14ac:dyDescent="0.25">
      <c r="E6">
        <f>Tableau4286164[Demande]-Tableau4286164[Présente dans la malle]</f>
        <v>0</v>
      </c>
      <c r="F6" s="2"/>
    </row>
    <row r="7" spans="2:8" x14ac:dyDescent="0.25">
      <c r="E7">
        <f>Tableau4286164[Demande]-Tableau4286164[Présente dans la malle]</f>
        <v>0</v>
      </c>
      <c r="F7" s="2"/>
    </row>
    <row r="8" spans="2:8" x14ac:dyDescent="0.25">
      <c r="E8">
        <f>Tableau4286164[Demande]-Tableau4286164[Présente dans la malle]</f>
        <v>0</v>
      </c>
      <c r="F8" s="2"/>
    </row>
    <row r="9" spans="2:8" x14ac:dyDescent="0.25">
      <c r="E9">
        <f>Tableau4286164[Demande]-Tableau4286164[Présente dans la malle]</f>
        <v>0</v>
      </c>
      <c r="F9" s="2"/>
    </row>
    <row r="10" spans="2:8" x14ac:dyDescent="0.25">
      <c r="E10">
        <f>Tableau4286164[Demande]-Tableau4286164[Présente dans la malle]</f>
        <v>0</v>
      </c>
      <c r="F10" s="2"/>
    </row>
    <row r="11" spans="2:8" x14ac:dyDescent="0.25">
      <c r="E11">
        <f>Tableau4286164[Demande]-Tableau4286164[Présente dans la malle]</f>
        <v>0</v>
      </c>
      <c r="F11" s="2"/>
    </row>
    <row r="12" spans="2:8" x14ac:dyDescent="0.25">
      <c r="E12">
        <f>Tableau4286164[Demande]-Tableau4286164[Présente dans la malle]</f>
        <v>0</v>
      </c>
      <c r="F12" s="2"/>
    </row>
    <row r="13" spans="2:8" x14ac:dyDescent="0.25">
      <c r="B13" t="s">
        <v>7</v>
      </c>
      <c r="E13">
        <f>SUBTOTAL(109,Tableau4286164[Manque])</f>
        <v>0</v>
      </c>
      <c r="F13" s="2"/>
      <c r="G13" s="3" t="s">
        <v>7</v>
      </c>
      <c r="H13" s="3">
        <f>SUBTOTAL(103,Tableau8120171[CT])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Tableau47296265[Demande]-Tableau47296265[Présente dans la malle]</f>
        <v>0</v>
      </c>
      <c r="F17" s="4"/>
    </row>
    <row r="18" spans="2:8" x14ac:dyDescent="0.25">
      <c r="E18">
        <f>Tableau47296265[Demande]-Tableau47296265[Présente dans la malle]</f>
        <v>0</v>
      </c>
      <c r="F18" s="4"/>
    </row>
    <row r="19" spans="2:8" x14ac:dyDescent="0.25">
      <c r="E19">
        <f>Tableau47296265[Demande]-Tableau47296265[Présente dans la malle]</f>
        <v>0</v>
      </c>
      <c r="F19" s="4"/>
    </row>
    <row r="20" spans="2:8" x14ac:dyDescent="0.25">
      <c r="E20">
        <f>Tableau47296265[Demande]-Tableau47296265[Présente dans la malle]</f>
        <v>0</v>
      </c>
      <c r="F20" s="4"/>
    </row>
    <row r="21" spans="2:8" x14ac:dyDescent="0.25">
      <c r="E21">
        <f>Tableau47296265[Demande]-Tableau47296265[Présente dans la malle]</f>
        <v>0</v>
      </c>
      <c r="F21" s="4"/>
    </row>
    <row r="22" spans="2:8" x14ac:dyDescent="0.25">
      <c r="E22">
        <f>Tableau47296265[Demande]-Tableau47296265[Présente dans la malle]</f>
        <v>0</v>
      </c>
      <c r="F22" s="4"/>
    </row>
    <row r="23" spans="2:8" x14ac:dyDescent="0.25">
      <c r="E23">
        <f>Tableau47296265[Demande]-Tableau47296265[Présente dans la malle]</f>
        <v>0</v>
      </c>
      <c r="F23" s="4"/>
    </row>
    <row r="24" spans="2:8" x14ac:dyDescent="0.25">
      <c r="E24">
        <f>Tableau47296265[Demande]-Tableau47296265[Présente dans la malle]</f>
        <v>0</v>
      </c>
      <c r="F24" s="4"/>
    </row>
    <row r="25" spans="2:8" x14ac:dyDescent="0.25">
      <c r="E25">
        <f>Tableau47296265[Demande]-Tableau47296265[Présente dans la malle]</f>
        <v>0</v>
      </c>
      <c r="F25" s="4"/>
    </row>
    <row r="26" spans="2:8" x14ac:dyDescent="0.25">
      <c r="E26">
        <f>Tableau47296265[Demande]-Tableau47296265[Présente dans la malle]</f>
        <v>0</v>
      </c>
      <c r="F26" s="4"/>
    </row>
    <row r="27" spans="2:8" x14ac:dyDescent="0.25">
      <c r="B27" t="s">
        <v>7</v>
      </c>
      <c r="E27">
        <f>SUBTOTAL(109,Tableau47296265[Manque])</f>
        <v>0</v>
      </c>
      <c r="F27" s="4"/>
      <c r="G27" s="3" t="s">
        <v>7</v>
      </c>
      <c r="H27" s="3">
        <f>SUBTOTAL(103,Tableau846121172[CT])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Tableau478306366[Demande]-Tableau478306366[Présente dans la malle]</f>
        <v>0</v>
      </c>
      <c r="F31" s="4"/>
    </row>
    <row r="32" spans="2:8" x14ac:dyDescent="0.25">
      <c r="E32">
        <f>Tableau478306366[Demande]-Tableau478306366[Présente dans la malle]</f>
        <v>0</v>
      </c>
      <c r="F32" s="4"/>
    </row>
    <row r="33" spans="2:8" x14ac:dyDescent="0.25">
      <c r="E33">
        <f>Tableau478306366[Demande]-Tableau478306366[Présente dans la malle]</f>
        <v>0</v>
      </c>
      <c r="F33" s="4"/>
    </row>
    <row r="34" spans="2:8" x14ac:dyDescent="0.25">
      <c r="E34">
        <f>Tableau478306366[Demande]-Tableau478306366[Présente dans la malle]</f>
        <v>0</v>
      </c>
      <c r="F34" s="4"/>
    </row>
    <row r="35" spans="2:8" x14ac:dyDescent="0.25">
      <c r="E35">
        <f>Tableau478306366[Demande]-Tableau478306366[Présente dans la malle]</f>
        <v>0</v>
      </c>
      <c r="F35" s="4"/>
    </row>
    <row r="36" spans="2:8" x14ac:dyDescent="0.25">
      <c r="E36">
        <f>Tableau478306366[Demande]-Tableau478306366[Présente dans la malle]</f>
        <v>0</v>
      </c>
      <c r="F36" s="4"/>
    </row>
    <row r="37" spans="2:8" x14ac:dyDescent="0.25">
      <c r="E37">
        <f>Tableau478306366[Demande]-Tableau478306366[Présente dans la malle]</f>
        <v>0</v>
      </c>
      <c r="F37" s="4"/>
    </row>
    <row r="38" spans="2:8" x14ac:dyDescent="0.25">
      <c r="E38">
        <f>Tableau478306366[Demande]-Tableau478306366[Présente dans la malle]</f>
        <v>0</v>
      </c>
      <c r="F38" s="4"/>
    </row>
    <row r="39" spans="2:8" x14ac:dyDescent="0.25">
      <c r="E39">
        <f>Tableau478306366[Demande]-Tableau478306366[Présente dans la malle]</f>
        <v>0</v>
      </c>
      <c r="F39" s="4"/>
    </row>
    <row r="40" spans="2:8" x14ac:dyDescent="0.25">
      <c r="E40">
        <f>Tableau478306366[Demande]-Tableau478306366[Présente dans la malle]</f>
        <v>0</v>
      </c>
      <c r="F40" s="4"/>
    </row>
    <row r="41" spans="2:8" x14ac:dyDescent="0.25">
      <c r="B41" t="s">
        <v>7</v>
      </c>
      <c r="E41">
        <f>SUBTOTAL(109,Tableau478306366[Manque])</f>
        <v>0</v>
      </c>
      <c r="F41" s="4"/>
      <c r="G41" s="3" t="s">
        <v>7</v>
      </c>
      <c r="H41" s="3">
        <f>SUBTOTAL(103,Tableau847122173[CT])</f>
        <v>0</v>
      </c>
    </row>
  </sheetData>
  <conditionalFormatting sqref="E3:E12">
    <cfRule type="cellIs" dxfId="94" priority="7" operator="equal">
      <formula>0</formula>
    </cfRule>
    <cfRule type="cellIs" dxfId="93" priority="8" operator="lessThan">
      <formula>0</formula>
    </cfRule>
    <cfRule type="cellIs" dxfId="92" priority="9" operator="greaterThan">
      <formula>0</formula>
    </cfRule>
  </conditionalFormatting>
  <conditionalFormatting sqref="E17:E26">
    <cfRule type="cellIs" dxfId="91" priority="4" operator="equal">
      <formula>0</formula>
    </cfRule>
    <cfRule type="cellIs" dxfId="90" priority="5" operator="lessThan">
      <formula>0</formula>
    </cfRule>
    <cfRule type="cellIs" dxfId="89" priority="6" operator="greaterThan">
      <formula>0</formula>
    </cfRule>
  </conditionalFormatting>
  <conditionalFormatting sqref="E31:E40">
    <cfRule type="cellIs" dxfId="88" priority="1" operator="equal">
      <formula>0</formula>
    </cfRule>
    <cfRule type="cellIs" dxfId="87" priority="2" operator="lessThan">
      <formula>0</formula>
    </cfRule>
    <cfRule type="cellIs" dxfId="86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7A934AC7-FB1C-49EF-897F-1DE830EC13C5}"/>
    <dataValidation allowBlank="1" showInputMessage="1" showErrorMessage="1" prompt="Insérez la quantité présente dans les malles" sqref="C9:C12 C3:C7 C23:C26 C17:C21 C37:C40 C31:C35" xr:uid="{51BF2C6C-3FC5-4B38-8943-15B30055BAB5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005A00DE-E125-4B21-B8F0-403690FCFFE1}"/>
    <dataValidation type="list" allowBlank="1" showInputMessage="1" showErrorMessage="1" prompt="Insérez la fourniture désiré" sqref="B3:B12 B17:B26 B31:B40" xr:uid="{C5ED61E4-4145-44C6-85CD-581AF5F709E0}">
      <formula1>Fournitures</formula1>
    </dataValidation>
    <dataValidation allowBlank="1" showInputMessage="1" showErrorMessage="1" prompt="Quantité acheté rajouté * CU" sqref="H3 H17 H31" xr:uid="{A4172560-E573-4AE3-9275-FFDC5A3CF07A}"/>
    <dataValidation allowBlank="1" showInputMessage="1" showErrorMessage="1" prompt="CU = Cout unitaire" sqref="G2 G16 G30:G31" xr:uid="{71E668AF-09C6-4F00-8E81-B6E1FA81CCC7}"/>
    <dataValidation allowBlank="1" showInputMessage="1" showErrorMessage="1" prompt="CT = Cout total" sqref="H2 H16 H30" xr:uid="{2573EDF0-7545-4CA1-9760-97A8BEF2098C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9F85-808C-4493-8D9D-B67BC963F8DD}">
  <dimension ref="B2:H41"/>
  <sheetViews>
    <sheetView workbookViewId="0">
      <selection activeCell="F2" sqref="F2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Tableau4286167[Demande]-Tableau4286167[Présente dans la malle]</f>
        <v>0</v>
      </c>
      <c r="F3" s="2"/>
    </row>
    <row r="4" spans="2:8" x14ac:dyDescent="0.25">
      <c r="E4">
        <f>Tableau4286167[Demande]-Tableau4286167[Présente dans la malle]</f>
        <v>0</v>
      </c>
      <c r="F4" s="2"/>
    </row>
    <row r="5" spans="2:8" x14ac:dyDescent="0.25">
      <c r="E5">
        <f>Tableau4286167[Demande]-Tableau4286167[Présente dans la malle]</f>
        <v>0</v>
      </c>
      <c r="F5" s="2"/>
    </row>
    <row r="6" spans="2:8" x14ac:dyDescent="0.25">
      <c r="E6">
        <f>Tableau4286167[Demande]-Tableau4286167[Présente dans la malle]</f>
        <v>0</v>
      </c>
      <c r="F6" s="2"/>
    </row>
    <row r="7" spans="2:8" x14ac:dyDescent="0.25">
      <c r="E7">
        <f>Tableau4286167[Demande]-Tableau4286167[Présente dans la malle]</f>
        <v>0</v>
      </c>
      <c r="F7" s="2"/>
    </row>
    <row r="8" spans="2:8" x14ac:dyDescent="0.25">
      <c r="E8">
        <f>Tableau4286167[Demande]-Tableau4286167[Présente dans la malle]</f>
        <v>0</v>
      </c>
      <c r="F8" s="2"/>
    </row>
    <row r="9" spans="2:8" x14ac:dyDescent="0.25">
      <c r="E9">
        <f>Tableau4286167[Demande]-Tableau4286167[Présente dans la malle]</f>
        <v>0</v>
      </c>
      <c r="F9" s="2"/>
    </row>
    <row r="10" spans="2:8" x14ac:dyDescent="0.25">
      <c r="E10">
        <f>Tableau4286167[Demande]-Tableau4286167[Présente dans la malle]</f>
        <v>0</v>
      </c>
      <c r="F10" s="2"/>
    </row>
    <row r="11" spans="2:8" x14ac:dyDescent="0.25">
      <c r="E11">
        <f>Tableau4286167[Demande]-Tableau4286167[Présente dans la malle]</f>
        <v>0</v>
      </c>
      <c r="F11" s="2"/>
    </row>
    <row r="12" spans="2:8" x14ac:dyDescent="0.25">
      <c r="E12">
        <f>Tableau4286167[Demande]-Tableau4286167[Présente dans la malle]</f>
        <v>0</v>
      </c>
      <c r="F12" s="2"/>
    </row>
    <row r="13" spans="2:8" x14ac:dyDescent="0.25">
      <c r="B13" t="s">
        <v>7</v>
      </c>
      <c r="E13">
        <f>SUBTOTAL(109,Tableau4286167[Manque])</f>
        <v>0</v>
      </c>
      <c r="F13" s="2"/>
      <c r="G13" s="3" t="s">
        <v>7</v>
      </c>
      <c r="H13" s="3">
        <f>SUBTOTAL(103,Tableau8120174[CT])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G16" s="3" t="s">
        <v>15</v>
      </c>
      <c r="H16" s="3" t="s">
        <v>14</v>
      </c>
    </row>
    <row r="17" spans="2:8" x14ac:dyDescent="0.25">
      <c r="E17">
        <f>Tableau47296268[Demande]-Tableau47296268[Présente dans la malle]</f>
        <v>0</v>
      </c>
      <c r="F17" s="4"/>
    </row>
    <row r="18" spans="2:8" x14ac:dyDescent="0.25">
      <c r="E18">
        <f>Tableau47296268[Demande]-Tableau47296268[Présente dans la malle]</f>
        <v>0</v>
      </c>
      <c r="F18" s="4"/>
    </row>
    <row r="19" spans="2:8" x14ac:dyDescent="0.25">
      <c r="E19">
        <f>Tableau47296268[Demande]-Tableau47296268[Présente dans la malle]</f>
        <v>0</v>
      </c>
      <c r="F19" s="4"/>
    </row>
    <row r="20" spans="2:8" x14ac:dyDescent="0.25">
      <c r="E20">
        <f>Tableau47296268[Demande]-Tableau47296268[Présente dans la malle]</f>
        <v>0</v>
      </c>
      <c r="F20" s="4"/>
    </row>
    <row r="21" spans="2:8" x14ac:dyDescent="0.25">
      <c r="E21">
        <f>Tableau47296268[Demande]-Tableau47296268[Présente dans la malle]</f>
        <v>0</v>
      </c>
      <c r="F21" s="4"/>
    </row>
    <row r="22" spans="2:8" x14ac:dyDescent="0.25">
      <c r="E22">
        <f>Tableau47296268[Demande]-Tableau47296268[Présente dans la malle]</f>
        <v>0</v>
      </c>
      <c r="F22" s="4"/>
    </row>
    <row r="23" spans="2:8" x14ac:dyDescent="0.25">
      <c r="E23">
        <f>Tableau47296268[Demande]-Tableau47296268[Présente dans la malle]</f>
        <v>0</v>
      </c>
      <c r="F23" s="4"/>
    </row>
    <row r="24" spans="2:8" x14ac:dyDescent="0.25">
      <c r="E24">
        <f>Tableau47296268[Demande]-Tableau47296268[Présente dans la malle]</f>
        <v>0</v>
      </c>
      <c r="F24" s="4"/>
    </row>
    <row r="25" spans="2:8" x14ac:dyDescent="0.25">
      <c r="E25">
        <f>Tableau47296268[Demande]-Tableau47296268[Présente dans la malle]</f>
        <v>0</v>
      </c>
      <c r="F25" s="4"/>
    </row>
    <row r="26" spans="2:8" x14ac:dyDescent="0.25">
      <c r="E26">
        <f>Tableau47296268[Demande]-Tableau47296268[Présente dans la malle]</f>
        <v>0</v>
      </c>
      <c r="F26" s="4"/>
    </row>
    <row r="27" spans="2:8" x14ac:dyDescent="0.25">
      <c r="B27" t="s">
        <v>7</v>
      </c>
      <c r="E27">
        <f>SUBTOTAL(109,Tableau47296268[Manque])</f>
        <v>0</v>
      </c>
      <c r="F27" s="4"/>
      <c r="G27" s="3" t="s">
        <v>7</v>
      </c>
      <c r="H27" s="3">
        <f>SUBTOTAL(103,Tableau846121175[CT])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G30" s="3" t="s">
        <v>15</v>
      </c>
      <c r="H30" s="3" t="s">
        <v>14</v>
      </c>
    </row>
    <row r="31" spans="2:8" x14ac:dyDescent="0.25">
      <c r="E31">
        <f>Tableau478306369[Demande]-Tableau478306369[Présente dans la malle]</f>
        <v>0</v>
      </c>
      <c r="F31" s="4"/>
    </row>
    <row r="32" spans="2:8" x14ac:dyDescent="0.25">
      <c r="E32">
        <f>Tableau478306369[Demande]-Tableau478306369[Présente dans la malle]</f>
        <v>0</v>
      </c>
      <c r="F32" s="4"/>
    </row>
    <row r="33" spans="2:8" x14ac:dyDescent="0.25">
      <c r="E33">
        <f>Tableau478306369[Demande]-Tableau478306369[Présente dans la malle]</f>
        <v>0</v>
      </c>
      <c r="F33" s="4"/>
    </row>
    <row r="34" spans="2:8" x14ac:dyDescent="0.25">
      <c r="E34">
        <f>Tableau478306369[Demande]-Tableau478306369[Présente dans la malle]</f>
        <v>0</v>
      </c>
      <c r="F34" s="4"/>
    </row>
    <row r="35" spans="2:8" x14ac:dyDescent="0.25">
      <c r="E35">
        <f>Tableau478306369[Demande]-Tableau478306369[Présente dans la malle]</f>
        <v>0</v>
      </c>
      <c r="F35" s="4"/>
    </row>
    <row r="36" spans="2:8" x14ac:dyDescent="0.25">
      <c r="E36">
        <f>Tableau478306369[Demande]-Tableau478306369[Présente dans la malle]</f>
        <v>0</v>
      </c>
      <c r="F36" s="4"/>
    </row>
    <row r="37" spans="2:8" x14ac:dyDescent="0.25">
      <c r="E37">
        <f>Tableau478306369[Demande]-Tableau478306369[Présente dans la malle]</f>
        <v>0</v>
      </c>
      <c r="F37" s="4"/>
    </row>
    <row r="38" spans="2:8" x14ac:dyDescent="0.25">
      <c r="E38">
        <f>Tableau478306369[Demande]-Tableau478306369[Présente dans la malle]</f>
        <v>0</v>
      </c>
      <c r="F38" s="4"/>
    </row>
    <row r="39" spans="2:8" x14ac:dyDescent="0.25">
      <c r="E39">
        <f>Tableau478306369[Demande]-Tableau478306369[Présente dans la malle]</f>
        <v>0</v>
      </c>
      <c r="F39" s="4"/>
    </row>
    <row r="40" spans="2:8" x14ac:dyDescent="0.25">
      <c r="E40">
        <f>Tableau478306369[Demande]-Tableau478306369[Présente dans la malle]</f>
        <v>0</v>
      </c>
      <c r="F40" s="4"/>
    </row>
    <row r="41" spans="2:8" x14ac:dyDescent="0.25">
      <c r="B41" t="s">
        <v>7</v>
      </c>
      <c r="E41">
        <f>SUBTOTAL(109,Tableau478306369[Manque])</f>
        <v>0</v>
      </c>
      <c r="F41" s="4"/>
      <c r="G41" s="3" t="s">
        <v>7</v>
      </c>
      <c r="H41" s="3">
        <f>SUBTOTAL(103,Tableau847122176[CT])</f>
        <v>0</v>
      </c>
    </row>
  </sheetData>
  <conditionalFormatting sqref="E3:E12">
    <cfRule type="cellIs" dxfId="85" priority="7" operator="equal">
      <formula>0</formula>
    </cfRule>
    <cfRule type="cellIs" dxfId="84" priority="8" operator="lessThan">
      <formula>0</formula>
    </cfRule>
    <cfRule type="cellIs" dxfId="83" priority="9" operator="greaterThan">
      <formula>0</formula>
    </cfRule>
  </conditionalFormatting>
  <conditionalFormatting sqref="E17:E26">
    <cfRule type="cellIs" dxfId="82" priority="4" operator="equal">
      <formula>0</formula>
    </cfRule>
    <cfRule type="cellIs" dxfId="81" priority="5" operator="lessThan">
      <formula>0</formula>
    </cfRule>
    <cfRule type="cellIs" dxfId="80" priority="6" operator="greaterThan">
      <formula>0</formula>
    </cfRule>
  </conditionalFormatting>
  <conditionalFormatting sqref="E31:E40">
    <cfRule type="cellIs" dxfId="79" priority="1" operator="equal">
      <formula>0</formula>
    </cfRule>
    <cfRule type="cellIs" dxfId="78" priority="2" operator="lessThan">
      <formula>0</formula>
    </cfRule>
    <cfRule type="cellIs" dxfId="77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A919513D-1466-44A7-B515-25E11FD3CB38}"/>
    <dataValidation allowBlank="1" showInputMessage="1" showErrorMessage="1" prompt="Insérez la quantité présente dans les malles" sqref="C9:C12 C3:C7 C23:C26 C17:C21 C37:C40 C31:C35" xr:uid="{D6B22A8D-D808-4111-9322-0E1EB35DAD34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A65B075C-13F4-48B8-A566-3F1D3127F8ED}"/>
    <dataValidation type="list" allowBlank="1" showInputMessage="1" showErrorMessage="1" prompt="Insérez la fourniture désiré" sqref="B3:B12 B17:B26 B31:B40" xr:uid="{F1C1F595-37D9-4BFC-B8E5-EC073D467108}">
      <formula1>Fournitures</formula1>
    </dataValidation>
    <dataValidation allowBlank="1" showInputMessage="1" showErrorMessage="1" prompt="Quantité acheté rajouté * CU" sqref="H3 H17 H31" xr:uid="{4666F5F1-58EB-476F-B5BD-858E6FB0C3DC}"/>
    <dataValidation allowBlank="1" showInputMessage="1" showErrorMessage="1" prompt="CU = Cout unitaire" sqref="G2 G16 G30:G31" xr:uid="{EFC1AB91-42CC-45F2-91E6-9733B6A85096}"/>
    <dataValidation allowBlank="1" showInputMessage="1" showErrorMessage="1" prompt="CT = Cout total" sqref="H2 H16 H30" xr:uid="{025BE39C-2778-48DA-AEF0-FD7CD158AE5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3DAD-2078-432F-BB5A-EBDBF6E71FD4}">
  <dimension ref="B2:H41"/>
  <sheetViews>
    <sheetView workbookViewId="0">
      <selection activeCell="F6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Tableau4286170[Demande]-Tableau4286170[Présente dans la malle]</f>
        <v>0</v>
      </c>
      <c r="F3" s="2"/>
    </row>
    <row r="4" spans="2:8" x14ac:dyDescent="0.25">
      <c r="E4">
        <f>Tableau4286170[Demande]-Tableau4286170[Présente dans la malle]</f>
        <v>0</v>
      </c>
      <c r="F4" s="2"/>
    </row>
    <row r="5" spans="2:8" x14ac:dyDescent="0.25">
      <c r="E5">
        <f>Tableau4286170[Demande]-Tableau4286170[Présente dans la malle]</f>
        <v>0</v>
      </c>
      <c r="F5" s="2"/>
    </row>
    <row r="6" spans="2:8" x14ac:dyDescent="0.25">
      <c r="E6">
        <f>Tableau4286170[Demande]-Tableau4286170[Présente dans la malle]</f>
        <v>0</v>
      </c>
      <c r="F6" s="2"/>
    </row>
    <row r="7" spans="2:8" x14ac:dyDescent="0.25">
      <c r="E7">
        <f>Tableau4286170[Demande]-Tableau4286170[Présente dans la malle]</f>
        <v>0</v>
      </c>
      <c r="F7" s="2"/>
    </row>
    <row r="8" spans="2:8" x14ac:dyDescent="0.25">
      <c r="E8">
        <f>Tableau4286170[Demande]-Tableau4286170[Présente dans la malle]</f>
        <v>0</v>
      </c>
      <c r="F8" s="2"/>
    </row>
    <row r="9" spans="2:8" x14ac:dyDescent="0.25">
      <c r="E9">
        <f>Tableau4286170[Demande]-Tableau4286170[Présente dans la malle]</f>
        <v>0</v>
      </c>
      <c r="F9" s="2"/>
    </row>
    <row r="10" spans="2:8" x14ac:dyDescent="0.25">
      <c r="E10">
        <f>Tableau4286170[Demande]-Tableau4286170[Présente dans la malle]</f>
        <v>0</v>
      </c>
      <c r="F10" s="2"/>
    </row>
    <row r="11" spans="2:8" x14ac:dyDescent="0.25">
      <c r="E11">
        <f>Tableau4286170[Demande]-Tableau4286170[Présente dans la malle]</f>
        <v>0</v>
      </c>
      <c r="F11" s="2"/>
    </row>
    <row r="12" spans="2:8" x14ac:dyDescent="0.25">
      <c r="E12">
        <f>Tableau4286170[Demande]-Tableau4286170[Présente dans la malle]</f>
        <v>0</v>
      </c>
      <c r="F12" s="2"/>
    </row>
    <row r="13" spans="2:8" x14ac:dyDescent="0.25">
      <c r="B13" t="s">
        <v>7</v>
      </c>
      <c r="E13">
        <f>SUBTOTAL(109,Tableau4286170[Manque])</f>
        <v>0</v>
      </c>
      <c r="F13" s="2"/>
      <c r="G13" s="5" t="s">
        <v>7</v>
      </c>
      <c r="H13" s="5">
        <f>SUBTOTAL(103,Tableau8120177[CT])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Tableau47296271[Demande]-Tableau47296271[Présente dans la malle]</f>
        <v>0</v>
      </c>
      <c r="F17" s="4"/>
    </row>
    <row r="18" spans="2:8" x14ac:dyDescent="0.25">
      <c r="E18">
        <f>Tableau47296271[Demande]-Tableau47296271[Présente dans la malle]</f>
        <v>0</v>
      </c>
      <c r="F18" s="4"/>
    </row>
    <row r="19" spans="2:8" x14ac:dyDescent="0.25">
      <c r="E19">
        <f>Tableau47296271[Demande]-Tableau47296271[Présente dans la malle]</f>
        <v>0</v>
      </c>
      <c r="F19" s="4"/>
    </row>
    <row r="20" spans="2:8" x14ac:dyDescent="0.25">
      <c r="E20">
        <f>Tableau47296271[Demande]-Tableau47296271[Présente dans la malle]</f>
        <v>0</v>
      </c>
      <c r="F20" s="4"/>
    </row>
    <row r="21" spans="2:8" x14ac:dyDescent="0.25">
      <c r="E21">
        <f>Tableau47296271[Demande]-Tableau47296271[Présente dans la malle]</f>
        <v>0</v>
      </c>
      <c r="F21" s="4"/>
    </row>
    <row r="22" spans="2:8" x14ac:dyDescent="0.25">
      <c r="E22">
        <f>Tableau47296271[Demande]-Tableau47296271[Présente dans la malle]</f>
        <v>0</v>
      </c>
      <c r="F22" s="4"/>
    </row>
    <row r="23" spans="2:8" x14ac:dyDescent="0.25">
      <c r="E23">
        <f>Tableau47296271[Demande]-Tableau47296271[Présente dans la malle]</f>
        <v>0</v>
      </c>
      <c r="F23" s="4"/>
    </row>
    <row r="24" spans="2:8" x14ac:dyDescent="0.25">
      <c r="E24">
        <f>Tableau47296271[Demande]-Tableau47296271[Présente dans la malle]</f>
        <v>0</v>
      </c>
      <c r="F24" s="4"/>
    </row>
    <row r="25" spans="2:8" x14ac:dyDescent="0.25">
      <c r="E25">
        <f>Tableau47296271[Demande]-Tableau47296271[Présente dans la malle]</f>
        <v>0</v>
      </c>
      <c r="F25" s="4"/>
    </row>
    <row r="26" spans="2:8" x14ac:dyDescent="0.25">
      <c r="E26">
        <f>Tableau47296271[Demande]-Tableau47296271[Présente dans la malle]</f>
        <v>0</v>
      </c>
      <c r="F26" s="4"/>
    </row>
    <row r="27" spans="2:8" x14ac:dyDescent="0.25">
      <c r="B27" t="s">
        <v>7</v>
      </c>
      <c r="E27">
        <f>SUBTOTAL(109,Tableau47296271[Manque])</f>
        <v>0</v>
      </c>
      <c r="F27" s="4"/>
      <c r="G27" s="3" t="s">
        <v>7</v>
      </c>
      <c r="H27" s="3">
        <f>SUBTOTAL(103,Tableau846121178[CT])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Tableau478306372[Demande]-Tableau478306372[Présente dans la malle]</f>
        <v>0</v>
      </c>
      <c r="F31" s="4"/>
    </row>
    <row r="32" spans="2:8" x14ac:dyDescent="0.25">
      <c r="E32">
        <f>Tableau478306372[Demande]-Tableau478306372[Présente dans la malle]</f>
        <v>0</v>
      </c>
      <c r="F32" s="4"/>
    </row>
    <row r="33" spans="2:8" x14ac:dyDescent="0.25">
      <c r="E33">
        <f>Tableau478306372[Demande]-Tableau478306372[Présente dans la malle]</f>
        <v>0</v>
      </c>
      <c r="F33" s="4"/>
    </row>
    <row r="34" spans="2:8" x14ac:dyDescent="0.25">
      <c r="E34">
        <f>Tableau478306372[Demande]-Tableau478306372[Présente dans la malle]</f>
        <v>0</v>
      </c>
      <c r="F34" s="4"/>
    </row>
    <row r="35" spans="2:8" x14ac:dyDescent="0.25">
      <c r="E35">
        <f>Tableau478306372[Demande]-Tableau478306372[Présente dans la malle]</f>
        <v>0</v>
      </c>
      <c r="F35" s="4"/>
    </row>
    <row r="36" spans="2:8" x14ac:dyDescent="0.25">
      <c r="E36">
        <f>Tableau478306372[Demande]-Tableau478306372[Présente dans la malle]</f>
        <v>0</v>
      </c>
      <c r="F36" s="4"/>
    </row>
    <row r="37" spans="2:8" x14ac:dyDescent="0.25">
      <c r="E37">
        <f>Tableau478306372[Demande]-Tableau478306372[Présente dans la malle]</f>
        <v>0</v>
      </c>
      <c r="F37" s="4"/>
    </row>
    <row r="38" spans="2:8" x14ac:dyDescent="0.25">
      <c r="E38">
        <f>Tableau478306372[Demande]-Tableau478306372[Présente dans la malle]</f>
        <v>0</v>
      </c>
      <c r="F38" s="4"/>
    </row>
    <row r="39" spans="2:8" x14ac:dyDescent="0.25">
      <c r="E39">
        <f>Tableau478306372[Demande]-Tableau478306372[Présente dans la malle]</f>
        <v>0</v>
      </c>
      <c r="F39" s="4"/>
    </row>
    <row r="40" spans="2:8" x14ac:dyDescent="0.25">
      <c r="E40">
        <f>Tableau478306372[Demande]-Tableau478306372[Présente dans la malle]</f>
        <v>0</v>
      </c>
      <c r="F40" s="4"/>
    </row>
    <row r="41" spans="2:8" x14ac:dyDescent="0.25">
      <c r="B41" t="s">
        <v>7</v>
      </c>
      <c r="E41">
        <f>SUBTOTAL(109,Tableau478306372[Manque])</f>
        <v>0</v>
      </c>
      <c r="F41" s="4"/>
      <c r="G41" s="3" t="s">
        <v>7</v>
      </c>
      <c r="H41" s="3">
        <f>SUBTOTAL(103,Tableau847122179[CT])</f>
        <v>0</v>
      </c>
    </row>
  </sheetData>
  <conditionalFormatting sqref="E3:E12">
    <cfRule type="cellIs" dxfId="76" priority="7" operator="equal">
      <formula>0</formula>
    </cfRule>
    <cfRule type="cellIs" dxfId="75" priority="8" operator="lessThan">
      <formula>0</formula>
    </cfRule>
    <cfRule type="cellIs" dxfId="74" priority="9" operator="greaterThan">
      <formula>0</formula>
    </cfRule>
  </conditionalFormatting>
  <conditionalFormatting sqref="E17:E26">
    <cfRule type="cellIs" dxfId="73" priority="4" operator="equal">
      <formula>0</formula>
    </cfRule>
    <cfRule type="cellIs" dxfId="72" priority="5" operator="lessThan">
      <formula>0</formula>
    </cfRule>
    <cfRule type="cellIs" dxfId="71" priority="6" operator="greaterThan">
      <formula>0</formula>
    </cfRule>
  </conditionalFormatting>
  <conditionalFormatting sqref="E31:E40">
    <cfRule type="cellIs" dxfId="70" priority="1" operator="equal">
      <formula>0</formula>
    </cfRule>
    <cfRule type="cellIs" dxfId="69" priority="2" operator="lessThan">
      <formula>0</formula>
    </cfRule>
    <cfRule type="cellIs" dxfId="68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351C78DB-0921-4B6D-AE6A-BAB1EBB5A775}"/>
    <dataValidation allowBlank="1" showInputMessage="1" showErrorMessage="1" prompt="Insérez la quantité présente dans les malles" sqref="C9:C12 C3:C7 C23:C26 C17:C21 C37:C40 C31:C35" xr:uid="{6EF1009E-95E4-4734-932C-C1E17FDCF03E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8848FA9D-7D95-4FC6-90AF-C0B7411C12CB}"/>
    <dataValidation type="list" allowBlank="1" showInputMessage="1" showErrorMessage="1" prompt="Insérez la fourniture désiré" sqref="B3:B12 B17:B26 B31:B40" xr:uid="{CBEFA1E5-AA40-4E68-9B0E-B6E813146C2B}">
      <formula1>Fournitures</formula1>
    </dataValidation>
    <dataValidation allowBlank="1" showInputMessage="1" showErrorMessage="1" prompt="Quantité acheté rajouté * CU" sqref="H3 H17 H31" xr:uid="{A1F3728E-C47F-4F4A-A412-D37C000CEAD7}"/>
    <dataValidation allowBlank="1" showInputMessage="1" showErrorMessage="1" prompt="CU = Cout unitaire" sqref="G2 G16 G30:G31" xr:uid="{38ED23AA-F957-4E78-8C61-576CBAE167D0}"/>
    <dataValidation allowBlank="1" showInputMessage="1" showErrorMessage="1" prompt="CT = Cout total" sqref="H2 H16 H30" xr:uid="{E533CC95-39D9-48D4-A100-814CFE9451A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BE77F-B25D-4A3C-96FE-F3E86DD7EDEA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Tableau4286173[Demande]-Tableau4286173[Présente dans la malle]</f>
        <v>0</v>
      </c>
      <c r="F3" s="2"/>
    </row>
    <row r="4" spans="2:8" x14ac:dyDescent="0.25">
      <c r="E4">
        <f>Tableau4286173[Demande]-Tableau4286173[Présente dans la malle]</f>
        <v>0</v>
      </c>
      <c r="F4" s="2"/>
    </row>
    <row r="5" spans="2:8" x14ac:dyDescent="0.25">
      <c r="E5">
        <f>Tableau4286173[Demande]-Tableau4286173[Présente dans la malle]</f>
        <v>0</v>
      </c>
      <c r="F5" s="2"/>
    </row>
    <row r="6" spans="2:8" x14ac:dyDescent="0.25">
      <c r="E6">
        <f>Tableau4286173[Demande]-Tableau4286173[Présente dans la malle]</f>
        <v>0</v>
      </c>
      <c r="F6" s="2"/>
    </row>
    <row r="7" spans="2:8" x14ac:dyDescent="0.25">
      <c r="E7">
        <f>Tableau4286173[Demande]-Tableau4286173[Présente dans la malle]</f>
        <v>0</v>
      </c>
      <c r="F7" s="2"/>
    </row>
    <row r="8" spans="2:8" x14ac:dyDescent="0.25">
      <c r="E8">
        <f>Tableau4286173[Demande]-Tableau4286173[Présente dans la malle]</f>
        <v>0</v>
      </c>
      <c r="F8" s="2"/>
    </row>
    <row r="9" spans="2:8" x14ac:dyDescent="0.25">
      <c r="E9">
        <f>Tableau4286173[Demande]-Tableau4286173[Présente dans la malle]</f>
        <v>0</v>
      </c>
      <c r="F9" s="2"/>
    </row>
    <row r="10" spans="2:8" x14ac:dyDescent="0.25">
      <c r="E10">
        <f>Tableau4286173[Demande]-Tableau4286173[Présente dans la malle]</f>
        <v>0</v>
      </c>
      <c r="F10" s="2"/>
    </row>
    <row r="11" spans="2:8" x14ac:dyDescent="0.25">
      <c r="E11">
        <f>Tableau4286173[Demande]-Tableau4286173[Présente dans la malle]</f>
        <v>0</v>
      </c>
      <c r="F11" s="2"/>
    </row>
    <row r="12" spans="2:8" x14ac:dyDescent="0.25">
      <c r="E12">
        <f>Tableau4286173[Demande]-Tableau4286173[Présente dans la malle]</f>
        <v>0</v>
      </c>
      <c r="F12" s="2"/>
    </row>
    <row r="13" spans="2:8" x14ac:dyDescent="0.25">
      <c r="B13" t="s">
        <v>7</v>
      </c>
      <c r="E13">
        <f>SUBTOTAL(109,Tableau4286173[Manque])</f>
        <v>0</v>
      </c>
      <c r="F13" s="2"/>
      <c r="G13" s="5" t="s">
        <v>7</v>
      </c>
      <c r="H13" s="5">
        <f>SUBTOTAL(103,Tableau8120177180[CT])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Tableau47296274[Demande]-Tableau47296274[Présente dans la malle]</f>
        <v>0</v>
      </c>
      <c r="F17" s="4"/>
    </row>
    <row r="18" spans="2:8" x14ac:dyDescent="0.25">
      <c r="E18">
        <f>Tableau47296274[Demande]-Tableau47296274[Présente dans la malle]</f>
        <v>0</v>
      </c>
      <c r="F18" s="4"/>
    </row>
    <row r="19" spans="2:8" x14ac:dyDescent="0.25">
      <c r="E19">
        <f>Tableau47296274[Demande]-Tableau47296274[Présente dans la malle]</f>
        <v>0</v>
      </c>
      <c r="F19" s="4"/>
    </row>
    <row r="20" spans="2:8" x14ac:dyDescent="0.25">
      <c r="E20">
        <f>Tableau47296274[Demande]-Tableau47296274[Présente dans la malle]</f>
        <v>0</v>
      </c>
      <c r="F20" s="4"/>
    </row>
    <row r="21" spans="2:8" x14ac:dyDescent="0.25">
      <c r="E21">
        <f>Tableau47296274[Demande]-Tableau47296274[Présente dans la malle]</f>
        <v>0</v>
      </c>
      <c r="F21" s="4"/>
    </row>
    <row r="22" spans="2:8" x14ac:dyDescent="0.25">
      <c r="E22">
        <f>Tableau47296274[Demande]-Tableau47296274[Présente dans la malle]</f>
        <v>0</v>
      </c>
      <c r="F22" s="4"/>
    </row>
    <row r="23" spans="2:8" x14ac:dyDescent="0.25">
      <c r="E23">
        <f>Tableau47296274[Demande]-Tableau47296274[Présente dans la malle]</f>
        <v>0</v>
      </c>
      <c r="F23" s="4"/>
    </row>
    <row r="24" spans="2:8" x14ac:dyDescent="0.25">
      <c r="E24">
        <f>Tableau47296274[Demande]-Tableau47296274[Présente dans la malle]</f>
        <v>0</v>
      </c>
      <c r="F24" s="4"/>
    </row>
    <row r="25" spans="2:8" x14ac:dyDescent="0.25">
      <c r="E25">
        <f>Tableau47296274[Demande]-Tableau47296274[Présente dans la malle]</f>
        <v>0</v>
      </c>
      <c r="F25" s="4"/>
    </row>
    <row r="26" spans="2:8" x14ac:dyDescent="0.25">
      <c r="E26">
        <f>Tableau47296274[Demande]-Tableau47296274[Présente dans la malle]</f>
        <v>0</v>
      </c>
      <c r="F26" s="4"/>
    </row>
    <row r="27" spans="2:8" x14ac:dyDescent="0.25">
      <c r="B27" t="s">
        <v>7</v>
      </c>
      <c r="E27">
        <f>SUBTOTAL(109,Tableau47296274[Manque])</f>
        <v>0</v>
      </c>
      <c r="F27" s="4"/>
      <c r="G27" s="3" t="s">
        <v>7</v>
      </c>
      <c r="H27" s="3">
        <f>SUBTOTAL(103,Tableau846121178181[CT])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Tableau478306375[Demande]-Tableau478306375[Présente dans la malle]</f>
        <v>0</v>
      </c>
      <c r="F31" s="4"/>
    </row>
    <row r="32" spans="2:8" x14ac:dyDescent="0.25">
      <c r="E32">
        <f>Tableau478306375[Demande]-Tableau478306375[Présente dans la malle]</f>
        <v>0</v>
      </c>
      <c r="F32" s="4"/>
    </row>
    <row r="33" spans="2:8" x14ac:dyDescent="0.25">
      <c r="E33">
        <f>Tableau478306375[Demande]-Tableau478306375[Présente dans la malle]</f>
        <v>0</v>
      </c>
      <c r="F33" s="4"/>
    </row>
    <row r="34" spans="2:8" x14ac:dyDescent="0.25">
      <c r="E34">
        <f>Tableau478306375[Demande]-Tableau478306375[Présente dans la malle]</f>
        <v>0</v>
      </c>
      <c r="F34" s="4"/>
    </row>
    <row r="35" spans="2:8" x14ac:dyDescent="0.25">
      <c r="E35">
        <f>Tableau478306375[Demande]-Tableau478306375[Présente dans la malle]</f>
        <v>0</v>
      </c>
      <c r="F35" s="4"/>
    </row>
    <row r="36" spans="2:8" x14ac:dyDescent="0.25">
      <c r="E36">
        <f>Tableau478306375[Demande]-Tableau478306375[Présente dans la malle]</f>
        <v>0</v>
      </c>
      <c r="F36" s="4"/>
    </row>
    <row r="37" spans="2:8" x14ac:dyDescent="0.25">
      <c r="E37">
        <f>Tableau478306375[Demande]-Tableau478306375[Présente dans la malle]</f>
        <v>0</v>
      </c>
      <c r="F37" s="4"/>
    </row>
    <row r="38" spans="2:8" x14ac:dyDescent="0.25">
      <c r="E38">
        <f>Tableau478306375[Demande]-Tableau478306375[Présente dans la malle]</f>
        <v>0</v>
      </c>
      <c r="F38" s="4"/>
    </row>
    <row r="39" spans="2:8" x14ac:dyDescent="0.25">
      <c r="E39">
        <f>Tableau478306375[Demande]-Tableau478306375[Présente dans la malle]</f>
        <v>0</v>
      </c>
      <c r="F39" s="4"/>
    </row>
    <row r="40" spans="2:8" x14ac:dyDescent="0.25">
      <c r="E40">
        <f>Tableau478306375[Demande]-Tableau478306375[Présente dans la malle]</f>
        <v>0</v>
      </c>
      <c r="F40" s="4"/>
    </row>
    <row r="41" spans="2:8" x14ac:dyDescent="0.25">
      <c r="B41" t="s">
        <v>7</v>
      </c>
      <c r="E41">
        <f>SUBTOTAL(109,Tableau478306375[Manque])</f>
        <v>0</v>
      </c>
      <c r="F41" s="4"/>
      <c r="G41" s="3" t="s">
        <v>7</v>
      </c>
      <c r="H41" s="3">
        <f>SUBTOTAL(103,Tableau847122179182[CT])</f>
        <v>0</v>
      </c>
    </row>
  </sheetData>
  <conditionalFormatting sqref="E3:E12">
    <cfRule type="cellIs" dxfId="65" priority="7" operator="equal">
      <formula>0</formula>
    </cfRule>
    <cfRule type="cellIs" dxfId="64" priority="8" operator="lessThan">
      <formula>0</formula>
    </cfRule>
    <cfRule type="cellIs" dxfId="63" priority="9" operator="greaterThan">
      <formula>0</formula>
    </cfRule>
  </conditionalFormatting>
  <conditionalFormatting sqref="E17:E26">
    <cfRule type="cellIs" dxfId="62" priority="4" operator="equal">
      <formula>0</formula>
    </cfRule>
    <cfRule type="cellIs" dxfId="61" priority="5" operator="lessThan">
      <formula>0</formula>
    </cfRule>
    <cfRule type="cellIs" dxfId="60" priority="6" operator="greaterThan">
      <formula>0</formula>
    </cfRule>
  </conditionalFormatting>
  <conditionalFormatting sqref="E31:E40">
    <cfRule type="cellIs" dxfId="59" priority="1" operator="equal">
      <formula>0</formula>
    </cfRule>
    <cfRule type="cellIs" dxfId="58" priority="2" operator="lessThan">
      <formula>0</formula>
    </cfRule>
    <cfRule type="cellIs" dxfId="57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4CF4DAD4-DDCB-4067-88D5-5FA60DF666FF}"/>
    <dataValidation allowBlank="1" showInputMessage="1" showErrorMessage="1" prompt="Insérez la quantité présente dans les malles" sqref="C9:C12 C3:C7 C23:C26 C17:C21 C37:C40 C31:C35" xr:uid="{E1268C85-D39D-43FE-8AAF-F8F7FA354B3D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D41572D4-57A1-4C23-81B3-79129D60999C}"/>
    <dataValidation type="list" allowBlank="1" showInputMessage="1" showErrorMessage="1" prompt="Insérez la fourniture désiré" sqref="B3:B12 B17:B26 B31:B40" xr:uid="{1B698AAD-FCE9-4978-AE65-9CC154F4CB40}">
      <formula1>Fournitures</formula1>
    </dataValidation>
    <dataValidation allowBlank="1" showInputMessage="1" showErrorMessage="1" prompt="CT = Cout total" sqref="H2 H16 H30" xr:uid="{669BA49F-9A54-48D2-9372-F0D3DAF2990E}"/>
    <dataValidation allowBlank="1" showInputMessage="1" showErrorMessage="1" prompt="CU = Cout unitaire" sqref="G2 G16 G30:G31" xr:uid="{32AC6FF7-FB4F-4F5F-904B-9E6E3CE08946}"/>
    <dataValidation allowBlank="1" showInputMessage="1" showErrorMessage="1" prompt="Quantité acheté rajouté * CU" sqref="H3 H17 H31" xr:uid="{8B0AD974-E394-4489-A369-BEA25119B6C4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38312-19E8-4D97-A60D-C07E928FCB6B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Tableau4286176[Demande]-Tableau4286176[Présente dans la malle]</f>
        <v>0</v>
      </c>
      <c r="F3" s="2"/>
    </row>
    <row r="4" spans="2:8" x14ac:dyDescent="0.25">
      <c r="E4">
        <f>Tableau4286176[Demande]-Tableau4286176[Présente dans la malle]</f>
        <v>0</v>
      </c>
      <c r="F4" s="2"/>
    </row>
    <row r="5" spans="2:8" x14ac:dyDescent="0.25">
      <c r="E5">
        <f>Tableau4286176[Demande]-Tableau4286176[Présente dans la malle]</f>
        <v>0</v>
      </c>
      <c r="F5" s="2"/>
    </row>
    <row r="6" spans="2:8" x14ac:dyDescent="0.25">
      <c r="E6">
        <f>Tableau4286176[Demande]-Tableau4286176[Présente dans la malle]</f>
        <v>0</v>
      </c>
      <c r="F6" s="2"/>
    </row>
    <row r="7" spans="2:8" x14ac:dyDescent="0.25">
      <c r="E7">
        <f>Tableau4286176[Demande]-Tableau4286176[Présente dans la malle]</f>
        <v>0</v>
      </c>
      <c r="F7" s="2"/>
    </row>
    <row r="8" spans="2:8" x14ac:dyDescent="0.25">
      <c r="E8">
        <f>Tableau4286176[Demande]-Tableau4286176[Présente dans la malle]</f>
        <v>0</v>
      </c>
      <c r="F8" s="2"/>
    </row>
    <row r="9" spans="2:8" x14ac:dyDescent="0.25">
      <c r="E9">
        <f>Tableau4286176[Demande]-Tableau4286176[Présente dans la malle]</f>
        <v>0</v>
      </c>
      <c r="F9" s="2"/>
    </row>
    <row r="10" spans="2:8" x14ac:dyDescent="0.25">
      <c r="E10">
        <f>Tableau4286176[Demande]-Tableau4286176[Présente dans la malle]</f>
        <v>0</v>
      </c>
      <c r="F10" s="2"/>
    </row>
    <row r="11" spans="2:8" x14ac:dyDescent="0.25">
      <c r="E11">
        <f>Tableau4286176[Demande]-Tableau4286176[Présente dans la malle]</f>
        <v>0</v>
      </c>
      <c r="F11" s="2"/>
    </row>
    <row r="12" spans="2:8" x14ac:dyDescent="0.25">
      <c r="E12">
        <f>Tableau4286176[Demande]-Tableau4286176[Présente dans la malle]</f>
        <v>0</v>
      </c>
      <c r="F12" s="2"/>
    </row>
    <row r="13" spans="2:8" x14ac:dyDescent="0.25">
      <c r="B13" t="s">
        <v>7</v>
      </c>
      <c r="E13">
        <f>SUBTOTAL(109,Tableau4286176[Manque])</f>
        <v>0</v>
      </c>
      <c r="F13" s="2"/>
      <c r="G13" s="5" t="s">
        <v>7</v>
      </c>
      <c r="H13" s="5">
        <f>SUBTOTAL(103,Tableau8120177183[CT])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Tableau47296277[Demande]-Tableau47296277[Présente dans la malle]</f>
        <v>0</v>
      </c>
      <c r="F17" s="4"/>
    </row>
    <row r="18" spans="2:8" x14ac:dyDescent="0.25">
      <c r="E18">
        <f>Tableau47296277[Demande]-Tableau47296277[Présente dans la malle]</f>
        <v>0</v>
      </c>
      <c r="F18" s="4"/>
    </row>
    <row r="19" spans="2:8" x14ac:dyDescent="0.25">
      <c r="E19">
        <f>Tableau47296277[Demande]-Tableau47296277[Présente dans la malle]</f>
        <v>0</v>
      </c>
      <c r="F19" s="4"/>
    </row>
    <row r="20" spans="2:8" x14ac:dyDescent="0.25">
      <c r="E20">
        <f>Tableau47296277[Demande]-Tableau47296277[Présente dans la malle]</f>
        <v>0</v>
      </c>
      <c r="F20" s="4"/>
    </row>
    <row r="21" spans="2:8" x14ac:dyDescent="0.25">
      <c r="E21">
        <f>Tableau47296277[Demande]-Tableau47296277[Présente dans la malle]</f>
        <v>0</v>
      </c>
      <c r="F21" s="4"/>
    </row>
    <row r="22" spans="2:8" x14ac:dyDescent="0.25">
      <c r="E22">
        <f>Tableau47296277[Demande]-Tableau47296277[Présente dans la malle]</f>
        <v>0</v>
      </c>
      <c r="F22" s="4"/>
    </row>
    <row r="23" spans="2:8" x14ac:dyDescent="0.25">
      <c r="E23">
        <f>Tableau47296277[Demande]-Tableau47296277[Présente dans la malle]</f>
        <v>0</v>
      </c>
      <c r="F23" s="4"/>
    </row>
    <row r="24" spans="2:8" x14ac:dyDescent="0.25">
      <c r="E24">
        <f>Tableau47296277[Demande]-Tableau47296277[Présente dans la malle]</f>
        <v>0</v>
      </c>
      <c r="F24" s="4"/>
    </row>
    <row r="25" spans="2:8" x14ac:dyDescent="0.25">
      <c r="E25">
        <f>Tableau47296277[Demande]-Tableau47296277[Présente dans la malle]</f>
        <v>0</v>
      </c>
      <c r="F25" s="4"/>
    </row>
    <row r="26" spans="2:8" x14ac:dyDescent="0.25">
      <c r="E26">
        <f>Tableau47296277[Demande]-Tableau47296277[Présente dans la malle]</f>
        <v>0</v>
      </c>
      <c r="F26" s="4"/>
    </row>
    <row r="27" spans="2:8" x14ac:dyDescent="0.25">
      <c r="B27" t="s">
        <v>7</v>
      </c>
      <c r="E27">
        <f>SUBTOTAL(109,Tableau47296277[Manque])</f>
        <v>0</v>
      </c>
      <c r="F27" s="4"/>
      <c r="G27" s="3" t="s">
        <v>7</v>
      </c>
      <c r="H27" s="3">
        <f>SUBTOTAL(103,Tableau846121178184[CT])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Tableau478306378[Demande]-Tableau478306378[Présente dans la malle]</f>
        <v>0</v>
      </c>
      <c r="F31" s="4"/>
    </row>
    <row r="32" spans="2:8" x14ac:dyDescent="0.25">
      <c r="E32">
        <f>Tableau478306378[Demande]-Tableau478306378[Présente dans la malle]</f>
        <v>0</v>
      </c>
      <c r="F32" s="4"/>
    </row>
    <row r="33" spans="2:8" x14ac:dyDescent="0.25">
      <c r="E33">
        <f>Tableau478306378[Demande]-Tableau478306378[Présente dans la malle]</f>
        <v>0</v>
      </c>
      <c r="F33" s="4"/>
    </row>
    <row r="34" spans="2:8" x14ac:dyDescent="0.25">
      <c r="E34">
        <f>Tableau478306378[Demande]-Tableau478306378[Présente dans la malle]</f>
        <v>0</v>
      </c>
      <c r="F34" s="4"/>
    </row>
    <row r="35" spans="2:8" x14ac:dyDescent="0.25">
      <c r="E35">
        <f>Tableau478306378[Demande]-Tableau478306378[Présente dans la malle]</f>
        <v>0</v>
      </c>
      <c r="F35" s="4"/>
    </row>
    <row r="36" spans="2:8" x14ac:dyDescent="0.25">
      <c r="E36">
        <f>Tableau478306378[Demande]-Tableau478306378[Présente dans la malle]</f>
        <v>0</v>
      </c>
      <c r="F36" s="4"/>
    </row>
    <row r="37" spans="2:8" x14ac:dyDescent="0.25">
      <c r="E37">
        <f>Tableau478306378[Demande]-Tableau478306378[Présente dans la malle]</f>
        <v>0</v>
      </c>
      <c r="F37" s="4"/>
    </row>
    <row r="38" spans="2:8" x14ac:dyDescent="0.25">
      <c r="E38">
        <f>Tableau478306378[Demande]-Tableau478306378[Présente dans la malle]</f>
        <v>0</v>
      </c>
      <c r="F38" s="4"/>
    </row>
    <row r="39" spans="2:8" x14ac:dyDescent="0.25">
      <c r="E39">
        <f>Tableau478306378[Demande]-Tableau478306378[Présente dans la malle]</f>
        <v>0</v>
      </c>
      <c r="F39" s="4"/>
    </row>
    <row r="40" spans="2:8" x14ac:dyDescent="0.25">
      <c r="E40">
        <f>Tableau478306378[Demande]-Tableau478306378[Présente dans la malle]</f>
        <v>0</v>
      </c>
      <c r="F40" s="4"/>
    </row>
    <row r="41" spans="2:8" x14ac:dyDescent="0.25">
      <c r="B41" t="s">
        <v>7</v>
      </c>
      <c r="E41">
        <f>SUBTOTAL(109,Tableau478306378[Manque])</f>
        <v>0</v>
      </c>
      <c r="F41" s="4"/>
      <c r="G41" s="3" t="s">
        <v>7</v>
      </c>
      <c r="H41" s="3">
        <f>SUBTOTAL(103,Tableau847122179185[CT])</f>
        <v>0</v>
      </c>
    </row>
  </sheetData>
  <conditionalFormatting sqref="E3:E12">
    <cfRule type="cellIs" dxfId="54" priority="7" operator="equal">
      <formula>0</formula>
    </cfRule>
    <cfRule type="cellIs" dxfId="53" priority="8" operator="lessThan">
      <formula>0</formula>
    </cfRule>
    <cfRule type="cellIs" dxfId="52" priority="9" operator="greaterThan">
      <formula>0</formula>
    </cfRule>
  </conditionalFormatting>
  <conditionalFormatting sqref="E17:E26">
    <cfRule type="cellIs" dxfId="51" priority="4" operator="equal">
      <formula>0</formula>
    </cfRule>
    <cfRule type="cellIs" dxfId="50" priority="5" operator="lessThan">
      <formula>0</formula>
    </cfRule>
    <cfRule type="cellIs" dxfId="49" priority="6" operator="greaterThan">
      <formula>0</formula>
    </cfRule>
  </conditionalFormatting>
  <conditionalFormatting sqref="E31:E40">
    <cfRule type="cellIs" dxfId="48" priority="1" operator="equal">
      <formula>0</formula>
    </cfRule>
    <cfRule type="cellIs" dxfId="47" priority="2" operator="lessThan">
      <formula>0</formula>
    </cfRule>
    <cfRule type="cellIs" dxfId="46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A3A0AD4E-0DAA-4E79-BAE6-F49B6304A3B3}"/>
    <dataValidation allowBlank="1" showInputMessage="1" showErrorMessage="1" prompt="Insérez la quantité présente dans les malles" sqref="C9:C12 C3:C7 C23:C26 C17:C21 C37:C40 C31:C35" xr:uid="{99ED4A4B-3D6A-4370-AC51-12F4F69BA8F5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194C9BAF-044C-48C9-AB8D-73FEE9A40CA5}"/>
    <dataValidation type="list" allowBlank="1" showInputMessage="1" showErrorMessage="1" prompt="Insérez la fourniture désiré" sqref="B3:B12 B17:B26 B31:B40" xr:uid="{D48CEE5C-AEEE-4011-9A97-45B018E87F0C}">
      <formula1>Fournitures</formula1>
    </dataValidation>
    <dataValidation allowBlank="1" showInputMessage="1" showErrorMessage="1" prompt="CT = Cout total" sqref="H2 H16 H30" xr:uid="{CF43ACB8-C86E-4064-B7D5-A99880BE5A0F}"/>
    <dataValidation allowBlank="1" showInputMessage="1" showErrorMessage="1" prompt="CU = Cout unitaire" sqref="G2 G16 G30:G31" xr:uid="{45519896-AC68-4372-87A7-0551C2F8143E}"/>
    <dataValidation allowBlank="1" showInputMessage="1" showErrorMessage="1" prompt="Quantité acheté rajouté * CU" sqref="H3 H17 H31" xr:uid="{B9666E47-33B0-4410-8F9E-2F4E3C67B4DB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23DCB-A2EA-4040-87BD-90504195BEE0}">
  <dimension ref="B2:H41"/>
  <sheetViews>
    <sheetView workbookViewId="0">
      <selection activeCell="F2" sqref="F2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Tableau4286179[Demande]-Tableau4286179[Présente dans la malle]</f>
        <v>0</v>
      </c>
      <c r="F3" s="2"/>
    </row>
    <row r="4" spans="2:8" x14ac:dyDescent="0.25">
      <c r="E4">
        <f>Tableau4286179[Demande]-Tableau4286179[Présente dans la malle]</f>
        <v>0</v>
      </c>
      <c r="F4" s="2"/>
    </row>
    <row r="5" spans="2:8" x14ac:dyDescent="0.25">
      <c r="E5">
        <f>Tableau4286179[Demande]-Tableau4286179[Présente dans la malle]</f>
        <v>0</v>
      </c>
      <c r="F5" s="2"/>
    </row>
    <row r="6" spans="2:8" x14ac:dyDescent="0.25">
      <c r="E6">
        <f>Tableau4286179[Demande]-Tableau4286179[Présente dans la malle]</f>
        <v>0</v>
      </c>
      <c r="F6" s="2"/>
    </row>
    <row r="7" spans="2:8" x14ac:dyDescent="0.25">
      <c r="E7">
        <f>Tableau4286179[Demande]-Tableau4286179[Présente dans la malle]</f>
        <v>0</v>
      </c>
      <c r="F7" s="2"/>
    </row>
    <row r="8" spans="2:8" x14ac:dyDescent="0.25">
      <c r="E8">
        <f>Tableau4286179[Demande]-Tableau4286179[Présente dans la malle]</f>
        <v>0</v>
      </c>
      <c r="F8" s="2"/>
    </row>
    <row r="9" spans="2:8" x14ac:dyDescent="0.25">
      <c r="E9">
        <f>Tableau4286179[Demande]-Tableau4286179[Présente dans la malle]</f>
        <v>0</v>
      </c>
      <c r="F9" s="2"/>
    </row>
    <row r="10" spans="2:8" x14ac:dyDescent="0.25">
      <c r="E10">
        <f>Tableau4286179[Demande]-Tableau4286179[Présente dans la malle]</f>
        <v>0</v>
      </c>
      <c r="F10" s="2"/>
    </row>
    <row r="11" spans="2:8" x14ac:dyDescent="0.25">
      <c r="E11">
        <f>Tableau4286179[Demande]-Tableau4286179[Présente dans la malle]</f>
        <v>0</v>
      </c>
      <c r="F11" s="2"/>
    </row>
    <row r="12" spans="2:8" x14ac:dyDescent="0.25">
      <c r="E12">
        <f>Tableau4286179[Demande]-Tableau4286179[Présente dans la malle]</f>
        <v>0</v>
      </c>
      <c r="F12" s="2"/>
    </row>
    <row r="13" spans="2:8" x14ac:dyDescent="0.25">
      <c r="B13" t="s">
        <v>7</v>
      </c>
      <c r="E13">
        <f>SUBTOTAL(109,Tableau4286179[Manque])</f>
        <v>0</v>
      </c>
      <c r="F13" s="2"/>
      <c r="G13" s="5" t="s">
        <v>7</v>
      </c>
      <c r="H13" s="5">
        <f>SUBTOTAL(103,Tableau8120177186[CT])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Tableau47296280[Demande]-Tableau47296280[Présente dans la malle]</f>
        <v>0</v>
      </c>
      <c r="F17" s="4"/>
    </row>
    <row r="18" spans="2:8" x14ac:dyDescent="0.25">
      <c r="E18">
        <f>Tableau47296280[Demande]-Tableau47296280[Présente dans la malle]</f>
        <v>0</v>
      </c>
      <c r="F18" s="4"/>
    </row>
    <row r="19" spans="2:8" x14ac:dyDescent="0.25">
      <c r="E19">
        <f>Tableau47296280[Demande]-Tableau47296280[Présente dans la malle]</f>
        <v>0</v>
      </c>
      <c r="F19" s="4"/>
    </row>
    <row r="20" spans="2:8" x14ac:dyDescent="0.25">
      <c r="E20">
        <f>Tableau47296280[Demande]-Tableau47296280[Présente dans la malle]</f>
        <v>0</v>
      </c>
      <c r="F20" s="4"/>
    </row>
    <row r="21" spans="2:8" x14ac:dyDescent="0.25">
      <c r="E21">
        <f>Tableau47296280[Demande]-Tableau47296280[Présente dans la malle]</f>
        <v>0</v>
      </c>
      <c r="F21" s="4"/>
    </row>
    <row r="22" spans="2:8" x14ac:dyDescent="0.25">
      <c r="E22">
        <f>Tableau47296280[Demande]-Tableau47296280[Présente dans la malle]</f>
        <v>0</v>
      </c>
      <c r="F22" s="4"/>
    </row>
    <row r="23" spans="2:8" x14ac:dyDescent="0.25">
      <c r="E23">
        <f>Tableau47296280[Demande]-Tableau47296280[Présente dans la malle]</f>
        <v>0</v>
      </c>
      <c r="F23" s="4"/>
    </row>
    <row r="24" spans="2:8" x14ac:dyDescent="0.25">
      <c r="E24">
        <f>Tableau47296280[Demande]-Tableau47296280[Présente dans la malle]</f>
        <v>0</v>
      </c>
      <c r="F24" s="4"/>
    </row>
    <row r="25" spans="2:8" x14ac:dyDescent="0.25">
      <c r="E25">
        <f>Tableau47296280[Demande]-Tableau47296280[Présente dans la malle]</f>
        <v>0</v>
      </c>
      <c r="F25" s="4"/>
    </row>
    <row r="26" spans="2:8" x14ac:dyDescent="0.25">
      <c r="E26">
        <f>Tableau47296280[Demande]-Tableau47296280[Présente dans la malle]</f>
        <v>0</v>
      </c>
      <c r="F26" s="4"/>
    </row>
    <row r="27" spans="2:8" x14ac:dyDescent="0.25">
      <c r="B27" t="s">
        <v>7</v>
      </c>
      <c r="E27">
        <f>SUBTOTAL(109,Tableau47296280[Manque])</f>
        <v>0</v>
      </c>
      <c r="F27" s="4"/>
      <c r="G27" s="3" t="s">
        <v>7</v>
      </c>
      <c r="H27" s="3">
        <f>SUBTOTAL(103,Tableau846121178187[CT])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Tableau478306381[Demande]-Tableau478306381[Présente dans la malle]</f>
        <v>0</v>
      </c>
      <c r="F31" s="4"/>
    </row>
    <row r="32" spans="2:8" x14ac:dyDescent="0.25">
      <c r="E32">
        <f>Tableau478306381[Demande]-Tableau478306381[Présente dans la malle]</f>
        <v>0</v>
      </c>
      <c r="F32" s="4"/>
    </row>
    <row r="33" spans="2:8" x14ac:dyDescent="0.25">
      <c r="E33">
        <f>Tableau478306381[Demande]-Tableau478306381[Présente dans la malle]</f>
        <v>0</v>
      </c>
      <c r="F33" s="4"/>
    </row>
    <row r="34" spans="2:8" x14ac:dyDescent="0.25">
      <c r="E34">
        <f>Tableau478306381[Demande]-Tableau478306381[Présente dans la malle]</f>
        <v>0</v>
      </c>
      <c r="F34" s="4"/>
    </row>
    <row r="35" spans="2:8" x14ac:dyDescent="0.25">
      <c r="E35">
        <f>Tableau478306381[Demande]-Tableau478306381[Présente dans la malle]</f>
        <v>0</v>
      </c>
      <c r="F35" s="4"/>
    </row>
    <row r="36" spans="2:8" x14ac:dyDescent="0.25">
      <c r="E36">
        <f>Tableau478306381[Demande]-Tableau478306381[Présente dans la malle]</f>
        <v>0</v>
      </c>
      <c r="F36" s="4"/>
    </row>
    <row r="37" spans="2:8" x14ac:dyDescent="0.25">
      <c r="E37">
        <f>Tableau478306381[Demande]-Tableau478306381[Présente dans la malle]</f>
        <v>0</v>
      </c>
      <c r="F37" s="4"/>
    </row>
    <row r="38" spans="2:8" x14ac:dyDescent="0.25">
      <c r="E38">
        <f>Tableau478306381[Demande]-Tableau478306381[Présente dans la malle]</f>
        <v>0</v>
      </c>
      <c r="F38" s="4"/>
    </row>
    <row r="39" spans="2:8" x14ac:dyDescent="0.25">
      <c r="E39">
        <f>Tableau478306381[Demande]-Tableau478306381[Présente dans la malle]</f>
        <v>0</v>
      </c>
      <c r="F39" s="4"/>
    </row>
    <row r="40" spans="2:8" x14ac:dyDescent="0.25">
      <c r="E40">
        <f>Tableau478306381[Demande]-Tableau478306381[Présente dans la malle]</f>
        <v>0</v>
      </c>
      <c r="F40" s="4"/>
    </row>
    <row r="41" spans="2:8" x14ac:dyDescent="0.25">
      <c r="B41" t="s">
        <v>7</v>
      </c>
      <c r="E41">
        <f>SUBTOTAL(109,Tableau478306381[Manque])</f>
        <v>0</v>
      </c>
      <c r="F41" s="4"/>
      <c r="G41" s="3" t="s">
        <v>7</v>
      </c>
      <c r="H41" s="3">
        <f>SUBTOTAL(103,Tableau847122179188[CT])</f>
        <v>0</v>
      </c>
    </row>
  </sheetData>
  <conditionalFormatting sqref="E3:E12">
    <cfRule type="cellIs" dxfId="43" priority="7" operator="equal">
      <formula>0</formula>
    </cfRule>
    <cfRule type="cellIs" dxfId="42" priority="8" operator="lessThan">
      <formula>0</formula>
    </cfRule>
    <cfRule type="cellIs" dxfId="41" priority="9" operator="greaterThan">
      <formula>0</formula>
    </cfRule>
  </conditionalFormatting>
  <conditionalFormatting sqref="E17:E26">
    <cfRule type="cellIs" dxfId="40" priority="4" operator="equal">
      <formula>0</formula>
    </cfRule>
    <cfRule type="cellIs" dxfId="39" priority="5" operator="lessThan">
      <formula>0</formula>
    </cfRule>
    <cfRule type="cellIs" dxfId="38" priority="6" operator="greaterThan">
      <formula>0</formula>
    </cfRule>
  </conditionalFormatting>
  <conditionalFormatting sqref="E31:E40">
    <cfRule type="cellIs" dxfId="37" priority="1" operator="equal">
      <formula>0</formula>
    </cfRule>
    <cfRule type="cellIs" dxfId="36" priority="2" operator="lessThan">
      <formula>0</formula>
    </cfRule>
    <cfRule type="cellIs" dxfId="35" priority="3" operator="greaterThan">
      <formula>0</formula>
    </cfRule>
  </conditionalFormatting>
  <dataValidations count="7">
    <dataValidation allowBlank="1" showInputMessage="1" showErrorMessage="1" prompt="Insérez la quantité demandé" sqref="D9:D12 D3:D7 D23:D26 D17:D21 D37:D40 D31:D35" xr:uid="{C363B12B-E4DB-4D03-BB37-AFCB2CF6E052}"/>
    <dataValidation allowBlank="1" showInputMessage="1" showErrorMessage="1" prompt="Insérez la quantité présente dans les malles" sqref="C9:C12 C3:C7 C23:C26 C17:C21 C37:C40 C31:C35" xr:uid="{674263A6-EDB8-458A-A1EE-F116C32A8728}"/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070ADBC0-F4DA-4CA1-BD42-67FD3DCCEC0C}"/>
    <dataValidation type="list" allowBlank="1" showInputMessage="1" showErrorMessage="1" prompt="Insérez la fourniture désiré" sqref="B3:B12 B17:B26 B31:B40" xr:uid="{BF567CC0-6AF7-4C8D-9736-311066C020E2}">
      <formula1>Fournitures</formula1>
    </dataValidation>
    <dataValidation allowBlank="1" showInputMessage="1" showErrorMessage="1" prompt="CT = Cout total" sqref="H2 H16 H30" xr:uid="{16BC06BD-2AD5-43E0-BC3C-E8B134DB997A}"/>
    <dataValidation allowBlank="1" showInputMessage="1" showErrorMessage="1" prompt="CU = Cout unitaire" sqref="G2 G16 G30:G31" xr:uid="{6EC677B0-E0F6-4D54-9F09-9CB58A22263B}"/>
    <dataValidation allowBlank="1" showInputMessage="1" showErrorMessage="1" prompt="Quantité acheté rajouté * CU" sqref="H3 H17 H31" xr:uid="{26ED33E6-A0FD-4958-809F-192E10728A99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F25DE-79BF-49C9-BE44-13B60684778D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Tableau428617682[Demande]-Tableau428617682[Présente dans la malle]</f>
        <v>0</v>
      </c>
      <c r="F3" s="2"/>
    </row>
    <row r="4" spans="2:8" x14ac:dyDescent="0.25">
      <c r="E4">
        <f>Tableau428617682[Demande]-Tableau428617682[Présente dans la malle]</f>
        <v>0</v>
      </c>
      <c r="F4" s="2"/>
    </row>
    <row r="5" spans="2:8" x14ac:dyDescent="0.25">
      <c r="E5">
        <f>Tableau428617682[Demande]-Tableau428617682[Présente dans la malle]</f>
        <v>0</v>
      </c>
      <c r="F5" s="2"/>
    </row>
    <row r="6" spans="2:8" x14ac:dyDescent="0.25">
      <c r="E6">
        <f>Tableau428617682[Demande]-Tableau428617682[Présente dans la malle]</f>
        <v>0</v>
      </c>
      <c r="F6" s="2"/>
    </row>
    <row r="7" spans="2:8" x14ac:dyDescent="0.25">
      <c r="E7">
        <f>Tableau428617682[Demande]-Tableau428617682[Présente dans la malle]</f>
        <v>0</v>
      </c>
      <c r="F7" s="2"/>
    </row>
    <row r="8" spans="2:8" x14ac:dyDescent="0.25">
      <c r="E8">
        <f>Tableau428617682[Demande]-Tableau428617682[Présente dans la malle]</f>
        <v>0</v>
      </c>
      <c r="F8" s="2"/>
    </row>
    <row r="9" spans="2:8" x14ac:dyDescent="0.25">
      <c r="E9">
        <f>Tableau428617682[Demande]-Tableau428617682[Présente dans la malle]</f>
        <v>0</v>
      </c>
      <c r="F9" s="2"/>
    </row>
    <row r="10" spans="2:8" x14ac:dyDescent="0.25">
      <c r="E10">
        <f>Tableau428617682[Demande]-Tableau428617682[Présente dans la malle]</f>
        <v>0</v>
      </c>
      <c r="F10" s="2"/>
    </row>
    <row r="11" spans="2:8" x14ac:dyDescent="0.25">
      <c r="E11">
        <f>Tableau428617682[Demande]-Tableau428617682[Présente dans la malle]</f>
        <v>0</v>
      </c>
      <c r="F11" s="2"/>
    </row>
    <row r="12" spans="2:8" x14ac:dyDescent="0.25">
      <c r="E12">
        <f>Tableau428617682[Demande]-Tableau428617682[Présente dans la malle]</f>
        <v>0</v>
      </c>
      <c r="F12" s="2"/>
    </row>
    <row r="13" spans="2:8" x14ac:dyDescent="0.25">
      <c r="B13" t="s">
        <v>7</v>
      </c>
      <c r="E13">
        <f>SUBTOTAL(109,Tableau428617682[Manque])</f>
        <v>0</v>
      </c>
      <c r="F13" s="2"/>
      <c r="G13" s="5" t="s">
        <v>7</v>
      </c>
      <c r="H13" s="5">
        <f>SUBTOTAL(103,Tableau8120177189[CT])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Tableau4729627783[Demande]-Tableau4729627783[Présente dans la malle]</f>
        <v>0</v>
      </c>
      <c r="F17" s="4"/>
    </row>
    <row r="18" spans="2:8" x14ac:dyDescent="0.25">
      <c r="E18">
        <f>Tableau4729627783[Demande]-Tableau4729627783[Présente dans la malle]</f>
        <v>0</v>
      </c>
      <c r="F18" s="4"/>
    </row>
    <row r="19" spans="2:8" x14ac:dyDescent="0.25">
      <c r="E19">
        <f>Tableau4729627783[Demande]-Tableau4729627783[Présente dans la malle]</f>
        <v>0</v>
      </c>
      <c r="F19" s="4"/>
    </row>
    <row r="20" spans="2:8" x14ac:dyDescent="0.25">
      <c r="E20">
        <f>Tableau4729627783[Demande]-Tableau4729627783[Présente dans la malle]</f>
        <v>0</v>
      </c>
      <c r="F20" s="4"/>
    </row>
    <row r="21" spans="2:8" x14ac:dyDescent="0.25">
      <c r="E21">
        <f>Tableau4729627783[Demande]-Tableau4729627783[Présente dans la malle]</f>
        <v>0</v>
      </c>
      <c r="F21" s="4"/>
    </row>
    <row r="22" spans="2:8" x14ac:dyDescent="0.25">
      <c r="E22">
        <f>Tableau4729627783[Demande]-Tableau4729627783[Présente dans la malle]</f>
        <v>0</v>
      </c>
      <c r="F22" s="4"/>
    </row>
    <row r="23" spans="2:8" x14ac:dyDescent="0.25">
      <c r="E23">
        <f>Tableau4729627783[Demande]-Tableau4729627783[Présente dans la malle]</f>
        <v>0</v>
      </c>
      <c r="F23" s="4"/>
    </row>
    <row r="24" spans="2:8" x14ac:dyDescent="0.25">
      <c r="E24">
        <f>Tableau4729627783[Demande]-Tableau4729627783[Présente dans la malle]</f>
        <v>0</v>
      </c>
      <c r="F24" s="4"/>
    </row>
    <row r="25" spans="2:8" x14ac:dyDescent="0.25">
      <c r="E25">
        <f>Tableau4729627783[Demande]-Tableau4729627783[Présente dans la malle]</f>
        <v>0</v>
      </c>
      <c r="F25" s="4"/>
    </row>
    <row r="26" spans="2:8" x14ac:dyDescent="0.25">
      <c r="E26">
        <f>Tableau4729627783[Demande]-Tableau4729627783[Présente dans la malle]</f>
        <v>0</v>
      </c>
      <c r="F26" s="4"/>
    </row>
    <row r="27" spans="2:8" x14ac:dyDescent="0.25">
      <c r="B27" t="s">
        <v>7</v>
      </c>
      <c r="E27">
        <f>SUBTOTAL(109,Tableau4729627783[Manque])</f>
        <v>0</v>
      </c>
      <c r="F27" s="4"/>
      <c r="G27" s="3" t="s">
        <v>7</v>
      </c>
      <c r="H27" s="3">
        <f>SUBTOTAL(103,Tableau846121178190[CT])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Tableau47830637884[Demande]-Tableau47830637884[Présente dans la malle]</f>
        <v>0</v>
      </c>
      <c r="F31" s="4"/>
    </row>
    <row r="32" spans="2:8" x14ac:dyDescent="0.25">
      <c r="E32">
        <f>Tableau47830637884[Demande]-Tableau47830637884[Présente dans la malle]</f>
        <v>0</v>
      </c>
      <c r="F32" s="4"/>
    </row>
    <row r="33" spans="2:8" x14ac:dyDescent="0.25">
      <c r="E33">
        <f>Tableau47830637884[Demande]-Tableau47830637884[Présente dans la malle]</f>
        <v>0</v>
      </c>
      <c r="F33" s="4"/>
    </row>
    <row r="34" spans="2:8" x14ac:dyDescent="0.25">
      <c r="E34">
        <f>Tableau47830637884[Demande]-Tableau47830637884[Présente dans la malle]</f>
        <v>0</v>
      </c>
      <c r="F34" s="4"/>
    </row>
    <row r="35" spans="2:8" x14ac:dyDescent="0.25">
      <c r="E35">
        <f>Tableau47830637884[Demande]-Tableau47830637884[Présente dans la malle]</f>
        <v>0</v>
      </c>
      <c r="F35" s="4"/>
    </row>
    <row r="36" spans="2:8" x14ac:dyDescent="0.25">
      <c r="E36">
        <f>Tableau47830637884[Demande]-Tableau47830637884[Présente dans la malle]</f>
        <v>0</v>
      </c>
      <c r="F36" s="4"/>
    </row>
    <row r="37" spans="2:8" x14ac:dyDescent="0.25">
      <c r="E37">
        <f>Tableau47830637884[Demande]-Tableau47830637884[Présente dans la malle]</f>
        <v>0</v>
      </c>
      <c r="F37" s="4"/>
    </row>
    <row r="38" spans="2:8" x14ac:dyDescent="0.25">
      <c r="E38">
        <f>Tableau47830637884[Demande]-Tableau47830637884[Présente dans la malle]</f>
        <v>0</v>
      </c>
      <c r="F38" s="4"/>
    </row>
    <row r="39" spans="2:8" x14ac:dyDescent="0.25">
      <c r="E39">
        <f>Tableau47830637884[Demande]-Tableau47830637884[Présente dans la malle]</f>
        <v>0</v>
      </c>
      <c r="F39" s="4"/>
    </row>
    <row r="40" spans="2:8" x14ac:dyDescent="0.25">
      <c r="E40">
        <f>Tableau47830637884[Demande]-Tableau47830637884[Présente dans la malle]</f>
        <v>0</v>
      </c>
      <c r="F40" s="4"/>
    </row>
    <row r="41" spans="2:8" x14ac:dyDescent="0.25">
      <c r="B41" t="s">
        <v>7</v>
      </c>
      <c r="E41">
        <f>SUBTOTAL(109,Tableau47830637884[Manque])</f>
        <v>0</v>
      </c>
      <c r="F41" s="4"/>
      <c r="G41" s="3" t="s">
        <v>7</v>
      </c>
      <c r="H41" s="3">
        <f>SUBTOTAL(103,Tableau847122179191[CT])</f>
        <v>0</v>
      </c>
    </row>
  </sheetData>
  <conditionalFormatting sqref="E3:E12">
    <cfRule type="cellIs" dxfId="32" priority="7" operator="equal">
      <formula>0</formula>
    </cfRule>
    <cfRule type="cellIs" dxfId="31" priority="8" operator="lessThan">
      <formula>0</formula>
    </cfRule>
    <cfRule type="cellIs" dxfId="30" priority="9" operator="greaterThan">
      <formula>0</formula>
    </cfRule>
  </conditionalFormatting>
  <conditionalFormatting sqref="E17:E26">
    <cfRule type="cellIs" dxfId="29" priority="4" operator="equal">
      <formula>0</formula>
    </cfRule>
    <cfRule type="cellIs" dxfId="28" priority="5" operator="lessThan">
      <formula>0</formula>
    </cfRule>
    <cfRule type="cellIs" dxfId="27" priority="6" operator="greaterThan">
      <formula>0</formula>
    </cfRule>
  </conditionalFormatting>
  <conditionalFormatting sqref="E31:E40">
    <cfRule type="cellIs" dxfId="26" priority="1" operator="equal">
      <formula>0</formula>
    </cfRule>
    <cfRule type="cellIs" dxfId="25" priority="2" operator="lessThan">
      <formula>0</formula>
    </cfRule>
    <cfRule type="cellIs" dxfId="24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E6F0549E-AB04-4BE1-BCF8-661356740170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60C790C9-0D26-436F-9390-8E298E4FA04E}"/>
    <dataValidation allowBlank="1" showInputMessage="1" showErrorMessage="1" prompt="Insérez la quantité présente dans les malles" sqref="C9:C12 C3:C7 C23:C26 C17:C21 C37:C40 C31:C35" xr:uid="{EB21A65A-2B84-4FE4-9EF8-B0F3E9389B1E}"/>
    <dataValidation allowBlank="1" showInputMessage="1" showErrorMessage="1" prompt="Insérez la quantité demandé" sqref="D9:D12 D3:D7 D23:D26 D17:D21 D37:D40 D31:D35" xr:uid="{7E283821-70D9-49BA-80C1-429860394265}"/>
    <dataValidation allowBlank="1" showInputMessage="1" showErrorMessage="1" prompt="CT = Cout total" sqref="H2 H16 H30" xr:uid="{0E89F00A-4F57-4DA2-8578-C797207ECCCC}"/>
    <dataValidation allowBlank="1" showInputMessage="1" showErrorMessage="1" prompt="CU = Cout unitaire" sqref="G2 G16 G30:G31" xr:uid="{26E8BCFE-754A-4D72-A36D-7761524681A6}"/>
    <dataValidation allowBlank="1" showInputMessage="1" showErrorMessage="1" prompt="Quantité acheté rajouté * CU" sqref="H3 H17 H31" xr:uid="{379151DD-1E11-4878-A439-5A958D3FB31D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9E79-170B-436B-8E23-E62497DDCDB1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Tableau428617685[Demande]-Tableau428617685[Présente dans la malle]</f>
        <v>0</v>
      </c>
      <c r="F3" s="2"/>
    </row>
    <row r="4" spans="2:8" x14ac:dyDescent="0.25">
      <c r="E4">
        <f>Tableau428617685[Demande]-Tableau428617685[Présente dans la malle]</f>
        <v>0</v>
      </c>
      <c r="F4" s="2"/>
    </row>
    <row r="5" spans="2:8" x14ac:dyDescent="0.25">
      <c r="E5">
        <f>Tableau428617685[Demande]-Tableau428617685[Présente dans la malle]</f>
        <v>0</v>
      </c>
      <c r="F5" s="2"/>
    </row>
    <row r="6" spans="2:8" x14ac:dyDescent="0.25">
      <c r="E6">
        <f>Tableau428617685[Demande]-Tableau428617685[Présente dans la malle]</f>
        <v>0</v>
      </c>
      <c r="F6" s="2"/>
    </row>
    <row r="7" spans="2:8" x14ac:dyDescent="0.25">
      <c r="E7">
        <f>Tableau428617685[Demande]-Tableau428617685[Présente dans la malle]</f>
        <v>0</v>
      </c>
      <c r="F7" s="2"/>
    </row>
    <row r="8" spans="2:8" x14ac:dyDescent="0.25">
      <c r="E8">
        <f>Tableau428617685[Demande]-Tableau428617685[Présente dans la malle]</f>
        <v>0</v>
      </c>
      <c r="F8" s="2"/>
    </row>
    <row r="9" spans="2:8" x14ac:dyDescent="0.25">
      <c r="E9">
        <f>Tableau428617685[Demande]-Tableau428617685[Présente dans la malle]</f>
        <v>0</v>
      </c>
      <c r="F9" s="2"/>
    </row>
    <row r="10" spans="2:8" x14ac:dyDescent="0.25">
      <c r="E10">
        <f>Tableau428617685[Demande]-Tableau428617685[Présente dans la malle]</f>
        <v>0</v>
      </c>
      <c r="F10" s="2"/>
    </row>
    <row r="11" spans="2:8" x14ac:dyDescent="0.25">
      <c r="E11">
        <f>Tableau428617685[Demande]-Tableau428617685[Présente dans la malle]</f>
        <v>0</v>
      </c>
      <c r="F11" s="2"/>
    </row>
    <row r="12" spans="2:8" x14ac:dyDescent="0.25">
      <c r="E12">
        <f>Tableau428617685[Demande]-Tableau428617685[Présente dans la malle]</f>
        <v>0</v>
      </c>
      <c r="F12" s="2"/>
    </row>
    <row r="13" spans="2:8" x14ac:dyDescent="0.25">
      <c r="B13" t="s">
        <v>7</v>
      </c>
      <c r="E13">
        <f>SUBTOTAL(109,Tableau428617685[Manque])</f>
        <v>0</v>
      </c>
      <c r="F13" s="2"/>
      <c r="G13" s="5" t="s">
        <v>7</v>
      </c>
      <c r="H13" s="5">
        <f>SUBTOTAL(103,Tableau8120177192[CT])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Tableau4729627786[Demande]-Tableau4729627786[Présente dans la malle]</f>
        <v>0</v>
      </c>
      <c r="F17" s="4"/>
    </row>
    <row r="18" spans="2:8" x14ac:dyDescent="0.25">
      <c r="E18">
        <f>Tableau4729627786[Demande]-Tableau4729627786[Présente dans la malle]</f>
        <v>0</v>
      </c>
      <c r="F18" s="4"/>
    </row>
    <row r="19" spans="2:8" x14ac:dyDescent="0.25">
      <c r="E19">
        <f>Tableau4729627786[Demande]-Tableau4729627786[Présente dans la malle]</f>
        <v>0</v>
      </c>
      <c r="F19" s="4"/>
    </row>
    <row r="20" spans="2:8" x14ac:dyDescent="0.25">
      <c r="E20">
        <f>Tableau4729627786[Demande]-Tableau4729627786[Présente dans la malle]</f>
        <v>0</v>
      </c>
      <c r="F20" s="4"/>
    </row>
    <row r="21" spans="2:8" x14ac:dyDescent="0.25">
      <c r="E21">
        <f>Tableau4729627786[Demande]-Tableau4729627786[Présente dans la malle]</f>
        <v>0</v>
      </c>
      <c r="F21" s="4"/>
    </row>
    <row r="22" spans="2:8" x14ac:dyDescent="0.25">
      <c r="E22">
        <f>Tableau4729627786[Demande]-Tableau4729627786[Présente dans la malle]</f>
        <v>0</v>
      </c>
      <c r="F22" s="4"/>
    </row>
    <row r="23" spans="2:8" x14ac:dyDescent="0.25">
      <c r="E23">
        <f>Tableau4729627786[Demande]-Tableau4729627786[Présente dans la malle]</f>
        <v>0</v>
      </c>
      <c r="F23" s="4"/>
    </row>
    <row r="24" spans="2:8" x14ac:dyDescent="0.25">
      <c r="E24">
        <f>Tableau4729627786[Demande]-Tableau4729627786[Présente dans la malle]</f>
        <v>0</v>
      </c>
      <c r="F24" s="4"/>
    </row>
    <row r="25" spans="2:8" x14ac:dyDescent="0.25">
      <c r="E25">
        <f>Tableau4729627786[Demande]-Tableau4729627786[Présente dans la malle]</f>
        <v>0</v>
      </c>
      <c r="F25" s="4"/>
    </row>
    <row r="26" spans="2:8" x14ac:dyDescent="0.25">
      <c r="E26">
        <f>Tableau4729627786[Demande]-Tableau4729627786[Présente dans la malle]</f>
        <v>0</v>
      </c>
      <c r="F26" s="4"/>
    </row>
    <row r="27" spans="2:8" x14ac:dyDescent="0.25">
      <c r="B27" t="s">
        <v>7</v>
      </c>
      <c r="E27">
        <f>SUBTOTAL(109,Tableau4729627786[Manque])</f>
        <v>0</v>
      </c>
      <c r="F27" s="4"/>
      <c r="G27" s="3" t="s">
        <v>7</v>
      </c>
      <c r="H27" s="3">
        <f>SUBTOTAL(103,Tableau846121178193[CT])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Tableau47830637887[Demande]-Tableau47830637887[Présente dans la malle]</f>
        <v>0</v>
      </c>
      <c r="F31" s="4"/>
    </row>
    <row r="32" spans="2:8" x14ac:dyDescent="0.25">
      <c r="E32">
        <f>Tableau47830637887[Demande]-Tableau47830637887[Présente dans la malle]</f>
        <v>0</v>
      </c>
      <c r="F32" s="4"/>
    </row>
    <row r="33" spans="2:8" x14ac:dyDescent="0.25">
      <c r="E33">
        <f>Tableau47830637887[Demande]-Tableau47830637887[Présente dans la malle]</f>
        <v>0</v>
      </c>
      <c r="F33" s="4"/>
    </row>
    <row r="34" spans="2:8" x14ac:dyDescent="0.25">
      <c r="E34">
        <f>Tableau47830637887[Demande]-Tableau47830637887[Présente dans la malle]</f>
        <v>0</v>
      </c>
      <c r="F34" s="4"/>
    </row>
    <row r="35" spans="2:8" x14ac:dyDescent="0.25">
      <c r="E35">
        <f>Tableau47830637887[Demande]-Tableau47830637887[Présente dans la malle]</f>
        <v>0</v>
      </c>
      <c r="F35" s="4"/>
    </row>
    <row r="36" spans="2:8" x14ac:dyDescent="0.25">
      <c r="E36">
        <f>Tableau47830637887[Demande]-Tableau47830637887[Présente dans la malle]</f>
        <v>0</v>
      </c>
      <c r="F36" s="4"/>
    </row>
    <row r="37" spans="2:8" x14ac:dyDescent="0.25">
      <c r="E37">
        <f>Tableau47830637887[Demande]-Tableau47830637887[Présente dans la malle]</f>
        <v>0</v>
      </c>
      <c r="F37" s="4"/>
    </row>
    <row r="38" spans="2:8" x14ac:dyDescent="0.25">
      <c r="E38">
        <f>Tableau47830637887[Demande]-Tableau47830637887[Présente dans la malle]</f>
        <v>0</v>
      </c>
      <c r="F38" s="4"/>
    </row>
    <row r="39" spans="2:8" x14ac:dyDescent="0.25">
      <c r="E39">
        <f>Tableau47830637887[Demande]-Tableau47830637887[Présente dans la malle]</f>
        <v>0</v>
      </c>
      <c r="F39" s="4"/>
    </row>
    <row r="40" spans="2:8" x14ac:dyDescent="0.25">
      <c r="E40">
        <f>Tableau47830637887[Demande]-Tableau47830637887[Présente dans la malle]</f>
        <v>0</v>
      </c>
      <c r="F40" s="4"/>
    </row>
    <row r="41" spans="2:8" x14ac:dyDescent="0.25">
      <c r="B41" t="s">
        <v>7</v>
      </c>
      <c r="E41">
        <f>SUBTOTAL(109,Tableau47830637887[Manque])</f>
        <v>0</v>
      </c>
      <c r="F41" s="4"/>
      <c r="G41" s="3" t="s">
        <v>7</v>
      </c>
      <c r="H41" s="3">
        <f>SUBTOTAL(103,Tableau847122179194[CT])</f>
        <v>0</v>
      </c>
    </row>
  </sheetData>
  <conditionalFormatting sqref="E3:E12">
    <cfRule type="cellIs" dxfId="21" priority="7" operator="equal">
      <formula>0</formula>
    </cfRule>
    <cfRule type="cellIs" dxfId="20" priority="8" operator="lessThan">
      <formula>0</formula>
    </cfRule>
    <cfRule type="cellIs" dxfId="19" priority="9" operator="greaterThan">
      <formula>0</formula>
    </cfRule>
  </conditionalFormatting>
  <conditionalFormatting sqref="E17:E26">
    <cfRule type="cellIs" dxfId="18" priority="4" operator="equal">
      <formula>0</formula>
    </cfRule>
    <cfRule type="cellIs" dxfId="17" priority="5" operator="lessThan">
      <formula>0</formula>
    </cfRule>
    <cfRule type="cellIs" dxfId="16" priority="6" operator="greaterThan">
      <formula>0</formula>
    </cfRule>
  </conditionalFormatting>
  <conditionalFormatting sqref="E31:E40">
    <cfRule type="cellIs" dxfId="15" priority="1" operator="equal">
      <formula>0</formula>
    </cfRule>
    <cfRule type="cellIs" dxfId="14" priority="2" operator="lessThan">
      <formula>0</formula>
    </cfRule>
    <cfRule type="cellIs" dxfId="13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DF3FF49A-BA22-4368-B963-86F605478B15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51A57810-9A05-4994-BCCB-78576790E6FF}"/>
    <dataValidation allowBlank="1" showInputMessage="1" showErrorMessage="1" prompt="Insérez la quantité présente dans les malles" sqref="C9:C12 C3:C7 C23:C26 C17:C21 C37:C40 C31:C35" xr:uid="{DCFF49D8-FC1D-431B-BC13-4EC667531B23}"/>
    <dataValidation allowBlank="1" showInputMessage="1" showErrorMessage="1" prompt="Insérez la quantité demandé" sqref="D9:D12 D3:D7 D23:D26 D17:D21 D37:D40 D31:D35" xr:uid="{14249BA0-F916-4794-899F-8379EF11072B}"/>
    <dataValidation allowBlank="1" showInputMessage="1" showErrorMessage="1" prompt="CT = Cout total" sqref="H2 H16 H30" xr:uid="{37D5675F-AFC8-4AA4-BF8E-E065EC5E8B76}"/>
    <dataValidation allowBlank="1" showInputMessage="1" showErrorMessage="1" prompt="CU = Cout unitaire" sqref="G2 G16 G30:G31" xr:uid="{0A1388A7-72E5-4135-A3A2-1ADB44F43D55}"/>
    <dataValidation allowBlank="1" showInputMessage="1" showErrorMessage="1" prompt="Quantité acheté rajouté * CU" sqref="H3 H17 H31" xr:uid="{8BDC3B85-50B3-4BEA-BDE2-35C7E17F56E4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FCB3C-AE19-48E9-8D5A-F0A4BD57C93D}">
  <dimension ref="B2:H41"/>
  <sheetViews>
    <sheetView workbookViewId="0">
      <selection activeCell="F1" sqref="F1:H1048576"/>
    </sheetView>
  </sheetViews>
  <sheetFormatPr baseColWidth="10" defaultRowHeight="15" x14ac:dyDescent="0.25"/>
  <cols>
    <col min="2" max="2" width="24.42578125" customWidth="1"/>
    <col min="3" max="3" width="23.140625" customWidth="1"/>
    <col min="4" max="4" width="11.7109375" customWidth="1"/>
    <col min="6" max="6" width="1.140625" customWidth="1"/>
    <col min="7" max="7" width="26.5703125" style="3" customWidth="1"/>
    <col min="8" max="8" width="11.42578125" style="3"/>
  </cols>
  <sheetData>
    <row r="2" spans="2:8" x14ac:dyDescent="0.25">
      <c r="B2" t="s">
        <v>10</v>
      </c>
      <c r="C2" t="s">
        <v>0</v>
      </c>
      <c r="D2" t="s">
        <v>1</v>
      </c>
      <c r="E2" t="s">
        <v>2</v>
      </c>
      <c r="F2" s="2"/>
      <c r="G2" s="3" t="s">
        <v>15</v>
      </c>
      <c r="H2" s="3" t="s">
        <v>14</v>
      </c>
    </row>
    <row r="3" spans="2:8" x14ac:dyDescent="0.25">
      <c r="E3">
        <f>Tableau428617688[Demande]-Tableau428617688[Présente dans la malle]</f>
        <v>0</v>
      </c>
      <c r="F3" s="2"/>
    </row>
    <row r="4" spans="2:8" x14ac:dyDescent="0.25">
      <c r="E4">
        <f>Tableau428617688[Demande]-Tableau428617688[Présente dans la malle]</f>
        <v>0</v>
      </c>
      <c r="F4" s="2"/>
    </row>
    <row r="5" spans="2:8" x14ac:dyDescent="0.25">
      <c r="E5">
        <f>Tableau428617688[Demande]-Tableau428617688[Présente dans la malle]</f>
        <v>0</v>
      </c>
      <c r="F5" s="2"/>
    </row>
    <row r="6" spans="2:8" x14ac:dyDescent="0.25">
      <c r="E6">
        <f>Tableau428617688[Demande]-Tableau428617688[Présente dans la malle]</f>
        <v>0</v>
      </c>
      <c r="F6" s="2"/>
    </row>
    <row r="7" spans="2:8" x14ac:dyDescent="0.25">
      <c r="E7">
        <f>Tableau428617688[Demande]-Tableau428617688[Présente dans la malle]</f>
        <v>0</v>
      </c>
      <c r="F7" s="2"/>
    </row>
    <row r="8" spans="2:8" x14ac:dyDescent="0.25">
      <c r="E8">
        <f>Tableau428617688[Demande]-Tableau428617688[Présente dans la malle]</f>
        <v>0</v>
      </c>
      <c r="F8" s="2"/>
    </row>
    <row r="9" spans="2:8" x14ac:dyDescent="0.25">
      <c r="E9">
        <f>Tableau428617688[Demande]-Tableau428617688[Présente dans la malle]</f>
        <v>0</v>
      </c>
      <c r="F9" s="2"/>
    </row>
    <row r="10" spans="2:8" x14ac:dyDescent="0.25">
      <c r="E10">
        <f>Tableau428617688[Demande]-Tableau428617688[Présente dans la malle]</f>
        <v>0</v>
      </c>
      <c r="F10" s="2"/>
    </row>
    <row r="11" spans="2:8" x14ac:dyDescent="0.25">
      <c r="E11">
        <f>Tableau428617688[Demande]-Tableau428617688[Présente dans la malle]</f>
        <v>0</v>
      </c>
      <c r="F11" s="2"/>
    </row>
    <row r="12" spans="2:8" x14ac:dyDescent="0.25">
      <c r="E12">
        <f>Tableau428617688[Demande]-Tableau428617688[Présente dans la malle]</f>
        <v>0</v>
      </c>
      <c r="F12" s="2"/>
    </row>
    <row r="13" spans="2:8" x14ac:dyDescent="0.25">
      <c r="B13" t="s">
        <v>7</v>
      </c>
      <c r="E13">
        <f>SUBTOTAL(109,Tableau428617688[Manque])</f>
        <v>0</v>
      </c>
      <c r="F13" s="2"/>
      <c r="G13" s="5" t="s">
        <v>7</v>
      </c>
      <c r="H13" s="5">
        <f>SUBTOTAL(103,Tableau8120177195[CT])</f>
        <v>0</v>
      </c>
    </row>
    <row r="16" spans="2:8" x14ac:dyDescent="0.25">
      <c r="B16" t="s">
        <v>8</v>
      </c>
      <c r="C16" t="s">
        <v>0</v>
      </c>
      <c r="D16" t="s">
        <v>1</v>
      </c>
      <c r="E16" t="s">
        <v>2</v>
      </c>
      <c r="F16" s="4"/>
      <c r="G16" s="3" t="s">
        <v>15</v>
      </c>
      <c r="H16" s="3" t="s">
        <v>14</v>
      </c>
    </row>
    <row r="17" spans="2:8" x14ac:dyDescent="0.25">
      <c r="E17">
        <f>Tableau4729627789[Demande]-Tableau4729627789[Présente dans la malle]</f>
        <v>0</v>
      </c>
      <c r="F17" s="4"/>
    </row>
    <row r="18" spans="2:8" x14ac:dyDescent="0.25">
      <c r="E18">
        <f>Tableau4729627789[Demande]-Tableau4729627789[Présente dans la malle]</f>
        <v>0</v>
      </c>
      <c r="F18" s="4"/>
    </row>
    <row r="19" spans="2:8" x14ac:dyDescent="0.25">
      <c r="E19">
        <f>Tableau4729627789[Demande]-Tableau4729627789[Présente dans la malle]</f>
        <v>0</v>
      </c>
      <c r="F19" s="4"/>
    </row>
    <row r="20" spans="2:8" x14ac:dyDescent="0.25">
      <c r="E20">
        <f>Tableau4729627789[Demande]-Tableau4729627789[Présente dans la malle]</f>
        <v>0</v>
      </c>
      <c r="F20" s="4"/>
    </row>
    <row r="21" spans="2:8" x14ac:dyDescent="0.25">
      <c r="E21">
        <f>Tableau4729627789[Demande]-Tableau4729627789[Présente dans la malle]</f>
        <v>0</v>
      </c>
      <c r="F21" s="4"/>
    </row>
    <row r="22" spans="2:8" x14ac:dyDescent="0.25">
      <c r="E22">
        <f>Tableau4729627789[Demande]-Tableau4729627789[Présente dans la malle]</f>
        <v>0</v>
      </c>
      <c r="F22" s="4"/>
    </row>
    <row r="23" spans="2:8" x14ac:dyDescent="0.25">
      <c r="E23">
        <f>Tableau4729627789[Demande]-Tableau4729627789[Présente dans la malle]</f>
        <v>0</v>
      </c>
      <c r="F23" s="4"/>
    </row>
    <row r="24" spans="2:8" x14ac:dyDescent="0.25">
      <c r="E24">
        <f>Tableau4729627789[Demande]-Tableau4729627789[Présente dans la malle]</f>
        <v>0</v>
      </c>
      <c r="F24" s="4"/>
    </row>
    <row r="25" spans="2:8" x14ac:dyDescent="0.25">
      <c r="E25">
        <f>Tableau4729627789[Demande]-Tableau4729627789[Présente dans la malle]</f>
        <v>0</v>
      </c>
      <c r="F25" s="4"/>
    </row>
    <row r="26" spans="2:8" x14ac:dyDescent="0.25">
      <c r="E26">
        <f>Tableau4729627789[Demande]-Tableau4729627789[Présente dans la malle]</f>
        <v>0</v>
      </c>
      <c r="F26" s="4"/>
    </row>
    <row r="27" spans="2:8" x14ac:dyDescent="0.25">
      <c r="B27" t="s">
        <v>7</v>
      </c>
      <c r="E27">
        <f>SUBTOTAL(109,Tableau4729627789[Manque])</f>
        <v>0</v>
      </c>
      <c r="F27" s="4"/>
      <c r="G27" s="3" t="s">
        <v>7</v>
      </c>
      <c r="H27" s="3">
        <f>SUBTOTAL(103,Tableau846121178196[CT])</f>
        <v>0</v>
      </c>
    </row>
    <row r="30" spans="2:8" x14ac:dyDescent="0.25">
      <c r="B30" t="s">
        <v>9</v>
      </c>
      <c r="C30" t="s">
        <v>0</v>
      </c>
      <c r="D30" t="s">
        <v>1</v>
      </c>
      <c r="E30" t="s">
        <v>2</v>
      </c>
      <c r="F30" s="4"/>
      <c r="G30" s="3" t="s">
        <v>15</v>
      </c>
      <c r="H30" s="3" t="s">
        <v>14</v>
      </c>
    </row>
    <row r="31" spans="2:8" x14ac:dyDescent="0.25">
      <c r="E31">
        <f>Tableau47830637890[Demande]-Tableau47830637890[Présente dans la malle]</f>
        <v>0</v>
      </c>
      <c r="F31" s="4"/>
    </row>
    <row r="32" spans="2:8" x14ac:dyDescent="0.25">
      <c r="E32">
        <f>Tableau47830637890[Demande]-Tableau47830637890[Présente dans la malle]</f>
        <v>0</v>
      </c>
      <c r="F32" s="4"/>
    </row>
    <row r="33" spans="2:8" x14ac:dyDescent="0.25">
      <c r="E33">
        <f>Tableau47830637890[Demande]-Tableau47830637890[Présente dans la malle]</f>
        <v>0</v>
      </c>
      <c r="F33" s="4"/>
    </row>
    <row r="34" spans="2:8" x14ac:dyDescent="0.25">
      <c r="E34">
        <f>Tableau47830637890[Demande]-Tableau47830637890[Présente dans la malle]</f>
        <v>0</v>
      </c>
      <c r="F34" s="4"/>
    </row>
    <row r="35" spans="2:8" x14ac:dyDescent="0.25">
      <c r="E35">
        <f>Tableau47830637890[Demande]-Tableau47830637890[Présente dans la malle]</f>
        <v>0</v>
      </c>
      <c r="F35" s="4"/>
    </row>
    <row r="36" spans="2:8" x14ac:dyDescent="0.25">
      <c r="E36">
        <f>Tableau47830637890[Demande]-Tableau47830637890[Présente dans la malle]</f>
        <v>0</v>
      </c>
      <c r="F36" s="4"/>
    </row>
    <row r="37" spans="2:8" x14ac:dyDescent="0.25">
      <c r="E37">
        <f>Tableau47830637890[Demande]-Tableau47830637890[Présente dans la malle]</f>
        <v>0</v>
      </c>
      <c r="F37" s="4"/>
    </row>
    <row r="38" spans="2:8" x14ac:dyDescent="0.25">
      <c r="E38">
        <f>Tableau47830637890[Demande]-Tableau47830637890[Présente dans la malle]</f>
        <v>0</v>
      </c>
      <c r="F38" s="4"/>
    </row>
    <row r="39" spans="2:8" x14ac:dyDescent="0.25">
      <c r="E39">
        <f>Tableau47830637890[Demande]-Tableau47830637890[Présente dans la malle]</f>
        <v>0</v>
      </c>
      <c r="F39" s="4"/>
    </row>
    <row r="40" spans="2:8" x14ac:dyDescent="0.25">
      <c r="E40">
        <f>Tableau47830637890[Demande]-Tableau47830637890[Présente dans la malle]</f>
        <v>0</v>
      </c>
      <c r="F40" s="4"/>
    </row>
    <row r="41" spans="2:8" x14ac:dyDescent="0.25">
      <c r="B41" t="s">
        <v>7</v>
      </c>
      <c r="E41">
        <f>SUBTOTAL(109,Tableau47830637890[Manque])</f>
        <v>0</v>
      </c>
      <c r="F41" s="4"/>
      <c r="G41" s="3" t="s">
        <v>7</v>
      </c>
      <c r="H41" s="3">
        <f>SUBTOTAL(103,Tableau847122179197[CT])</f>
        <v>0</v>
      </c>
    </row>
  </sheetData>
  <conditionalFormatting sqref="E3:E12">
    <cfRule type="cellIs" dxfId="10" priority="7" operator="equal">
      <formula>0</formula>
    </cfRule>
    <cfRule type="cellIs" dxfId="9" priority="8" operator="lessThan">
      <formula>0</formula>
    </cfRule>
    <cfRule type="cellIs" dxfId="8" priority="9" operator="greaterThan">
      <formula>0</formula>
    </cfRule>
  </conditionalFormatting>
  <conditionalFormatting sqref="E17:E26">
    <cfRule type="cellIs" dxfId="7" priority="4" operator="equal">
      <formula>0</formula>
    </cfRule>
    <cfRule type="cellIs" dxfId="6" priority="5" operator="lessThan">
      <formula>0</formula>
    </cfRule>
    <cfRule type="cellIs" dxfId="5" priority="6" operator="greaterThan">
      <formula>0</formula>
    </cfRule>
  </conditionalFormatting>
  <conditionalFormatting sqref="E31:E40">
    <cfRule type="cellIs" dxfId="4" priority="1" operator="equal">
      <formula>0</formula>
    </cfRule>
    <cfRule type="cellIs" dxfId="3" priority="2" operator="lessThan">
      <formula>0</formula>
    </cfRule>
    <cfRule type="cellIs" dxfId="2" priority="3" operator="greaterThan">
      <formula>0</formula>
    </cfRule>
  </conditionalFormatting>
  <dataValidations count="7">
    <dataValidation type="list" allowBlank="1" showInputMessage="1" showErrorMessage="1" prompt="Insérez la fourniture désiré" sqref="B3:B12 B17:B26 B31:B40" xr:uid="{83EC53B5-BCD3-42AC-A8D1-A74CD3C4B8C5}">
      <formula1>Fournitures</formula1>
    </dataValidation>
    <dataValidation allowBlank="1" showInputMessage="1" showErrorMessage="1" prompt="Si VERT_x000a_La fourniture est bien présente et la quantité est bonne_x000a_Si ROUGE_x000a_+ : Il faut rajouter la quantité de fourniture_x000a_- : Il faut enlevé la quantité de fourniture en trop_x000a_" sqref="E3:E12 E17:E26 E31:E40" xr:uid="{77EA35B1-34C8-4A1E-859B-F963003908ED}"/>
    <dataValidation allowBlank="1" showInputMessage="1" showErrorMessage="1" prompt="Insérez la quantité présente dans les malles" sqref="C9:C12 C3:C7 C23:C26 C17:C21 C37:C40 C31:C35" xr:uid="{F750E9B1-CF8A-4F21-A893-C2810BBC19E8}"/>
    <dataValidation allowBlank="1" showInputMessage="1" showErrorMessage="1" prompt="Insérez la quantité demandé" sqref="D9:D12 D3:D7 D23:D26 D17:D21 D37:D40 D31:D35" xr:uid="{961865ED-8828-4763-9434-6405718B3258}"/>
    <dataValidation allowBlank="1" showInputMessage="1" showErrorMessage="1" prompt="CT = Cout total" sqref="H2 H16 H30" xr:uid="{A9BEDE9C-F65F-4146-93C4-84169474E46F}"/>
    <dataValidation allowBlank="1" showInputMessage="1" showErrorMessage="1" prompt="CU = Cout unitaire" sqref="G2 G16 G30:G31" xr:uid="{7D778B15-C7F5-45F4-A3A6-30535500ACA7}"/>
    <dataValidation allowBlank="1" showInputMessage="1" showErrorMessage="1" prompt="Quantité acheté rajouté * CU" sqref="H3 H17 H31" xr:uid="{EBCC89E3-2BE4-47DC-8436-0245B6532465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Inventaire Matériel après FF18</vt:lpstr>
      <vt:lpstr>Inventaire Cablage après FF18</vt:lpstr>
      <vt:lpstr>Inventaire Mobilier après FF18</vt:lpstr>
      <vt:lpstr>Acceuil artiste</vt:lpstr>
      <vt:lpstr>Acceuil VIP</vt:lpstr>
      <vt:lpstr>Aremacs</vt:lpstr>
      <vt:lpstr>Animation</vt:lpstr>
      <vt:lpstr>Bar coca</vt:lpstr>
      <vt:lpstr>Bar container</vt:lpstr>
      <vt:lpstr>Bar Fire</vt:lpstr>
      <vt:lpstr>Bar mayo loco</vt:lpstr>
      <vt:lpstr>Bar ricard</vt:lpstr>
      <vt:lpstr>Billetterie centrale</vt:lpstr>
      <vt:lpstr>Billetterrie entrée</vt:lpstr>
      <vt:lpstr>Camping bénévole</vt:lpstr>
      <vt:lpstr>Camping festivaliers</vt:lpstr>
      <vt:lpstr>Entrée public</vt:lpstr>
      <vt:lpstr>Espace presse</vt:lpstr>
      <vt:lpstr>Freeshu Pichu</vt:lpstr>
      <vt:lpstr>Magasin</vt:lpstr>
      <vt:lpstr>Merchandising</vt:lpstr>
      <vt:lpstr>Parking festivalier</vt:lpstr>
      <vt:lpstr>Production</vt:lpstr>
      <vt:lpstr>Régie Extérieur</vt:lpstr>
      <vt:lpstr>Régie scene</vt:lpstr>
      <vt:lpstr>Régie site</vt:lpstr>
      <vt:lpstr>Restauration bénévole</vt:lpstr>
      <vt:lpstr>Runners</vt:lpstr>
      <vt:lpstr>Signalétique</vt:lpstr>
      <vt:lpstr>Sofree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2018-06-20T16:06:35Z</dcterms:modified>
</cp:coreProperties>
</file>