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827"/>
  <workbookPr defaultThemeVersion="166925"/>
  <mc:AlternateContent xmlns:mc="http://schemas.openxmlformats.org/markup-compatibility/2006">
    <mc:Choice Requires="x15">
      <x15ac:absPath xmlns:x15ac="http://schemas.microsoft.com/office/spreadsheetml/2010/11/ac" url="C:\Users\desja\Documents\Roger Excel\Martel\"/>
    </mc:Choice>
  </mc:AlternateContent>
  <xr:revisionPtr revIDLastSave="0" documentId="13_ncr:1_{BBE09588-28C3-417F-AA9B-B7B17ACC1CBF}" xr6:coauthVersionLast="47" xr6:coauthVersionMax="47" xr10:uidLastSave="{00000000-0000-0000-0000-000000000000}"/>
  <bookViews>
    <workbookView xWindow="28680" yWindow="-120" windowWidth="29040" windowHeight="16440" activeTab="4" xr2:uid="{FDFFEC15-0AAE-4F66-8929-F6124DAFEA87}"/>
  </bookViews>
  <sheets>
    <sheet name="2023" sheetId="1" r:id="rId1"/>
    <sheet name="Devis - Capacité - Impôt" sheetId="3" r:id="rId2"/>
    <sheet name="Amortissement banque" sheetId="2" r:id="rId3"/>
    <sheet name="TA Emprunt banque" sheetId="5" r:id="rId4"/>
    <sheet name="2023-2024" sheetId="4" r:id="rId5"/>
  </sheets>
  <externalReferences>
    <externalReference r:id="rId6"/>
    <externalReference r:id="rId7"/>
  </externalReferences>
  <definedNames>
    <definedName name="Agence">[1]Motifs!$D$5:$D$8</definedName>
    <definedName name="CA">[2]Feuil2!$B$2:$B$6</definedName>
    <definedName name="Categorie">[2]Feuil2!$C$2:$C$5</definedName>
    <definedName name="Catégorie">[1]Motifs!$H$7:$H$9</definedName>
    <definedName name="CréditsObtenus">#REF!</definedName>
    <definedName name="CréditsRequis">#REF!</definedName>
    <definedName name="CréditsRestants">#REF!</definedName>
    <definedName name="Etat_de_L_Action">[1]!Tableau1[Etat de L''Action]</definedName>
    <definedName name="Etat_de_Satisfaction_Client">[1]Motifs!$H$16:$H$17</definedName>
    <definedName name="motif">[2]Feuil2!$E$1:$E$9</definedName>
    <definedName name="Qui">[1]Motifs!$J$10:$J$17</definedName>
    <definedName name="RechercheConditionsRequises">#REF!</definedName>
    <definedName name="satisfaction">[2]Feuil2!$D$2:$D$6</definedName>
    <definedName name="Types">[1]Motifs!$H$2:$H$4</definedName>
    <definedName name="Types_de_motifs">[1]Motifs!$F$2:$F$10</definedName>
  </definedNames>
  <calcPr calcId="191028"/>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 i="4" l="1"/>
  <c r="B4" i="4"/>
  <c r="C3" i="4"/>
  <c r="R188" i="5"/>
  <c r="S188" i="5"/>
  <c r="T188" i="5"/>
  <c r="U188" i="5"/>
  <c r="V188" i="5"/>
  <c r="W188" i="5"/>
  <c r="R189" i="5"/>
  <c r="S189" i="5"/>
  <c r="T189" i="5"/>
  <c r="U189" i="5"/>
  <c r="V189" i="5"/>
  <c r="W189" i="5"/>
  <c r="R190" i="5"/>
  <c r="S190" i="5"/>
  <c r="T190" i="5"/>
  <c r="U190" i="5"/>
  <c r="V190" i="5"/>
  <c r="W190" i="5"/>
  <c r="R191" i="5"/>
  <c r="S191" i="5"/>
  <c r="T191" i="5"/>
  <c r="U191" i="5"/>
  <c r="V191" i="5"/>
  <c r="W191" i="5"/>
  <c r="R192" i="5"/>
  <c r="S192" i="5"/>
  <c r="T192" i="5"/>
  <c r="U192" i="5"/>
  <c r="V192" i="5"/>
  <c r="W192" i="5"/>
  <c r="R193" i="5"/>
  <c r="S193" i="5"/>
  <c r="T193" i="5"/>
  <c r="U193" i="5"/>
  <c r="V193" i="5"/>
  <c r="W193" i="5"/>
  <c r="R194" i="5"/>
  <c r="S194" i="5"/>
  <c r="T194" i="5"/>
  <c r="U194" i="5"/>
  <c r="V194" i="5"/>
  <c r="W194" i="5"/>
  <c r="R195" i="5"/>
  <c r="S195" i="5"/>
  <c r="T195" i="5"/>
  <c r="U195" i="5"/>
  <c r="V195" i="5"/>
  <c r="W195" i="5"/>
  <c r="R196" i="5"/>
  <c r="S196" i="5"/>
  <c r="T196" i="5"/>
  <c r="U196" i="5"/>
  <c r="V196" i="5"/>
  <c r="W196" i="5"/>
  <c r="R197" i="5"/>
  <c r="S197" i="5"/>
  <c r="T197" i="5"/>
  <c r="U197" i="5"/>
  <c r="V197" i="5"/>
  <c r="W197" i="5"/>
  <c r="R198" i="5"/>
  <c r="S198" i="5"/>
  <c r="T198" i="5"/>
  <c r="U198" i="5"/>
  <c r="V198" i="5"/>
  <c r="W198" i="5"/>
  <c r="R199" i="5"/>
  <c r="S199" i="5"/>
  <c r="T199" i="5"/>
  <c r="U199" i="5"/>
  <c r="V199" i="5"/>
  <c r="W199" i="5"/>
  <c r="R200" i="5"/>
  <c r="S200" i="5"/>
  <c r="T200" i="5"/>
  <c r="U200" i="5"/>
  <c r="V200" i="5"/>
  <c r="W200" i="5"/>
  <c r="R201" i="5"/>
  <c r="S201" i="5"/>
  <c r="T201" i="5"/>
  <c r="U201" i="5"/>
  <c r="V201" i="5"/>
  <c r="W201" i="5"/>
  <c r="R202" i="5"/>
  <c r="S202" i="5"/>
  <c r="T202" i="5"/>
  <c r="U202" i="5"/>
  <c r="V202" i="5"/>
  <c r="W202" i="5"/>
  <c r="R203" i="5"/>
  <c r="S203" i="5"/>
  <c r="T203" i="5"/>
  <c r="U203" i="5"/>
  <c r="V203" i="5"/>
  <c r="W203" i="5"/>
  <c r="R204" i="5"/>
  <c r="S204" i="5"/>
  <c r="T204" i="5"/>
  <c r="U204" i="5"/>
  <c r="V204" i="5"/>
  <c r="W204" i="5"/>
  <c r="R205" i="5"/>
  <c r="S205" i="5"/>
  <c r="T205" i="5"/>
  <c r="U205" i="5"/>
  <c r="V205" i="5"/>
  <c r="W205" i="5"/>
  <c r="R206" i="5"/>
  <c r="S206" i="5"/>
  <c r="T206" i="5"/>
  <c r="U206" i="5"/>
  <c r="V206" i="5"/>
  <c r="W206" i="5"/>
  <c r="R207" i="5"/>
  <c r="S207" i="5"/>
  <c r="T207" i="5"/>
  <c r="U207" i="5"/>
  <c r="V207" i="5"/>
  <c r="W207" i="5"/>
  <c r="R208" i="5"/>
  <c r="S208" i="5"/>
  <c r="T208" i="5"/>
  <c r="U208" i="5"/>
  <c r="V208" i="5"/>
  <c r="W208" i="5"/>
  <c r="R209" i="5"/>
  <c r="S209" i="5"/>
  <c r="T209" i="5"/>
  <c r="U209" i="5"/>
  <c r="V209" i="5"/>
  <c r="W209" i="5"/>
  <c r="R210" i="5"/>
  <c r="S210" i="5"/>
  <c r="T210" i="5"/>
  <c r="U210" i="5"/>
  <c r="V210" i="5"/>
  <c r="W210" i="5"/>
  <c r="R211" i="5"/>
  <c r="S211" i="5"/>
  <c r="T211" i="5"/>
  <c r="U211" i="5"/>
  <c r="V211" i="5"/>
  <c r="W211" i="5"/>
  <c r="R212" i="5"/>
  <c r="S212" i="5"/>
  <c r="T212" i="5"/>
  <c r="U212" i="5"/>
  <c r="V212" i="5"/>
  <c r="W212" i="5"/>
  <c r="R213" i="5"/>
  <c r="S213" i="5"/>
  <c r="T213" i="5"/>
  <c r="U213" i="5"/>
  <c r="V213" i="5"/>
  <c r="W213" i="5"/>
  <c r="R214" i="5"/>
  <c r="S214" i="5"/>
  <c r="T214" i="5"/>
  <c r="U214" i="5"/>
  <c r="V214" i="5"/>
  <c r="W214" i="5"/>
  <c r="R215" i="5"/>
  <c r="S215" i="5"/>
  <c r="T215" i="5"/>
  <c r="U215" i="5"/>
  <c r="V215" i="5"/>
  <c r="W215" i="5"/>
  <c r="R216" i="5"/>
  <c r="S216" i="5"/>
  <c r="T216" i="5"/>
  <c r="U216" i="5"/>
  <c r="V216" i="5"/>
  <c r="W216" i="5"/>
  <c r="R217" i="5"/>
  <c r="S217" i="5"/>
  <c r="T217" i="5"/>
  <c r="U217" i="5"/>
  <c r="V217" i="5"/>
  <c r="W217" i="5"/>
  <c r="R218" i="5"/>
  <c r="S218" i="5"/>
  <c r="T218" i="5"/>
  <c r="U218" i="5"/>
  <c r="V218" i="5"/>
  <c r="W218" i="5"/>
  <c r="R219" i="5"/>
  <c r="S219" i="5"/>
  <c r="T219" i="5"/>
  <c r="U219" i="5"/>
  <c r="V219" i="5"/>
  <c r="W219" i="5"/>
  <c r="R220" i="5"/>
  <c r="S220" i="5"/>
  <c r="T220" i="5"/>
  <c r="U220" i="5"/>
  <c r="V220" i="5"/>
  <c r="W220" i="5"/>
  <c r="R221" i="5"/>
  <c r="S221" i="5"/>
  <c r="T221" i="5"/>
  <c r="U221" i="5"/>
  <c r="V221" i="5"/>
  <c r="W221" i="5"/>
  <c r="R222" i="5"/>
  <c r="S222" i="5"/>
  <c r="T222" i="5"/>
  <c r="U222" i="5"/>
  <c r="V222" i="5"/>
  <c r="W222" i="5"/>
  <c r="R223" i="5"/>
  <c r="S223" i="5"/>
  <c r="T223" i="5"/>
  <c r="U223" i="5"/>
  <c r="V223" i="5"/>
  <c r="W223" i="5"/>
  <c r="R224" i="5"/>
  <c r="S224" i="5"/>
  <c r="T224" i="5"/>
  <c r="U224" i="5"/>
  <c r="V224" i="5"/>
  <c r="W224" i="5"/>
  <c r="R225" i="5"/>
  <c r="S225" i="5"/>
  <c r="T225" i="5"/>
  <c r="U225" i="5"/>
  <c r="V225" i="5"/>
  <c r="W225" i="5"/>
  <c r="R226" i="5"/>
  <c r="S226" i="5"/>
  <c r="T226" i="5"/>
  <c r="U226" i="5"/>
  <c r="V226" i="5"/>
  <c r="W226" i="5"/>
  <c r="R227" i="5"/>
  <c r="S227" i="5"/>
  <c r="T227" i="5"/>
  <c r="U227" i="5"/>
  <c r="V227" i="5"/>
  <c r="W227" i="5"/>
  <c r="R228" i="5"/>
  <c r="S228" i="5"/>
  <c r="T228" i="5"/>
  <c r="U228" i="5"/>
  <c r="V228" i="5"/>
  <c r="W228" i="5"/>
  <c r="R229" i="5"/>
  <c r="S229" i="5"/>
  <c r="T229" i="5"/>
  <c r="U229" i="5"/>
  <c r="V229" i="5"/>
  <c r="W229" i="5"/>
  <c r="R230" i="5"/>
  <c r="S230" i="5"/>
  <c r="T230" i="5"/>
  <c r="U230" i="5"/>
  <c r="V230" i="5"/>
  <c r="W230" i="5"/>
  <c r="R231" i="5"/>
  <c r="S231" i="5"/>
  <c r="T231" i="5"/>
  <c r="U231" i="5"/>
  <c r="V231" i="5"/>
  <c r="W231" i="5"/>
  <c r="R232" i="5"/>
  <c r="S232" i="5"/>
  <c r="T232" i="5"/>
  <c r="U232" i="5"/>
  <c r="V232" i="5"/>
  <c r="W232" i="5"/>
  <c r="R233" i="5"/>
  <c r="S233" i="5"/>
  <c r="T233" i="5"/>
  <c r="U233" i="5"/>
  <c r="V233" i="5"/>
  <c r="W233" i="5"/>
  <c r="R234" i="5"/>
  <c r="S234" i="5"/>
  <c r="T234" i="5"/>
  <c r="U234" i="5"/>
  <c r="V234" i="5"/>
  <c r="W234" i="5"/>
  <c r="R235" i="5"/>
  <c r="S235" i="5"/>
  <c r="T235" i="5"/>
  <c r="U235" i="5"/>
  <c r="V235" i="5"/>
  <c r="W235" i="5"/>
  <c r="R236" i="5"/>
  <c r="S236" i="5"/>
  <c r="T236" i="5"/>
  <c r="U236" i="5"/>
  <c r="V236" i="5"/>
  <c r="W236" i="5"/>
  <c r="R237" i="5"/>
  <c r="S237" i="5"/>
  <c r="T237" i="5"/>
  <c r="U237" i="5"/>
  <c r="V237" i="5"/>
  <c r="W237" i="5"/>
  <c r="R238" i="5"/>
  <c r="S238" i="5"/>
  <c r="T238" i="5"/>
  <c r="U238" i="5"/>
  <c r="V238" i="5"/>
  <c r="W238" i="5"/>
  <c r="R239" i="5"/>
  <c r="S239" i="5"/>
  <c r="T239" i="5"/>
  <c r="U239" i="5"/>
  <c r="V239" i="5"/>
  <c r="W239" i="5"/>
  <c r="R240" i="5"/>
  <c r="S240" i="5"/>
  <c r="T240" i="5"/>
  <c r="U240" i="5"/>
  <c r="V240" i="5"/>
  <c r="W240" i="5"/>
  <c r="R241" i="5"/>
  <c r="S241" i="5"/>
  <c r="T241" i="5"/>
  <c r="U241" i="5"/>
  <c r="V241" i="5"/>
  <c r="W241" i="5"/>
  <c r="R242" i="5"/>
  <c r="S242" i="5"/>
  <c r="T242" i="5"/>
  <c r="U242" i="5"/>
  <c r="V242" i="5"/>
  <c r="W242" i="5"/>
  <c r="R243" i="5"/>
  <c r="S243" i="5"/>
  <c r="T243" i="5"/>
  <c r="U243" i="5"/>
  <c r="V243" i="5"/>
  <c r="W243" i="5"/>
  <c r="R244" i="5"/>
  <c r="S244" i="5"/>
  <c r="T244" i="5"/>
  <c r="U244" i="5"/>
  <c r="V244" i="5"/>
  <c r="W244" i="5"/>
  <c r="R245" i="5"/>
  <c r="S245" i="5"/>
  <c r="T245" i="5"/>
  <c r="U245" i="5"/>
  <c r="V245" i="5"/>
  <c r="W245" i="5"/>
  <c r="R246" i="5"/>
  <c r="S246" i="5"/>
  <c r="T246" i="5"/>
  <c r="U246" i="5"/>
  <c r="V246" i="5"/>
  <c r="W246" i="5"/>
  <c r="R247" i="5"/>
  <c r="S247" i="5"/>
  <c r="T247" i="5"/>
  <c r="U247" i="5"/>
  <c r="V247" i="5"/>
  <c r="W247" i="5"/>
  <c r="R248" i="5"/>
  <c r="S248" i="5"/>
  <c r="T248" i="5"/>
  <c r="U248" i="5"/>
  <c r="V248" i="5"/>
  <c r="W248" i="5"/>
  <c r="R249" i="5"/>
  <c r="S249" i="5"/>
  <c r="T249" i="5"/>
  <c r="U249" i="5"/>
  <c r="V249" i="5"/>
  <c r="W249" i="5"/>
  <c r="R250" i="5"/>
  <c r="S250" i="5"/>
  <c r="T250" i="5"/>
  <c r="U250" i="5"/>
  <c r="V250" i="5"/>
  <c r="W250" i="5"/>
  <c r="R251" i="5"/>
  <c r="S251" i="5"/>
  <c r="T251" i="5"/>
  <c r="U251" i="5"/>
  <c r="V251" i="5"/>
  <c r="W251" i="5"/>
  <c r="R252" i="5"/>
  <c r="S252" i="5"/>
  <c r="T252" i="5"/>
  <c r="U252" i="5"/>
  <c r="V252" i="5"/>
  <c r="W252" i="5"/>
  <c r="R253" i="5"/>
  <c r="S253" i="5"/>
  <c r="T253" i="5"/>
  <c r="U253" i="5"/>
  <c r="V253" i="5"/>
  <c r="W253" i="5"/>
  <c r="R254" i="5"/>
  <c r="S254" i="5"/>
  <c r="T254" i="5"/>
  <c r="U254" i="5"/>
  <c r="V254" i="5"/>
  <c r="W254" i="5"/>
  <c r="R255" i="5"/>
  <c r="S255" i="5"/>
  <c r="T255" i="5"/>
  <c r="U255" i="5"/>
  <c r="V255" i="5"/>
  <c r="W255" i="5"/>
  <c r="R256" i="5"/>
  <c r="S256" i="5"/>
  <c r="T256" i="5"/>
  <c r="U256" i="5"/>
  <c r="V256" i="5"/>
  <c r="W256" i="5"/>
  <c r="R257" i="5"/>
  <c r="S257" i="5"/>
  <c r="T257" i="5"/>
  <c r="U257" i="5"/>
  <c r="V257" i="5"/>
  <c r="W257" i="5"/>
  <c r="R258" i="5"/>
  <c r="S258" i="5"/>
  <c r="T258" i="5"/>
  <c r="U258" i="5"/>
  <c r="V258" i="5"/>
  <c r="W258" i="5"/>
  <c r="R259" i="5"/>
  <c r="S259" i="5"/>
  <c r="T259" i="5"/>
  <c r="U259" i="5"/>
  <c r="V259" i="5"/>
  <c r="W259" i="5"/>
  <c r="R260" i="5"/>
  <c r="S260" i="5"/>
  <c r="T260" i="5"/>
  <c r="U260" i="5"/>
  <c r="V260" i="5"/>
  <c r="W260" i="5"/>
  <c r="R261" i="5"/>
  <c r="S261" i="5"/>
  <c r="T261" i="5"/>
  <c r="U261" i="5"/>
  <c r="V261" i="5"/>
  <c r="W261" i="5"/>
  <c r="R262" i="5"/>
  <c r="S262" i="5"/>
  <c r="T262" i="5"/>
  <c r="U262" i="5"/>
  <c r="V262" i="5"/>
  <c r="W262" i="5"/>
  <c r="R263" i="5"/>
  <c r="S263" i="5"/>
  <c r="T263" i="5"/>
  <c r="U263" i="5"/>
  <c r="V263" i="5"/>
  <c r="W263" i="5"/>
  <c r="R264" i="5"/>
  <c r="S264" i="5"/>
  <c r="T264" i="5"/>
  <c r="U264" i="5"/>
  <c r="V264" i="5"/>
  <c r="W264" i="5"/>
  <c r="R265" i="5"/>
  <c r="S265" i="5"/>
  <c r="T265" i="5"/>
  <c r="U265" i="5"/>
  <c r="V265" i="5"/>
  <c r="W265" i="5"/>
  <c r="R266" i="5"/>
  <c r="S266" i="5"/>
  <c r="T266" i="5"/>
  <c r="U266" i="5"/>
  <c r="V266" i="5"/>
  <c r="W266" i="5"/>
  <c r="R267" i="5"/>
  <c r="S267" i="5"/>
  <c r="T267" i="5"/>
  <c r="U267" i="5"/>
  <c r="V267" i="5"/>
  <c r="W267" i="5"/>
  <c r="R268" i="5"/>
  <c r="S268" i="5"/>
  <c r="T268" i="5"/>
  <c r="U268" i="5"/>
  <c r="V268" i="5"/>
  <c r="W268" i="5"/>
  <c r="R269" i="5"/>
  <c r="S269" i="5"/>
  <c r="T269" i="5"/>
  <c r="U269" i="5"/>
  <c r="V269" i="5"/>
  <c r="W269" i="5"/>
  <c r="R270" i="5"/>
  <c r="S270" i="5"/>
  <c r="T270" i="5"/>
  <c r="U270" i="5"/>
  <c r="V270" i="5"/>
  <c r="W270" i="5"/>
  <c r="R271" i="5"/>
  <c r="S271" i="5"/>
  <c r="T271" i="5"/>
  <c r="U271" i="5"/>
  <c r="V271" i="5"/>
  <c r="W271" i="5"/>
  <c r="R272" i="5"/>
  <c r="S272" i="5"/>
  <c r="T272" i="5"/>
  <c r="U272" i="5"/>
  <c r="V272" i="5"/>
  <c r="W272" i="5"/>
  <c r="R273" i="5"/>
  <c r="S273" i="5"/>
  <c r="T273" i="5"/>
  <c r="U273" i="5"/>
  <c r="V273" i="5"/>
  <c r="W273" i="5"/>
  <c r="R274" i="5"/>
  <c r="S274" i="5"/>
  <c r="T274" i="5"/>
  <c r="U274" i="5"/>
  <c r="V274" i="5"/>
  <c r="W274" i="5"/>
  <c r="R275" i="5"/>
  <c r="S275" i="5"/>
  <c r="T275" i="5"/>
  <c r="U275" i="5"/>
  <c r="V275" i="5"/>
  <c r="W275" i="5"/>
  <c r="R276" i="5"/>
  <c r="S276" i="5"/>
  <c r="T276" i="5"/>
  <c r="U276" i="5"/>
  <c r="V276" i="5"/>
  <c r="W276" i="5"/>
  <c r="R277" i="5"/>
  <c r="S277" i="5"/>
  <c r="T277" i="5"/>
  <c r="U277" i="5"/>
  <c r="V277" i="5"/>
  <c r="W277" i="5"/>
  <c r="R278" i="5"/>
  <c r="S278" i="5"/>
  <c r="T278" i="5"/>
  <c r="U278" i="5"/>
  <c r="V278" i="5"/>
  <c r="W278" i="5"/>
  <c r="R279" i="5"/>
  <c r="S279" i="5"/>
  <c r="T279" i="5"/>
  <c r="U279" i="5"/>
  <c r="V279" i="5"/>
  <c r="W279" i="5"/>
  <c r="R280" i="5"/>
  <c r="S280" i="5"/>
  <c r="T280" i="5"/>
  <c r="U280" i="5"/>
  <c r="V280" i="5"/>
  <c r="W280" i="5"/>
  <c r="R281" i="5"/>
  <c r="S281" i="5"/>
  <c r="T281" i="5"/>
  <c r="U281" i="5"/>
  <c r="V281" i="5"/>
  <c r="W281" i="5"/>
  <c r="R282" i="5"/>
  <c r="S282" i="5"/>
  <c r="T282" i="5"/>
  <c r="U282" i="5"/>
  <c r="V282" i="5"/>
  <c r="W282" i="5"/>
  <c r="R283" i="5"/>
  <c r="S283" i="5"/>
  <c r="T283" i="5"/>
  <c r="U283" i="5"/>
  <c r="V283" i="5"/>
  <c r="W283" i="5"/>
  <c r="R284" i="5"/>
  <c r="S284" i="5"/>
  <c r="T284" i="5"/>
  <c r="U284" i="5"/>
  <c r="V284" i="5"/>
  <c r="W284" i="5"/>
  <c r="R285" i="5"/>
  <c r="S285" i="5"/>
  <c r="T285" i="5"/>
  <c r="U285" i="5"/>
  <c r="V285" i="5"/>
  <c r="W285" i="5"/>
  <c r="R286" i="5"/>
  <c r="S286" i="5"/>
  <c r="T286" i="5"/>
  <c r="U286" i="5"/>
  <c r="V286" i="5"/>
  <c r="W286" i="5"/>
  <c r="R287" i="5"/>
  <c r="S287" i="5"/>
  <c r="T287" i="5"/>
  <c r="U287" i="5"/>
  <c r="V287" i="5"/>
  <c r="W287" i="5"/>
  <c r="R288" i="5"/>
  <c r="S288" i="5"/>
  <c r="T288" i="5"/>
  <c r="U288" i="5"/>
  <c r="V288" i="5"/>
  <c r="W288" i="5"/>
  <c r="R289" i="5"/>
  <c r="S289" i="5"/>
  <c r="T289" i="5"/>
  <c r="U289" i="5"/>
  <c r="V289" i="5"/>
  <c r="W289" i="5"/>
  <c r="R290" i="5"/>
  <c r="S290" i="5"/>
  <c r="T290" i="5"/>
  <c r="U290" i="5"/>
  <c r="V290" i="5"/>
  <c r="W290" i="5"/>
  <c r="R291" i="5"/>
  <c r="S291" i="5"/>
  <c r="T291" i="5"/>
  <c r="U291" i="5"/>
  <c r="V291" i="5"/>
  <c r="W291" i="5"/>
  <c r="R292" i="5"/>
  <c r="S292" i="5"/>
  <c r="T292" i="5"/>
  <c r="U292" i="5"/>
  <c r="V292" i="5"/>
  <c r="W292" i="5"/>
  <c r="R293" i="5"/>
  <c r="S293" i="5"/>
  <c r="T293" i="5"/>
  <c r="U293" i="5"/>
  <c r="V293" i="5"/>
  <c r="W293" i="5"/>
  <c r="R294" i="5"/>
  <c r="S294" i="5"/>
  <c r="T294" i="5"/>
  <c r="U294" i="5"/>
  <c r="V294" i="5"/>
  <c r="W294" i="5"/>
  <c r="R295" i="5"/>
  <c r="S295" i="5"/>
  <c r="T295" i="5"/>
  <c r="U295" i="5"/>
  <c r="V295" i="5"/>
  <c r="W295" i="5"/>
  <c r="R296" i="5"/>
  <c r="S296" i="5"/>
  <c r="T296" i="5"/>
  <c r="U296" i="5"/>
  <c r="V296" i="5"/>
  <c r="W296" i="5"/>
  <c r="R297" i="5"/>
  <c r="S297" i="5"/>
  <c r="T297" i="5"/>
  <c r="U297" i="5"/>
  <c r="V297" i="5"/>
  <c r="W297" i="5"/>
  <c r="R298" i="5"/>
  <c r="S298" i="5"/>
  <c r="T298" i="5"/>
  <c r="U298" i="5"/>
  <c r="V298" i="5"/>
  <c r="W298" i="5"/>
  <c r="R299" i="5"/>
  <c r="S299" i="5"/>
  <c r="T299" i="5"/>
  <c r="U299" i="5"/>
  <c r="V299" i="5"/>
  <c r="W299" i="5"/>
  <c r="R300" i="5"/>
  <c r="S300" i="5"/>
  <c r="T300" i="5"/>
  <c r="U300" i="5"/>
  <c r="V300" i="5"/>
  <c r="W300" i="5"/>
  <c r="R301" i="5"/>
  <c r="S301" i="5"/>
  <c r="T301" i="5"/>
  <c r="U301" i="5"/>
  <c r="V301" i="5"/>
  <c r="W301" i="5"/>
  <c r="R302" i="5"/>
  <c r="S302" i="5"/>
  <c r="T302" i="5"/>
  <c r="U302" i="5"/>
  <c r="V302" i="5"/>
  <c r="W302" i="5"/>
  <c r="R303" i="5"/>
  <c r="S303" i="5"/>
  <c r="T303" i="5"/>
  <c r="U303" i="5"/>
  <c r="V303" i="5"/>
  <c r="W303" i="5"/>
  <c r="R304" i="5"/>
  <c r="S304" i="5"/>
  <c r="T304" i="5"/>
  <c r="U304" i="5"/>
  <c r="V304" i="5"/>
  <c r="W304" i="5"/>
  <c r="R305" i="5"/>
  <c r="S305" i="5"/>
  <c r="T305" i="5"/>
  <c r="U305" i="5"/>
  <c r="V305" i="5"/>
  <c r="W305" i="5"/>
  <c r="R306" i="5"/>
  <c r="S306" i="5"/>
  <c r="T306" i="5"/>
  <c r="U306" i="5"/>
  <c r="V306" i="5"/>
  <c r="W306" i="5"/>
  <c r="S187" i="5"/>
  <c r="T187" i="5"/>
  <c r="U187" i="5"/>
  <c r="V187" i="5"/>
  <c r="W187" i="5"/>
  <c r="R187" i="5"/>
  <c r="R9" i="5"/>
  <c r="S9" i="5"/>
  <c r="T9" i="5"/>
  <c r="U9" i="5"/>
  <c r="V9" i="5"/>
  <c r="W9" i="5"/>
  <c r="R10" i="5"/>
  <c r="S10" i="5"/>
  <c r="T10" i="5"/>
  <c r="U10" i="5"/>
  <c r="V10" i="5"/>
  <c r="W10" i="5"/>
  <c r="R11" i="5"/>
  <c r="S11" i="5"/>
  <c r="T11" i="5"/>
  <c r="U11" i="5"/>
  <c r="V11" i="5"/>
  <c r="W11" i="5"/>
  <c r="R12" i="5"/>
  <c r="S12" i="5"/>
  <c r="T12" i="5"/>
  <c r="U12" i="5"/>
  <c r="V12" i="5"/>
  <c r="W12" i="5"/>
  <c r="R13" i="5"/>
  <c r="S13" i="5"/>
  <c r="T13" i="5"/>
  <c r="U13" i="5"/>
  <c r="V13" i="5"/>
  <c r="W13" i="5"/>
  <c r="R14" i="5"/>
  <c r="S14" i="5"/>
  <c r="T14" i="5"/>
  <c r="U14" i="5"/>
  <c r="V14" i="5"/>
  <c r="W14" i="5"/>
  <c r="R15" i="5"/>
  <c r="S15" i="5"/>
  <c r="T15" i="5"/>
  <c r="U15" i="5"/>
  <c r="V15" i="5"/>
  <c r="W15" i="5"/>
  <c r="R16" i="5"/>
  <c r="S16" i="5"/>
  <c r="T16" i="5"/>
  <c r="U16" i="5"/>
  <c r="V16" i="5"/>
  <c r="W16" i="5"/>
  <c r="R17" i="5"/>
  <c r="S17" i="5"/>
  <c r="T17" i="5"/>
  <c r="U17" i="5"/>
  <c r="V17" i="5"/>
  <c r="W17" i="5"/>
  <c r="R18" i="5"/>
  <c r="S18" i="5"/>
  <c r="T18" i="5"/>
  <c r="U18" i="5"/>
  <c r="V18" i="5"/>
  <c r="W18" i="5"/>
  <c r="R19" i="5"/>
  <c r="S19" i="5"/>
  <c r="T19" i="5"/>
  <c r="U19" i="5"/>
  <c r="V19" i="5"/>
  <c r="W19" i="5"/>
  <c r="R20" i="5"/>
  <c r="S20" i="5"/>
  <c r="T20" i="5"/>
  <c r="U20" i="5"/>
  <c r="V20" i="5"/>
  <c r="W20" i="5"/>
  <c r="R21" i="5"/>
  <c r="S21" i="5"/>
  <c r="T21" i="5"/>
  <c r="U21" i="5"/>
  <c r="V21" i="5"/>
  <c r="W21" i="5"/>
  <c r="R22" i="5"/>
  <c r="S22" i="5"/>
  <c r="T22" i="5"/>
  <c r="U22" i="5"/>
  <c r="V22" i="5"/>
  <c r="W22" i="5"/>
  <c r="R23" i="5"/>
  <c r="S23" i="5"/>
  <c r="T23" i="5"/>
  <c r="U23" i="5"/>
  <c r="V23" i="5"/>
  <c r="W23" i="5"/>
  <c r="R24" i="5"/>
  <c r="S24" i="5"/>
  <c r="T24" i="5"/>
  <c r="U24" i="5"/>
  <c r="V24" i="5"/>
  <c r="W24" i="5"/>
  <c r="R25" i="5"/>
  <c r="S25" i="5"/>
  <c r="T25" i="5"/>
  <c r="U25" i="5"/>
  <c r="V25" i="5"/>
  <c r="W25" i="5"/>
  <c r="R26" i="5"/>
  <c r="S26" i="5"/>
  <c r="T26" i="5"/>
  <c r="U26" i="5"/>
  <c r="V26" i="5"/>
  <c r="W26" i="5"/>
  <c r="R27" i="5"/>
  <c r="S27" i="5"/>
  <c r="T27" i="5"/>
  <c r="U27" i="5"/>
  <c r="V27" i="5"/>
  <c r="W27" i="5"/>
  <c r="R28" i="5"/>
  <c r="S28" i="5"/>
  <c r="T28" i="5"/>
  <c r="U28" i="5"/>
  <c r="V28" i="5"/>
  <c r="W28" i="5"/>
  <c r="R29" i="5"/>
  <c r="S29" i="5"/>
  <c r="T29" i="5"/>
  <c r="U29" i="5"/>
  <c r="V29" i="5"/>
  <c r="W29" i="5"/>
  <c r="R30" i="5"/>
  <c r="S30" i="5"/>
  <c r="T30" i="5"/>
  <c r="U30" i="5"/>
  <c r="V30" i="5"/>
  <c r="W30" i="5"/>
  <c r="R31" i="5"/>
  <c r="S31" i="5"/>
  <c r="T31" i="5"/>
  <c r="U31" i="5"/>
  <c r="V31" i="5"/>
  <c r="W31" i="5"/>
  <c r="R32" i="5"/>
  <c r="S32" i="5"/>
  <c r="T32" i="5"/>
  <c r="U32" i="5"/>
  <c r="V32" i="5"/>
  <c r="W32" i="5"/>
  <c r="R33" i="5"/>
  <c r="S33" i="5"/>
  <c r="T33" i="5"/>
  <c r="U33" i="5"/>
  <c r="V33" i="5"/>
  <c r="W33" i="5"/>
  <c r="R34" i="5"/>
  <c r="S34" i="5"/>
  <c r="T34" i="5"/>
  <c r="U34" i="5"/>
  <c r="V34" i="5"/>
  <c r="W34" i="5"/>
  <c r="R35" i="5"/>
  <c r="S35" i="5"/>
  <c r="T35" i="5"/>
  <c r="U35" i="5"/>
  <c r="V35" i="5"/>
  <c r="W35" i="5"/>
  <c r="R36" i="5"/>
  <c r="S36" i="5"/>
  <c r="T36" i="5"/>
  <c r="U36" i="5"/>
  <c r="V36" i="5"/>
  <c r="W36" i="5"/>
  <c r="R37" i="5"/>
  <c r="S37" i="5"/>
  <c r="T37" i="5"/>
  <c r="U37" i="5"/>
  <c r="V37" i="5"/>
  <c r="W37" i="5"/>
  <c r="R38" i="5"/>
  <c r="S38" i="5"/>
  <c r="T38" i="5"/>
  <c r="U38" i="5"/>
  <c r="V38" i="5"/>
  <c r="W38" i="5"/>
  <c r="R39" i="5"/>
  <c r="S39" i="5"/>
  <c r="T39" i="5"/>
  <c r="U39" i="5"/>
  <c r="V39" i="5"/>
  <c r="W39" i="5"/>
  <c r="R40" i="5"/>
  <c r="S40" i="5"/>
  <c r="T40" i="5"/>
  <c r="U40" i="5"/>
  <c r="V40" i="5"/>
  <c r="W40" i="5"/>
  <c r="R41" i="5"/>
  <c r="S41" i="5"/>
  <c r="T41" i="5"/>
  <c r="U41" i="5"/>
  <c r="V41" i="5"/>
  <c r="W41" i="5"/>
  <c r="R42" i="5"/>
  <c r="S42" i="5"/>
  <c r="T42" i="5"/>
  <c r="U42" i="5"/>
  <c r="V42" i="5"/>
  <c r="W42" i="5"/>
  <c r="R43" i="5"/>
  <c r="S43" i="5"/>
  <c r="T43" i="5"/>
  <c r="U43" i="5"/>
  <c r="V43" i="5"/>
  <c r="W43" i="5"/>
  <c r="R44" i="5"/>
  <c r="S44" i="5"/>
  <c r="T44" i="5"/>
  <c r="U44" i="5"/>
  <c r="V44" i="5"/>
  <c r="W44" i="5"/>
  <c r="R45" i="5"/>
  <c r="S45" i="5"/>
  <c r="T45" i="5"/>
  <c r="U45" i="5"/>
  <c r="V45" i="5"/>
  <c r="W45" i="5"/>
  <c r="R46" i="5"/>
  <c r="S46" i="5"/>
  <c r="T46" i="5"/>
  <c r="U46" i="5"/>
  <c r="V46" i="5"/>
  <c r="W46" i="5"/>
  <c r="R47" i="5"/>
  <c r="S47" i="5"/>
  <c r="T47" i="5"/>
  <c r="U47" i="5"/>
  <c r="V47" i="5"/>
  <c r="W47" i="5"/>
  <c r="R48" i="5"/>
  <c r="S48" i="5"/>
  <c r="T48" i="5"/>
  <c r="U48" i="5"/>
  <c r="V48" i="5"/>
  <c r="W48" i="5"/>
  <c r="R49" i="5"/>
  <c r="S49" i="5"/>
  <c r="T49" i="5"/>
  <c r="U49" i="5"/>
  <c r="V49" i="5"/>
  <c r="W49" i="5"/>
  <c r="R50" i="5"/>
  <c r="S50" i="5"/>
  <c r="T50" i="5"/>
  <c r="U50" i="5"/>
  <c r="V50" i="5"/>
  <c r="W50" i="5"/>
  <c r="R51" i="5"/>
  <c r="S51" i="5"/>
  <c r="T51" i="5"/>
  <c r="U51" i="5"/>
  <c r="V51" i="5"/>
  <c r="W51" i="5"/>
  <c r="R52" i="5"/>
  <c r="S52" i="5"/>
  <c r="T52" i="5"/>
  <c r="U52" i="5"/>
  <c r="V52" i="5"/>
  <c r="W52" i="5"/>
  <c r="R53" i="5"/>
  <c r="S53" i="5"/>
  <c r="T53" i="5"/>
  <c r="U53" i="5"/>
  <c r="V53" i="5"/>
  <c r="W53" i="5"/>
  <c r="R54" i="5"/>
  <c r="S54" i="5"/>
  <c r="T54" i="5"/>
  <c r="U54" i="5"/>
  <c r="V54" i="5"/>
  <c r="W54" i="5"/>
  <c r="R55" i="5"/>
  <c r="S55" i="5"/>
  <c r="T55" i="5"/>
  <c r="U55" i="5"/>
  <c r="V55" i="5"/>
  <c r="W55" i="5"/>
  <c r="R56" i="5"/>
  <c r="S56" i="5"/>
  <c r="T56" i="5"/>
  <c r="U56" i="5"/>
  <c r="V56" i="5"/>
  <c r="W56" i="5"/>
  <c r="R57" i="5"/>
  <c r="S57" i="5"/>
  <c r="T57" i="5"/>
  <c r="U57" i="5"/>
  <c r="V57" i="5"/>
  <c r="W57" i="5"/>
  <c r="R58" i="5"/>
  <c r="S58" i="5"/>
  <c r="T58" i="5"/>
  <c r="U58" i="5"/>
  <c r="V58" i="5"/>
  <c r="W58" i="5"/>
  <c r="R59" i="5"/>
  <c r="S59" i="5"/>
  <c r="T59" i="5"/>
  <c r="U59" i="5"/>
  <c r="V59" i="5"/>
  <c r="W59" i="5"/>
  <c r="R60" i="5"/>
  <c r="S60" i="5"/>
  <c r="T60" i="5"/>
  <c r="U60" i="5"/>
  <c r="V60" i="5"/>
  <c r="W60" i="5"/>
  <c r="R61" i="5"/>
  <c r="S61" i="5"/>
  <c r="T61" i="5"/>
  <c r="U61" i="5"/>
  <c r="V61" i="5"/>
  <c r="W61" i="5"/>
  <c r="R62" i="5"/>
  <c r="S62" i="5"/>
  <c r="T62" i="5"/>
  <c r="U62" i="5"/>
  <c r="V62" i="5"/>
  <c r="W62" i="5"/>
  <c r="R63" i="5"/>
  <c r="S63" i="5"/>
  <c r="T63" i="5"/>
  <c r="U63" i="5"/>
  <c r="V63" i="5"/>
  <c r="W63" i="5"/>
  <c r="R64" i="5"/>
  <c r="S64" i="5"/>
  <c r="T64" i="5"/>
  <c r="U64" i="5"/>
  <c r="V64" i="5"/>
  <c r="W64" i="5"/>
  <c r="R65" i="5"/>
  <c r="S65" i="5"/>
  <c r="T65" i="5"/>
  <c r="U65" i="5"/>
  <c r="V65" i="5"/>
  <c r="W65" i="5"/>
  <c r="R66" i="5"/>
  <c r="S66" i="5"/>
  <c r="T66" i="5"/>
  <c r="U66" i="5"/>
  <c r="V66" i="5"/>
  <c r="W66" i="5"/>
  <c r="R67" i="5"/>
  <c r="S67" i="5"/>
  <c r="T67" i="5"/>
  <c r="U67" i="5"/>
  <c r="V67" i="5"/>
  <c r="W67" i="5"/>
  <c r="R68" i="5"/>
  <c r="S68" i="5"/>
  <c r="T68" i="5"/>
  <c r="U68" i="5"/>
  <c r="V68" i="5"/>
  <c r="W68" i="5"/>
  <c r="R69" i="5"/>
  <c r="S69" i="5"/>
  <c r="T69" i="5"/>
  <c r="U69" i="5"/>
  <c r="V69" i="5"/>
  <c r="W69" i="5"/>
  <c r="R70" i="5"/>
  <c r="S70" i="5"/>
  <c r="T70" i="5"/>
  <c r="U70" i="5"/>
  <c r="V70" i="5"/>
  <c r="W70" i="5"/>
  <c r="R71" i="5"/>
  <c r="S71" i="5"/>
  <c r="T71" i="5"/>
  <c r="U71" i="5"/>
  <c r="V71" i="5"/>
  <c r="W71" i="5"/>
  <c r="R72" i="5"/>
  <c r="S72" i="5"/>
  <c r="T72" i="5"/>
  <c r="U72" i="5"/>
  <c r="V72" i="5"/>
  <c r="W72" i="5"/>
  <c r="R73" i="5"/>
  <c r="S73" i="5"/>
  <c r="T73" i="5"/>
  <c r="U73" i="5"/>
  <c r="V73" i="5"/>
  <c r="W73" i="5"/>
  <c r="R74" i="5"/>
  <c r="S74" i="5"/>
  <c r="T74" i="5"/>
  <c r="U74" i="5"/>
  <c r="V74" i="5"/>
  <c r="W74" i="5"/>
  <c r="R75" i="5"/>
  <c r="S75" i="5"/>
  <c r="T75" i="5"/>
  <c r="U75" i="5"/>
  <c r="V75" i="5"/>
  <c r="W75" i="5"/>
  <c r="R76" i="5"/>
  <c r="S76" i="5"/>
  <c r="T76" i="5"/>
  <c r="U76" i="5"/>
  <c r="V76" i="5"/>
  <c r="W76" i="5"/>
  <c r="R77" i="5"/>
  <c r="S77" i="5"/>
  <c r="T77" i="5"/>
  <c r="U77" i="5"/>
  <c r="V77" i="5"/>
  <c r="W77" i="5"/>
  <c r="R78" i="5"/>
  <c r="S78" i="5"/>
  <c r="T78" i="5"/>
  <c r="U78" i="5"/>
  <c r="V78" i="5"/>
  <c r="W78" i="5"/>
  <c r="R79" i="5"/>
  <c r="S79" i="5"/>
  <c r="T79" i="5"/>
  <c r="U79" i="5"/>
  <c r="V79" i="5"/>
  <c r="W79" i="5"/>
  <c r="R80" i="5"/>
  <c r="S80" i="5"/>
  <c r="T80" i="5"/>
  <c r="U80" i="5"/>
  <c r="V80" i="5"/>
  <c r="W80" i="5"/>
  <c r="R81" i="5"/>
  <c r="S81" i="5"/>
  <c r="T81" i="5"/>
  <c r="U81" i="5"/>
  <c r="V81" i="5"/>
  <c r="W81" i="5"/>
  <c r="R82" i="5"/>
  <c r="S82" i="5"/>
  <c r="T82" i="5"/>
  <c r="U82" i="5"/>
  <c r="V82" i="5"/>
  <c r="W82" i="5"/>
  <c r="R83" i="5"/>
  <c r="S83" i="5"/>
  <c r="T83" i="5"/>
  <c r="U83" i="5"/>
  <c r="V83" i="5"/>
  <c r="W83" i="5"/>
  <c r="R84" i="5"/>
  <c r="S84" i="5"/>
  <c r="T84" i="5"/>
  <c r="U84" i="5"/>
  <c r="V84" i="5"/>
  <c r="W84" i="5"/>
  <c r="R85" i="5"/>
  <c r="S85" i="5"/>
  <c r="T85" i="5"/>
  <c r="U85" i="5"/>
  <c r="V85" i="5"/>
  <c r="W85" i="5"/>
  <c r="R86" i="5"/>
  <c r="S86" i="5"/>
  <c r="T86" i="5"/>
  <c r="U86" i="5"/>
  <c r="V86" i="5"/>
  <c r="W86" i="5"/>
  <c r="R87" i="5"/>
  <c r="S87" i="5"/>
  <c r="T87" i="5"/>
  <c r="U87" i="5"/>
  <c r="V87" i="5"/>
  <c r="W87" i="5"/>
  <c r="R88" i="5"/>
  <c r="S88" i="5"/>
  <c r="T88" i="5"/>
  <c r="U88" i="5"/>
  <c r="V88" i="5"/>
  <c r="W88" i="5"/>
  <c r="R89" i="5"/>
  <c r="S89" i="5"/>
  <c r="T89" i="5"/>
  <c r="U89" i="5"/>
  <c r="V89" i="5"/>
  <c r="W89" i="5"/>
  <c r="R90" i="5"/>
  <c r="S90" i="5"/>
  <c r="T90" i="5"/>
  <c r="U90" i="5"/>
  <c r="V90" i="5"/>
  <c r="W90" i="5"/>
  <c r="R91" i="5"/>
  <c r="S91" i="5"/>
  <c r="T91" i="5"/>
  <c r="U91" i="5"/>
  <c r="V91" i="5"/>
  <c r="W91" i="5"/>
  <c r="R92" i="5"/>
  <c r="S92" i="5"/>
  <c r="T92" i="5"/>
  <c r="U92" i="5"/>
  <c r="V92" i="5"/>
  <c r="W92" i="5"/>
  <c r="R93" i="5"/>
  <c r="S93" i="5"/>
  <c r="T93" i="5"/>
  <c r="U93" i="5"/>
  <c r="V93" i="5"/>
  <c r="W93" i="5"/>
  <c r="R94" i="5"/>
  <c r="S94" i="5"/>
  <c r="T94" i="5"/>
  <c r="U94" i="5"/>
  <c r="V94" i="5"/>
  <c r="W94" i="5"/>
  <c r="R95" i="5"/>
  <c r="S95" i="5"/>
  <c r="T95" i="5"/>
  <c r="U95" i="5"/>
  <c r="V95" i="5"/>
  <c r="W95" i="5"/>
  <c r="R96" i="5"/>
  <c r="S96" i="5"/>
  <c r="T96" i="5"/>
  <c r="U96" i="5"/>
  <c r="V96" i="5"/>
  <c r="W96" i="5"/>
  <c r="R97" i="5"/>
  <c r="S97" i="5"/>
  <c r="T97" i="5"/>
  <c r="U97" i="5"/>
  <c r="V97" i="5"/>
  <c r="W97" i="5"/>
  <c r="R98" i="5"/>
  <c r="S98" i="5"/>
  <c r="T98" i="5"/>
  <c r="U98" i="5"/>
  <c r="V98" i="5"/>
  <c r="W98" i="5"/>
  <c r="R99" i="5"/>
  <c r="S99" i="5"/>
  <c r="T99" i="5"/>
  <c r="U99" i="5"/>
  <c r="V99" i="5"/>
  <c r="W99" i="5"/>
  <c r="R100" i="5"/>
  <c r="S100" i="5"/>
  <c r="T100" i="5"/>
  <c r="U100" i="5"/>
  <c r="V100" i="5"/>
  <c r="W100" i="5"/>
  <c r="R101" i="5"/>
  <c r="S101" i="5"/>
  <c r="T101" i="5"/>
  <c r="U101" i="5"/>
  <c r="V101" i="5"/>
  <c r="W101" i="5"/>
  <c r="R102" i="5"/>
  <c r="S102" i="5"/>
  <c r="T102" i="5"/>
  <c r="U102" i="5"/>
  <c r="V102" i="5"/>
  <c r="W102" i="5"/>
  <c r="R103" i="5"/>
  <c r="S103" i="5"/>
  <c r="T103" i="5"/>
  <c r="U103" i="5"/>
  <c r="V103" i="5"/>
  <c r="W103" i="5"/>
  <c r="R104" i="5"/>
  <c r="S104" i="5"/>
  <c r="T104" i="5"/>
  <c r="U104" i="5"/>
  <c r="V104" i="5"/>
  <c r="W104" i="5"/>
  <c r="R105" i="5"/>
  <c r="S105" i="5"/>
  <c r="T105" i="5"/>
  <c r="U105" i="5"/>
  <c r="V105" i="5"/>
  <c r="W105" i="5"/>
  <c r="R106" i="5"/>
  <c r="S106" i="5"/>
  <c r="T106" i="5"/>
  <c r="U106" i="5"/>
  <c r="V106" i="5"/>
  <c r="W106" i="5"/>
  <c r="R107" i="5"/>
  <c r="S107" i="5"/>
  <c r="T107" i="5"/>
  <c r="U107" i="5"/>
  <c r="V107" i="5"/>
  <c r="W107" i="5"/>
  <c r="R108" i="5"/>
  <c r="S108" i="5"/>
  <c r="T108" i="5"/>
  <c r="U108" i="5"/>
  <c r="V108" i="5"/>
  <c r="W108" i="5"/>
  <c r="R109" i="5"/>
  <c r="S109" i="5"/>
  <c r="T109" i="5"/>
  <c r="U109" i="5"/>
  <c r="V109" i="5"/>
  <c r="W109" i="5"/>
  <c r="R110" i="5"/>
  <c r="S110" i="5"/>
  <c r="T110" i="5"/>
  <c r="U110" i="5"/>
  <c r="V110" i="5"/>
  <c r="W110" i="5"/>
  <c r="R111" i="5"/>
  <c r="S111" i="5"/>
  <c r="T111" i="5"/>
  <c r="U111" i="5"/>
  <c r="V111" i="5"/>
  <c r="W111" i="5"/>
  <c r="R112" i="5"/>
  <c r="S112" i="5"/>
  <c r="T112" i="5"/>
  <c r="U112" i="5"/>
  <c r="V112" i="5"/>
  <c r="W112" i="5"/>
  <c r="R113" i="5"/>
  <c r="S113" i="5"/>
  <c r="T113" i="5"/>
  <c r="U113" i="5"/>
  <c r="V113" i="5"/>
  <c r="W113" i="5"/>
  <c r="R114" i="5"/>
  <c r="S114" i="5"/>
  <c r="T114" i="5"/>
  <c r="U114" i="5"/>
  <c r="V114" i="5"/>
  <c r="W114" i="5"/>
  <c r="R115" i="5"/>
  <c r="S115" i="5"/>
  <c r="T115" i="5"/>
  <c r="U115" i="5"/>
  <c r="V115" i="5"/>
  <c r="W115" i="5"/>
  <c r="R116" i="5"/>
  <c r="S116" i="5"/>
  <c r="T116" i="5"/>
  <c r="U116" i="5"/>
  <c r="V116" i="5"/>
  <c r="W116" i="5"/>
  <c r="R117" i="5"/>
  <c r="S117" i="5"/>
  <c r="T117" i="5"/>
  <c r="U117" i="5"/>
  <c r="V117" i="5"/>
  <c r="W117" i="5"/>
  <c r="R118" i="5"/>
  <c r="S118" i="5"/>
  <c r="T118" i="5"/>
  <c r="U118" i="5"/>
  <c r="V118" i="5"/>
  <c r="W118" i="5"/>
  <c r="R119" i="5"/>
  <c r="S119" i="5"/>
  <c r="T119" i="5"/>
  <c r="U119" i="5"/>
  <c r="V119" i="5"/>
  <c r="W119" i="5"/>
  <c r="R120" i="5"/>
  <c r="S120" i="5"/>
  <c r="T120" i="5"/>
  <c r="U120" i="5"/>
  <c r="V120" i="5"/>
  <c r="W120" i="5"/>
  <c r="R121" i="5"/>
  <c r="S121" i="5"/>
  <c r="T121" i="5"/>
  <c r="U121" i="5"/>
  <c r="V121" i="5"/>
  <c r="W121" i="5"/>
  <c r="R122" i="5"/>
  <c r="S122" i="5"/>
  <c r="T122" i="5"/>
  <c r="U122" i="5"/>
  <c r="V122" i="5"/>
  <c r="W122" i="5"/>
  <c r="R123" i="5"/>
  <c r="S123" i="5"/>
  <c r="T123" i="5"/>
  <c r="U123" i="5"/>
  <c r="V123" i="5"/>
  <c r="W123" i="5"/>
  <c r="R124" i="5"/>
  <c r="S124" i="5"/>
  <c r="T124" i="5"/>
  <c r="U124" i="5"/>
  <c r="V124" i="5"/>
  <c r="W124" i="5"/>
  <c r="R125" i="5"/>
  <c r="S125" i="5"/>
  <c r="T125" i="5"/>
  <c r="U125" i="5"/>
  <c r="V125" i="5"/>
  <c r="W125" i="5"/>
  <c r="R126" i="5"/>
  <c r="S126" i="5"/>
  <c r="T126" i="5"/>
  <c r="U126" i="5"/>
  <c r="V126" i="5"/>
  <c r="W126" i="5"/>
  <c r="R127" i="5"/>
  <c r="S127" i="5"/>
  <c r="T127" i="5"/>
  <c r="U127" i="5"/>
  <c r="V127" i="5"/>
  <c r="W127" i="5"/>
  <c r="R128" i="5"/>
  <c r="S128" i="5"/>
  <c r="T128" i="5"/>
  <c r="U128" i="5"/>
  <c r="V128" i="5"/>
  <c r="W128" i="5"/>
  <c r="R129" i="5"/>
  <c r="S129" i="5"/>
  <c r="T129" i="5"/>
  <c r="U129" i="5"/>
  <c r="V129" i="5"/>
  <c r="W129" i="5"/>
  <c r="R130" i="5"/>
  <c r="S130" i="5"/>
  <c r="T130" i="5"/>
  <c r="U130" i="5"/>
  <c r="V130" i="5"/>
  <c r="W130" i="5"/>
  <c r="R131" i="5"/>
  <c r="S131" i="5"/>
  <c r="T131" i="5"/>
  <c r="U131" i="5"/>
  <c r="V131" i="5"/>
  <c r="W131" i="5"/>
  <c r="R132" i="5"/>
  <c r="S132" i="5"/>
  <c r="T132" i="5"/>
  <c r="U132" i="5"/>
  <c r="V132" i="5"/>
  <c r="W132" i="5"/>
  <c r="R133" i="5"/>
  <c r="S133" i="5"/>
  <c r="T133" i="5"/>
  <c r="U133" i="5"/>
  <c r="V133" i="5"/>
  <c r="W133" i="5"/>
  <c r="R134" i="5"/>
  <c r="S134" i="5"/>
  <c r="T134" i="5"/>
  <c r="U134" i="5"/>
  <c r="V134" i="5"/>
  <c r="W134" i="5"/>
  <c r="R135" i="5"/>
  <c r="S135" i="5"/>
  <c r="T135" i="5"/>
  <c r="U135" i="5"/>
  <c r="V135" i="5"/>
  <c r="W135" i="5"/>
  <c r="R136" i="5"/>
  <c r="S136" i="5"/>
  <c r="T136" i="5"/>
  <c r="U136" i="5"/>
  <c r="V136" i="5"/>
  <c r="W136" i="5"/>
  <c r="R137" i="5"/>
  <c r="S137" i="5"/>
  <c r="T137" i="5"/>
  <c r="U137" i="5"/>
  <c r="V137" i="5"/>
  <c r="W137" i="5"/>
  <c r="R138" i="5"/>
  <c r="S138" i="5"/>
  <c r="T138" i="5"/>
  <c r="U138" i="5"/>
  <c r="V138" i="5"/>
  <c r="W138" i="5"/>
  <c r="R139" i="5"/>
  <c r="S139" i="5"/>
  <c r="T139" i="5"/>
  <c r="U139" i="5"/>
  <c r="V139" i="5"/>
  <c r="W139" i="5"/>
  <c r="R140" i="5"/>
  <c r="S140" i="5"/>
  <c r="T140" i="5"/>
  <c r="U140" i="5"/>
  <c r="V140" i="5"/>
  <c r="W140" i="5"/>
  <c r="R141" i="5"/>
  <c r="S141" i="5"/>
  <c r="T141" i="5"/>
  <c r="U141" i="5"/>
  <c r="V141" i="5"/>
  <c r="W141" i="5"/>
  <c r="R142" i="5"/>
  <c r="S142" i="5"/>
  <c r="T142" i="5"/>
  <c r="U142" i="5"/>
  <c r="V142" i="5"/>
  <c r="W142" i="5"/>
  <c r="R143" i="5"/>
  <c r="S143" i="5"/>
  <c r="T143" i="5"/>
  <c r="U143" i="5"/>
  <c r="V143" i="5"/>
  <c r="W143" i="5"/>
  <c r="R144" i="5"/>
  <c r="S144" i="5"/>
  <c r="T144" i="5"/>
  <c r="U144" i="5"/>
  <c r="V144" i="5"/>
  <c r="W144" i="5"/>
  <c r="R145" i="5"/>
  <c r="S145" i="5"/>
  <c r="T145" i="5"/>
  <c r="U145" i="5"/>
  <c r="V145" i="5"/>
  <c r="W145" i="5"/>
  <c r="R146" i="5"/>
  <c r="S146" i="5"/>
  <c r="T146" i="5"/>
  <c r="U146" i="5"/>
  <c r="V146" i="5"/>
  <c r="W146" i="5"/>
  <c r="R147" i="5"/>
  <c r="S147" i="5"/>
  <c r="T147" i="5"/>
  <c r="U147" i="5"/>
  <c r="V147" i="5"/>
  <c r="W147" i="5"/>
  <c r="R148" i="5"/>
  <c r="S148" i="5"/>
  <c r="T148" i="5"/>
  <c r="U148" i="5"/>
  <c r="V148" i="5"/>
  <c r="W148" i="5"/>
  <c r="R149" i="5"/>
  <c r="S149" i="5"/>
  <c r="T149" i="5"/>
  <c r="U149" i="5"/>
  <c r="V149" i="5"/>
  <c r="W149" i="5"/>
  <c r="R150" i="5"/>
  <c r="S150" i="5"/>
  <c r="T150" i="5"/>
  <c r="U150" i="5"/>
  <c r="V150" i="5"/>
  <c r="W150" i="5"/>
  <c r="R151" i="5"/>
  <c r="S151" i="5"/>
  <c r="T151" i="5"/>
  <c r="U151" i="5"/>
  <c r="V151" i="5"/>
  <c r="W151" i="5"/>
  <c r="R152" i="5"/>
  <c r="S152" i="5"/>
  <c r="T152" i="5"/>
  <c r="U152" i="5"/>
  <c r="V152" i="5"/>
  <c r="W152" i="5"/>
  <c r="R153" i="5"/>
  <c r="S153" i="5"/>
  <c r="T153" i="5"/>
  <c r="U153" i="5"/>
  <c r="V153" i="5"/>
  <c r="W153" i="5"/>
  <c r="R154" i="5"/>
  <c r="S154" i="5"/>
  <c r="T154" i="5"/>
  <c r="U154" i="5"/>
  <c r="V154" i="5"/>
  <c r="W154" i="5"/>
  <c r="R155" i="5"/>
  <c r="S155" i="5"/>
  <c r="T155" i="5"/>
  <c r="U155" i="5"/>
  <c r="V155" i="5"/>
  <c r="W155" i="5"/>
  <c r="R156" i="5"/>
  <c r="S156" i="5"/>
  <c r="T156" i="5"/>
  <c r="U156" i="5"/>
  <c r="V156" i="5"/>
  <c r="W156" i="5"/>
  <c r="R157" i="5"/>
  <c r="S157" i="5"/>
  <c r="T157" i="5"/>
  <c r="U157" i="5"/>
  <c r="V157" i="5"/>
  <c r="W157" i="5"/>
  <c r="R158" i="5"/>
  <c r="S158" i="5"/>
  <c r="T158" i="5"/>
  <c r="U158" i="5"/>
  <c r="V158" i="5"/>
  <c r="W158" i="5"/>
  <c r="R159" i="5"/>
  <c r="S159" i="5"/>
  <c r="T159" i="5"/>
  <c r="U159" i="5"/>
  <c r="V159" i="5"/>
  <c r="W159" i="5"/>
  <c r="R160" i="5"/>
  <c r="S160" i="5"/>
  <c r="T160" i="5"/>
  <c r="U160" i="5"/>
  <c r="V160" i="5"/>
  <c r="W160" i="5"/>
  <c r="R161" i="5"/>
  <c r="S161" i="5"/>
  <c r="T161" i="5"/>
  <c r="U161" i="5"/>
  <c r="V161" i="5"/>
  <c r="W161" i="5"/>
  <c r="R162" i="5"/>
  <c r="S162" i="5"/>
  <c r="T162" i="5"/>
  <c r="U162" i="5"/>
  <c r="V162" i="5"/>
  <c r="W162" i="5"/>
  <c r="R163" i="5"/>
  <c r="S163" i="5"/>
  <c r="T163" i="5"/>
  <c r="U163" i="5"/>
  <c r="V163" i="5"/>
  <c r="W163" i="5"/>
  <c r="R164" i="5"/>
  <c r="S164" i="5"/>
  <c r="T164" i="5"/>
  <c r="U164" i="5"/>
  <c r="V164" i="5"/>
  <c r="W164" i="5"/>
  <c r="R165" i="5"/>
  <c r="S165" i="5"/>
  <c r="T165" i="5"/>
  <c r="U165" i="5"/>
  <c r="V165" i="5"/>
  <c r="W165" i="5"/>
  <c r="R166" i="5"/>
  <c r="S166" i="5"/>
  <c r="T166" i="5"/>
  <c r="U166" i="5"/>
  <c r="V166" i="5"/>
  <c r="W166" i="5"/>
  <c r="R167" i="5"/>
  <c r="S167" i="5"/>
  <c r="T167" i="5"/>
  <c r="U167" i="5"/>
  <c r="V167" i="5"/>
  <c r="W167" i="5"/>
  <c r="R168" i="5"/>
  <c r="S168" i="5"/>
  <c r="T168" i="5"/>
  <c r="U168" i="5"/>
  <c r="V168" i="5"/>
  <c r="W168" i="5"/>
  <c r="R169" i="5"/>
  <c r="S169" i="5"/>
  <c r="T169" i="5"/>
  <c r="U169" i="5"/>
  <c r="V169" i="5"/>
  <c r="W169" i="5"/>
  <c r="R170" i="5"/>
  <c r="S170" i="5"/>
  <c r="T170" i="5"/>
  <c r="U170" i="5"/>
  <c r="V170" i="5"/>
  <c r="W170" i="5"/>
  <c r="R171" i="5"/>
  <c r="S171" i="5"/>
  <c r="T171" i="5"/>
  <c r="U171" i="5"/>
  <c r="V171" i="5"/>
  <c r="W171" i="5"/>
  <c r="R172" i="5"/>
  <c r="S172" i="5"/>
  <c r="T172" i="5"/>
  <c r="U172" i="5"/>
  <c r="V172" i="5"/>
  <c r="W172" i="5"/>
  <c r="R173" i="5"/>
  <c r="S173" i="5"/>
  <c r="T173" i="5"/>
  <c r="U173" i="5"/>
  <c r="V173" i="5"/>
  <c r="W173" i="5"/>
  <c r="R174" i="5"/>
  <c r="S174" i="5"/>
  <c r="T174" i="5"/>
  <c r="U174" i="5"/>
  <c r="V174" i="5"/>
  <c r="W174" i="5"/>
  <c r="R175" i="5"/>
  <c r="S175" i="5"/>
  <c r="T175" i="5"/>
  <c r="U175" i="5"/>
  <c r="V175" i="5"/>
  <c r="W175" i="5"/>
  <c r="R176" i="5"/>
  <c r="S176" i="5"/>
  <c r="T176" i="5"/>
  <c r="U176" i="5"/>
  <c r="V176" i="5"/>
  <c r="W176" i="5"/>
  <c r="R177" i="5"/>
  <c r="S177" i="5"/>
  <c r="T177" i="5"/>
  <c r="U177" i="5"/>
  <c r="V177" i="5"/>
  <c r="W177" i="5"/>
  <c r="R178" i="5"/>
  <c r="S178" i="5"/>
  <c r="T178" i="5"/>
  <c r="U178" i="5"/>
  <c r="V178" i="5"/>
  <c r="W178" i="5"/>
  <c r="R179" i="5"/>
  <c r="S179" i="5"/>
  <c r="T179" i="5"/>
  <c r="U179" i="5"/>
  <c r="V179" i="5"/>
  <c r="W179" i="5"/>
  <c r="R180" i="5"/>
  <c r="S180" i="5"/>
  <c r="T180" i="5"/>
  <c r="U180" i="5"/>
  <c r="V180" i="5"/>
  <c r="W180" i="5"/>
  <c r="R181" i="5"/>
  <c r="S181" i="5"/>
  <c r="T181" i="5"/>
  <c r="U181" i="5"/>
  <c r="V181" i="5"/>
  <c r="W181" i="5"/>
  <c r="R182" i="5"/>
  <c r="S182" i="5"/>
  <c r="T182" i="5"/>
  <c r="U182" i="5"/>
  <c r="V182" i="5"/>
  <c r="W182" i="5"/>
  <c r="R183" i="5"/>
  <c r="S183" i="5"/>
  <c r="T183" i="5"/>
  <c r="U183" i="5"/>
  <c r="V183" i="5"/>
  <c r="W183" i="5"/>
  <c r="R184" i="5"/>
  <c r="S184" i="5"/>
  <c r="T184" i="5"/>
  <c r="U184" i="5"/>
  <c r="V184" i="5"/>
  <c r="W184" i="5"/>
  <c r="R185" i="5"/>
  <c r="S185" i="5"/>
  <c r="T185" i="5"/>
  <c r="U185" i="5"/>
  <c r="V185" i="5"/>
  <c r="W185" i="5"/>
  <c r="R186" i="5"/>
  <c r="S186" i="5"/>
  <c r="T186" i="5"/>
  <c r="U186" i="5"/>
  <c r="V186" i="5"/>
  <c r="W186" i="5"/>
  <c r="R8" i="5"/>
  <c r="S8" i="5"/>
  <c r="T8" i="5"/>
  <c r="U8" i="5"/>
  <c r="V8" i="5"/>
  <c r="W8" i="5"/>
  <c r="S7" i="5"/>
  <c r="T7" i="5"/>
  <c r="U7" i="5"/>
  <c r="V7" i="5"/>
  <c r="W7" i="5"/>
  <c r="R7" i="5"/>
  <c r="B8" i="4"/>
  <c r="I28" i="4"/>
  <c r="I29" i="4" s="1"/>
  <c r="P20" i="4"/>
  <c r="B20" i="4"/>
  <c r="P19" i="4"/>
  <c r="N16" i="4"/>
  <c r="B15" i="4"/>
  <c r="B13" i="4"/>
  <c r="B24" i="4" s="1"/>
  <c r="C12" i="4"/>
  <c r="T11" i="4"/>
  <c r="C11" i="4"/>
  <c r="T10" i="4"/>
  <c r="O7" i="4"/>
  <c r="N7" i="4"/>
  <c r="K7" i="4"/>
  <c r="J7" i="4"/>
  <c r="I7" i="4"/>
  <c r="H7" i="4"/>
  <c r="G7" i="4"/>
  <c r="F7" i="4"/>
  <c r="E7" i="4"/>
  <c r="D7" i="4"/>
  <c r="C7" i="4"/>
  <c r="B7" i="4"/>
  <c r="T6" i="4"/>
  <c r="H18" i="4" s="1"/>
  <c r="R6" i="4"/>
  <c r="O6" i="4"/>
  <c r="N6" i="4"/>
  <c r="K6" i="4"/>
  <c r="J6" i="4"/>
  <c r="I6" i="4"/>
  <c r="H6" i="4"/>
  <c r="G6" i="4"/>
  <c r="F6" i="4"/>
  <c r="E6" i="4"/>
  <c r="D6" i="4"/>
  <c r="C6" i="4"/>
  <c r="B6" i="4"/>
  <c r="T5" i="4"/>
  <c r="O17" i="4" s="1"/>
  <c r="R5" i="4"/>
  <c r="O5" i="4"/>
  <c r="N5" i="4"/>
  <c r="K5" i="4"/>
  <c r="J5" i="4"/>
  <c r="I5" i="4"/>
  <c r="H5" i="4"/>
  <c r="G5" i="4"/>
  <c r="F5" i="4"/>
  <c r="E5" i="4"/>
  <c r="D5" i="4"/>
  <c r="C5" i="4"/>
  <c r="B5" i="4"/>
  <c r="T4" i="4"/>
  <c r="J16" i="4" s="1"/>
  <c r="R4" i="4"/>
  <c r="O4" i="4"/>
  <c r="N4" i="4"/>
  <c r="K4" i="4"/>
  <c r="J4" i="4"/>
  <c r="I4" i="4"/>
  <c r="H4" i="4"/>
  <c r="G4" i="4"/>
  <c r="F4" i="4"/>
  <c r="E4" i="4"/>
  <c r="D4" i="4"/>
  <c r="J2" i="3"/>
  <c r="B20" i="1"/>
  <c r="N21" i="1"/>
  <c r="N19" i="1"/>
  <c r="N20" i="1"/>
  <c r="C15" i="1"/>
  <c r="D15" i="1"/>
  <c r="E15" i="1"/>
  <c r="F15" i="1"/>
  <c r="G15" i="1"/>
  <c r="H15" i="1"/>
  <c r="I15" i="1"/>
  <c r="J15" i="1"/>
  <c r="K15" i="1"/>
  <c r="L15" i="1"/>
  <c r="M15" i="1"/>
  <c r="B15" i="1"/>
  <c r="P4" i="1"/>
  <c r="N18" i="1"/>
  <c r="M18" i="1"/>
  <c r="L18" i="1"/>
  <c r="K18" i="1"/>
  <c r="J18" i="1"/>
  <c r="I18" i="1"/>
  <c r="H18" i="1"/>
  <c r="G18" i="1"/>
  <c r="F18" i="1"/>
  <c r="E18" i="1"/>
  <c r="D18" i="1"/>
  <c r="C18" i="1"/>
  <c r="B18" i="1"/>
  <c r="R11" i="1"/>
  <c r="R10" i="1"/>
  <c r="I28" i="1"/>
  <c r="I29" i="1" s="1"/>
  <c r="D3" i="4"/>
  <c r="E3" i="4"/>
  <c r="I3" i="4"/>
  <c r="M3" i="4"/>
  <c r="F3" i="4"/>
  <c r="J3" i="4"/>
  <c r="N3" i="4"/>
  <c r="G3" i="4"/>
  <c r="K3" i="4"/>
  <c r="O3" i="4"/>
  <c r="H3" i="4"/>
  <c r="L3" i="4"/>
  <c r="J8" i="4" l="1"/>
  <c r="I8" i="4"/>
  <c r="H8" i="4"/>
  <c r="E9" i="4"/>
  <c r="G9" i="4"/>
  <c r="F9" i="4"/>
  <c r="P3" i="4"/>
  <c r="F17" i="4"/>
  <c r="C9" i="4"/>
  <c r="K9" i="4"/>
  <c r="G17" i="4"/>
  <c r="N9" i="4"/>
  <c r="C8" i="4"/>
  <c r="I18" i="4"/>
  <c r="D9" i="4"/>
  <c r="O9" i="4"/>
  <c r="D8" i="4"/>
  <c r="K8" i="4"/>
  <c r="C16" i="4"/>
  <c r="P4" i="4"/>
  <c r="P6" i="4"/>
  <c r="F8" i="4"/>
  <c r="G8" i="4"/>
  <c r="N8" i="4"/>
  <c r="D16" i="4"/>
  <c r="P7" i="4"/>
  <c r="K16" i="4"/>
  <c r="E8" i="4"/>
  <c r="O8" i="4"/>
  <c r="H9" i="4"/>
  <c r="D12" i="4"/>
  <c r="E12" i="4" s="1"/>
  <c r="F12" i="4" s="1"/>
  <c r="G12" i="4" s="1"/>
  <c r="H12" i="4" s="1"/>
  <c r="I12" i="4" s="1"/>
  <c r="J12" i="4" s="1"/>
  <c r="K12" i="4" s="1"/>
  <c r="N12" i="4" s="1"/>
  <c r="O12" i="4" s="1"/>
  <c r="E16" i="4"/>
  <c r="O16" i="4"/>
  <c r="H17" i="4"/>
  <c r="C18" i="4"/>
  <c r="K18" i="4"/>
  <c r="P5" i="4"/>
  <c r="I9" i="4"/>
  <c r="C15" i="4"/>
  <c r="F16" i="4"/>
  <c r="I17" i="4"/>
  <c r="D18" i="4"/>
  <c r="N18" i="4"/>
  <c r="B18" i="4"/>
  <c r="B9" i="4"/>
  <c r="J9" i="4"/>
  <c r="G16" i="4"/>
  <c r="B17" i="4"/>
  <c r="J17" i="4"/>
  <c r="E18" i="4"/>
  <c r="O18" i="4"/>
  <c r="D11" i="4"/>
  <c r="H16" i="4"/>
  <c r="C17" i="4"/>
  <c r="K17" i="4"/>
  <c r="F18" i="4"/>
  <c r="J18" i="4"/>
  <c r="C13" i="4"/>
  <c r="C24" i="4" s="1"/>
  <c r="I16" i="4"/>
  <c r="D17" i="4"/>
  <c r="N17" i="4"/>
  <c r="G18" i="4"/>
  <c r="B16" i="4"/>
  <c r="E17" i="4"/>
  <c r="B3" i="2"/>
  <c r="C11" i="1"/>
  <c r="D11" i="1" s="1"/>
  <c r="E11" i="1" s="1"/>
  <c r="F11" i="1" s="1"/>
  <c r="G11" i="1" s="1"/>
  <c r="H11" i="1" s="1"/>
  <c r="I11" i="1" s="1"/>
  <c r="J11" i="1" s="1"/>
  <c r="K11" i="1" s="1"/>
  <c r="L11" i="1" s="1"/>
  <c r="M11" i="1" s="1"/>
  <c r="C12" i="1"/>
  <c r="D12" i="1" s="1"/>
  <c r="E12" i="1" s="1"/>
  <c r="G2" i="3"/>
  <c r="G3" i="3"/>
  <c r="G4" i="3" s="1"/>
  <c r="J4" i="2"/>
  <c r="J6" i="2"/>
  <c r="J11" i="2" s="1"/>
  <c r="R5" i="1"/>
  <c r="D17" i="1" s="1"/>
  <c r="R6" i="1"/>
  <c r="R4" i="1"/>
  <c r="P6" i="1"/>
  <c r="P5" i="1"/>
  <c r="F6" i="1"/>
  <c r="G6" i="1"/>
  <c r="H6" i="1"/>
  <c r="L7" i="1"/>
  <c r="M7" i="1"/>
  <c r="J12" i="2"/>
  <c r="D5" i="3"/>
  <c r="I6" i="1" s="1"/>
  <c r="D3" i="3"/>
  <c r="H7" i="1" s="1"/>
  <c r="P8" i="4" l="1"/>
  <c r="P18" i="4"/>
  <c r="P17" i="4"/>
  <c r="C21" i="4"/>
  <c r="C23" i="4" s="1"/>
  <c r="C25" i="4" s="1"/>
  <c r="P9" i="4"/>
  <c r="P16" i="4"/>
  <c r="B21" i="4"/>
  <c r="B23" i="4" s="1"/>
  <c r="P12" i="4"/>
  <c r="D13" i="4"/>
  <c r="D24" i="4" s="1"/>
  <c r="E11" i="4"/>
  <c r="D15" i="4"/>
  <c r="D21" i="4" s="1"/>
  <c r="D23" i="4" s="1"/>
  <c r="F16" i="1"/>
  <c r="J16" i="1"/>
  <c r="G16" i="1"/>
  <c r="M16" i="1"/>
  <c r="E16" i="1"/>
  <c r="C16" i="1"/>
  <c r="I16" i="1"/>
  <c r="L16" i="1"/>
  <c r="D16" i="1"/>
  <c r="K16" i="1"/>
  <c r="B16" i="1"/>
  <c r="H16" i="1"/>
  <c r="J17" i="1"/>
  <c r="I17" i="1"/>
  <c r="H17" i="1"/>
  <c r="K17" i="1"/>
  <c r="C17" i="1"/>
  <c r="G17" i="1"/>
  <c r="B17" i="1"/>
  <c r="F17" i="1"/>
  <c r="M17" i="1"/>
  <c r="E17" i="1"/>
  <c r="L17" i="1"/>
  <c r="J8" i="2"/>
  <c r="E288" i="2" s="1"/>
  <c r="F12" i="1"/>
  <c r="G12" i="1" s="1"/>
  <c r="H12" i="1" s="1"/>
  <c r="I12" i="1" s="1"/>
  <c r="J12" i="1" s="1"/>
  <c r="K12" i="1" s="1"/>
  <c r="L12" i="1" s="1"/>
  <c r="E13" i="1"/>
  <c r="E24" i="1" s="1"/>
  <c r="D13" i="1"/>
  <c r="D24" i="1" s="1"/>
  <c r="C13" i="1"/>
  <c r="C24" i="1" s="1"/>
  <c r="G7" i="1"/>
  <c r="F7" i="1"/>
  <c r="E7" i="1"/>
  <c r="D7" i="1"/>
  <c r="B6" i="1"/>
  <c r="J6" i="1"/>
  <c r="B7" i="1"/>
  <c r="K7" i="1"/>
  <c r="C7" i="1"/>
  <c r="D6" i="3"/>
  <c r="J7" i="1"/>
  <c r="M6" i="1"/>
  <c r="E6" i="1"/>
  <c r="I7" i="1"/>
  <c r="L6" i="1"/>
  <c r="D6" i="1"/>
  <c r="K6" i="1"/>
  <c r="C6" i="1"/>
  <c r="F291" i="2"/>
  <c r="F301" i="2"/>
  <c r="F263" i="2"/>
  <c r="F285" i="2"/>
  <c r="F22" i="2"/>
  <c r="F38" i="2"/>
  <c r="F54" i="2"/>
  <c r="F70" i="2"/>
  <c r="F86" i="2"/>
  <c r="F102" i="2"/>
  <c r="F118" i="2"/>
  <c r="F134" i="2"/>
  <c r="F175" i="2"/>
  <c r="F191" i="2"/>
  <c r="F231" i="2"/>
  <c r="F302" i="2"/>
  <c r="F265" i="2"/>
  <c r="F286" i="2"/>
  <c r="F23" i="2"/>
  <c r="F39" i="2"/>
  <c r="F55" i="2"/>
  <c r="F71" i="2"/>
  <c r="F87" i="2"/>
  <c r="F103" i="2"/>
  <c r="F119" i="2"/>
  <c r="F135" i="2"/>
  <c r="F151" i="2"/>
  <c r="F160" i="2"/>
  <c r="F168" i="2"/>
  <c r="F176" i="2"/>
  <c r="F184" i="2"/>
  <c r="F192" i="2"/>
  <c r="F200" i="2"/>
  <c r="F208" i="2"/>
  <c r="F216" i="2"/>
  <c r="F247" i="2"/>
  <c r="F269" i="2"/>
  <c r="F8" i="2"/>
  <c r="F26" i="2"/>
  <c r="F42" i="2"/>
  <c r="F58" i="2"/>
  <c r="F74" i="2"/>
  <c r="F90" i="2"/>
  <c r="F106" i="2"/>
  <c r="F122" i="2"/>
  <c r="F138" i="2"/>
  <c r="F153" i="2"/>
  <c r="F161" i="2"/>
  <c r="F169" i="2"/>
  <c r="F177" i="2"/>
  <c r="F185" i="2"/>
  <c r="F193" i="2"/>
  <c r="F201" i="2"/>
  <c r="F209" i="2"/>
  <c r="F217" i="2"/>
  <c r="F249" i="2"/>
  <c r="F270" i="2"/>
  <c r="F9" i="2"/>
  <c r="F27" i="2"/>
  <c r="F43" i="2"/>
  <c r="F59" i="2"/>
  <c r="F75" i="2"/>
  <c r="F91" i="2"/>
  <c r="F107" i="2"/>
  <c r="F123" i="2"/>
  <c r="F139" i="2"/>
  <c r="F154" i="2"/>
  <c r="F162" i="2"/>
  <c r="F170" i="2"/>
  <c r="F178" i="2"/>
  <c r="F186" i="2"/>
  <c r="F194" i="2"/>
  <c r="F202" i="2"/>
  <c r="F210" i="2"/>
  <c r="F218" i="2"/>
  <c r="F226" i="2"/>
  <c r="F234" i="2"/>
  <c r="F242" i="2"/>
  <c r="F290" i="2"/>
  <c r="F253" i="2"/>
  <c r="F274" i="2"/>
  <c r="F13" i="2"/>
  <c r="F30" i="2"/>
  <c r="F46" i="2"/>
  <c r="F62" i="2"/>
  <c r="F78" i="2"/>
  <c r="F94" i="2"/>
  <c r="F110" i="2"/>
  <c r="F126" i="2"/>
  <c r="F142" i="2"/>
  <c r="F155" i="2"/>
  <c r="F163" i="2"/>
  <c r="F171" i="2"/>
  <c r="F179" i="2"/>
  <c r="F187" i="2"/>
  <c r="F195" i="2"/>
  <c r="F203" i="2"/>
  <c r="F211" i="2"/>
  <c r="F219" i="2"/>
  <c r="F227" i="2"/>
  <c r="F235" i="2"/>
  <c r="F243" i="2"/>
  <c r="F150" i="2"/>
  <c r="F215" i="2"/>
  <c r="F225" i="2"/>
  <c r="F292" i="2"/>
  <c r="F254" i="2"/>
  <c r="F275" i="2"/>
  <c r="F15" i="2"/>
  <c r="F31" i="2"/>
  <c r="F47" i="2"/>
  <c r="F63" i="2"/>
  <c r="F79" i="2"/>
  <c r="F95" i="2"/>
  <c r="F111" i="2"/>
  <c r="F127" i="2"/>
  <c r="F143" i="2"/>
  <c r="F156" i="2"/>
  <c r="F164" i="2"/>
  <c r="F172" i="2"/>
  <c r="F180" i="2"/>
  <c r="F188" i="2"/>
  <c r="F196" i="2"/>
  <c r="F204" i="2"/>
  <c r="F212" i="2"/>
  <c r="F220" i="2"/>
  <c r="F228" i="2"/>
  <c r="F236" i="2"/>
  <c r="F244" i="2"/>
  <c r="F167" i="2"/>
  <c r="F183" i="2"/>
  <c r="F199" i="2"/>
  <c r="F239" i="2"/>
  <c r="F224" i="2"/>
  <c r="F296" i="2"/>
  <c r="F258" i="2"/>
  <c r="F279" i="2"/>
  <c r="F18" i="2"/>
  <c r="F34" i="2"/>
  <c r="F50" i="2"/>
  <c r="F66" i="2"/>
  <c r="F82" i="2"/>
  <c r="F98" i="2"/>
  <c r="F114" i="2"/>
  <c r="F130" i="2"/>
  <c r="F146" i="2"/>
  <c r="F157" i="2"/>
  <c r="F165" i="2"/>
  <c r="F173" i="2"/>
  <c r="F181" i="2"/>
  <c r="F189" i="2"/>
  <c r="F197" i="2"/>
  <c r="F205" i="2"/>
  <c r="F213" i="2"/>
  <c r="F221" i="2"/>
  <c r="F229" i="2"/>
  <c r="F237" i="2"/>
  <c r="F4" i="2"/>
  <c r="G5" i="1" s="1"/>
  <c r="F159" i="2"/>
  <c r="F207" i="2"/>
  <c r="F232" i="2"/>
  <c r="F233" i="2"/>
  <c r="F297" i="2"/>
  <c r="F259" i="2"/>
  <c r="F281" i="2"/>
  <c r="F19" i="2"/>
  <c r="F35" i="2"/>
  <c r="F51" i="2"/>
  <c r="F67" i="2"/>
  <c r="F83" i="2"/>
  <c r="F99" i="2"/>
  <c r="F115" i="2"/>
  <c r="F131" i="2"/>
  <c r="F147" i="2"/>
  <c r="F158" i="2"/>
  <c r="F166" i="2"/>
  <c r="F174" i="2"/>
  <c r="F182" i="2"/>
  <c r="F190" i="2"/>
  <c r="F198" i="2"/>
  <c r="F206" i="2"/>
  <c r="F214" i="2"/>
  <c r="F222" i="2"/>
  <c r="F230" i="2"/>
  <c r="F238" i="2"/>
  <c r="F223" i="2"/>
  <c r="F240" i="2"/>
  <c r="F241" i="2"/>
  <c r="F149" i="2"/>
  <c r="F141" i="2"/>
  <c r="F133" i="2"/>
  <c r="F125" i="2"/>
  <c r="F117" i="2"/>
  <c r="F109" i="2"/>
  <c r="F101" i="2"/>
  <c r="F93" i="2"/>
  <c r="F85" i="2"/>
  <c r="F77" i="2"/>
  <c r="F69" i="2"/>
  <c r="F61" i="2"/>
  <c r="F53" i="2"/>
  <c r="F45" i="2"/>
  <c r="F37" i="2"/>
  <c r="F29" i="2"/>
  <c r="F21" i="2"/>
  <c r="F12" i="2"/>
  <c r="F283" i="2"/>
  <c r="F273" i="2"/>
  <c r="F262" i="2"/>
  <c r="F251" i="2"/>
  <c r="F300" i="2"/>
  <c r="F289" i="2"/>
  <c r="F148" i="2"/>
  <c r="F140" i="2"/>
  <c r="F132" i="2"/>
  <c r="F124" i="2"/>
  <c r="F116" i="2"/>
  <c r="F108" i="2"/>
  <c r="F100" i="2"/>
  <c r="F92" i="2"/>
  <c r="F84" i="2"/>
  <c r="F76" i="2"/>
  <c r="F68" i="2"/>
  <c r="F60" i="2"/>
  <c r="F52" i="2"/>
  <c r="F44" i="2"/>
  <c r="F36" i="2"/>
  <c r="F28" i="2"/>
  <c r="F20" i="2"/>
  <c r="F11" i="2"/>
  <c r="F282" i="2"/>
  <c r="F271" i="2"/>
  <c r="F261" i="2"/>
  <c r="F250" i="2"/>
  <c r="F298" i="2"/>
  <c r="F288" i="2"/>
  <c r="F145" i="2"/>
  <c r="F137" i="2"/>
  <c r="F129" i="2"/>
  <c r="F121" i="2"/>
  <c r="F113" i="2"/>
  <c r="F105" i="2"/>
  <c r="F97" i="2"/>
  <c r="F89" i="2"/>
  <c r="F81" i="2"/>
  <c r="F73" i="2"/>
  <c r="F65" i="2"/>
  <c r="F57" i="2"/>
  <c r="F49" i="2"/>
  <c r="F41" i="2"/>
  <c r="F33" i="2"/>
  <c r="F25" i="2"/>
  <c r="F17" i="2"/>
  <c r="F7" i="2"/>
  <c r="F278" i="2"/>
  <c r="F267" i="2"/>
  <c r="F257" i="2"/>
  <c r="F246" i="2"/>
  <c r="F294" i="2"/>
  <c r="F152" i="2"/>
  <c r="F144" i="2"/>
  <c r="F136" i="2"/>
  <c r="F128" i="2"/>
  <c r="F120" i="2"/>
  <c r="F112" i="2"/>
  <c r="F104" i="2"/>
  <c r="F96" i="2"/>
  <c r="F88" i="2"/>
  <c r="F80" i="2"/>
  <c r="F72" i="2"/>
  <c r="F64" i="2"/>
  <c r="F56" i="2"/>
  <c r="F48" i="2"/>
  <c r="F40" i="2"/>
  <c r="F32" i="2"/>
  <c r="F24" i="2"/>
  <c r="F16" i="2"/>
  <c r="F5" i="2"/>
  <c r="F277" i="2"/>
  <c r="F266" i="2"/>
  <c r="F255" i="2"/>
  <c r="F245" i="2"/>
  <c r="F293" i="2"/>
  <c r="F10" i="2"/>
  <c r="F284" i="2"/>
  <c r="F276" i="2"/>
  <c r="F268" i="2"/>
  <c r="F260" i="2"/>
  <c r="F252" i="2"/>
  <c r="F303" i="2"/>
  <c r="F295" i="2"/>
  <c r="F287" i="2"/>
  <c r="F14" i="2"/>
  <c r="F6" i="2"/>
  <c r="F280" i="2"/>
  <c r="F272" i="2"/>
  <c r="F264" i="2"/>
  <c r="F256" i="2"/>
  <c r="F248" i="2"/>
  <c r="F299" i="2"/>
  <c r="C4" i="2"/>
  <c r="B13" i="1"/>
  <c r="B24" i="1" s="1"/>
  <c r="N11" i="1"/>
  <c r="J3" i="3" s="1"/>
  <c r="D25" i="4" l="1"/>
  <c r="B25" i="4"/>
  <c r="F11" i="4"/>
  <c r="E15" i="4"/>
  <c r="E21" i="4" s="1"/>
  <c r="E23" i="4" s="1"/>
  <c r="E13" i="4"/>
  <c r="E24" i="4" s="1"/>
  <c r="N16" i="1"/>
  <c r="J28" i="1"/>
  <c r="G13" i="1"/>
  <c r="G24" i="1" s="1"/>
  <c r="I13" i="1"/>
  <c r="I24" i="1" s="1"/>
  <c r="J13" i="1"/>
  <c r="J24" i="1" s="1"/>
  <c r="H13" i="1"/>
  <c r="H24" i="1" s="1"/>
  <c r="E71" i="2"/>
  <c r="G71" i="2" s="1"/>
  <c r="E135" i="2"/>
  <c r="G135" i="2" s="1"/>
  <c r="E36" i="2"/>
  <c r="G36" i="2" s="1"/>
  <c r="E151" i="2"/>
  <c r="G151" i="2" s="1"/>
  <c r="E113" i="2"/>
  <c r="E231" i="2"/>
  <c r="G231" i="2" s="1"/>
  <c r="E298" i="2"/>
  <c r="G298" i="2" s="1"/>
  <c r="E77" i="2"/>
  <c r="G77" i="2" s="1"/>
  <c r="E117" i="2"/>
  <c r="G117" i="2" s="1"/>
  <c r="E286" i="2"/>
  <c r="G286" i="2" s="1"/>
  <c r="E102" i="2"/>
  <c r="G102" i="2" s="1"/>
  <c r="E16" i="2"/>
  <c r="G16" i="2" s="1"/>
  <c r="E222" i="2"/>
  <c r="G222" i="2" s="1"/>
  <c r="E205" i="2"/>
  <c r="G205" i="2" s="1"/>
  <c r="E241" i="2"/>
  <c r="G241" i="2" s="1"/>
  <c r="E14" i="2"/>
  <c r="G14" i="2" s="1"/>
  <c r="E81" i="2"/>
  <c r="E140" i="2"/>
  <c r="G140" i="2" s="1"/>
  <c r="E211" i="2"/>
  <c r="E247" i="2"/>
  <c r="G247" i="2" s="1"/>
  <c r="E285" i="2"/>
  <c r="G285" i="2" s="1"/>
  <c r="E97" i="2"/>
  <c r="G97" i="2" s="1"/>
  <c r="E109" i="2"/>
  <c r="E218" i="2"/>
  <c r="G218" i="2" s="1"/>
  <c r="E9" i="2"/>
  <c r="E159" i="2"/>
  <c r="G159" i="2" s="1"/>
  <c r="E270" i="2"/>
  <c r="G270" i="2" s="1"/>
  <c r="E191" i="2"/>
  <c r="G191" i="2" s="1"/>
  <c r="E296" i="2"/>
  <c r="G296" i="2" s="1"/>
  <c r="E93" i="2"/>
  <c r="G93" i="2" s="1"/>
  <c r="E300" i="2"/>
  <c r="E238" i="2"/>
  <c r="G238" i="2" s="1"/>
  <c r="E46" i="2"/>
  <c r="G46" i="2" s="1"/>
  <c r="E228" i="2"/>
  <c r="G228" i="2" s="1"/>
  <c r="E161" i="2"/>
  <c r="G161" i="2" s="1"/>
  <c r="E246" i="2"/>
  <c r="G246" i="2" s="1"/>
  <c r="E20" i="2"/>
  <c r="G20" i="2" s="1"/>
  <c r="E166" i="2"/>
  <c r="G166" i="2" s="1"/>
  <c r="E273" i="2"/>
  <c r="G273" i="2" s="1"/>
  <c r="E45" i="2"/>
  <c r="G45" i="2" s="1"/>
  <c r="E80" i="2"/>
  <c r="E138" i="2"/>
  <c r="G138" i="2" s="1"/>
  <c r="E198" i="2"/>
  <c r="G198" i="2" s="1"/>
  <c r="E202" i="2"/>
  <c r="G202" i="2" s="1"/>
  <c r="E303" i="2"/>
  <c r="G303" i="2" s="1"/>
  <c r="E17" i="2"/>
  <c r="G17" i="2" s="1"/>
  <c r="E104" i="2"/>
  <c r="G104" i="2" s="1"/>
  <c r="E160" i="2"/>
  <c r="G160" i="2" s="1"/>
  <c r="E262" i="2"/>
  <c r="E39" i="2"/>
  <c r="G39" i="2" s="1"/>
  <c r="E120" i="2"/>
  <c r="G120" i="2" s="1"/>
  <c r="E185" i="2"/>
  <c r="G185" i="2" s="1"/>
  <c r="J10" i="2"/>
  <c r="J13" i="2" s="1"/>
  <c r="E280" i="2"/>
  <c r="G280" i="2" s="1"/>
  <c r="E49" i="2"/>
  <c r="G49" i="2" s="1"/>
  <c r="E101" i="2"/>
  <c r="G101" i="2" s="1"/>
  <c r="E171" i="2"/>
  <c r="E235" i="2"/>
  <c r="G235" i="2" s="1"/>
  <c r="E287" i="2"/>
  <c r="G287" i="2" s="1"/>
  <c r="E8" i="2"/>
  <c r="G8" i="2" s="1"/>
  <c r="E98" i="2"/>
  <c r="G98" i="2" s="1"/>
  <c r="E168" i="2"/>
  <c r="G168" i="2" s="1"/>
  <c r="E239" i="2"/>
  <c r="G239" i="2" s="1"/>
  <c r="E269" i="2"/>
  <c r="G269" i="2" s="1"/>
  <c r="E53" i="2"/>
  <c r="E112" i="2"/>
  <c r="G112" i="2" s="1"/>
  <c r="E172" i="2"/>
  <c r="E236" i="2"/>
  <c r="G236" i="2" s="1"/>
  <c r="E249" i="2"/>
  <c r="G249" i="2" s="1"/>
  <c r="E23" i="2"/>
  <c r="G23" i="2" s="1"/>
  <c r="E92" i="2"/>
  <c r="G92" i="2" s="1"/>
  <c r="E264" i="2"/>
  <c r="G264" i="2" s="1"/>
  <c r="E141" i="2"/>
  <c r="G141" i="2" s="1"/>
  <c r="E110" i="2"/>
  <c r="G110" i="2" s="1"/>
  <c r="E4" i="2"/>
  <c r="G4" i="2" s="1"/>
  <c r="E240" i="2"/>
  <c r="G240" i="2" s="1"/>
  <c r="E224" i="2"/>
  <c r="G224" i="2" s="1"/>
  <c r="E210" i="2"/>
  <c r="G210" i="2" s="1"/>
  <c r="E260" i="2"/>
  <c r="G260" i="2" s="1"/>
  <c r="E233" i="2"/>
  <c r="G233" i="2" s="1"/>
  <c r="E88" i="2"/>
  <c r="E284" i="2"/>
  <c r="G284" i="2" s="1"/>
  <c r="E267" i="2"/>
  <c r="G267" i="2" s="1"/>
  <c r="E212" i="2"/>
  <c r="G212" i="2" s="1"/>
  <c r="E74" i="2"/>
  <c r="G74" i="2" s="1"/>
  <c r="E289" i="2"/>
  <c r="G289" i="2" s="1"/>
  <c r="E142" i="2"/>
  <c r="G142" i="2" s="1"/>
  <c r="E167" i="2"/>
  <c r="G167" i="2" s="1"/>
  <c r="E43" i="2"/>
  <c r="G43" i="2" s="1"/>
  <c r="E221" i="2"/>
  <c r="G221" i="2" s="1"/>
  <c r="E147" i="2"/>
  <c r="G147" i="2" s="1"/>
  <c r="E33" i="2"/>
  <c r="G33" i="2" s="1"/>
  <c r="E302" i="2"/>
  <c r="E79" i="2"/>
  <c r="G79" i="2" s="1"/>
  <c r="K5" i="1"/>
  <c r="E96" i="2"/>
  <c r="G96" i="2" s="1"/>
  <c r="E219" i="2"/>
  <c r="E38" i="2"/>
  <c r="G38" i="2" s="1"/>
  <c r="E119" i="2"/>
  <c r="G119" i="2" s="1"/>
  <c r="E195" i="2"/>
  <c r="G195" i="2" s="1"/>
  <c r="E10" i="2"/>
  <c r="E149" i="2"/>
  <c r="G149" i="2" s="1"/>
  <c r="E32" i="2"/>
  <c r="E174" i="2"/>
  <c r="G174" i="2" s="1"/>
  <c r="E277" i="2"/>
  <c r="G277" i="2" s="1"/>
  <c r="E94" i="2"/>
  <c r="G94" i="2" s="1"/>
  <c r="E157" i="2"/>
  <c r="G157" i="2" s="1"/>
  <c r="E208" i="2"/>
  <c r="G208" i="2" s="1"/>
  <c r="E91" i="2"/>
  <c r="G91" i="2" s="1"/>
  <c r="E232" i="2"/>
  <c r="G232" i="2" s="1"/>
  <c r="E266" i="2"/>
  <c r="G266" i="2" s="1"/>
  <c r="E44" i="2"/>
  <c r="G44" i="2" s="1"/>
  <c r="E165" i="2"/>
  <c r="G165" i="2" s="1"/>
  <c r="E229" i="2"/>
  <c r="G229" i="2" s="1"/>
  <c r="E82" i="2"/>
  <c r="G82" i="2" s="1"/>
  <c r="L5" i="1"/>
  <c r="E103" i="2"/>
  <c r="E226" i="2"/>
  <c r="G226" i="2" s="1"/>
  <c r="E27" i="2"/>
  <c r="G27" i="2" s="1"/>
  <c r="E116" i="2"/>
  <c r="G116" i="2" s="1"/>
  <c r="E169" i="2"/>
  <c r="E237" i="2"/>
  <c r="G237" i="2" s="1"/>
  <c r="E276" i="2"/>
  <c r="G276" i="2" s="1"/>
  <c r="E48" i="2"/>
  <c r="G48" i="2" s="1"/>
  <c r="E83" i="2"/>
  <c r="G83" i="2" s="1"/>
  <c r="E145" i="2"/>
  <c r="G145" i="2" s="1"/>
  <c r="E209" i="2"/>
  <c r="G209" i="2" s="1"/>
  <c r="E213" i="2"/>
  <c r="G213" i="2" s="1"/>
  <c r="E250" i="2"/>
  <c r="G250" i="2" s="1"/>
  <c r="E28" i="2"/>
  <c r="G28" i="2" s="1"/>
  <c r="E107" i="2"/>
  <c r="G107" i="2" s="1"/>
  <c r="E170" i="2"/>
  <c r="G170" i="2" s="1"/>
  <c r="E265" i="2"/>
  <c r="E52" i="2"/>
  <c r="G52" i="2" s="1"/>
  <c r="E123" i="2"/>
  <c r="G123" i="2" s="1"/>
  <c r="E192" i="2"/>
  <c r="G192" i="2" s="1"/>
  <c r="E290" i="2"/>
  <c r="G290" i="2" s="1"/>
  <c r="E283" i="2"/>
  <c r="G283" i="2" s="1"/>
  <c r="E56" i="2"/>
  <c r="G56" i="2" s="1"/>
  <c r="E108" i="2"/>
  <c r="G108" i="2" s="1"/>
  <c r="E178" i="2"/>
  <c r="G178" i="2" s="1"/>
  <c r="E242" i="2"/>
  <c r="G242" i="2" s="1"/>
  <c r="E294" i="2"/>
  <c r="G294" i="2" s="1"/>
  <c r="E15" i="2"/>
  <c r="G15" i="2" s="1"/>
  <c r="E105" i="2"/>
  <c r="G105" i="2" s="1"/>
  <c r="E175" i="2"/>
  <c r="G175" i="2" s="1"/>
  <c r="E57" i="2"/>
  <c r="G57" i="2" s="1"/>
  <c r="E272" i="2"/>
  <c r="G272" i="2" s="1"/>
  <c r="E70" i="2"/>
  <c r="E115" i="2"/>
  <c r="G115" i="2" s="1"/>
  <c r="E179" i="2"/>
  <c r="G179" i="2" s="1"/>
  <c r="E243" i="2"/>
  <c r="G243" i="2" s="1"/>
  <c r="E252" i="2"/>
  <c r="E30" i="2"/>
  <c r="G30" i="2" s="1"/>
  <c r="E99" i="2"/>
  <c r="G99" i="2" s="1"/>
  <c r="E137" i="2"/>
  <c r="G137" i="2" s="1"/>
  <c r="E24" i="2"/>
  <c r="G24" i="2" s="1"/>
  <c r="E282" i="2"/>
  <c r="G282" i="2" s="1"/>
  <c r="E164" i="2"/>
  <c r="G164" i="2" s="1"/>
  <c r="E143" i="2"/>
  <c r="G143" i="2" s="1"/>
  <c r="E60" i="2"/>
  <c r="E291" i="2"/>
  <c r="G291" i="2" s="1"/>
  <c r="E61" i="2"/>
  <c r="G61" i="2" s="1"/>
  <c r="E184" i="2"/>
  <c r="G184" i="2" s="1"/>
  <c r="E293" i="2"/>
  <c r="E87" i="2"/>
  <c r="G87" i="2" s="1"/>
  <c r="E63" i="2"/>
  <c r="G63" i="2" s="1"/>
  <c r="E95" i="2"/>
  <c r="G95" i="2" s="1"/>
  <c r="E201" i="2"/>
  <c r="G201" i="2" s="1"/>
  <c r="E295" i="2"/>
  <c r="G295" i="2" s="1"/>
  <c r="E122" i="2"/>
  <c r="G122" i="2" s="1"/>
  <c r="E244" i="2"/>
  <c r="G244" i="2" s="1"/>
  <c r="E51" i="2"/>
  <c r="G51" i="2" s="1"/>
  <c r="E216" i="2"/>
  <c r="G216" i="2" s="1"/>
  <c r="E253" i="2"/>
  <c r="G253" i="2" s="1"/>
  <c r="E181" i="2"/>
  <c r="G181" i="2" s="1"/>
  <c r="E59" i="2"/>
  <c r="E199" i="2"/>
  <c r="G199" i="2" s="1"/>
  <c r="E11" i="2"/>
  <c r="G11" i="2" s="1"/>
  <c r="E111" i="2"/>
  <c r="G111" i="2" s="1"/>
  <c r="E301" i="2"/>
  <c r="G301" i="2" s="1"/>
  <c r="E124" i="2"/>
  <c r="G124" i="2" s="1"/>
  <c r="E275" i="2"/>
  <c r="G275" i="2" s="1"/>
  <c r="E37" i="2"/>
  <c r="G37" i="2" s="1"/>
  <c r="E258" i="2"/>
  <c r="G258" i="2" s="1"/>
  <c r="E41" i="2"/>
  <c r="G41" i="2" s="1"/>
  <c r="E125" i="2"/>
  <c r="G125" i="2" s="1"/>
  <c r="E187" i="2"/>
  <c r="G187" i="2" s="1"/>
  <c r="E190" i="2"/>
  <c r="G190" i="2" s="1"/>
  <c r="E6" i="2"/>
  <c r="G6" i="2" s="1"/>
  <c r="E58" i="2"/>
  <c r="G58" i="2" s="1"/>
  <c r="E89" i="2"/>
  <c r="G89" i="2" s="1"/>
  <c r="E163" i="2"/>
  <c r="G163" i="2" s="1"/>
  <c r="E223" i="2"/>
  <c r="G223" i="2" s="1"/>
  <c r="E227" i="2"/>
  <c r="G227" i="2" s="1"/>
  <c r="E256" i="2"/>
  <c r="G256" i="2" s="1"/>
  <c r="E42" i="2"/>
  <c r="G42" i="2" s="1"/>
  <c r="E129" i="2"/>
  <c r="G129" i="2" s="1"/>
  <c r="E47" i="2"/>
  <c r="G47" i="2" s="1"/>
  <c r="E271" i="2"/>
  <c r="G271" i="2" s="1"/>
  <c r="E72" i="2"/>
  <c r="E146" i="2"/>
  <c r="G146" i="2" s="1"/>
  <c r="E206" i="2"/>
  <c r="G206" i="2" s="1"/>
  <c r="E245" i="2"/>
  <c r="G245" i="2" s="1"/>
  <c r="E18" i="2"/>
  <c r="G18" i="2" s="1"/>
  <c r="E75" i="2"/>
  <c r="G75" i="2" s="1"/>
  <c r="E114" i="2"/>
  <c r="G114" i="2" s="1"/>
  <c r="E196" i="2"/>
  <c r="G196" i="2" s="1"/>
  <c r="E130" i="2"/>
  <c r="G130" i="2" s="1"/>
  <c r="E254" i="2"/>
  <c r="G254" i="2" s="1"/>
  <c r="E29" i="2"/>
  <c r="G29" i="2" s="1"/>
  <c r="E127" i="2"/>
  <c r="G127" i="2" s="1"/>
  <c r="E193" i="2"/>
  <c r="G193" i="2" s="1"/>
  <c r="E134" i="2"/>
  <c r="G134" i="2" s="1"/>
  <c r="E12" i="2"/>
  <c r="G12" i="2" s="1"/>
  <c r="E76" i="2"/>
  <c r="G76" i="2" s="1"/>
  <c r="E121" i="2"/>
  <c r="G121" i="2" s="1"/>
  <c r="E197" i="2"/>
  <c r="G197" i="2" s="1"/>
  <c r="E128" i="2"/>
  <c r="G128" i="2" s="1"/>
  <c r="E278" i="2"/>
  <c r="G278" i="2" s="1"/>
  <c r="E50" i="2"/>
  <c r="G50" i="2" s="1"/>
  <c r="E148" i="2"/>
  <c r="G148" i="2" s="1"/>
  <c r="E54" i="2"/>
  <c r="G54" i="2" s="1"/>
  <c r="E299" i="2"/>
  <c r="G299" i="2" s="1"/>
  <c r="E177" i="2"/>
  <c r="E62" i="2"/>
  <c r="G62" i="2" s="1"/>
  <c r="E90" i="2"/>
  <c r="G90" i="2" s="1"/>
  <c r="E251" i="2"/>
  <c r="G251" i="2" s="1"/>
  <c r="E207" i="2"/>
  <c r="G207" i="2" s="1"/>
  <c r="E214" i="2"/>
  <c r="G214" i="2" s="1"/>
  <c r="E26" i="2"/>
  <c r="G26" i="2" s="1"/>
  <c r="E67" i="2"/>
  <c r="G67" i="2" s="1"/>
  <c r="E152" i="2"/>
  <c r="E31" i="2"/>
  <c r="G31" i="2" s="1"/>
  <c r="E188" i="2"/>
  <c r="G188" i="2" s="1"/>
  <c r="E65" i="2"/>
  <c r="G65" i="2" s="1"/>
  <c r="E21" i="2"/>
  <c r="E274" i="2"/>
  <c r="G274" i="2" s="1"/>
  <c r="E150" i="2"/>
  <c r="G150" i="2" s="1"/>
  <c r="E263" i="2"/>
  <c r="G263" i="2" s="1"/>
  <c r="E225" i="2"/>
  <c r="E158" i="2"/>
  <c r="G158" i="2" s="1"/>
  <c r="E5" i="2"/>
  <c r="G5" i="2" s="1"/>
  <c r="E34" i="2"/>
  <c r="G34" i="2" s="1"/>
  <c r="E180" i="2"/>
  <c r="G180" i="2" s="1"/>
  <c r="E279" i="2"/>
  <c r="G279" i="2" s="1"/>
  <c r="E86" i="2"/>
  <c r="G86" i="2" s="1"/>
  <c r="E156" i="2"/>
  <c r="G156" i="2" s="1"/>
  <c r="E220" i="2"/>
  <c r="G220" i="2" s="1"/>
  <c r="E35" i="2"/>
  <c r="G35" i="2" s="1"/>
  <c r="E126" i="2"/>
  <c r="G126" i="2" s="1"/>
  <c r="E268" i="2"/>
  <c r="G268" i="2" s="1"/>
  <c r="E139" i="2"/>
  <c r="G139" i="2" s="1"/>
  <c r="E297" i="2"/>
  <c r="G297" i="2" s="1"/>
  <c r="E69" i="2"/>
  <c r="G69" i="2" s="1"/>
  <c r="E189" i="2"/>
  <c r="G189" i="2" s="1"/>
  <c r="E66" i="2"/>
  <c r="E22" i="2"/>
  <c r="G22" i="2" s="1"/>
  <c r="E182" i="2"/>
  <c r="G182" i="2" s="1"/>
  <c r="E106" i="2"/>
  <c r="G106" i="2" s="1"/>
  <c r="E73" i="2"/>
  <c r="G73" i="2" s="1"/>
  <c r="E118" i="2"/>
  <c r="G118" i="2" s="1"/>
  <c r="E186" i="2"/>
  <c r="G186" i="2" s="1"/>
  <c r="E255" i="2"/>
  <c r="G255" i="2" s="1"/>
  <c r="J9" i="2"/>
  <c r="E261" i="2"/>
  <c r="G261" i="2" s="1"/>
  <c r="E131" i="2"/>
  <c r="G131" i="2" s="1"/>
  <c r="E194" i="2"/>
  <c r="G194" i="2" s="1"/>
  <c r="E292" i="2"/>
  <c r="G292" i="2" s="1"/>
  <c r="E13" i="2"/>
  <c r="G13" i="2" s="1"/>
  <c r="E68" i="2"/>
  <c r="G68" i="2" s="1"/>
  <c r="E100" i="2"/>
  <c r="G100" i="2" s="1"/>
  <c r="E173" i="2"/>
  <c r="E230" i="2"/>
  <c r="G230" i="2" s="1"/>
  <c r="E234" i="2"/>
  <c r="G234" i="2" s="1"/>
  <c r="E259" i="2"/>
  <c r="G259" i="2" s="1"/>
  <c r="E55" i="2"/>
  <c r="G55" i="2" s="1"/>
  <c r="E132" i="2"/>
  <c r="G132" i="2" s="1"/>
  <c r="E215" i="2"/>
  <c r="G215" i="2" s="1"/>
  <c r="E7" i="2"/>
  <c r="G7" i="2" s="1"/>
  <c r="E84" i="2"/>
  <c r="E153" i="2"/>
  <c r="G153" i="2" s="1"/>
  <c r="E217" i="2"/>
  <c r="G217" i="2" s="1"/>
  <c r="E248" i="2"/>
  <c r="G248" i="2" s="1"/>
  <c r="E25" i="2"/>
  <c r="E78" i="2"/>
  <c r="G78" i="2" s="1"/>
  <c r="E136" i="2"/>
  <c r="G136" i="2" s="1"/>
  <c r="E203" i="2"/>
  <c r="G203" i="2" s="1"/>
  <c r="E154" i="2"/>
  <c r="E257" i="2"/>
  <c r="G257" i="2" s="1"/>
  <c r="E40" i="2"/>
  <c r="G40" i="2" s="1"/>
  <c r="E133" i="2"/>
  <c r="G133" i="2" s="1"/>
  <c r="E200" i="2"/>
  <c r="G200" i="2" s="1"/>
  <c r="E176" i="2"/>
  <c r="G176" i="2" s="1"/>
  <c r="E19" i="2"/>
  <c r="G19" i="2" s="1"/>
  <c r="E85" i="2"/>
  <c r="G85" i="2" s="1"/>
  <c r="E144" i="2"/>
  <c r="G144" i="2" s="1"/>
  <c r="E204" i="2"/>
  <c r="G204" i="2" s="1"/>
  <c r="E162" i="2"/>
  <c r="G162" i="2" s="1"/>
  <c r="E281" i="2"/>
  <c r="G281" i="2" s="1"/>
  <c r="E64" i="2"/>
  <c r="G64" i="2" s="1"/>
  <c r="E155" i="2"/>
  <c r="G155" i="2" s="1"/>
  <c r="E183" i="2"/>
  <c r="G183" i="2" s="1"/>
  <c r="G288" i="2"/>
  <c r="G152" i="2"/>
  <c r="B4" i="1"/>
  <c r="G5" i="3"/>
  <c r="G6" i="3" s="1"/>
  <c r="G25" i="2"/>
  <c r="K13" i="1"/>
  <c r="K24" i="1" s="1"/>
  <c r="F13" i="1"/>
  <c r="F24" i="1" s="1"/>
  <c r="M12" i="1"/>
  <c r="L13" i="1"/>
  <c r="L24" i="1" s="1"/>
  <c r="G173" i="2"/>
  <c r="G84" i="2"/>
  <c r="G88" i="2"/>
  <c r="N7" i="1"/>
  <c r="N6" i="1"/>
  <c r="G177" i="2"/>
  <c r="G21" i="2"/>
  <c r="G80" i="2"/>
  <c r="G171" i="2"/>
  <c r="G169" i="2"/>
  <c r="G265" i="2"/>
  <c r="G252" i="2"/>
  <c r="G59" i="2"/>
  <c r="G66" i="2"/>
  <c r="G113" i="2"/>
  <c r="G225" i="2"/>
  <c r="G262" i="2"/>
  <c r="G53" i="2"/>
  <c r="G70" i="2"/>
  <c r="G9" i="2"/>
  <c r="G109" i="2"/>
  <c r="G60" i="2"/>
  <c r="G211" i="2"/>
  <c r="G219" i="2"/>
  <c r="G300" i="2"/>
  <c r="G302" i="2"/>
  <c r="G32" i="2"/>
  <c r="G103" i="2"/>
  <c r="G172" i="2"/>
  <c r="G154" i="2"/>
  <c r="G72" i="2"/>
  <c r="G81" i="2"/>
  <c r="G293" i="2"/>
  <c r="G10" i="2"/>
  <c r="D4" i="2"/>
  <c r="B4" i="2" s="1"/>
  <c r="C5" i="2" s="1"/>
  <c r="C5" i="1"/>
  <c r="E5" i="1"/>
  <c r="F5" i="1"/>
  <c r="B5" i="1"/>
  <c r="M5" i="1"/>
  <c r="D5" i="1"/>
  <c r="H5" i="1"/>
  <c r="J5" i="1"/>
  <c r="I5" i="1"/>
  <c r="H3" i="1"/>
  <c r="J3" i="1"/>
  <c r="M3" i="1"/>
  <c r="F3" i="1"/>
  <c r="B3" i="1"/>
  <c r="E21" i="1"/>
  <c r="F21" i="1"/>
  <c r="K21" i="1"/>
  <c r="H21" i="1"/>
  <c r="J21" i="1"/>
  <c r="B21" i="1"/>
  <c r="I21" i="1"/>
  <c r="C21" i="1"/>
  <c r="N17" i="1"/>
  <c r="G21" i="1"/>
  <c r="N15" i="1"/>
  <c r="M21" i="1"/>
  <c r="D21" i="1"/>
  <c r="L21" i="1"/>
  <c r="E25" i="4" l="1"/>
  <c r="G11" i="4"/>
  <c r="F15" i="4"/>
  <c r="F21" i="4" s="1"/>
  <c r="F13" i="4"/>
  <c r="F24" i="4" s="1"/>
  <c r="C3" i="1"/>
  <c r="C8" i="1" s="1"/>
  <c r="I3" i="1"/>
  <c r="I9" i="1" s="1"/>
  <c r="I23" i="1" s="1"/>
  <c r="I25" i="1" s="1"/>
  <c r="G3" i="1"/>
  <c r="L3" i="1"/>
  <c r="L8" i="1" s="1"/>
  <c r="D3" i="1"/>
  <c r="D9" i="1" s="1"/>
  <c r="D23" i="1" s="1"/>
  <c r="D25" i="1" s="1"/>
  <c r="E3" i="1"/>
  <c r="E9" i="1" s="1"/>
  <c r="E23" i="1" s="1"/>
  <c r="E25" i="1" s="1"/>
  <c r="K3" i="1"/>
  <c r="K8" i="1" s="1"/>
  <c r="D5" i="2"/>
  <c r="B5" i="2" s="1"/>
  <c r="C6" i="2" s="1"/>
  <c r="C4" i="1"/>
  <c r="N12" i="1"/>
  <c r="N13" i="1" s="1"/>
  <c r="M13" i="1"/>
  <c r="M24" i="1" s="1"/>
  <c r="N24" i="1" s="1"/>
  <c r="B9" i="1"/>
  <c r="B8" i="1"/>
  <c r="N5" i="1"/>
  <c r="J9" i="1"/>
  <c r="J23" i="1" s="1"/>
  <c r="J25" i="1" s="1"/>
  <c r="J8" i="1"/>
  <c r="I8" i="1"/>
  <c r="H9" i="1"/>
  <c r="H23" i="1" s="1"/>
  <c r="H25" i="1" s="1"/>
  <c r="H8" i="1"/>
  <c r="M8" i="1"/>
  <c r="M9" i="1"/>
  <c r="R9" i="1" s="1"/>
  <c r="F9" i="1"/>
  <c r="F23" i="1" s="1"/>
  <c r="F25" i="1" s="1"/>
  <c r="F8" i="1"/>
  <c r="G8" i="1"/>
  <c r="G9" i="1"/>
  <c r="G23" i="1" s="1"/>
  <c r="G25" i="1" s="1"/>
  <c r="F23" i="4" l="1"/>
  <c r="G15" i="4"/>
  <c r="G21" i="4" s="1"/>
  <c r="G23" i="4" s="1"/>
  <c r="G25" i="4" s="1"/>
  <c r="H11" i="4"/>
  <c r="G13" i="4"/>
  <c r="G24" i="4" s="1"/>
  <c r="C9" i="1"/>
  <c r="C23" i="1" s="1"/>
  <c r="C25" i="1" s="1"/>
  <c r="D8" i="1"/>
  <c r="L9" i="1"/>
  <c r="L23" i="1" s="1"/>
  <c r="L25" i="1" s="1"/>
  <c r="E8" i="1"/>
  <c r="K9" i="1"/>
  <c r="K23" i="1" s="1"/>
  <c r="K25" i="1" s="1"/>
  <c r="M23" i="1"/>
  <c r="M25" i="1" s="1"/>
  <c r="Q9" i="1"/>
  <c r="D6" i="2"/>
  <c r="B6" i="2" s="1"/>
  <c r="C7" i="2" s="1"/>
  <c r="D4" i="1"/>
  <c r="B23" i="1"/>
  <c r="B25" i="1" s="1"/>
  <c r="J14" i="2" s="1"/>
  <c r="H13" i="4" l="1"/>
  <c r="H24" i="4" s="1"/>
  <c r="H15" i="4"/>
  <c r="H21" i="4" s="1"/>
  <c r="H23" i="4" s="1"/>
  <c r="H25" i="4" s="1"/>
  <c r="I11" i="4"/>
  <c r="F25" i="4"/>
  <c r="N9" i="1"/>
  <c r="D7" i="2"/>
  <c r="B7" i="2" s="1"/>
  <c r="C8" i="2" s="1"/>
  <c r="E4" i="1"/>
  <c r="N23" i="1"/>
  <c r="N25" i="1"/>
  <c r="I13" i="4" l="1"/>
  <c r="I24" i="4" s="1"/>
  <c r="J11" i="4"/>
  <c r="I15" i="4"/>
  <c r="I21" i="4" s="1"/>
  <c r="D8" i="2"/>
  <c r="B8" i="2" s="1"/>
  <c r="C9" i="2" s="1"/>
  <c r="F4" i="1"/>
  <c r="N3" i="1"/>
  <c r="I23" i="4" l="1"/>
  <c r="J13" i="4"/>
  <c r="J24" i="4" s="1"/>
  <c r="K11" i="4"/>
  <c r="J15" i="4"/>
  <c r="J21" i="4" s="1"/>
  <c r="J23" i="4" s="1"/>
  <c r="J25" i="4" s="1"/>
  <c r="D9" i="2"/>
  <c r="B9" i="2" s="1"/>
  <c r="C10" i="2" s="1"/>
  <c r="G4" i="1"/>
  <c r="N8" i="1"/>
  <c r="K13" i="4" l="1"/>
  <c r="K24" i="4" s="1"/>
  <c r="N11" i="4"/>
  <c r="K15" i="4"/>
  <c r="K21" i="4" s="1"/>
  <c r="K23" i="4" s="1"/>
  <c r="K25" i="4" s="1"/>
  <c r="I25" i="4"/>
  <c r="D10" i="2"/>
  <c r="B10" i="2" s="1"/>
  <c r="C11" i="2" s="1"/>
  <c r="H4" i="1"/>
  <c r="N13" i="4" l="1"/>
  <c r="N24" i="4" s="1"/>
  <c r="O11" i="4"/>
  <c r="N15" i="4"/>
  <c r="N21" i="4" s="1"/>
  <c r="N23" i="4" s="1"/>
  <c r="D11" i="2"/>
  <c r="B11" i="2" s="1"/>
  <c r="C12" i="2" s="1"/>
  <c r="I4" i="1"/>
  <c r="O15" i="4" l="1"/>
  <c r="O13" i="4"/>
  <c r="O24" i="4" s="1"/>
  <c r="P24" i="4" s="1"/>
  <c r="P11" i="4"/>
  <c r="P13" i="4" s="1"/>
  <c r="N25" i="4"/>
  <c r="D12" i="2"/>
  <c r="B12" i="2" s="1"/>
  <c r="C13" i="2" s="1"/>
  <c r="J4" i="1"/>
  <c r="J28" i="4" l="1"/>
  <c r="O21" i="4"/>
  <c r="P15" i="4"/>
  <c r="D13" i="2"/>
  <c r="B13" i="2" s="1"/>
  <c r="C14" i="2" s="1"/>
  <c r="K4" i="1"/>
  <c r="O23" i="4" l="1"/>
  <c r="S9" i="4"/>
  <c r="T9" i="4"/>
  <c r="P21" i="4"/>
  <c r="D14" i="2"/>
  <c r="B14" i="2" s="1"/>
  <c r="C15" i="2" s="1"/>
  <c r="L4" i="1"/>
  <c r="O25" i="4" l="1"/>
  <c r="P25" i="4" s="1"/>
  <c r="P23" i="4"/>
  <c r="D15" i="2"/>
  <c r="B15" i="2" s="1"/>
  <c r="C16" i="2" s="1"/>
  <c r="D16" i="2" s="1"/>
  <c r="B16" i="2" s="1"/>
  <c r="C17" i="2" s="1"/>
  <c r="D17" i="2" s="1"/>
  <c r="B17" i="2" s="1"/>
  <c r="C18" i="2" s="1"/>
  <c r="D18" i="2" s="1"/>
  <c r="B18" i="2" s="1"/>
  <c r="M4" i="1"/>
  <c r="N4" i="1" s="1"/>
  <c r="J4" i="3" s="1"/>
  <c r="C19" i="2" l="1"/>
  <c r="D19" i="2" s="1"/>
  <c r="B19" i="2" s="1"/>
  <c r="C20" i="2" l="1"/>
  <c r="D20" i="2" s="1"/>
  <c r="B20" i="2" s="1"/>
  <c r="C21" i="2" l="1"/>
  <c r="D21" i="2" s="1"/>
  <c r="B21" i="2" s="1"/>
  <c r="C22" i="2" l="1"/>
  <c r="D22" i="2" s="1"/>
  <c r="B22" i="2" s="1"/>
  <c r="C23" i="2" l="1"/>
  <c r="D23" i="2" s="1"/>
  <c r="B23" i="2" s="1"/>
  <c r="C24" i="2" l="1"/>
  <c r="D24" i="2" s="1"/>
  <c r="B24" i="2" s="1"/>
  <c r="C25" i="2" l="1"/>
  <c r="D25" i="2" s="1"/>
  <c r="B25" i="2" s="1"/>
  <c r="C26" i="2" l="1"/>
  <c r="D26" i="2" s="1"/>
  <c r="B26" i="2" s="1"/>
  <c r="C27" i="2" l="1"/>
  <c r="D27" i="2" s="1"/>
  <c r="B27" i="2" s="1"/>
  <c r="C28" i="2" l="1"/>
  <c r="D28" i="2" s="1"/>
  <c r="B28" i="2" s="1"/>
  <c r="C29" i="2" l="1"/>
  <c r="D29" i="2" s="1"/>
  <c r="B29" i="2" s="1"/>
  <c r="C30" i="2" l="1"/>
  <c r="D30" i="2" s="1"/>
  <c r="B30" i="2" s="1"/>
  <c r="C31" i="2" l="1"/>
  <c r="D31" i="2" s="1"/>
  <c r="B31" i="2" s="1"/>
  <c r="C32" i="2" l="1"/>
  <c r="D32" i="2" s="1"/>
  <c r="B32" i="2" s="1"/>
  <c r="C33" i="2" l="1"/>
  <c r="D33" i="2" s="1"/>
  <c r="B33" i="2" s="1"/>
  <c r="C34" i="2" l="1"/>
  <c r="D34" i="2" s="1"/>
  <c r="B34" i="2" s="1"/>
  <c r="C35" i="2" l="1"/>
  <c r="D35" i="2" s="1"/>
  <c r="B35" i="2" s="1"/>
  <c r="C36" i="2" l="1"/>
  <c r="D36" i="2" s="1"/>
  <c r="B36" i="2" s="1"/>
  <c r="C37" i="2" l="1"/>
  <c r="D37" i="2" s="1"/>
  <c r="B37" i="2" s="1"/>
  <c r="C38" i="2" l="1"/>
  <c r="D38" i="2" s="1"/>
  <c r="B38" i="2" s="1"/>
  <c r="C39" i="2" l="1"/>
  <c r="D39" i="2" s="1"/>
  <c r="B39" i="2" s="1"/>
  <c r="C40" i="2" l="1"/>
  <c r="D40" i="2" s="1"/>
  <c r="B40" i="2" s="1"/>
  <c r="C41" i="2" l="1"/>
  <c r="D41" i="2" s="1"/>
  <c r="B41" i="2" s="1"/>
  <c r="C42" i="2" l="1"/>
  <c r="D42" i="2" s="1"/>
  <c r="B42" i="2" s="1"/>
  <c r="C43" i="2" l="1"/>
  <c r="D43" i="2" s="1"/>
  <c r="B43" i="2" s="1"/>
  <c r="C44" i="2" l="1"/>
  <c r="D44" i="2" s="1"/>
  <c r="B44" i="2" s="1"/>
  <c r="C45" i="2" l="1"/>
  <c r="D45" i="2" s="1"/>
  <c r="B45" i="2" s="1"/>
  <c r="C46" i="2" l="1"/>
  <c r="D46" i="2" s="1"/>
  <c r="B46" i="2" s="1"/>
  <c r="C47" i="2" l="1"/>
  <c r="D47" i="2" s="1"/>
  <c r="B47" i="2" s="1"/>
  <c r="C48" i="2" l="1"/>
  <c r="D48" i="2" s="1"/>
  <c r="B48" i="2" s="1"/>
  <c r="C49" i="2" l="1"/>
  <c r="D49" i="2" s="1"/>
  <c r="B49" i="2" s="1"/>
  <c r="C50" i="2" l="1"/>
  <c r="D50" i="2" s="1"/>
  <c r="B50" i="2" s="1"/>
  <c r="C51" i="2" l="1"/>
  <c r="D51" i="2" s="1"/>
  <c r="B51" i="2" s="1"/>
  <c r="C52" i="2" l="1"/>
  <c r="D52" i="2" s="1"/>
  <c r="B52" i="2" s="1"/>
  <c r="C53" i="2" l="1"/>
  <c r="D53" i="2" s="1"/>
  <c r="B53" i="2" s="1"/>
  <c r="C54" i="2" l="1"/>
  <c r="D54" i="2" s="1"/>
  <c r="B54" i="2" s="1"/>
  <c r="C55" i="2" l="1"/>
  <c r="D55" i="2" s="1"/>
  <c r="B55" i="2" s="1"/>
  <c r="C56" i="2" l="1"/>
  <c r="D56" i="2" s="1"/>
  <c r="B56" i="2" s="1"/>
  <c r="C57" i="2" l="1"/>
  <c r="D57" i="2" s="1"/>
  <c r="B57" i="2" s="1"/>
  <c r="C58" i="2" l="1"/>
  <c r="D58" i="2" s="1"/>
  <c r="B58" i="2" s="1"/>
  <c r="C59" i="2" l="1"/>
  <c r="D59" i="2" s="1"/>
  <c r="B59" i="2" s="1"/>
  <c r="C60" i="2" l="1"/>
  <c r="D60" i="2" s="1"/>
  <c r="B60" i="2" s="1"/>
  <c r="C61" i="2" l="1"/>
  <c r="D61" i="2" s="1"/>
  <c r="B61" i="2" s="1"/>
  <c r="C62" i="2" l="1"/>
  <c r="D62" i="2" s="1"/>
  <c r="B62" i="2" s="1"/>
  <c r="C63" i="2" l="1"/>
  <c r="D63" i="2" s="1"/>
  <c r="B63" i="2" s="1"/>
  <c r="C64" i="2" l="1"/>
  <c r="D64" i="2" s="1"/>
  <c r="B64" i="2" s="1"/>
  <c r="C65" i="2" l="1"/>
  <c r="D65" i="2" s="1"/>
  <c r="B65" i="2" s="1"/>
  <c r="C66" i="2" l="1"/>
  <c r="D66" i="2" s="1"/>
  <c r="B66" i="2" s="1"/>
  <c r="C67" i="2" l="1"/>
  <c r="D67" i="2" s="1"/>
  <c r="B67" i="2" s="1"/>
  <c r="C68" i="2" l="1"/>
  <c r="D68" i="2" s="1"/>
  <c r="B68" i="2" s="1"/>
  <c r="C69" i="2" l="1"/>
  <c r="D69" i="2" s="1"/>
  <c r="B69" i="2" s="1"/>
  <c r="C70" i="2" l="1"/>
  <c r="D70" i="2" s="1"/>
  <c r="B70" i="2" s="1"/>
  <c r="C71" i="2" l="1"/>
  <c r="D71" i="2" s="1"/>
  <c r="B71" i="2" s="1"/>
  <c r="C72" i="2" l="1"/>
  <c r="D72" i="2" s="1"/>
  <c r="B72" i="2" s="1"/>
  <c r="C73" i="2" l="1"/>
  <c r="D73" i="2" s="1"/>
  <c r="B73" i="2" s="1"/>
  <c r="C74" i="2" l="1"/>
  <c r="D74" i="2" s="1"/>
  <c r="B74" i="2" s="1"/>
  <c r="C75" i="2" l="1"/>
  <c r="D75" i="2" s="1"/>
  <c r="B75" i="2" s="1"/>
  <c r="C76" i="2" l="1"/>
  <c r="D76" i="2" s="1"/>
  <c r="B76" i="2" s="1"/>
  <c r="C77" i="2" l="1"/>
  <c r="D77" i="2" s="1"/>
  <c r="B77" i="2" s="1"/>
  <c r="C78" i="2" l="1"/>
  <c r="D78" i="2" s="1"/>
  <c r="B78" i="2" s="1"/>
  <c r="C79" i="2" l="1"/>
  <c r="D79" i="2" s="1"/>
  <c r="B79" i="2" s="1"/>
  <c r="C80" i="2" l="1"/>
  <c r="D80" i="2" s="1"/>
  <c r="B80" i="2" s="1"/>
  <c r="C81" i="2" l="1"/>
  <c r="D81" i="2" s="1"/>
  <c r="B81" i="2" s="1"/>
  <c r="C82" i="2" l="1"/>
  <c r="D82" i="2" s="1"/>
  <c r="B82" i="2" s="1"/>
  <c r="C83" i="2" l="1"/>
  <c r="D83" i="2" s="1"/>
  <c r="B83" i="2" s="1"/>
  <c r="C84" i="2" l="1"/>
  <c r="D84" i="2" s="1"/>
  <c r="B84" i="2" s="1"/>
  <c r="C85" i="2" l="1"/>
  <c r="D85" i="2" s="1"/>
  <c r="B85" i="2" s="1"/>
  <c r="C86" i="2" l="1"/>
  <c r="D86" i="2" s="1"/>
  <c r="B86" i="2" s="1"/>
  <c r="C87" i="2" l="1"/>
  <c r="D87" i="2" s="1"/>
  <c r="B87" i="2" s="1"/>
  <c r="C88" i="2" l="1"/>
  <c r="D88" i="2" s="1"/>
  <c r="B88" i="2" s="1"/>
  <c r="C89" i="2" l="1"/>
  <c r="D89" i="2" s="1"/>
  <c r="B89" i="2" s="1"/>
  <c r="C90" i="2" l="1"/>
  <c r="D90" i="2" s="1"/>
  <c r="B90" i="2" s="1"/>
  <c r="C91" i="2" l="1"/>
  <c r="D91" i="2" s="1"/>
  <c r="B91" i="2" s="1"/>
  <c r="C92" i="2" l="1"/>
  <c r="D92" i="2" s="1"/>
  <c r="B92" i="2" s="1"/>
  <c r="C93" i="2" l="1"/>
  <c r="D93" i="2" s="1"/>
  <c r="B93" i="2" s="1"/>
  <c r="C94" i="2" l="1"/>
  <c r="D94" i="2" s="1"/>
  <c r="B94" i="2" s="1"/>
  <c r="C95" i="2" l="1"/>
  <c r="D95" i="2" s="1"/>
  <c r="B95" i="2" s="1"/>
  <c r="C96" i="2" l="1"/>
  <c r="D96" i="2" s="1"/>
  <c r="B96" i="2" s="1"/>
  <c r="C97" i="2" l="1"/>
  <c r="D97" i="2" s="1"/>
  <c r="B97" i="2" s="1"/>
  <c r="C98" i="2" l="1"/>
  <c r="D98" i="2" s="1"/>
  <c r="B98" i="2" s="1"/>
  <c r="C99" i="2" l="1"/>
  <c r="D99" i="2" s="1"/>
  <c r="B99" i="2" s="1"/>
  <c r="C100" i="2" l="1"/>
  <c r="D100" i="2" s="1"/>
  <c r="B100" i="2" s="1"/>
  <c r="C101" i="2" l="1"/>
  <c r="D101" i="2" s="1"/>
  <c r="B101" i="2" s="1"/>
  <c r="C102" i="2" l="1"/>
  <c r="D102" i="2" s="1"/>
  <c r="B102" i="2" s="1"/>
  <c r="C103" i="2" l="1"/>
  <c r="D103" i="2" s="1"/>
  <c r="B103" i="2" s="1"/>
  <c r="C104" i="2" l="1"/>
  <c r="D104" i="2" s="1"/>
  <c r="B104" i="2" s="1"/>
  <c r="C105" i="2" l="1"/>
  <c r="D105" i="2" s="1"/>
  <c r="B105" i="2" s="1"/>
  <c r="C106" i="2" l="1"/>
  <c r="D106" i="2" s="1"/>
  <c r="B106" i="2" s="1"/>
  <c r="C107" i="2" l="1"/>
  <c r="D107" i="2" s="1"/>
  <c r="B107" i="2" s="1"/>
  <c r="C108" i="2" l="1"/>
  <c r="D108" i="2" s="1"/>
  <c r="B108" i="2" s="1"/>
  <c r="C109" i="2" l="1"/>
  <c r="D109" i="2" s="1"/>
  <c r="B109" i="2" s="1"/>
  <c r="C110" i="2" l="1"/>
  <c r="D110" i="2" s="1"/>
  <c r="B110" i="2" s="1"/>
  <c r="C111" i="2" l="1"/>
  <c r="D111" i="2" s="1"/>
  <c r="B111" i="2" s="1"/>
  <c r="C112" i="2" l="1"/>
  <c r="D112" i="2" s="1"/>
  <c r="B112" i="2" s="1"/>
  <c r="C113" i="2" l="1"/>
  <c r="D113" i="2" s="1"/>
  <c r="B113" i="2" s="1"/>
  <c r="C114" i="2" l="1"/>
  <c r="D114" i="2" s="1"/>
  <c r="B114" i="2" s="1"/>
  <c r="C115" i="2" l="1"/>
  <c r="D115" i="2" s="1"/>
  <c r="B115" i="2" s="1"/>
  <c r="C116" i="2" l="1"/>
  <c r="D116" i="2" s="1"/>
  <c r="B116" i="2" s="1"/>
  <c r="C117" i="2" l="1"/>
  <c r="D117" i="2" s="1"/>
  <c r="B117" i="2" s="1"/>
  <c r="C118" i="2" l="1"/>
  <c r="D118" i="2" s="1"/>
  <c r="B118" i="2" s="1"/>
  <c r="C119" i="2" l="1"/>
  <c r="D119" i="2" s="1"/>
  <c r="B119" i="2" s="1"/>
  <c r="C120" i="2" l="1"/>
  <c r="D120" i="2" s="1"/>
  <c r="B120" i="2" s="1"/>
  <c r="C121" i="2" l="1"/>
  <c r="D121" i="2" s="1"/>
  <c r="B121" i="2" s="1"/>
  <c r="C122" i="2" l="1"/>
  <c r="D122" i="2" s="1"/>
  <c r="B122" i="2" s="1"/>
  <c r="C123" i="2" l="1"/>
  <c r="D123" i="2" s="1"/>
  <c r="B123" i="2" s="1"/>
  <c r="C124" i="2" l="1"/>
  <c r="D124" i="2" s="1"/>
  <c r="B124" i="2" s="1"/>
  <c r="C125" i="2" l="1"/>
  <c r="D125" i="2" s="1"/>
  <c r="B125" i="2" s="1"/>
  <c r="C126" i="2" l="1"/>
  <c r="D126" i="2" s="1"/>
  <c r="B126" i="2" s="1"/>
  <c r="C127" i="2" l="1"/>
  <c r="D127" i="2" s="1"/>
  <c r="B127" i="2" s="1"/>
  <c r="C128" i="2" l="1"/>
  <c r="D128" i="2" s="1"/>
  <c r="B128" i="2" s="1"/>
  <c r="C129" i="2" l="1"/>
  <c r="D129" i="2" s="1"/>
  <c r="B129" i="2" s="1"/>
  <c r="C130" i="2" l="1"/>
  <c r="D130" i="2" s="1"/>
  <c r="B130" i="2" s="1"/>
  <c r="C131" i="2" l="1"/>
  <c r="D131" i="2" s="1"/>
  <c r="B131" i="2" s="1"/>
  <c r="C132" i="2" l="1"/>
  <c r="D132" i="2" s="1"/>
  <c r="B132" i="2" s="1"/>
  <c r="C133" i="2" l="1"/>
  <c r="D133" i="2" s="1"/>
  <c r="B133" i="2" s="1"/>
  <c r="C134" i="2" l="1"/>
  <c r="D134" i="2" s="1"/>
  <c r="B134" i="2" s="1"/>
  <c r="C135" i="2" l="1"/>
  <c r="D135" i="2" s="1"/>
  <c r="B135" i="2" s="1"/>
  <c r="C136" i="2" l="1"/>
  <c r="D136" i="2" s="1"/>
  <c r="B136" i="2" s="1"/>
  <c r="C137" i="2" l="1"/>
  <c r="D137" i="2" s="1"/>
  <c r="B137" i="2" s="1"/>
  <c r="C138" i="2" l="1"/>
  <c r="D138" i="2" s="1"/>
  <c r="B138" i="2" s="1"/>
  <c r="C139" i="2" l="1"/>
  <c r="D139" i="2" s="1"/>
  <c r="B139" i="2" s="1"/>
  <c r="C140" i="2" l="1"/>
  <c r="D140" i="2" s="1"/>
  <c r="B140" i="2" s="1"/>
  <c r="C141" i="2" l="1"/>
  <c r="D141" i="2" s="1"/>
  <c r="B141" i="2" s="1"/>
  <c r="C142" i="2" l="1"/>
  <c r="D142" i="2" s="1"/>
  <c r="B142" i="2" s="1"/>
  <c r="C143" i="2" l="1"/>
  <c r="D143" i="2" s="1"/>
  <c r="B143" i="2" s="1"/>
  <c r="C144" i="2" l="1"/>
  <c r="D144" i="2" s="1"/>
  <c r="B144" i="2" s="1"/>
  <c r="C145" i="2" l="1"/>
  <c r="D145" i="2" s="1"/>
  <c r="B145" i="2" s="1"/>
  <c r="C146" i="2" l="1"/>
  <c r="D146" i="2" s="1"/>
  <c r="B146" i="2" s="1"/>
  <c r="C147" i="2" l="1"/>
  <c r="D147" i="2" s="1"/>
  <c r="B147" i="2" s="1"/>
  <c r="C148" i="2" l="1"/>
  <c r="D148" i="2" s="1"/>
  <c r="B148" i="2" s="1"/>
  <c r="C149" i="2" l="1"/>
  <c r="D149" i="2" s="1"/>
  <c r="B149" i="2" s="1"/>
  <c r="C150" i="2" l="1"/>
  <c r="D150" i="2" s="1"/>
  <c r="B150" i="2" s="1"/>
  <c r="C151" i="2" l="1"/>
  <c r="D151" i="2" s="1"/>
  <c r="B151" i="2" s="1"/>
  <c r="C152" i="2" l="1"/>
  <c r="D152" i="2" s="1"/>
  <c r="B152" i="2" s="1"/>
  <c r="C153" i="2" l="1"/>
  <c r="D153" i="2" s="1"/>
  <c r="B153" i="2" s="1"/>
  <c r="C154" i="2" l="1"/>
  <c r="D154" i="2" s="1"/>
  <c r="B154" i="2" s="1"/>
  <c r="C155" i="2" l="1"/>
  <c r="D155" i="2" s="1"/>
  <c r="B155" i="2" s="1"/>
  <c r="C156" i="2" l="1"/>
  <c r="D156" i="2" s="1"/>
  <c r="B156" i="2" s="1"/>
  <c r="C157" i="2" l="1"/>
  <c r="D157" i="2" s="1"/>
  <c r="B157" i="2" s="1"/>
  <c r="C158" i="2" l="1"/>
  <c r="D158" i="2" s="1"/>
  <c r="B158" i="2" s="1"/>
  <c r="C159" i="2" l="1"/>
  <c r="D159" i="2" s="1"/>
  <c r="B159" i="2" s="1"/>
  <c r="C160" i="2" l="1"/>
  <c r="D160" i="2" s="1"/>
  <c r="B160" i="2" s="1"/>
  <c r="C161" i="2" l="1"/>
  <c r="D161" i="2" s="1"/>
  <c r="B161" i="2" s="1"/>
  <c r="C162" i="2" l="1"/>
  <c r="D162" i="2" s="1"/>
  <c r="B162" i="2" s="1"/>
  <c r="C163" i="2" l="1"/>
  <c r="D163" i="2" s="1"/>
  <c r="B163" i="2" s="1"/>
  <c r="C164" i="2" l="1"/>
  <c r="D164" i="2" s="1"/>
  <c r="B164" i="2" s="1"/>
  <c r="C165" i="2" l="1"/>
  <c r="D165" i="2" s="1"/>
  <c r="B165" i="2" s="1"/>
  <c r="C166" i="2" l="1"/>
  <c r="D166" i="2" s="1"/>
  <c r="B166" i="2" s="1"/>
  <c r="C167" i="2" l="1"/>
  <c r="D167" i="2" s="1"/>
  <c r="B167" i="2" s="1"/>
  <c r="C168" i="2" l="1"/>
  <c r="D168" i="2" s="1"/>
  <c r="B168" i="2" s="1"/>
  <c r="C169" i="2" l="1"/>
  <c r="D169" i="2" s="1"/>
  <c r="B169" i="2" s="1"/>
  <c r="C170" i="2" l="1"/>
  <c r="D170" i="2" s="1"/>
  <c r="B170" i="2" s="1"/>
  <c r="C171" i="2" l="1"/>
  <c r="D171" i="2" s="1"/>
  <c r="B171" i="2" s="1"/>
  <c r="C172" i="2" l="1"/>
  <c r="D172" i="2" s="1"/>
  <c r="B172" i="2" s="1"/>
  <c r="C173" i="2" l="1"/>
  <c r="D173" i="2" s="1"/>
  <c r="B173" i="2" s="1"/>
  <c r="C174" i="2" l="1"/>
  <c r="D174" i="2" s="1"/>
  <c r="B174" i="2" s="1"/>
  <c r="C175" i="2" l="1"/>
  <c r="D175" i="2" s="1"/>
  <c r="B175" i="2" s="1"/>
  <c r="C176" i="2" l="1"/>
  <c r="D176" i="2" s="1"/>
  <c r="B176" i="2" s="1"/>
  <c r="C177" i="2" l="1"/>
  <c r="D177" i="2" s="1"/>
  <c r="B177" i="2" s="1"/>
  <c r="C178" i="2" l="1"/>
  <c r="D178" i="2" s="1"/>
  <c r="B178" i="2" s="1"/>
  <c r="C179" i="2" l="1"/>
  <c r="D179" i="2" s="1"/>
  <c r="B179" i="2" s="1"/>
  <c r="C180" i="2" l="1"/>
  <c r="D180" i="2" s="1"/>
  <c r="B180" i="2" s="1"/>
  <c r="C181" i="2" l="1"/>
  <c r="D181" i="2" s="1"/>
  <c r="B181" i="2" s="1"/>
  <c r="C182" i="2" l="1"/>
  <c r="D182" i="2" s="1"/>
  <c r="B182" i="2" s="1"/>
  <c r="C183" i="2" l="1"/>
  <c r="D183" i="2" s="1"/>
  <c r="B183" i="2" s="1"/>
  <c r="C184" i="2" l="1"/>
  <c r="D184" i="2" s="1"/>
  <c r="B184" i="2" s="1"/>
  <c r="C185" i="2" l="1"/>
  <c r="D185" i="2" s="1"/>
  <c r="B185" i="2" s="1"/>
  <c r="C186" i="2" l="1"/>
  <c r="D186" i="2" s="1"/>
  <c r="B186" i="2" s="1"/>
  <c r="C187" i="2" l="1"/>
  <c r="D187" i="2" s="1"/>
  <c r="B187" i="2" s="1"/>
  <c r="C188" i="2" l="1"/>
  <c r="D188" i="2" s="1"/>
  <c r="B188" i="2" s="1"/>
  <c r="C189" i="2" l="1"/>
  <c r="D189" i="2" s="1"/>
  <c r="B189" i="2" s="1"/>
  <c r="C190" i="2" l="1"/>
  <c r="D190" i="2" s="1"/>
  <c r="B190" i="2" s="1"/>
  <c r="C191" i="2" l="1"/>
  <c r="D191" i="2" s="1"/>
  <c r="B191" i="2" s="1"/>
  <c r="C192" i="2" l="1"/>
  <c r="D192" i="2" s="1"/>
  <c r="B192" i="2" s="1"/>
  <c r="C193" i="2" l="1"/>
  <c r="D193" i="2" s="1"/>
  <c r="B193" i="2" s="1"/>
  <c r="C194" i="2" l="1"/>
  <c r="D194" i="2" s="1"/>
  <c r="B194" i="2" s="1"/>
  <c r="C195" i="2" l="1"/>
  <c r="D195" i="2" s="1"/>
  <c r="B195" i="2" s="1"/>
  <c r="C196" i="2" l="1"/>
  <c r="D196" i="2" s="1"/>
  <c r="B196" i="2" s="1"/>
  <c r="C197" i="2" l="1"/>
  <c r="D197" i="2" s="1"/>
  <c r="B197" i="2" s="1"/>
  <c r="C198" i="2" l="1"/>
  <c r="D198" i="2" s="1"/>
  <c r="B198" i="2" s="1"/>
  <c r="C199" i="2" l="1"/>
  <c r="D199" i="2" s="1"/>
  <c r="B199" i="2" s="1"/>
  <c r="C200" i="2" l="1"/>
  <c r="D200" i="2" s="1"/>
  <c r="B200" i="2" s="1"/>
  <c r="C201" i="2" l="1"/>
  <c r="D201" i="2" s="1"/>
  <c r="B201" i="2" s="1"/>
  <c r="C202" i="2" l="1"/>
  <c r="D202" i="2" s="1"/>
  <c r="B202" i="2" s="1"/>
  <c r="C203" i="2" l="1"/>
  <c r="D203" i="2" s="1"/>
  <c r="B203" i="2" s="1"/>
  <c r="C204" i="2" l="1"/>
  <c r="D204" i="2" s="1"/>
  <c r="B204" i="2" s="1"/>
  <c r="C205" i="2" l="1"/>
  <c r="D205" i="2" s="1"/>
  <c r="B205" i="2" s="1"/>
  <c r="C206" i="2" l="1"/>
  <c r="D206" i="2" s="1"/>
  <c r="B206" i="2" s="1"/>
  <c r="C207" i="2" l="1"/>
  <c r="D207" i="2" s="1"/>
  <c r="B207" i="2" s="1"/>
  <c r="C208" i="2" l="1"/>
  <c r="D208" i="2" s="1"/>
  <c r="B208" i="2" s="1"/>
  <c r="C209" i="2" l="1"/>
  <c r="D209" i="2" s="1"/>
  <c r="B209" i="2" s="1"/>
  <c r="C210" i="2" l="1"/>
  <c r="D210" i="2" s="1"/>
  <c r="B210" i="2" s="1"/>
  <c r="C211" i="2" l="1"/>
  <c r="D211" i="2" s="1"/>
  <c r="B211" i="2" s="1"/>
  <c r="C212" i="2" l="1"/>
  <c r="D212" i="2" s="1"/>
  <c r="B212" i="2" s="1"/>
  <c r="C213" i="2" l="1"/>
  <c r="D213" i="2" s="1"/>
  <c r="B213" i="2" s="1"/>
  <c r="C214" i="2" l="1"/>
  <c r="D214" i="2" s="1"/>
  <c r="B214" i="2" s="1"/>
  <c r="C215" i="2" l="1"/>
  <c r="D215" i="2" s="1"/>
  <c r="B215" i="2" s="1"/>
  <c r="C216" i="2" l="1"/>
  <c r="D216" i="2" s="1"/>
  <c r="B216" i="2" s="1"/>
  <c r="C217" i="2" l="1"/>
  <c r="D217" i="2" s="1"/>
  <c r="B217" i="2" s="1"/>
  <c r="C218" i="2" l="1"/>
  <c r="D218" i="2" s="1"/>
  <c r="B218" i="2" s="1"/>
  <c r="C219" i="2" l="1"/>
  <c r="D219" i="2" s="1"/>
  <c r="B219" i="2" s="1"/>
  <c r="C220" i="2" l="1"/>
  <c r="D220" i="2" s="1"/>
  <c r="B220" i="2" s="1"/>
  <c r="C221" i="2" l="1"/>
  <c r="D221" i="2" s="1"/>
  <c r="B221" i="2" s="1"/>
  <c r="C222" i="2" l="1"/>
  <c r="D222" i="2" s="1"/>
  <c r="B222" i="2" s="1"/>
  <c r="C223" i="2" l="1"/>
  <c r="D223" i="2" s="1"/>
  <c r="B223" i="2" s="1"/>
  <c r="C224" i="2" l="1"/>
  <c r="D224" i="2" s="1"/>
  <c r="B224" i="2" s="1"/>
  <c r="C225" i="2" l="1"/>
  <c r="D225" i="2" s="1"/>
  <c r="B225" i="2" s="1"/>
  <c r="C226" i="2" l="1"/>
  <c r="D226" i="2" s="1"/>
  <c r="B226" i="2" s="1"/>
  <c r="C227" i="2" l="1"/>
  <c r="D227" i="2" s="1"/>
  <c r="B227" i="2" s="1"/>
  <c r="C228" i="2" l="1"/>
  <c r="D228" i="2" s="1"/>
  <c r="B228" i="2" s="1"/>
  <c r="C229" i="2" l="1"/>
  <c r="D229" i="2" s="1"/>
  <c r="B229" i="2" s="1"/>
  <c r="C230" i="2" l="1"/>
  <c r="D230" i="2" s="1"/>
  <c r="B230" i="2" s="1"/>
  <c r="C231" i="2" l="1"/>
  <c r="D231" i="2" s="1"/>
  <c r="B231" i="2" s="1"/>
  <c r="C232" i="2" l="1"/>
  <c r="D232" i="2" s="1"/>
  <c r="B232" i="2" s="1"/>
  <c r="C233" i="2" l="1"/>
  <c r="D233" i="2" s="1"/>
  <c r="B233" i="2" s="1"/>
  <c r="C234" i="2" l="1"/>
  <c r="D234" i="2" s="1"/>
  <c r="B234" i="2" s="1"/>
  <c r="C235" i="2" l="1"/>
  <c r="D235" i="2" s="1"/>
  <c r="B235" i="2" s="1"/>
  <c r="C236" i="2" l="1"/>
  <c r="D236" i="2" s="1"/>
  <c r="B236" i="2" s="1"/>
  <c r="C237" i="2" l="1"/>
  <c r="D237" i="2" s="1"/>
  <c r="B237" i="2" s="1"/>
  <c r="C238" i="2" l="1"/>
  <c r="D238" i="2" s="1"/>
  <c r="B238" i="2" s="1"/>
  <c r="C239" i="2" l="1"/>
  <c r="D239" i="2" s="1"/>
  <c r="B239" i="2" s="1"/>
  <c r="C240" i="2" l="1"/>
  <c r="D240" i="2" s="1"/>
  <c r="B240" i="2" s="1"/>
  <c r="C241" i="2" l="1"/>
  <c r="D241" i="2" s="1"/>
  <c r="B241" i="2" s="1"/>
  <c r="C242" i="2" l="1"/>
  <c r="D242" i="2" s="1"/>
  <c r="B242" i="2" s="1"/>
  <c r="C243" i="2" l="1"/>
  <c r="D243" i="2" s="1"/>
  <c r="B243" i="2" s="1"/>
  <c r="C244" i="2" l="1"/>
  <c r="D244" i="2" s="1"/>
  <c r="B244" i="2" s="1"/>
  <c r="C245" i="2" s="1"/>
  <c r="D245" i="2" s="1"/>
  <c r="B245" i="2" s="1"/>
  <c r="C246" i="2" l="1"/>
  <c r="D246" i="2" s="1"/>
  <c r="B246" i="2" s="1"/>
  <c r="C247" i="2" l="1"/>
  <c r="D247" i="2" s="1"/>
  <c r="B247" i="2" s="1"/>
  <c r="C248" i="2" l="1"/>
  <c r="D248" i="2" s="1"/>
  <c r="B248" i="2" s="1"/>
  <c r="C249" i="2" l="1"/>
  <c r="D249" i="2" s="1"/>
  <c r="B249" i="2" s="1"/>
  <c r="C250" i="2" l="1"/>
  <c r="D250" i="2" s="1"/>
  <c r="B250" i="2" s="1"/>
  <c r="C251" i="2" l="1"/>
  <c r="D251" i="2" s="1"/>
  <c r="B251" i="2" s="1"/>
  <c r="C252" i="2" l="1"/>
  <c r="D252" i="2" s="1"/>
  <c r="B252" i="2" s="1"/>
  <c r="C253" i="2" l="1"/>
  <c r="D253" i="2" s="1"/>
  <c r="B253" i="2" s="1"/>
  <c r="C254" i="2" l="1"/>
  <c r="D254" i="2" s="1"/>
  <c r="B254" i="2" s="1"/>
  <c r="C255" i="2" l="1"/>
  <c r="D255" i="2" s="1"/>
  <c r="B255" i="2" s="1"/>
  <c r="C256" i="2" l="1"/>
  <c r="D256" i="2" s="1"/>
  <c r="B256" i="2" s="1"/>
  <c r="C257" i="2" l="1"/>
  <c r="D257" i="2" s="1"/>
  <c r="B257" i="2" s="1"/>
  <c r="C258" i="2" l="1"/>
  <c r="D258" i="2" s="1"/>
  <c r="B258" i="2" s="1"/>
  <c r="C259" i="2" l="1"/>
  <c r="D259" i="2" s="1"/>
  <c r="B259" i="2" s="1"/>
  <c r="C260" i="2" l="1"/>
  <c r="D260" i="2" s="1"/>
  <c r="B260" i="2" s="1"/>
  <c r="C261" i="2" l="1"/>
  <c r="D261" i="2" s="1"/>
  <c r="B261" i="2" s="1"/>
  <c r="C262" i="2" l="1"/>
  <c r="D262" i="2" s="1"/>
  <c r="B262" i="2" s="1"/>
  <c r="C263" i="2" l="1"/>
  <c r="D263" i="2" s="1"/>
  <c r="B263" i="2" s="1"/>
  <c r="C264" i="2" l="1"/>
  <c r="D264" i="2" s="1"/>
  <c r="B264" i="2" s="1"/>
  <c r="C265" i="2" l="1"/>
  <c r="D265" i="2" s="1"/>
  <c r="B265" i="2" s="1"/>
  <c r="C266" i="2" l="1"/>
  <c r="D266" i="2" s="1"/>
  <c r="B266" i="2" s="1"/>
  <c r="C267" i="2" l="1"/>
  <c r="D267" i="2" s="1"/>
  <c r="B267" i="2" s="1"/>
  <c r="C268" i="2" l="1"/>
  <c r="D268" i="2" s="1"/>
  <c r="B268" i="2" s="1"/>
  <c r="C269" i="2" l="1"/>
  <c r="D269" i="2" s="1"/>
  <c r="B269" i="2" s="1"/>
  <c r="C270" i="2" l="1"/>
  <c r="D270" i="2" s="1"/>
  <c r="B270" i="2" s="1"/>
  <c r="C271" i="2" l="1"/>
  <c r="D271" i="2" s="1"/>
  <c r="B271" i="2" s="1"/>
  <c r="C272" i="2" l="1"/>
  <c r="D272" i="2" s="1"/>
  <c r="B272" i="2" s="1"/>
  <c r="C273" i="2" l="1"/>
  <c r="D273" i="2" s="1"/>
  <c r="B273" i="2" s="1"/>
  <c r="C274" i="2" l="1"/>
  <c r="D274" i="2" s="1"/>
  <c r="B274" i="2" s="1"/>
  <c r="C275" i="2" l="1"/>
  <c r="D275" i="2" s="1"/>
  <c r="B275" i="2" s="1"/>
  <c r="C276" i="2" l="1"/>
  <c r="D276" i="2" s="1"/>
  <c r="B276" i="2" s="1"/>
  <c r="C277" i="2" l="1"/>
  <c r="D277" i="2" s="1"/>
  <c r="B277" i="2" s="1"/>
  <c r="C278" i="2" l="1"/>
  <c r="D278" i="2" s="1"/>
  <c r="B278" i="2" s="1"/>
  <c r="C279" i="2" l="1"/>
  <c r="D279" i="2" s="1"/>
  <c r="B279" i="2" s="1"/>
  <c r="C280" i="2" l="1"/>
  <c r="D280" i="2" s="1"/>
  <c r="B280" i="2" s="1"/>
  <c r="C281" i="2" l="1"/>
  <c r="D281" i="2" s="1"/>
  <c r="B281" i="2" s="1"/>
  <c r="C282" i="2" l="1"/>
  <c r="D282" i="2" s="1"/>
  <c r="B282" i="2" s="1"/>
  <c r="C283" i="2" l="1"/>
  <c r="D283" i="2" s="1"/>
  <c r="B283" i="2" s="1"/>
  <c r="C284" i="2" l="1"/>
  <c r="D284" i="2" s="1"/>
  <c r="B284" i="2" s="1"/>
  <c r="C285" i="2" l="1"/>
  <c r="D285" i="2" s="1"/>
  <c r="B285" i="2" s="1"/>
  <c r="C286" i="2" l="1"/>
  <c r="D286" i="2" s="1"/>
  <c r="B286" i="2" s="1"/>
  <c r="C287" i="2" l="1"/>
  <c r="D287" i="2" s="1"/>
  <c r="B287" i="2" s="1"/>
  <c r="C288" i="2" l="1"/>
  <c r="D288" i="2" s="1"/>
  <c r="B288" i="2" s="1"/>
  <c r="C289" i="2" l="1"/>
  <c r="D289" i="2" s="1"/>
  <c r="B289" i="2" s="1"/>
  <c r="C290" i="2" l="1"/>
  <c r="D290" i="2" s="1"/>
  <c r="B290" i="2" s="1"/>
  <c r="C291" i="2" l="1"/>
  <c r="D291" i="2" s="1"/>
  <c r="B291" i="2" s="1"/>
  <c r="C292" i="2" l="1"/>
  <c r="D292" i="2" s="1"/>
  <c r="B292" i="2" s="1"/>
  <c r="C293" i="2" l="1"/>
  <c r="D293" i="2" s="1"/>
  <c r="B293" i="2" s="1"/>
  <c r="C294" i="2" l="1"/>
  <c r="D294" i="2" s="1"/>
  <c r="B294" i="2" s="1"/>
  <c r="C295" i="2" l="1"/>
  <c r="D295" i="2" s="1"/>
  <c r="B295" i="2" s="1"/>
  <c r="C296" i="2" l="1"/>
  <c r="D296" i="2" s="1"/>
  <c r="B296" i="2" s="1"/>
  <c r="C297" i="2" l="1"/>
  <c r="D297" i="2" s="1"/>
  <c r="B297" i="2" s="1"/>
  <c r="C298" i="2" l="1"/>
  <c r="D298" i="2" s="1"/>
  <c r="B298" i="2" s="1"/>
  <c r="C299" i="2" l="1"/>
  <c r="D299" i="2" s="1"/>
  <c r="B299" i="2" s="1"/>
  <c r="C300" i="2" l="1"/>
  <c r="D300" i="2" s="1"/>
  <c r="B300" i="2" s="1"/>
  <c r="C301" i="2" l="1"/>
  <c r="D301" i="2" s="1"/>
  <c r="B301" i="2" s="1"/>
  <c r="C302" i="2" l="1"/>
  <c r="D302" i="2" s="1"/>
  <c r="B302" i="2" s="1"/>
  <c r="C303" i="2" l="1"/>
  <c r="D303" i="2" s="1"/>
  <c r="B303" i="2" s="1"/>
</calcChain>
</file>

<file path=xl/sharedStrings.xml><?xml version="1.0" encoding="utf-8"?>
<sst xmlns="http://schemas.openxmlformats.org/spreadsheetml/2006/main" count="151" uniqueCount="93">
  <si>
    <t>Amortissement emprunt banque</t>
  </si>
  <si>
    <t>Période</t>
  </si>
  <si>
    <t>Capital Restant dû</t>
  </si>
  <si>
    <t xml:space="preserve">Intérêts </t>
  </si>
  <si>
    <t>Montant capital remboursé</t>
  </si>
  <si>
    <t>Mensualité hors assurance</t>
  </si>
  <si>
    <t>Assurance emprunteur</t>
  </si>
  <si>
    <t>Mensualité totale</t>
  </si>
  <si>
    <t>Montant de l'emprunt</t>
  </si>
  <si>
    <t>Taux annuel</t>
  </si>
  <si>
    <t xml:space="preserve">Taux périodique </t>
  </si>
  <si>
    <t>Année d'emprunt</t>
  </si>
  <si>
    <t>Durée</t>
  </si>
  <si>
    <t>Taux d'assurance</t>
  </si>
  <si>
    <t>Mensualité avec assurance</t>
  </si>
  <si>
    <t>Coût intérêt d'emprunt</t>
  </si>
  <si>
    <t xml:space="preserve">Coût assurance </t>
  </si>
  <si>
    <t>Frais de notaire ancien</t>
  </si>
  <si>
    <t>Coût total du projet</t>
  </si>
  <si>
    <t>Charges restantes</t>
  </si>
  <si>
    <t>Total N23</t>
  </si>
  <si>
    <t xml:space="preserve">Emprunt </t>
  </si>
  <si>
    <t>Mensualité emprunt</t>
  </si>
  <si>
    <t>Colonne1</t>
  </si>
  <si>
    <t>2023</t>
  </si>
  <si>
    <t>Mensualité</t>
  </si>
  <si>
    <t>Intérêt</t>
  </si>
  <si>
    <t>Assurance prêt</t>
  </si>
  <si>
    <t xml:space="preserve">Assurance loyer impayé </t>
  </si>
  <si>
    <t>Assurance propriétaire innocupant</t>
  </si>
  <si>
    <t>Total 1</t>
  </si>
  <si>
    <t>Ressource</t>
  </si>
  <si>
    <t>Loyer locataire hors charges</t>
  </si>
  <si>
    <t>Charge loyer</t>
  </si>
  <si>
    <t>Total 2</t>
  </si>
  <si>
    <t>Autres frais</t>
  </si>
  <si>
    <t>Charge de coopropriété</t>
  </si>
  <si>
    <t>Taxe foncière</t>
  </si>
  <si>
    <t>Impôt sur le revenu</t>
  </si>
  <si>
    <t>Total 3</t>
  </si>
  <si>
    <t xml:space="preserve">Solde </t>
  </si>
  <si>
    <t>Total 1+3</t>
  </si>
  <si>
    <t>Restant à payer</t>
  </si>
  <si>
    <t>Devis assurance macif</t>
  </si>
  <si>
    <t>Capacité d'emprunt</t>
  </si>
  <si>
    <t xml:space="preserve">Impôts sur le revenu </t>
  </si>
  <si>
    <t>20 ans</t>
  </si>
  <si>
    <t>Année</t>
  </si>
  <si>
    <t>Salaire sur 13 mois</t>
  </si>
  <si>
    <t>Gain locatif</t>
  </si>
  <si>
    <t xml:space="preserve">Assurance propriétaire non occupant </t>
  </si>
  <si>
    <t>Salaire sur 12 mois</t>
  </si>
  <si>
    <t>Régime micro-foncier</t>
  </si>
  <si>
    <t xml:space="preserve">Assurance emprunteur </t>
  </si>
  <si>
    <t xml:space="preserve">Mensualité maximum </t>
  </si>
  <si>
    <t>Régime réel</t>
  </si>
  <si>
    <t>Assurance loyer impayé</t>
  </si>
  <si>
    <t>Mensualité hors intérêt</t>
  </si>
  <si>
    <t>M. Total</t>
  </si>
  <si>
    <t xml:space="preserve">Capacité d'emprunt </t>
  </si>
  <si>
    <t>Régime micro-foncier
Vous avez droit à un abattement de 30 % sur vos revenus fonciers, vous ne pouvez pas déduire vos travaux et charges.
La déclaration de vos revenus fonciers est simplifiée.
Vous devez indiquer le montant brut sans abattement de vos revenus fonciers sur votre déclaration de revenus en ligne sur votre espace personnel du site impots.gouv.fr.Régime réel
 Déclaration en ligne
Vous devez déclarer votre revenu foncier net.
Pour cela, vous devez soustraire de votre revenu foncier brut (les loyers que vous avez encaissés pendant l'année) toutes vos charges déductibles.
Les principales charges déductibles sont les suivantes (liste non exhaustive) :
Frais de réparation et d'entretien
Travaux d'amélioration (rénovation énergétique par exemple)
Provisions pour charges de copropriété
Frais de gestion
Primes d'assurances (habitation, loyers impayés, emprunteur, etc.)
Intérêts des emprunts
Certains impôts (taxe foncière, ordures ménagères, etc.)Si la déduction des charges aboutit à un résultat négatif, vous constatez un déficit foncier.
La part du déficit qui résulte des dépenses autres que les intérêts d'emprunt est déductible de votre revenu global dans la limite de 10 700 €. Si votre revenu est insuffisant pour absorber ce déficit, vous pouvez le reporter sur votre revenu global des 6 années suivantes.
La part du déficit foncier qui dépasse 10 700 € et celle liée aux intérêts d'emprunt sont déductibles de vos revenus fonciers des 10 années suivantes.La limite de déduction sur le revenu global est portée jusqu'à 21 400 € pour les dépenses de travaux de rénovation énergétique permettant à un bien de passer d'une classe énergétique E, F ou G, à une classe de performance énergétique A, B, C ou D, au plus tard le 31 décembre 2025. Les dépenses doivent faire l'objet d'un devis accepté à compter du 5 novembre 2022 et être payées entre le 1er janvier 2023 et le 31 décembre 2025.</t>
  </si>
  <si>
    <t xml:space="preserve">Comparatif </t>
  </si>
  <si>
    <t xml:space="preserve">Avec locataire </t>
  </si>
  <si>
    <t>Sans locataire</t>
  </si>
  <si>
    <t>Gestion locative</t>
  </si>
  <si>
    <t xml:space="preserve">Travaux / Entretien </t>
  </si>
  <si>
    <t xml:space="preserve">Autres frais / Mise en location </t>
  </si>
  <si>
    <t>Total N23/2424</t>
  </si>
  <si>
    <t>Crédit à taux fixe</t>
  </si>
  <si>
    <t>Mensuelle</t>
  </si>
  <si>
    <t>Assurances</t>
  </si>
  <si>
    <t>TABLEAU D'AMORTISSEMENT</t>
  </si>
  <si>
    <t>PRET</t>
  </si>
  <si>
    <t>MONTANT</t>
  </si>
  <si>
    <t>3,93 % Fixe</t>
  </si>
  <si>
    <t>300 termes soit 25 an(s)</t>
  </si>
  <si>
    <t>N°</t>
  </si>
  <si>
    <t>Amortiss. Capital</t>
  </si>
  <si>
    <t>Intérêt Normaux</t>
  </si>
  <si>
    <t>Intérêts différés</t>
  </si>
  <si>
    <t>Total à payer</t>
  </si>
  <si>
    <t>Montant restant dû après échéance</t>
  </si>
  <si>
    <t>PROJET N° REFERENCE PRET</t>
  </si>
  <si>
    <t>TAUX DE BASE</t>
  </si>
  <si>
    <t>DUREE</t>
  </si>
  <si>
    <t>PERIODICITE</t>
  </si>
  <si>
    <t xml:space="preserve">ADVENARD DAMIEN
</t>
  </si>
  <si>
    <r>
      <rPr>
        <b/>
        <sz val="11"/>
        <color theme="0"/>
        <rFont val="Roboto"/>
      </rPr>
      <t>EMPRUNTEUR
CO EMPRUNTEUR</t>
    </r>
  </si>
  <si>
    <t>0,00% Fixe</t>
  </si>
  <si>
    <t>180 termes soit 15 an(s)</t>
  </si>
  <si>
    <t>REFERENCE PRET</t>
  </si>
  <si>
    <t xml:space="preserve">NE09120679
</t>
  </si>
  <si>
    <t xml:space="preserve">NE09120678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</si>
</sst>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164" formatCode="#,##0.00\ &quot;€&quot;;[Red]\-#,##0.00\ &quot;€&quot;"/>
    <numFmt numFmtId="165" formatCode="[$-40C]d\-mmm\-yy;@"/>
    <numFmt numFmtId="166" formatCode="#,##0.00\ &quot;€&quot;"/>
    <numFmt numFmtId="167" formatCode="General\ &quot;mois&quot;"/>
    <numFmt numFmtId="168" formatCode="#,##0\ &quot;€&quot;"/>
  </numFmts>
  <fonts count="35" x14ac:knownFonts="1">
    <font>
      <sz val="11"/>
      <color theme="1"/>
      <name val="Calibri"/>
      <family val="2"/>
      <scheme val="minor"/>
    </font>
    <font>
      <b/>
      <sz val="15"/>
      <color theme="3"/>
      <name val="Calibri"/>
      <family val="2"/>
      <scheme val="minor"/>
    </font>
    <font>
      <b/>
      <sz val="11"/>
      <color theme="0"/>
      <name val="Calibri"/>
      <family val="2"/>
      <scheme val="minor"/>
    </font>
    <font>
      <sz val="10"/>
      <color rgb="FF142C46"/>
      <name val="Roboto Medium"/>
    </font>
    <font>
      <b/>
      <sz val="9"/>
      <color rgb="FF142C46"/>
      <name val="Roboto Medium"/>
    </font>
    <font>
      <b/>
      <u/>
      <sz val="10"/>
      <color rgb="FF142C46"/>
      <name val="Roboto Medium"/>
    </font>
    <font>
      <u/>
      <sz val="13"/>
      <color theme="1"/>
      <name val="Calibri"/>
      <family val="2"/>
      <scheme val="minor"/>
    </font>
    <font>
      <b/>
      <sz val="10"/>
      <color rgb="FF142C46"/>
      <name val="Roboto Medium"/>
    </font>
    <font>
      <sz val="9"/>
      <color rgb="FF142C46"/>
      <name val="Roboto Medium"/>
    </font>
    <font>
      <b/>
      <i/>
      <sz val="9"/>
      <color rgb="FF142C46"/>
      <name val="Roboto Medium"/>
    </font>
    <font>
      <b/>
      <i/>
      <sz val="11"/>
      <color theme="1"/>
      <name val="Calibri"/>
      <family val="2"/>
      <scheme val="minor"/>
    </font>
    <font>
      <b/>
      <sz val="10"/>
      <color rgb="FF3B8249"/>
      <name val="Roboto Medium"/>
    </font>
    <font>
      <sz val="9"/>
      <color rgb="FF3B8249"/>
      <name val="Roboto Medium"/>
    </font>
    <font>
      <b/>
      <sz val="9"/>
      <color rgb="FF3B8249"/>
      <name val="Roboto Medium"/>
    </font>
    <font>
      <b/>
      <u/>
      <sz val="10"/>
      <color rgb="FF595657"/>
      <name val="Roboto Medium"/>
    </font>
    <font>
      <b/>
      <sz val="10"/>
      <color rgb="FF595657"/>
      <name val="Roboto Medium"/>
    </font>
    <font>
      <sz val="9"/>
      <color rgb="FF595657"/>
      <name val="Roboto Medium"/>
    </font>
    <font>
      <b/>
      <u/>
      <sz val="10"/>
      <color rgb="FFCD0A37"/>
      <name val="Roboto Medium"/>
    </font>
    <font>
      <b/>
      <sz val="10"/>
      <color rgb="FFCD0A37"/>
      <name val="Roboto Medium"/>
    </font>
    <font>
      <sz val="9"/>
      <color rgb="FFCD0A37"/>
      <name val="Roboto Medium"/>
    </font>
    <font>
      <b/>
      <u/>
      <sz val="10"/>
      <color rgb="FF3B8249"/>
      <name val="Roboto Medium"/>
    </font>
    <font>
      <sz val="9"/>
      <color theme="1"/>
      <name val="Calibri"/>
      <family val="2"/>
      <scheme val="minor"/>
    </font>
    <font>
      <sz val="18"/>
      <color theme="3"/>
      <name val="Calibri Light"/>
      <family val="2"/>
      <scheme val="major"/>
    </font>
    <font>
      <b/>
      <sz val="11"/>
      <color rgb="FF142C46"/>
      <name val="Calibri"/>
      <family val="2"/>
      <scheme val="minor"/>
    </font>
    <font>
      <b/>
      <sz val="18"/>
      <color theme="0"/>
      <name val="Calibri Light"/>
      <family val="2"/>
      <scheme val="major"/>
    </font>
    <font>
      <b/>
      <i/>
      <sz val="10"/>
      <color theme="0"/>
      <name val="Roboto Medium"/>
    </font>
    <font>
      <b/>
      <i/>
      <sz val="9"/>
      <color theme="0"/>
      <name val="Roboto Medium"/>
    </font>
    <font>
      <sz val="10"/>
      <color theme="1"/>
      <name val="Calibri"/>
      <family val="2"/>
      <scheme val="minor"/>
    </font>
    <font>
      <sz val="10"/>
      <color rgb="FF000000"/>
      <name val="Times New Roman"/>
      <family val="1"/>
    </font>
    <font>
      <sz val="11"/>
      <color theme="1"/>
      <name val="Roboto"/>
    </font>
    <font>
      <b/>
      <sz val="11"/>
      <color theme="0"/>
      <name val="Roboto"/>
    </font>
    <font>
      <sz val="11"/>
      <color theme="0"/>
      <name val="Roboto"/>
    </font>
    <font>
      <sz val="11"/>
      <name val="Roboto"/>
    </font>
    <font>
      <sz val="11"/>
      <color rgb="FF000000"/>
      <name val="Roboto"/>
    </font>
    <font>
      <sz val="8"/>
      <name val="Calibri"/>
      <family val="2"/>
      <scheme val="minor"/>
    </font>
  </fonts>
  <fills count="8">
    <fill>
      <patternFill patternType="none"/>
    </fill>
    <fill>
      <patternFill patternType="gray125"/>
    </fill>
    <fill>
      <patternFill patternType="solid">
        <fgColor rgb="FF142C46"/>
        <bgColor indexed="64"/>
      </patternFill>
    </fill>
    <fill>
      <patternFill patternType="solid">
        <fgColor rgb="FFCD0A37"/>
        <bgColor indexed="64"/>
      </patternFill>
    </fill>
    <fill>
      <patternFill patternType="solid">
        <fgColor rgb="FF3B8249"/>
        <bgColor indexed="64"/>
      </patternFill>
    </fill>
    <fill>
      <patternFill patternType="solid">
        <fgColor indexed="65"/>
        <bgColor indexed="64"/>
      </patternFill>
    </fill>
    <fill>
      <patternFill patternType="solid">
        <fgColor rgb="FF595657"/>
        <bgColor indexed="64"/>
      </patternFill>
    </fill>
    <fill>
      <patternFill patternType="solid">
        <fgColor rgb="FFF1F1F1"/>
        <bgColor indexed="64"/>
      </patternFill>
    </fill>
  </fills>
  <borders count="58">
    <border>
      <left/>
      <right/>
      <top/>
      <bottom/>
      <diagonal/>
    </border>
    <border>
      <left/>
      <right/>
      <top/>
      <bottom style="thick">
        <color theme="4"/>
      </bottom>
      <diagonal/>
    </border>
    <border>
      <left style="thin">
        <color auto="1"/>
      </left>
      <right style="medium">
        <color auto="1"/>
      </right>
      <top style="thin">
        <color auto="1"/>
      </top>
      <bottom/>
      <diagonal/>
    </border>
    <border>
      <left/>
      <right style="dashed">
        <color auto="1"/>
      </right>
      <top style="thin">
        <color auto="1"/>
      </top>
      <bottom/>
      <diagonal/>
    </border>
    <border>
      <left style="dashed">
        <color auto="1"/>
      </left>
      <right style="dashed">
        <color auto="1"/>
      </right>
      <top style="thin">
        <color auto="1"/>
      </top>
      <bottom/>
      <diagonal/>
    </border>
    <border>
      <left style="medium">
        <color auto="1"/>
      </left>
      <right style="dashed">
        <color auto="1"/>
      </right>
      <top style="medium">
        <color auto="1"/>
      </top>
      <bottom style="medium">
        <color auto="1"/>
      </bottom>
      <diagonal/>
    </border>
    <border>
      <left style="dashed">
        <color auto="1"/>
      </left>
      <right style="dashed">
        <color auto="1"/>
      </right>
      <top style="medium">
        <color auto="1"/>
      </top>
      <bottom style="medium">
        <color auto="1"/>
      </bottom>
      <diagonal/>
    </border>
    <border>
      <left style="dashed">
        <color auto="1"/>
      </left>
      <right style="medium">
        <color auto="1"/>
      </right>
      <top style="medium">
        <color auto="1"/>
      </top>
      <bottom style="medium">
        <color auto="1"/>
      </bottom>
      <diagonal/>
    </border>
    <border>
      <left style="thin">
        <color auto="1"/>
      </left>
      <right style="medium">
        <color auto="1"/>
      </right>
      <top/>
      <bottom style="dashed">
        <color auto="1"/>
      </bottom>
      <diagonal/>
    </border>
    <border>
      <left/>
      <right style="dashed">
        <color auto="1"/>
      </right>
      <top/>
      <bottom style="dashed">
        <color auto="1"/>
      </bottom>
      <diagonal/>
    </border>
    <border>
      <left style="dashed">
        <color auto="1"/>
      </left>
      <right style="medium">
        <color auto="1"/>
      </right>
      <top style="dashed">
        <color auto="1"/>
      </top>
      <bottom style="dashed">
        <color auto="1"/>
      </bottom>
      <diagonal/>
    </border>
    <border>
      <left style="thin">
        <color auto="1"/>
      </left>
      <right style="medium">
        <color auto="1"/>
      </right>
      <top style="dashed">
        <color auto="1"/>
      </top>
      <bottom style="dashed">
        <color auto="1"/>
      </bottom>
      <diagonal/>
    </border>
    <border>
      <left/>
      <right style="dashed">
        <color auto="1"/>
      </right>
      <top style="dashed">
        <color auto="1"/>
      </top>
      <bottom style="dashed">
        <color auto="1"/>
      </bottom>
      <diagonal/>
    </border>
    <border>
      <left style="medium">
        <color auto="1"/>
      </left>
      <right style="medium">
        <color auto="1"/>
      </right>
      <top style="dashed">
        <color auto="1"/>
      </top>
      <bottom/>
      <diagonal/>
    </border>
    <border>
      <left/>
      <right style="dashed">
        <color auto="1"/>
      </right>
      <top style="dashed">
        <color auto="1"/>
      </top>
      <bottom/>
      <diagonal/>
    </border>
    <border>
      <left style="thin">
        <color auto="1"/>
      </left>
      <right style="medium">
        <color auto="1"/>
      </right>
      <top style="dashed">
        <color auto="1"/>
      </top>
      <bottom/>
      <diagonal/>
    </border>
    <border>
      <left style="dashed">
        <color auto="1"/>
      </left>
      <right style="thin">
        <color auto="1"/>
      </right>
      <top style="dashed">
        <color auto="1"/>
      </top>
      <bottom/>
      <diagonal/>
    </border>
    <border>
      <left style="thin">
        <color auto="1"/>
      </left>
      <right style="medium">
        <color auto="1"/>
      </right>
      <top/>
      <bottom/>
      <diagonal/>
    </border>
    <border>
      <left/>
      <right style="dashed">
        <color auto="1"/>
      </right>
      <top/>
      <bottom/>
      <diagonal/>
    </border>
    <border>
      <left/>
      <right style="dashed">
        <color auto="1"/>
      </right>
      <top style="dashed">
        <color auto="1"/>
      </top>
      <bottom style="medium">
        <color auto="1"/>
      </bottom>
      <diagonal/>
    </border>
    <border>
      <left style="dashed">
        <color auto="1"/>
      </left>
      <right style="medium">
        <color auto="1"/>
      </right>
      <top style="dashed">
        <color auto="1"/>
      </top>
      <bottom style="medium">
        <color auto="1"/>
      </bottom>
      <diagonal/>
    </border>
    <border>
      <left style="thin">
        <color rgb="FF142C46"/>
      </left>
      <right style="dashed">
        <color rgb="FF142C46"/>
      </right>
      <top style="dashed">
        <color rgb="FF142C46"/>
      </top>
      <bottom style="dashed">
        <color rgb="FF142C46"/>
      </bottom>
      <diagonal/>
    </border>
    <border>
      <left style="thin">
        <color rgb="FF142C46"/>
      </left>
      <right style="dashed">
        <color rgb="FF142C46"/>
      </right>
      <top style="dashed">
        <color rgb="FF142C46"/>
      </top>
      <bottom style="thin">
        <color rgb="FF142C46"/>
      </bottom>
      <diagonal/>
    </border>
    <border>
      <left style="dashed">
        <color rgb="FF142C46"/>
      </left>
      <right style="thin">
        <color rgb="FF142C46"/>
      </right>
      <top style="dashed">
        <color rgb="FF142C46"/>
      </top>
      <bottom style="dashed">
        <color rgb="FF142C46"/>
      </bottom>
      <diagonal/>
    </border>
    <border>
      <left style="dashed">
        <color rgb="FF142C46"/>
      </left>
      <right style="thin">
        <color rgb="FF142C46"/>
      </right>
      <top style="dashed">
        <color rgb="FF142C46"/>
      </top>
      <bottom style="thin">
        <color rgb="FF142C46"/>
      </bottom>
      <diagonal/>
    </border>
    <border>
      <left style="thin">
        <color indexed="64"/>
      </left>
      <right style="thin">
        <color indexed="64"/>
      </right>
      <top style="thin">
        <color indexed="64"/>
      </top>
      <bottom style="thin">
        <color indexed="64"/>
      </bottom>
      <diagonal/>
    </border>
    <border>
      <left style="medium">
        <color rgb="FF142C46"/>
      </left>
      <right/>
      <top style="medium">
        <color rgb="FF142C46"/>
      </top>
      <bottom/>
      <diagonal/>
    </border>
    <border>
      <left/>
      <right/>
      <top style="medium">
        <color rgb="FF142C46"/>
      </top>
      <bottom/>
      <diagonal/>
    </border>
    <border>
      <left/>
      <right style="medium">
        <color rgb="FF142C46"/>
      </right>
      <top style="medium">
        <color rgb="FF142C46"/>
      </top>
      <bottom/>
      <diagonal/>
    </border>
    <border>
      <left style="thin">
        <color rgb="FF142C46"/>
      </left>
      <right style="dashed">
        <color rgb="FF142C46"/>
      </right>
      <top style="thin">
        <color rgb="FF142C46"/>
      </top>
      <bottom style="dashed">
        <color rgb="FF142C46"/>
      </bottom>
      <diagonal/>
    </border>
    <border>
      <left style="dashed">
        <color rgb="FF142C46"/>
      </left>
      <right style="thin">
        <color rgb="FF142C46"/>
      </right>
      <top style="thin">
        <color rgb="FF142C46"/>
      </top>
      <bottom style="dashed">
        <color rgb="FF142C46"/>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medium">
        <color auto="1"/>
      </right>
      <top style="medium">
        <color auto="1"/>
      </top>
      <bottom style="dashed">
        <color auto="1"/>
      </bottom>
      <diagonal/>
    </border>
    <border>
      <left/>
      <right style="dashed">
        <color auto="1"/>
      </right>
      <top style="medium">
        <color auto="1"/>
      </top>
      <bottom style="dashed">
        <color auto="1"/>
      </bottom>
      <diagonal/>
    </border>
    <border>
      <left style="dashed">
        <color auto="1"/>
      </left>
      <right style="medium">
        <color auto="1"/>
      </right>
      <top style="thin">
        <color auto="1"/>
      </top>
      <bottom/>
      <diagonal/>
    </border>
    <border>
      <left style="dashed">
        <color auto="1"/>
      </left>
      <right style="medium">
        <color auto="1"/>
      </right>
      <top/>
      <bottom style="dashed">
        <color auto="1"/>
      </bottom>
      <diagonal/>
    </border>
    <border>
      <left style="dashed">
        <color auto="1"/>
      </left>
      <right style="medium">
        <color auto="1"/>
      </right>
      <top style="dashed">
        <color auto="1"/>
      </top>
      <bottom/>
      <diagonal/>
    </border>
    <border>
      <left style="dashed">
        <color auto="1"/>
      </left>
      <right style="medium">
        <color auto="1"/>
      </right>
      <top style="medium">
        <color auto="1"/>
      </top>
      <bottom/>
      <diagonal/>
    </border>
    <border>
      <left style="thin">
        <color auto="1"/>
      </left>
      <right style="medium">
        <color auto="1"/>
      </right>
      <top style="dashed">
        <color auto="1"/>
      </top>
      <bottom style="medium">
        <color auto="1"/>
      </bottom>
      <diagonal/>
    </border>
    <border>
      <left style="medium">
        <color rgb="FF142C46"/>
      </left>
      <right style="dashed">
        <color rgb="FF142C46"/>
      </right>
      <top style="medium">
        <color rgb="FF142C46"/>
      </top>
      <bottom style="dashed">
        <color rgb="FF142C46"/>
      </bottom>
      <diagonal/>
    </border>
    <border>
      <left style="dashed">
        <color rgb="FF142C46"/>
      </left>
      <right style="medium">
        <color rgb="FF142C46"/>
      </right>
      <top style="medium">
        <color rgb="FF142C46"/>
      </top>
      <bottom style="dashed">
        <color rgb="FF142C46"/>
      </bottom>
      <diagonal/>
    </border>
    <border>
      <left style="medium">
        <color rgb="FF142C46"/>
      </left>
      <right style="dashed">
        <color rgb="FF142C46"/>
      </right>
      <top style="dashed">
        <color rgb="FF142C46"/>
      </top>
      <bottom style="dashed">
        <color rgb="FF142C46"/>
      </bottom>
      <diagonal/>
    </border>
    <border>
      <left style="dashed">
        <color rgb="FF142C46"/>
      </left>
      <right style="medium">
        <color rgb="FF142C46"/>
      </right>
      <top style="dashed">
        <color rgb="FF142C46"/>
      </top>
      <bottom style="dashed">
        <color rgb="FF142C46"/>
      </bottom>
      <diagonal/>
    </border>
    <border>
      <left style="medium">
        <color rgb="FF142C46"/>
      </left>
      <right style="dashed">
        <color rgb="FF142C46"/>
      </right>
      <top style="dashed">
        <color rgb="FF142C46"/>
      </top>
      <bottom style="medium">
        <color rgb="FF142C46"/>
      </bottom>
      <diagonal/>
    </border>
    <border>
      <left style="dashed">
        <color rgb="FF142C46"/>
      </left>
      <right style="medium">
        <color rgb="FF142C46"/>
      </right>
      <top style="dashed">
        <color rgb="FF142C46"/>
      </top>
      <bottom style="medium">
        <color rgb="FF142C46"/>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auto="1"/>
      </left>
      <right style="dashed">
        <color auto="1"/>
      </right>
      <top style="medium">
        <color auto="1"/>
      </top>
      <bottom style="dashed">
        <color auto="1"/>
      </bottom>
      <diagonal/>
    </border>
    <border>
      <left style="dashed">
        <color auto="1"/>
      </left>
      <right style="dashed">
        <color auto="1"/>
      </right>
      <top style="medium">
        <color auto="1"/>
      </top>
      <bottom style="dashed">
        <color auto="1"/>
      </bottom>
      <diagonal/>
    </border>
    <border>
      <left style="dashed">
        <color auto="1"/>
      </left>
      <right style="medium">
        <color auto="1"/>
      </right>
      <top style="medium">
        <color auto="1"/>
      </top>
      <bottom style="dashed">
        <color auto="1"/>
      </bottom>
      <diagonal/>
    </border>
    <border>
      <left style="medium">
        <color auto="1"/>
      </left>
      <right style="dashed">
        <color auto="1"/>
      </right>
      <top style="dashed">
        <color auto="1"/>
      </top>
      <bottom style="dashed">
        <color auto="1"/>
      </bottom>
      <diagonal/>
    </border>
    <border>
      <left style="dashed">
        <color auto="1"/>
      </left>
      <right style="dashed">
        <color auto="1"/>
      </right>
      <top style="dashed">
        <color auto="1"/>
      </top>
      <bottom style="dashed">
        <color auto="1"/>
      </bottom>
      <diagonal/>
    </border>
    <border>
      <left style="medium">
        <color auto="1"/>
      </left>
      <right style="dashed">
        <color auto="1"/>
      </right>
      <top style="dashed">
        <color auto="1"/>
      </top>
      <bottom style="medium">
        <color auto="1"/>
      </bottom>
      <diagonal/>
    </border>
    <border>
      <left style="dashed">
        <color auto="1"/>
      </left>
      <right style="dashed">
        <color auto="1"/>
      </right>
      <top style="dashed">
        <color auto="1"/>
      </top>
      <bottom style="medium">
        <color auto="1"/>
      </bottom>
      <diagonal/>
    </border>
    <border>
      <left style="dashed">
        <color auto="1"/>
      </left>
      <right/>
      <top style="dashed">
        <color auto="1"/>
      </top>
      <bottom style="medium">
        <color auto="1"/>
      </bottom>
      <diagonal/>
    </border>
    <border>
      <left style="medium">
        <color auto="1"/>
      </left>
      <right/>
      <top style="dashed">
        <color auto="1"/>
      </top>
      <bottom style="dashed">
        <color auto="1"/>
      </bottom>
      <diagonal/>
    </border>
  </borders>
  <cellStyleXfs count="4">
    <xf numFmtId="0" fontId="0" fillId="0" borderId="0"/>
    <xf numFmtId="0" fontId="1" fillId="0" borderId="1" applyNumberFormat="0" applyFill="0" applyAlignment="0" applyProtection="0"/>
    <xf numFmtId="0" fontId="22" fillId="0" borderId="0" applyNumberFormat="0" applyFill="0" applyBorder="0" applyAlignment="0" applyProtection="0"/>
    <xf numFmtId="0" fontId="28" fillId="0" borderId="0"/>
  </cellStyleXfs>
  <cellXfs count="117">
    <xf numFmtId="0" fontId="0" fillId="0" borderId="0" xfId="0"/>
    <xf numFmtId="0" fontId="3" fillId="0" borderId="2" xfId="0" applyFont="1" applyBorder="1" applyAlignment="1">
      <alignment horizontal="left" vertical="center"/>
    </xf>
    <xf numFmtId="165" fontId="4" fillId="0" borderId="3" xfId="0" applyNumberFormat="1" applyFont="1" applyBorder="1" applyAlignment="1">
      <alignment horizontal="center" vertical="center"/>
    </xf>
    <xf numFmtId="165" fontId="4" fillId="0" borderId="4" xfId="0" applyNumberFormat="1" applyFont="1" applyBorder="1" applyAlignment="1">
      <alignment horizontal="center" vertical="center"/>
    </xf>
    <xf numFmtId="0" fontId="6" fillId="0" borderId="0" xfId="0" applyFont="1" applyAlignment="1">
      <alignment vertical="center"/>
    </xf>
    <xf numFmtId="0" fontId="0" fillId="0" borderId="0" xfId="0" applyAlignment="1">
      <alignment horizontal="center" vertical="center"/>
    </xf>
    <xf numFmtId="0" fontId="7" fillId="0" borderId="8" xfId="0" applyFont="1" applyBorder="1" applyAlignment="1">
      <alignment horizontal="left" vertical="top"/>
    </xf>
    <xf numFmtId="166" fontId="8" fillId="0" borderId="9" xfId="0" applyNumberFormat="1" applyFont="1" applyBorder="1"/>
    <xf numFmtId="166" fontId="9" fillId="0" borderId="10" xfId="0" applyNumberFormat="1" applyFont="1" applyBorder="1" applyAlignment="1">
      <alignment horizontal="center" vertical="center"/>
    </xf>
    <xf numFmtId="0" fontId="7" fillId="0" borderId="11" xfId="0" applyFont="1" applyBorder="1" applyAlignment="1">
      <alignment horizontal="left" vertical="top"/>
    </xf>
    <xf numFmtId="166" fontId="8" fillId="0" borderId="12" xfId="0" applyNumberFormat="1" applyFont="1" applyBorder="1"/>
    <xf numFmtId="0" fontId="10" fillId="0" borderId="0" xfId="0" applyFont="1" applyAlignment="1">
      <alignment horizontal="center" vertical="center"/>
    </xf>
    <xf numFmtId="0" fontId="6" fillId="0" borderId="0" xfId="0" applyFont="1"/>
    <xf numFmtId="166" fontId="11" fillId="0" borderId="8" xfId="0" applyNumberFormat="1" applyFont="1" applyBorder="1" applyAlignment="1">
      <alignment horizontal="left"/>
    </xf>
    <xf numFmtId="166" fontId="12" fillId="0" borderId="9" xfId="0" applyNumberFormat="1" applyFont="1" applyBorder="1"/>
    <xf numFmtId="166" fontId="18" fillId="0" borderId="8" xfId="0" applyNumberFormat="1" applyFont="1" applyBorder="1" applyAlignment="1">
      <alignment horizontal="left"/>
    </xf>
    <xf numFmtId="166" fontId="0" fillId="0" borderId="0" xfId="0" applyNumberFormat="1"/>
    <xf numFmtId="0" fontId="21" fillId="0" borderId="0" xfId="0" applyFont="1"/>
    <xf numFmtId="0" fontId="0" fillId="0" borderId="0" xfId="0" applyAlignment="1">
      <alignment horizontal="left"/>
    </xf>
    <xf numFmtId="17" fontId="21" fillId="0" borderId="0" xfId="0" applyNumberFormat="1" applyFont="1"/>
    <xf numFmtId="0" fontId="1" fillId="0" borderId="0" xfId="1" applyBorder="1" applyAlignment="1">
      <alignment vertical="center" wrapText="1"/>
    </xf>
    <xf numFmtId="166" fontId="19" fillId="0" borderId="12" xfId="0" applyNumberFormat="1" applyFont="1" applyBorder="1" applyAlignment="1">
      <alignment horizontal="right"/>
    </xf>
    <xf numFmtId="166" fontId="18" fillId="0" borderId="11" xfId="0" applyNumberFormat="1" applyFont="1" applyBorder="1" applyAlignment="1">
      <alignment horizontal="left"/>
    </xf>
    <xf numFmtId="0" fontId="0" fillId="0" borderId="25" xfId="0" applyBorder="1" applyAlignment="1">
      <alignment horizontal="center" vertical="center"/>
    </xf>
    <xf numFmtId="0" fontId="2" fillId="2" borderId="25" xfId="0" applyFont="1" applyFill="1" applyBorder="1" applyAlignment="1">
      <alignment horizontal="center" vertical="center"/>
    </xf>
    <xf numFmtId="0" fontId="0" fillId="0" borderId="25" xfId="0" applyBorder="1" applyAlignment="1">
      <alignment vertical="center"/>
    </xf>
    <xf numFmtId="166" fontId="0" fillId="0" borderId="25" xfId="0" applyNumberFormat="1" applyBorder="1" applyAlignment="1">
      <alignment vertical="center"/>
    </xf>
    <xf numFmtId="0" fontId="2" fillId="2" borderId="29" xfId="0" applyFont="1" applyFill="1" applyBorder="1" applyAlignment="1">
      <alignment horizontal="left" vertical="center"/>
    </xf>
    <xf numFmtId="0" fontId="2" fillId="2" borderId="21" xfId="0" applyFont="1" applyFill="1" applyBorder="1" applyAlignment="1">
      <alignment horizontal="left" vertical="center"/>
    </xf>
    <xf numFmtId="166" fontId="23" fillId="5" borderId="30" xfId="0" applyNumberFormat="1" applyFont="1" applyFill="1" applyBorder="1"/>
    <xf numFmtId="10" fontId="23" fillId="5" borderId="23" xfId="0" applyNumberFormat="1" applyFont="1" applyFill="1" applyBorder="1" applyAlignment="1">
      <alignment vertical="center"/>
    </xf>
    <xf numFmtId="167" fontId="23" fillId="5" borderId="23" xfId="0" applyNumberFormat="1" applyFont="1" applyFill="1" applyBorder="1" applyAlignment="1">
      <alignment vertical="center"/>
    </xf>
    <xf numFmtId="164" fontId="23" fillId="5" borderId="23" xfId="0" applyNumberFormat="1" applyFont="1" applyFill="1" applyBorder="1" applyAlignment="1">
      <alignment vertical="center"/>
    </xf>
    <xf numFmtId="166" fontId="23" fillId="0" borderId="23" xfId="0" applyNumberFormat="1" applyFont="1" applyBorder="1"/>
    <xf numFmtId="0" fontId="2" fillId="3" borderId="22" xfId="0" applyFont="1" applyFill="1" applyBorder="1" applyAlignment="1">
      <alignment horizontal="left" vertical="center"/>
    </xf>
    <xf numFmtId="166" fontId="2" fillId="3" borderId="24" xfId="0" applyNumberFormat="1" applyFont="1" applyFill="1" applyBorder="1"/>
    <xf numFmtId="0" fontId="25" fillId="2" borderId="13" xfId="0" applyFont="1" applyFill="1" applyBorder="1" applyAlignment="1">
      <alignment horizontal="center" vertical="center"/>
    </xf>
    <xf numFmtId="166" fontId="26" fillId="2" borderId="14" xfId="0" applyNumberFormat="1" applyFont="1" applyFill="1" applyBorder="1" applyAlignment="1">
      <alignment horizontal="center" vertical="center"/>
    </xf>
    <xf numFmtId="166" fontId="26" fillId="2" borderId="10" xfId="0" applyNumberFormat="1" applyFont="1" applyFill="1" applyBorder="1" applyAlignment="1">
      <alignment horizontal="center" vertical="center"/>
    </xf>
    <xf numFmtId="166" fontId="25" fillId="4" borderId="15" xfId="0" applyNumberFormat="1" applyFont="1" applyFill="1" applyBorder="1" applyAlignment="1">
      <alignment horizontal="center" vertical="center"/>
    </xf>
    <xf numFmtId="166" fontId="26" fillId="4" borderId="16" xfId="0" applyNumberFormat="1" applyFont="1" applyFill="1" applyBorder="1" applyAlignment="1">
      <alignment horizontal="center" vertical="center"/>
    </xf>
    <xf numFmtId="166" fontId="25" fillId="3" borderId="15" xfId="0" applyNumberFormat="1" applyFont="1" applyFill="1" applyBorder="1" applyAlignment="1">
      <alignment horizontal="center" vertical="center"/>
    </xf>
    <xf numFmtId="166" fontId="26" fillId="3" borderId="14" xfId="0" applyNumberFormat="1" applyFont="1" applyFill="1" applyBorder="1" applyAlignment="1">
      <alignment horizontal="center" vertical="center"/>
    </xf>
    <xf numFmtId="166" fontId="15" fillId="0" borderId="17" xfId="0" applyNumberFormat="1" applyFont="1" applyBorder="1" applyAlignment="1">
      <alignment horizontal="left"/>
    </xf>
    <xf numFmtId="166" fontId="16" fillId="0" borderId="18" xfId="0" applyNumberFormat="1" applyFont="1" applyBorder="1" applyAlignment="1">
      <alignment horizontal="right"/>
    </xf>
    <xf numFmtId="166" fontId="15" fillId="0" borderId="34" xfId="0" applyNumberFormat="1" applyFont="1" applyBorder="1" applyAlignment="1">
      <alignment horizontal="left"/>
    </xf>
    <xf numFmtId="166" fontId="16" fillId="0" borderId="35" xfId="0" applyNumberFormat="1" applyFont="1" applyBorder="1" applyAlignment="1">
      <alignment horizontal="right"/>
    </xf>
    <xf numFmtId="0" fontId="4" fillId="0" borderId="36" xfId="0" applyFont="1" applyBorder="1" applyAlignment="1">
      <alignment horizontal="center" vertical="center"/>
    </xf>
    <xf numFmtId="166" fontId="13" fillId="0" borderId="37" xfId="0" applyNumberFormat="1" applyFont="1" applyBorder="1"/>
    <xf numFmtId="166" fontId="26" fillId="4" borderId="38" xfId="0" applyNumberFormat="1" applyFont="1" applyFill="1" applyBorder="1" applyAlignment="1">
      <alignment horizontal="center" vertical="center"/>
    </xf>
    <xf numFmtId="166" fontId="19" fillId="0" borderId="37" xfId="0" applyNumberFormat="1" applyFont="1" applyBorder="1" applyAlignment="1">
      <alignment horizontal="right"/>
    </xf>
    <xf numFmtId="166" fontId="26" fillId="3" borderId="37" xfId="0" applyNumberFormat="1" applyFont="1" applyFill="1" applyBorder="1" applyAlignment="1">
      <alignment horizontal="center" vertical="center"/>
    </xf>
    <xf numFmtId="166" fontId="16" fillId="0" borderId="39" xfId="0" applyNumberFormat="1" applyFont="1" applyBorder="1" applyAlignment="1">
      <alignment horizontal="center"/>
    </xf>
    <xf numFmtId="166" fontId="16" fillId="0" borderId="38" xfId="0" applyNumberFormat="1" applyFont="1" applyBorder="1" applyAlignment="1">
      <alignment horizontal="center"/>
    </xf>
    <xf numFmtId="166" fontId="25" fillId="6" borderId="40" xfId="0" applyNumberFormat="1" applyFont="1" applyFill="1" applyBorder="1" applyAlignment="1">
      <alignment horizontal="center" vertical="center"/>
    </xf>
    <xf numFmtId="166" fontId="26" fillId="6" borderId="19" xfId="0" applyNumberFormat="1" applyFont="1" applyFill="1" applyBorder="1" applyAlignment="1">
      <alignment horizontal="center" vertical="center"/>
    </xf>
    <xf numFmtId="166" fontId="26" fillId="6" borderId="20" xfId="0" applyNumberFormat="1" applyFont="1" applyFill="1" applyBorder="1" applyAlignment="1">
      <alignment horizontal="center" vertical="center"/>
    </xf>
    <xf numFmtId="0" fontId="2" fillId="6" borderId="22" xfId="0" applyFont="1" applyFill="1" applyBorder="1" applyAlignment="1">
      <alignment horizontal="left" vertical="center"/>
    </xf>
    <xf numFmtId="166" fontId="2" fillId="6" borderId="24" xfId="0" applyNumberFormat="1" applyFont="1" applyFill="1" applyBorder="1"/>
    <xf numFmtId="0" fontId="23" fillId="5" borderId="23" xfId="0" applyFont="1" applyFill="1" applyBorder="1" applyAlignment="1">
      <alignment vertical="center"/>
    </xf>
    <xf numFmtId="166" fontId="0" fillId="0" borderId="44" xfId="0" applyNumberFormat="1" applyBorder="1" applyAlignment="1">
      <alignment vertical="center"/>
    </xf>
    <xf numFmtId="0" fontId="2" fillId="2" borderId="43" xfId="0" applyFont="1" applyFill="1" applyBorder="1" applyAlignment="1">
      <alignment vertical="center"/>
    </xf>
    <xf numFmtId="168" fontId="0" fillId="0" borderId="25" xfId="0" applyNumberFormat="1" applyBorder="1" applyAlignment="1">
      <alignment horizontal="center" vertical="center"/>
    </xf>
    <xf numFmtId="0" fontId="2" fillId="3" borderId="45" xfId="0" applyFont="1" applyFill="1" applyBorder="1" applyAlignment="1">
      <alignment vertical="center"/>
    </xf>
    <xf numFmtId="0" fontId="2" fillId="3" borderId="25" xfId="0" applyFont="1" applyFill="1" applyBorder="1" applyAlignment="1">
      <alignment horizontal="center" vertical="center"/>
    </xf>
    <xf numFmtId="166" fontId="2" fillId="3" borderId="25" xfId="0" applyNumberFormat="1" applyFont="1" applyFill="1" applyBorder="1" applyAlignment="1">
      <alignment horizontal="center" vertical="center"/>
    </xf>
    <xf numFmtId="166" fontId="2" fillId="3" borderId="46" xfId="0" applyNumberFormat="1" applyFont="1" applyFill="1" applyBorder="1" applyAlignment="1">
      <alignment vertical="center"/>
    </xf>
    <xf numFmtId="166" fontId="21" fillId="0" borderId="0" xfId="0" applyNumberFormat="1" applyFont="1"/>
    <xf numFmtId="0" fontId="4" fillId="0" borderId="36" xfId="0" applyFont="1" applyBorder="1" applyAlignment="1">
      <alignment horizontal="center" vertical="center" wrapText="1"/>
    </xf>
    <xf numFmtId="0" fontId="29" fillId="0" borderId="0" xfId="0" applyFont="1"/>
    <xf numFmtId="0" fontId="30" fillId="2" borderId="53" xfId="3" applyFont="1" applyFill="1" applyBorder="1" applyAlignment="1">
      <alignment horizontal="left" vertical="center" wrapText="1"/>
    </xf>
    <xf numFmtId="0" fontId="30" fillId="2" borderId="52" xfId="3" applyFont="1" applyFill="1" applyBorder="1" applyAlignment="1">
      <alignment horizontal="left" vertical="center" wrapText="1"/>
    </xf>
    <xf numFmtId="0" fontId="31" fillId="0" borderId="54" xfId="3" applyFont="1" applyBorder="1" applyAlignment="1">
      <alignment horizontal="center" vertical="center" wrapText="1"/>
    </xf>
    <xf numFmtId="0" fontId="31" fillId="0" borderId="55" xfId="3" applyFont="1" applyBorder="1" applyAlignment="1">
      <alignment horizontal="center" vertical="center" wrapText="1"/>
    </xf>
    <xf numFmtId="0" fontId="31" fillId="0" borderId="56" xfId="3" applyFont="1" applyBorder="1" applyAlignment="1">
      <alignment horizontal="center" vertical="center" wrapText="1"/>
    </xf>
    <xf numFmtId="0" fontId="30" fillId="3" borderId="53" xfId="3" applyFont="1" applyFill="1" applyBorder="1" applyAlignment="1">
      <alignment horizontal="left" vertical="center" wrapText="1"/>
    </xf>
    <xf numFmtId="1" fontId="33" fillId="0" borderId="0" xfId="3" applyNumberFormat="1" applyFont="1" applyAlignment="1">
      <alignment horizontal="center" vertical="center" shrinkToFit="1"/>
    </xf>
    <xf numFmtId="166" fontId="33" fillId="0" borderId="0" xfId="3" applyNumberFormat="1" applyFont="1" applyAlignment="1">
      <alignment horizontal="center" vertical="center" shrinkToFit="1"/>
    </xf>
    <xf numFmtId="0" fontId="0" fillId="7" borderId="0" xfId="0" applyFill="1"/>
    <xf numFmtId="0" fontId="0" fillId="0" borderId="0" xfId="0" applyAlignment="1">
      <alignment horizontal="center" vertical="center" wrapText="1"/>
    </xf>
    <xf numFmtId="166" fontId="14" fillId="0" borderId="31" xfId="0" applyNumberFormat="1" applyFont="1" applyBorder="1" applyAlignment="1">
      <alignment horizontal="center" vertical="center"/>
    </xf>
    <xf numFmtId="166" fontId="14" fillId="0" borderId="32" xfId="0" applyNumberFormat="1" applyFont="1" applyBorder="1" applyAlignment="1">
      <alignment horizontal="center" vertical="center"/>
    </xf>
    <xf numFmtId="166" fontId="14" fillId="0" borderId="33" xfId="0" applyNumberFormat="1" applyFont="1" applyBorder="1" applyAlignment="1">
      <alignment horizontal="center" vertical="center"/>
    </xf>
    <xf numFmtId="0" fontId="5" fillId="0" borderId="5" xfId="0" applyFont="1" applyBorder="1" applyAlignment="1">
      <alignment horizontal="center" vertical="center"/>
    </xf>
    <xf numFmtId="0" fontId="5" fillId="0" borderId="6" xfId="0" applyFont="1" applyBorder="1" applyAlignment="1">
      <alignment horizontal="center" vertical="center"/>
    </xf>
    <xf numFmtId="0" fontId="5" fillId="0" borderId="7" xfId="0" applyFont="1" applyBorder="1" applyAlignment="1">
      <alignment horizontal="center" vertical="center"/>
    </xf>
    <xf numFmtId="166" fontId="20" fillId="0" borderId="5" xfId="0" applyNumberFormat="1" applyFont="1" applyBorder="1" applyAlignment="1">
      <alignment horizontal="center" vertical="center"/>
    </xf>
    <xf numFmtId="166" fontId="20" fillId="0" borderId="6" xfId="0" applyNumberFormat="1" applyFont="1" applyBorder="1" applyAlignment="1">
      <alignment horizontal="center" vertical="center"/>
    </xf>
    <xf numFmtId="166" fontId="20" fillId="0" borderId="7" xfId="0" applyNumberFormat="1" applyFont="1" applyBorder="1" applyAlignment="1">
      <alignment horizontal="center" vertical="center"/>
    </xf>
    <xf numFmtId="166" fontId="17" fillId="0" borderId="5" xfId="0" applyNumberFormat="1" applyFont="1" applyBorder="1" applyAlignment="1">
      <alignment horizontal="center" vertical="center"/>
    </xf>
    <xf numFmtId="166" fontId="17" fillId="0" borderId="6" xfId="0" applyNumberFormat="1" applyFont="1" applyBorder="1" applyAlignment="1">
      <alignment horizontal="center" vertical="center"/>
    </xf>
    <xf numFmtId="166" fontId="17" fillId="0" borderId="7" xfId="0" applyNumberFormat="1" applyFont="1" applyBorder="1" applyAlignment="1">
      <alignment horizontal="center" vertical="center"/>
    </xf>
    <xf numFmtId="0" fontId="2" fillId="2" borderId="25" xfId="0" applyFont="1" applyFill="1" applyBorder="1" applyAlignment="1">
      <alignment horizontal="center" vertical="center"/>
    </xf>
    <xf numFmtId="0" fontId="2" fillId="2" borderId="41" xfId="0" applyFont="1" applyFill="1" applyBorder="1" applyAlignment="1">
      <alignment horizontal="center" vertical="center"/>
    </xf>
    <xf numFmtId="0" fontId="2" fillId="2" borderId="42" xfId="0" applyFont="1" applyFill="1" applyBorder="1" applyAlignment="1">
      <alignment horizontal="center" vertical="center"/>
    </xf>
    <xf numFmtId="0" fontId="27" fillId="0" borderId="0" xfId="0" applyFont="1" applyAlignment="1">
      <alignment horizontal="center" wrapText="1"/>
    </xf>
    <xf numFmtId="0" fontId="2" fillId="2" borderId="47" xfId="0" applyFont="1" applyFill="1" applyBorder="1" applyAlignment="1">
      <alignment horizontal="center" vertical="center"/>
    </xf>
    <xf numFmtId="0" fontId="2" fillId="2" borderId="48" xfId="0" applyFont="1" applyFill="1" applyBorder="1" applyAlignment="1">
      <alignment horizontal="center" vertical="center"/>
    </xf>
    <xf numFmtId="0" fontId="24" fillId="3" borderId="26" xfId="2" applyFont="1" applyFill="1" applyBorder="1" applyAlignment="1">
      <alignment horizontal="center" vertical="center" wrapText="1"/>
    </xf>
    <xf numFmtId="0" fontId="24" fillId="3" borderId="27" xfId="2" applyFont="1" applyFill="1" applyBorder="1" applyAlignment="1">
      <alignment horizontal="center" vertical="center" wrapText="1"/>
    </xf>
    <xf numFmtId="0" fontId="24" fillId="3" borderId="28" xfId="2" applyFont="1" applyFill="1" applyBorder="1" applyAlignment="1">
      <alignment horizontal="center" vertical="center" wrapText="1"/>
    </xf>
    <xf numFmtId="0" fontId="32" fillId="0" borderId="53" xfId="3" applyFont="1" applyBorder="1" applyAlignment="1">
      <alignment vertical="top" wrapText="1"/>
    </xf>
    <xf numFmtId="0" fontId="32" fillId="0" borderId="10" xfId="3" applyFont="1" applyBorder="1" applyAlignment="1">
      <alignment vertical="top" wrapText="1"/>
    </xf>
    <xf numFmtId="164" fontId="32" fillId="0" borderId="53" xfId="3" applyNumberFormat="1" applyFont="1" applyBorder="1" applyAlignment="1">
      <alignment horizontal="left" vertical="center" wrapText="1"/>
    </xf>
    <xf numFmtId="0" fontId="30" fillId="3" borderId="57" xfId="3" applyFont="1" applyFill="1" applyBorder="1" applyAlignment="1">
      <alignment horizontal="left" vertical="center" wrapText="1"/>
    </xf>
    <xf numFmtId="0" fontId="30" fillId="3" borderId="12" xfId="3" applyFont="1" applyFill="1" applyBorder="1" applyAlignment="1">
      <alignment horizontal="left" vertical="center" wrapText="1"/>
    </xf>
    <xf numFmtId="0" fontId="30" fillId="2" borderId="49" xfId="3" applyFont="1" applyFill="1" applyBorder="1" applyAlignment="1">
      <alignment horizontal="center" vertical="top" wrapText="1"/>
    </xf>
    <xf numFmtId="0" fontId="30" fillId="2" borderId="50" xfId="3" applyFont="1" applyFill="1" applyBorder="1" applyAlignment="1">
      <alignment horizontal="center" vertical="top" wrapText="1"/>
    </xf>
    <xf numFmtId="0" fontId="30" fillId="2" borderId="51" xfId="3" applyFont="1" applyFill="1" applyBorder="1" applyAlignment="1">
      <alignment horizontal="center" vertical="top" wrapText="1"/>
    </xf>
    <xf numFmtId="0" fontId="32" fillId="0" borderId="53" xfId="3" applyFont="1" applyBorder="1" applyAlignment="1">
      <alignment horizontal="left" vertical="center" wrapText="1"/>
    </xf>
    <xf numFmtId="0" fontId="31" fillId="2" borderId="52" xfId="3" applyFont="1" applyFill="1" applyBorder="1" applyAlignment="1">
      <alignment horizontal="left" vertical="center" wrapText="1"/>
    </xf>
    <xf numFmtId="0" fontId="31" fillId="2" borderId="53" xfId="3" applyFont="1" applyFill="1" applyBorder="1" applyAlignment="1">
      <alignment horizontal="left" vertical="center" wrapText="1"/>
    </xf>
    <xf numFmtId="0" fontId="30" fillId="3" borderId="49" xfId="3" applyFont="1" applyFill="1" applyBorder="1" applyAlignment="1">
      <alignment horizontal="center" vertical="top" wrapText="1"/>
    </xf>
    <xf numFmtId="0" fontId="30" fillId="3" borderId="50" xfId="3" applyFont="1" applyFill="1" applyBorder="1" applyAlignment="1">
      <alignment horizontal="center" vertical="top" wrapText="1"/>
    </xf>
    <xf numFmtId="0" fontId="30" fillId="3" borderId="51" xfId="3" applyFont="1" applyFill="1" applyBorder="1" applyAlignment="1">
      <alignment horizontal="center" vertical="top" wrapText="1"/>
    </xf>
    <xf numFmtId="0" fontId="31" fillId="3" borderId="52" xfId="3" applyFont="1" applyFill="1" applyBorder="1" applyAlignment="1">
      <alignment horizontal="left" vertical="center" wrapText="1"/>
    </xf>
    <xf numFmtId="0" fontId="31" fillId="3" borderId="53" xfId="3" applyFont="1" applyFill="1" applyBorder="1" applyAlignment="1">
      <alignment horizontal="left" vertical="center" wrapText="1"/>
    </xf>
  </cellXfs>
  <cellStyles count="4">
    <cellStyle name="Normal" xfId="0" builtinId="0"/>
    <cellStyle name="Normal 2" xfId="3" xr:uid="{0B8BFA1E-AEDC-4E5C-B6E5-E46DA6D0135C}"/>
    <cellStyle name="Titre" xfId="2" builtinId="15"/>
    <cellStyle name="Titre 1" xfId="1" builtinId="16"/>
  </cellStyles>
  <dxfs count="52">
    <dxf>
      <font>
        <b/>
        <i val="0"/>
        <color theme="0"/>
      </font>
      <fill>
        <patternFill>
          <bgColor rgb="FF595657"/>
        </patternFill>
      </fill>
    </dxf>
    <dxf>
      <font>
        <color theme="0"/>
      </font>
      <fill>
        <patternFill patternType="solid">
          <fgColor rgb="FFCD0A37"/>
          <bgColor rgb="FFCD0A37"/>
        </patternFill>
      </fill>
    </dxf>
    <dxf>
      <font>
        <color rgb="FF3B8248"/>
      </font>
      <fill>
        <patternFill>
          <bgColor theme="7" tint="0.39994506668294322"/>
        </patternFill>
      </fill>
    </dxf>
    <dxf>
      <fill>
        <patternFill>
          <bgColor rgb="FF3B8248"/>
        </patternFill>
      </fill>
    </dxf>
    <dxf>
      <fill>
        <patternFill>
          <bgColor rgb="FF142C46"/>
        </patternFill>
      </fill>
    </dxf>
    <dxf>
      <fill>
        <patternFill>
          <bgColor rgb="FF142C46"/>
        </patternFill>
      </fill>
    </dxf>
    <dxf>
      <font>
        <b/>
        <i val="0"/>
        <color theme="0"/>
      </font>
      <fill>
        <patternFill>
          <bgColor rgb="FF595657"/>
        </patternFill>
      </fill>
    </dxf>
    <dxf>
      <font>
        <color theme="0"/>
      </font>
      <fill>
        <patternFill patternType="solid">
          <fgColor rgb="FFCD0A37"/>
          <bgColor rgb="FFCD0A37"/>
        </patternFill>
      </fill>
    </dxf>
    <dxf>
      <font>
        <color rgb="FF3B8248"/>
      </font>
      <fill>
        <patternFill>
          <bgColor theme="7" tint="0.39994506668294322"/>
        </patternFill>
      </fill>
    </dxf>
    <dxf>
      <fill>
        <patternFill>
          <bgColor rgb="FF3B8248"/>
        </patternFill>
      </fill>
    </dxf>
    <dxf>
      <fill>
        <patternFill>
          <bgColor rgb="FF142C46"/>
        </patternFill>
      </fill>
    </dxf>
    <dxf>
      <fill>
        <patternFill>
          <bgColor rgb="FF142C46"/>
        </patternFill>
      </fill>
    </dxf>
    <dxf>
      <alignment horizontal="center" vertical="center" textRotation="0" wrapText="1" indent="0" justifyLastLine="0" shrinkToFit="0"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 formatCode="0"/>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alignment horizontal="center" vertical="center" textRotation="0" wrapText="0" indent="0" justifyLastLine="0" shrinkToFit="1" readingOrder="0"/>
    </dxf>
    <dxf>
      <border>
        <bottom style="medium">
          <color auto="1"/>
        </bottom>
      </border>
    </dxf>
    <dxf>
      <font>
        <b val="0"/>
        <i val="0"/>
        <strike val="0"/>
        <condense val="0"/>
        <extend val="0"/>
        <outline val="0"/>
        <shadow val="0"/>
        <u val="none"/>
        <vertAlign val="baseline"/>
        <sz val="11"/>
        <color theme="0"/>
        <name val="Roboto"/>
        <scheme val="none"/>
      </font>
      <alignment horizontal="center" vertical="center" textRotation="0" wrapText="1" indent="0" justifyLastLine="0" shrinkToFit="0" readingOrder="0"/>
      <border diagonalUp="0" diagonalDown="0" outline="0">
        <left style="dashed">
          <color auto="1"/>
        </left>
        <right style="dashed">
          <color auto="1"/>
        </right>
        <top/>
        <bottom/>
      </border>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66" formatCode="#,##0.00\ &quot;€&quot;"/>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numFmt numFmtId="1" formatCode="0"/>
      <alignment horizontal="center" vertical="center" textRotation="0" wrapText="0" indent="0" justifyLastLine="0" shrinkToFit="1" readingOrder="0"/>
    </dxf>
    <dxf>
      <font>
        <b val="0"/>
        <i val="0"/>
        <strike val="0"/>
        <condense val="0"/>
        <extend val="0"/>
        <outline val="0"/>
        <shadow val="0"/>
        <u val="none"/>
        <vertAlign val="baseline"/>
        <sz val="11"/>
        <color rgb="FF000000"/>
        <name val="Roboto"/>
        <scheme val="none"/>
      </font>
      <alignment horizontal="center" vertical="center" textRotation="0" wrapText="0" indent="0" justifyLastLine="0" shrinkToFit="1" readingOrder="0"/>
    </dxf>
    <dxf>
      <border>
        <bottom style="medium">
          <color auto="1"/>
        </bottom>
      </border>
    </dxf>
    <dxf>
      <font>
        <b val="0"/>
        <i val="0"/>
        <strike val="0"/>
        <condense val="0"/>
        <extend val="0"/>
        <outline val="0"/>
        <shadow val="0"/>
        <u val="none"/>
        <vertAlign val="baseline"/>
        <sz val="11"/>
        <color theme="0"/>
        <name val="Roboto"/>
        <scheme val="none"/>
      </font>
      <alignment horizontal="center" vertical="center" textRotation="0" wrapText="1" indent="0" justifyLastLine="0" shrinkToFit="0" readingOrder="0"/>
      <border diagonalUp="0" diagonalDown="0" outline="0">
        <left style="dashed">
          <color auto="1"/>
        </left>
        <right style="dashed">
          <color auto="1"/>
        </right>
        <top/>
        <bottom/>
      </border>
    </dxf>
    <dxf>
      <numFmt numFmtId="166" formatCode="#,##0.00\ &quot;€&quot;"/>
    </dxf>
    <dxf>
      <numFmt numFmtId="166" formatCode="#,##0.00\ &quot;€&quot;"/>
    </dxf>
    <dxf>
      <numFmt numFmtId="166" formatCode="#,##0.00\ &quot;€&quot;"/>
    </dxf>
    <dxf>
      <numFmt numFmtId="166" formatCode="#,##0.00\ &quot;€&quot;"/>
    </dxf>
    <dxf>
      <numFmt numFmtId="166" formatCode="#,##0.00\ &quot;€&quot;"/>
    </dxf>
    <dxf>
      <numFmt numFmtId="166" formatCode="#,##0.00\ &quot;€&quot;"/>
    </dxf>
    <dxf>
      <alignment horizontal="center" vertical="center" textRotation="0" wrapText="0" indent="0" justifyLastLine="0" shrinkToFit="0" readingOrder="0"/>
    </dxf>
    <dxf>
      <alignment horizontal="center" vertical="center" textRotation="0" wrapText="0" indent="0" justifyLastLine="0" shrinkToFit="0" readingOrder="0"/>
    </dxf>
    <dxf>
      <font>
        <color auto="1"/>
      </font>
      <fill>
        <patternFill>
          <bgColor rgb="FFF1F1F1"/>
        </patternFill>
      </fill>
    </dxf>
    <dxf>
      <font>
        <color auto="1"/>
      </font>
      <fill>
        <patternFill patternType="none">
          <bgColor auto="1"/>
        </patternFill>
      </fill>
    </dxf>
    <dxf>
      <font>
        <b/>
        <i val="0"/>
        <color theme="0"/>
      </font>
      <fill>
        <patternFill>
          <bgColor rgb="FF595657"/>
        </patternFill>
      </fill>
      <border>
        <left style="thin">
          <color rgb="FF142C46"/>
        </left>
        <right style="thin">
          <color rgb="FF142C46"/>
        </right>
        <top style="thin">
          <color rgb="FF142C46"/>
        </top>
        <bottom style="thin">
          <color rgb="FF142C46"/>
        </bottom>
        <vertical style="dashed">
          <color rgb="FF142C46"/>
        </vertical>
        <horizontal style="dashed">
          <color rgb="FF142C46"/>
        </horizontal>
      </border>
    </dxf>
    <dxf>
      <font>
        <color theme="0"/>
      </font>
      <fill>
        <patternFill>
          <bgColor rgb="FF595657"/>
        </patternFill>
      </fill>
      <border>
        <left style="thin">
          <color rgb="FF595657"/>
        </left>
        <right style="thin">
          <color rgb="FF595657"/>
        </right>
        <top style="thin">
          <color rgb="FF595657"/>
        </top>
        <bottom style="thin">
          <color rgb="FF595657"/>
        </bottom>
        <vertical style="dashed">
          <color rgb="FF595657"/>
        </vertical>
        <horizontal style="dashed">
          <color rgb="FF595657"/>
        </horizontal>
      </border>
    </dxf>
    <dxf>
      <font>
        <color auto="1"/>
      </font>
      <fill>
        <patternFill>
          <bgColor rgb="FFF1F1F1"/>
        </patternFill>
      </fill>
    </dxf>
    <dxf>
      <font>
        <b/>
        <i val="0"/>
        <color theme="0"/>
      </font>
      <fill>
        <patternFill>
          <bgColor rgb="FF142C46"/>
        </patternFill>
      </fill>
      <border>
        <left style="thin">
          <color rgb="FF142C46"/>
        </left>
        <right style="thin">
          <color rgb="FF142C46"/>
        </right>
        <top style="thin">
          <color rgb="FF142C46"/>
        </top>
        <bottom style="thin">
          <color rgb="FF142C46"/>
        </bottom>
        <vertical style="dashed">
          <color rgb="FF142C46"/>
        </vertical>
        <horizontal style="dashed">
          <color rgb="FF142C46"/>
        </horizontal>
      </border>
    </dxf>
    <dxf>
      <font>
        <color rgb="FF142C46"/>
      </font>
      <border>
        <left style="thin">
          <color rgb="FF142C46"/>
        </left>
        <right style="thin">
          <color rgb="FF142C46"/>
        </right>
        <top style="thin">
          <color rgb="FF142C46"/>
        </top>
        <bottom style="thin">
          <color rgb="FF142C46"/>
        </bottom>
        <vertical style="dashed">
          <color rgb="FF142C46"/>
        </vertical>
        <horizontal style="dashed">
          <color rgb="FF142C46"/>
        </horizontal>
      </border>
    </dxf>
    <dxf>
      <font>
        <color theme="0"/>
      </font>
      <fill>
        <patternFill>
          <bgColor rgb="FFCD0A37"/>
        </patternFill>
      </fill>
    </dxf>
    <dxf>
      <font>
        <color rgb="FFCD0A37"/>
      </font>
      <border>
        <left style="thin">
          <color rgb="FFCD0A37"/>
        </left>
        <right style="thin">
          <color rgb="FFCD0A37"/>
        </right>
        <top style="thin">
          <color rgb="FFCD0A37"/>
        </top>
        <bottom style="thin">
          <color rgb="FFCD0A37"/>
        </bottom>
        <vertical style="dashed">
          <color rgb="FFCD0A37"/>
        </vertical>
        <horizontal style="dashed">
          <color rgb="FFCD0A37"/>
        </horizontal>
      </border>
    </dxf>
    <dxf>
      <font>
        <b/>
        <i val="0"/>
        <color theme="0"/>
      </font>
      <fill>
        <patternFill>
          <bgColor rgb="FF142C46"/>
        </patternFill>
      </fill>
      <border>
        <left style="thin">
          <color rgb="FF142C46"/>
        </left>
        <right style="thin">
          <color rgb="FF142C46"/>
        </right>
        <top style="thin">
          <color rgb="FF142C46"/>
        </top>
        <bottom style="thin">
          <color rgb="FF142C46"/>
        </bottom>
        <vertical style="dashed">
          <color rgb="FF142C46"/>
        </vertical>
        <horizontal style="dashed">
          <color rgb="FF142C46"/>
        </horizontal>
      </border>
    </dxf>
    <dxf>
      <font>
        <color rgb="FF142C46"/>
      </font>
      <border>
        <left style="thin">
          <color rgb="FF142C46"/>
        </left>
        <right style="thin">
          <color rgb="FF142C46"/>
        </right>
        <top style="thin">
          <color rgb="FF142C46"/>
        </top>
        <bottom style="thin">
          <color rgb="FF142C46"/>
        </bottom>
        <vertical style="dashed">
          <color rgb="FF142C46"/>
        </vertical>
        <horizontal style="dashed">
          <color rgb="FF142C46"/>
        </horizontal>
      </border>
    </dxf>
  </dxfs>
  <tableStyles count="4" defaultTableStyle="TableStyleMedium2" defaultPivotStyle="PivotStyleLight16">
    <tableStyle name="Style de tableau 1" pivot="0" count="2" xr9:uid="{6E76B4A9-E0EB-4421-9FCE-D95BD326307F}">
      <tableStyleElement type="wholeTable" dxfId="51"/>
      <tableStyleElement type="headerRow" dxfId="50"/>
    </tableStyle>
    <tableStyle name="Style de tableau 1 2" pivot="0" count="2" xr9:uid="{3CC21AFF-0B77-451A-8B5F-2652B23BF3C4}">
      <tableStyleElement type="wholeTable" dxfId="49"/>
      <tableStyleElement type="headerRow" dxfId="48"/>
    </tableStyle>
    <tableStyle name="Style de tableau 1 3" pivot="0" count="3" xr9:uid="{9F84EDAE-F132-4134-9FB6-C2D35104D8BD}">
      <tableStyleElement type="wholeTable" dxfId="47"/>
      <tableStyleElement type="headerRow" dxfId="46"/>
      <tableStyleElement type="secondRowStripe" dxfId="45"/>
    </tableStyle>
    <tableStyle name="Style de tableau 1 3 2" pivot="0" count="4" xr9:uid="{AF6566FA-EE1A-495B-8E6E-B06C890B668B}">
      <tableStyleElement type="wholeTable" dxfId="44"/>
      <tableStyleElement type="headerRow" dxfId="43"/>
      <tableStyleElement type="firstRowStripe" dxfId="42"/>
      <tableStyleElement type="secondRowStripe" dxfId="41"/>
    </tableStyle>
  </tableStyles>
  <colors>
    <mruColors>
      <color rgb="FF595657"/>
      <color rgb="FFF1F1F1"/>
      <color rgb="FFCD0A37"/>
      <color rgb="FF142C46"/>
      <color rgb="FF3B824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foirien/AppData/Local/Microsoft/Windows/INetCache/Content.Outlook/YWHRFWRX/Suivi_satisfaction_client_TEST_IDF.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ntrfile02\Datas\Interne\TDB%20QSE%20Agence\TRAME%20VIERGE\Tableau%20de%20pilotage_QSE_vierge_V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Mode opératoire"/>
      <sheetName val="Données"/>
      <sheetName val="Motifs"/>
      <sheetName val="Suivi_satisfaction_client_TEST_"/>
      <sheetName val="Motif"/>
    </sheetNames>
    <sheetDataSet>
      <sheetData sheetId="0" refreshError="1"/>
      <sheetData sheetId="1">
        <row r="5">
          <cell r="H5" t="str">
            <v>Autres</v>
          </cell>
        </row>
      </sheetData>
      <sheetData sheetId="2">
        <row r="2">
          <cell r="F2" t="str">
            <v>Qualité</v>
          </cell>
          <cell r="H2" t="str">
            <v>Courrier RAR</v>
          </cell>
        </row>
        <row r="3">
          <cell r="F3" t="str">
            <v>Chantier</v>
          </cell>
          <cell r="H3" t="str">
            <v>Courrier Simple</v>
          </cell>
        </row>
        <row r="4">
          <cell r="F4" t="str">
            <v>Absence</v>
          </cell>
          <cell r="H4" t="str">
            <v>Mail</v>
          </cell>
        </row>
        <row r="5">
          <cell r="D5" t="str">
            <v>IDF_EST</v>
          </cell>
          <cell r="F5" t="str">
            <v>Facture</v>
          </cell>
        </row>
        <row r="6">
          <cell r="D6" t="str">
            <v>IDF_NORD</v>
          </cell>
          <cell r="F6" t="str">
            <v>Prix</v>
          </cell>
        </row>
        <row r="7">
          <cell r="D7" t="str">
            <v>IDF_OUEST</v>
          </cell>
          <cell r="F7" t="str">
            <v>Environnement</v>
          </cell>
          <cell r="H7" t="str">
            <v>Réclamation</v>
          </cell>
        </row>
        <row r="8">
          <cell r="D8" t="str">
            <v>IDF_SUD</v>
          </cell>
          <cell r="F8" t="str">
            <v>Sécurité</v>
          </cell>
          <cell r="H8" t="str">
            <v>Résiliation</v>
          </cell>
        </row>
        <row r="9">
          <cell r="F9" t="str">
            <v>Autres</v>
          </cell>
          <cell r="H9" t="str">
            <v>Autres</v>
          </cell>
        </row>
        <row r="10">
          <cell r="F10" t="str">
            <v>Relation Client</v>
          </cell>
          <cell r="J10" t="str">
            <v>DR</v>
          </cell>
        </row>
        <row r="11">
          <cell r="J11" t="str">
            <v>DOP</v>
          </cell>
        </row>
        <row r="12">
          <cell r="J12" t="str">
            <v>CA</v>
          </cell>
        </row>
        <row r="13">
          <cell r="J13" t="str">
            <v>CS</v>
          </cell>
        </row>
        <row r="14">
          <cell r="J14" t="str">
            <v>Responsable Site</v>
          </cell>
        </row>
        <row r="15">
          <cell r="J15" t="str">
            <v>RRC</v>
          </cell>
        </row>
        <row r="16">
          <cell r="H16" t="str">
            <v>Insatisfait</v>
          </cell>
          <cell r="J16" t="str">
            <v>Assistant Agence</v>
          </cell>
        </row>
        <row r="17">
          <cell r="H17" t="str">
            <v>Peu satisfait</v>
          </cell>
          <cell r="J17" t="str">
            <v>Autres</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Indicateurs"/>
      <sheetName val="Plan d'action"/>
      <sheetName val=" Indice qualité et nb contrôle"/>
      <sheetName val="Nombre de site en retard"/>
      <sheetName val="Tableau suivi RC"/>
      <sheetName val="évolution du nb papiers imprimé"/>
      <sheetName val="répartition type impression"/>
      <sheetName val="Feuil2"/>
      <sheetName val="Conso papier"/>
      <sheetName val="CO2 mensuel"/>
      <sheetName val="CO2"/>
      <sheetName val="indice de qualité"/>
      <sheetName val="nombre contrôle par controleur"/>
      <sheetName val="site retard par controleur"/>
      <sheetName val="Répartition des motifs RC"/>
      <sheetName val="evolution RC en année"/>
      <sheetName val="evolution RC année en cours"/>
      <sheetName val="moyenne ind qualité agence"/>
    </sheetNames>
    <sheetDataSet>
      <sheetData sheetId="0" refreshError="1"/>
      <sheetData sheetId="1">
        <row r="7">
          <cell r="E7" t="str">
            <v>Actions à venir</v>
          </cell>
        </row>
      </sheetData>
      <sheetData sheetId="2" refreshError="1"/>
      <sheetData sheetId="3" refreshError="1"/>
      <sheetData sheetId="4" refreshError="1"/>
      <sheetData sheetId="5" refreshError="1"/>
      <sheetData sheetId="6" refreshError="1"/>
      <sheetData sheetId="7">
        <row r="1">
          <cell r="E1" t="str">
            <v>Qualité</v>
          </cell>
        </row>
        <row r="2">
          <cell r="B2" t="str">
            <v>&lt;1,5K€</v>
          </cell>
          <cell r="C2" t="str">
            <v>Réclamation</v>
          </cell>
          <cell r="D2" t="str">
            <v>Insatisfait</v>
          </cell>
          <cell r="E2" t="str">
            <v>Chantier</v>
          </cell>
        </row>
        <row r="3">
          <cell r="B3" t="str">
            <v>&lt;1,5-5K€&gt;</v>
          </cell>
          <cell r="C3" t="str">
            <v>Résiliation</v>
          </cell>
          <cell r="D3" t="str">
            <v>Peu satisfait</v>
          </cell>
          <cell r="E3" t="str">
            <v>Absence</v>
          </cell>
        </row>
        <row r="4">
          <cell r="B4" t="str">
            <v>&lt;5-10K€&gt;</v>
          </cell>
          <cell r="C4" t="str">
            <v>Facturation</v>
          </cell>
          <cell r="D4" t="str">
            <v>Satisfait</v>
          </cell>
          <cell r="E4" t="str">
            <v>Facture</v>
          </cell>
        </row>
        <row r="5">
          <cell r="B5" t="str">
            <v>&lt;10-25K€&gt;</v>
          </cell>
          <cell r="C5" t="str">
            <v>Autres</v>
          </cell>
          <cell r="D5" t="str">
            <v>Très Satisfait</v>
          </cell>
          <cell r="E5" t="str">
            <v>Prix</v>
          </cell>
        </row>
        <row r="6">
          <cell r="B6" t="str">
            <v>&gt;25K€</v>
          </cell>
          <cell r="D6" t="str">
            <v>NSPP</v>
          </cell>
          <cell r="E6" t="str">
            <v>Environnement</v>
          </cell>
        </row>
        <row r="7">
          <cell r="E7" t="str">
            <v>Sécurité</v>
          </cell>
        </row>
        <row r="8">
          <cell r="E8" t="str">
            <v>Traçabilité</v>
          </cell>
        </row>
        <row r="9">
          <cell r="E9" t="str">
            <v>Relation Client</v>
          </cell>
        </row>
      </sheetData>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Set>
  </externalBook>
</externalLink>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9DF48A54-0B67-44EB-99D7-EBED2634AFAC}" name="Tableau8" displayName="Tableau8" ref="P3:R6" totalsRowShown="0">
  <autoFilter ref="P3:R6" xr:uid="{9DF48A54-0B67-44EB-99D7-EBED2634AFAC}"/>
  <tableColumns count="3">
    <tableColumn id="1" xr3:uid="{B247BA49-89E6-4B58-AA94-FBCBB0A8B710}" name="Colonne1"/>
    <tableColumn id="2" xr3:uid="{91F908E2-C870-4179-BDDE-E8FCC29D9C6E}" name="2023"/>
    <tableColumn id="3" xr3:uid="{FD8019C6-0190-493D-A9AF-2E4CD1F27DC0}" name="Mensualité"/>
  </tableColumns>
  <tableStyleInfo name="Style de tableau 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4656745-0FB4-4554-ACA1-45FD5B66B66F}" name="Tableau82" displayName="Tableau82" ref="P8:R11" totalsRowShown="0">
  <autoFilter ref="P8:R11" xr:uid="{84656745-0FB4-4554-ACA1-45FD5B66B66F}"/>
  <tableColumns count="3">
    <tableColumn id="1" xr3:uid="{A226A4B8-F3A6-4A2D-BA26-F7D0A7F07ADE}" name="Comparatif ">
      <calculatedColumnFormula>A23</calculatedColumnFormula>
    </tableColumn>
    <tableColumn id="2" xr3:uid="{A7C8F2FA-37E0-4635-91C3-2325119B079E}" name="Avec locataire "/>
    <tableColumn id="3" xr3:uid="{992825D8-B009-4D09-82C5-2C3092C90DA7}" name="Sans locataire">
      <calculatedColumnFormula>Tableau82[[#This Row],[Avec locataire ]]/12</calculatedColumnFormula>
    </tableColumn>
  </tableColumns>
  <tableStyleInfo name="Style de tableau 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12158770-7A46-4308-9870-772565C3264E}" name="Tableau97" displayName="Tableau97" ref="A2:G303" totalsRowShown="0" headerRowDxfId="40">
  <autoFilter ref="A2:G303" xr:uid="{8F3CCA6B-6FB1-474F-9733-641649E6DB11}"/>
  <tableColumns count="7">
    <tableColumn id="1" xr3:uid="{F75A591C-38D9-4C42-BB30-6DB691971A5F}" name="Période" dataDxfId="39"/>
    <tableColumn id="2" xr3:uid="{B3A5FA9E-3E05-431B-8A6F-EEFAC6EE334B}" name="Capital Restant dû" dataDxfId="38"/>
    <tableColumn id="3" xr3:uid="{19E13C74-22B1-4882-AC95-2E6D429A19AB}" name="Intérêts " dataDxfId="37"/>
    <tableColumn id="4" xr3:uid="{D2750CB8-905B-4409-86FF-0A2EA3026A49}" name="Montant capital remboursé" dataDxfId="36"/>
    <tableColumn id="5" xr3:uid="{48CE6345-4FC8-4211-B437-3C2A55A8893A}" name="Mensualité hors assurance" dataDxfId="35"/>
    <tableColumn id="6" xr3:uid="{4B2DD959-3393-4B13-87FF-68705D6D02D9}" name="Assurance emprunteur" dataDxfId="34"/>
    <tableColumn id="7" xr3:uid="{FFE4BEAD-2728-4FC9-8E68-8564A5DF1BA0}" name="Mensualité totale" dataDxfId="33"/>
  </tableColumns>
  <tableStyleInfo name="Style de tableau 1 3"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D9F9F78A-411C-483E-83A5-0D1745234FFC}" name="Tableau1" displayName="Tableau1" ref="A6:G306" totalsRowShown="0" headerRowDxfId="32" dataDxfId="30" headerRowBorderDxfId="31" headerRowCellStyle="Normal 2" dataCellStyle="Normal 2">
  <autoFilter ref="A6:G306" xr:uid="{D9F9F78A-411C-483E-83A5-0D1745234FFC}"/>
  <tableColumns count="7">
    <tableColumn id="1" xr3:uid="{99F7CDF5-5A7F-44AE-9487-71ED8C1DEB31}" name="N°" dataDxfId="29" dataCellStyle="Normal 2"/>
    <tableColumn id="2" xr3:uid="{3D878E84-8142-4BE0-AECC-4E6365DDDB51}" name="Amortiss. Capital" dataDxfId="28" dataCellStyle="Normal 2"/>
    <tableColumn id="4" xr3:uid="{1CEE5B3C-0899-4C80-B60F-8EF4F40DE36D}" name="Intérêt Normaux" dataDxfId="27" dataCellStyle="Normal 2"/>
    <tableColumn id="5" xr3:uid="{93C4E4D6-CDC2-4416-8CD0-1FFA3CE8BFDD}" name="Intérêts différés" dataDxfId="26" dataCellStyle="Normal 2"/>
    <tableColumn id="6" xr3:uid="{7C3B1E48-F243-4111-9557-D2D44FBF7719}" name="Assurances" dataDxfId="25" dataCellStyle="Normal 2"/>
    <tableColumn id="7" xr3:uid="{6C189A02-3B71-4146-AE6B-B862C990C12E}" name="Total à payer" dataDxfId="24" dataCellStyle="Normal 2"/>
    <tableColumn id="11" xr3:uid="{1EB19590-A5F8-4C0B-AB95-33A827AFF5C8}" name="Montant restant dû après échéance" dataDxfId="23" dataCellStyle="Normal 2"/>
  </tableColumns>
  <tableStyleInfo name="Style de tableau 1 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B465BA25-ACC0-444E-9A02-ACD3B2004E06}" name="Tableau2" displayName="Tableau2" ref="I6:O186" totalsRowShown="0" headerRowDxfId="22" dataDxfId="20" headerRowBorderDxfId="21" headerRowCellStyle="Normal 2" dataCellStyle="Normal 2">
  <autoFilter ref="I6:O186" xr:uid="{B465BA25-ACC0-444E-9A02-ACD3B2004E06}"/>
  <tableColumns count="7">
    <tableColumn id="1" xr3:uid="{20CED95D-30FB-45B7-B9AB-BBA6FD72B9E6}" name="N°" dataDxfId="19" dataCellStyle="Normal 2"/>
    <tableColumn id="2" xr3:uid="{138B6155-D96F-4140-8064-346B6B01B7B2}" name="Amortiss. Capital" dataDxfId="18" dataCellStyle="Normal 2"/>
    <tableColumn id="4" xr3:uid="{992946B1-134C-4864-B246-50DE0103C062}" name="Intérêt Normaux" dataDxfId="17" dataCellStyle="Normal 2"/>
    <tableColumn id="5" xr3:uid="{43A1E22D-4C54-4DAD-91FC-120CC0B7D911}" name="Intérêts différés" dataDxfId="16" dataCellStyle="Normal 2"/>
    <tableColumn id="6" xr3:uid="{8266C914-3C32-4D9C-902F-0B56086F0755}" name="Assurances" dataDxfId="15" dataCellStyle="Normal 2"/>
    <tableColumn id="7" xr3:uid="{7BF2322B-9C58-4977-9597-2C4B3FBC35DA}" name="Total à payer" dataDxfId="14" dataCellStyle="Normal 2"/>
    <tableColumn id="11" xr3:uid="{07CE38BF-4347-4FBE-8548-AE5BCDF81160}" name="Montant restant dû après échéance" dataDxfId="13" dataCellStyle="Normal 2"/>
  </tableColumns>
  <tableStyleInfo name="Style de tableau 1 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9F2C08FA-8E47-472E-A1FC-A6FD107A6B21}" name="Tableau9" displayName="Tableau9" ref="Q6:W306" totalsRowShown="0" headerRowDxfId="12">
  <autoFilter ref="Q6:W306" xr:uid="{9F2C08FA-8E47-472E-A1FC-A6FD107A6B21}"/>
  <tableColumns count="7">
    <tableColumn id="1" xr3:uid="{54242227-6D6E-4A23-8030-5E84375E71A8}" name="N°"/>
    <tableColumn id="2" xr3:uid="{CBF44578-E7ED-4410-8828-550E491272B5}" name="Amortiss. Capital">
      <calculatedColumnFormula>SUM(Tableau1[[#This Row],[Amortiss. Capital]]+Tableau2[[#This Row],[Amortiss. Capital]])</calculatedColumnFormula>
    </tableColumn>
    <tableColumn id="3" xr3:uid="{1942410D-51EE-4B6C-9C02-2D57CE7B7E0A}" name="Intérêt Normaux">
      <calculatedColumnFormula>SUM(Tableau1[[#This Row],[Intérêt Normaux]]+Tableau2[[#This Row],[Intérêt Normaux]])</calculatedColumnFormula>
    </tableColumn>
    <tableColumn id="4" xr3:uid="{A94C4316-B462-418F-B946-15CF3318960C}" name="Intérêts différés">
      <calculatedColumnFormula>SUM(Tableau1[[#This Row],[Intérêts différés]]+Tableau2[[#This Row],[Intérêts différés]])</calculatedColumnFormula>
    </tableColumn>
    <tableColumn id="5" xr3:uid="{CEEB48E8-6DCB-41E9-BED1-BB5BE1461B15}" name="Assurances">
      <calculatedColumnFormula>SUM(Tableau1[[#This Row],[Assurances]]+Tableau2[[#This Row],[Assurances]])</calculatedColumnFormula>
    </tableColumn>
    <tableColumn id="6" xr3:uid="{3909E248-D671-40B9-B2C7-D1443B4C72EC}" name="Total à payer">
      <calculatedColumnFormula>SUM(Tableau1[[#This Row],[Total à payer]]+Tableau2[[#This Row],[Total à payer]])</calculatedColumnFormula>
    </tableColumn>
    <tableColumn id="7" xr3:uid="{7D416F57-EBAF-4C76-8D11-118C61F28890}" name="Montant restant dû après échéance">
      <calculatedColumnFormula>SUM(Tableau1[[#This Row],[Montant restant dû après échéance]]+Tableau2[[#This Row],[Montant restant dû après échéance]])</calculatedColumnFormula>
    </tableColumn>
  </tableColumns>
  <tableStyleInfo name="Style de tableau 1 3 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4A0EC6B-A370-4AC3-A985-02599DAFCA1B}" name="Tableau83" displayName="Tableau83" ref="R3:T6" totalsRowShown="0">
  <autoFilter ref="R3:T6" xr:uid="{9DF48A54-0B67-44EB-99D7-EBED2634AFAC}"/>
  <tableColumns count="3">
    <tableColumn id="1" xr3:uid="{A2312970-8208-4CF7-854C-250DC5991535}" name="Colonne1"/>
    <tableColumn id="2" xr3:uid="{0A04BBF0-AF52-46E0-BC32-D54B8166BDAB}" name="2023"/>
    <tableColumn id="3" xr3:uid="{62CFF891-E9A0-4BEC-89C9-C198FCA458F7}" name="Mensualité">
      <calculatedColumnFormula>Tableau83[[#This Row],[2023]]/12</calculatedColumnFormula>
    </tableColumn>
  </tableColumns>
  <tableStyleInfo name="Style de tableau 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4CD6502-71D4-439B-B32D-56DB11B5163C}" name="Tableau824" displayName="Tableau824" ref="R8:T11" totalsRowShown="0">
  <autoFilter ref="R8:T11" xr:uid="{84656745-0FB4-4554-ACA1-45FD5B66B66F}"/>
  <tableColumns count="3">
    <tableColumn id="1" xr3:uid="{680AADEC-4974-4C0A-90B2-69D0493B5401}" name="Comparatif ">
      <calculatedColumnFormula>A23</calculatedColumnFormula>
    </tableColumn>
    <tableColumn id="2" xr3:uid="{B2AD4047-A8C4-402A-A633-4DB0E78FA575}" name="Avec locataire "/>
    <tableColumn id="3" xr3:uid="{F402B1B8-FB4A-4C96-84F7-776FADDEAF8D}" name="Sans locataire">
      <calculatedColumnFormula>Tableau824[[#This Row],[Avec locataire ]]/12</calculatedColumnFormula>
    </tableColumn>
  </tableColumns>
  <tableStyleInfo name="Style de tableau 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3.bin"/><Relationship Id="rId4" Type="http://schemas.openxmlformats.org/officeDocument/2006/relationships/table" Target="../tables/table6.xml"/></Relationships>
</file>

<file path=xl/worksheets/_rels/sheet5.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table" Target="../tables/table7.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E33517-A060-4BEC-9099-2B45836C3790}">
  <sheetPr>
    <tabColor rgb="FFCD0A37"/>
  </sheetPr>
  <dimension ref="A1:Y34"/>
  <sheetViews>
    <sheetView zoomScaleNormal="100" workbookViewId="0">
      <selection activeCell="J3" sqref="J3"/>
    </sheetView>
  </sheetViews>
  <sheetFormatPr baseColWidth="10" defaultColWidth="12.33203125" defaultRowHeight="14.4" x14ac:dyDescent="0.3"/>
  <cols>
    <col min="1" max="1" width="33" style="18" customWidth="1"/>
    <col min="2" max="14" width="10.6640625" style="17" customWidth="1"/>
    <col min="15" max="15" width="1.88671875" customWidth="1"/>
    <col min="16" max="16" width="23.109375" customWidth="1"/>
  </cols>
  <sheetData>
    <row r="1" spans="1:25" ht="28.2" customHeight="1" thickBot="1" x14ac:dyDescent="0.35">
      <c r="A1" s="1"/>
      <c r="B1" s="2">
        <v>44927</v>
      </c>
      <c r="C1" s="3">
        <v>44958</v>
      </c>
      <c r="D1" s="2">
        <v>44986</v>
      </c>
      <c r="E1" s="3">
        <v>45017</v>
      </c>
      <c r="F1" s="2">
        <v>45047</v>
      </c>
      <c r="G1" s="3">
        <v>45078</v>
      </c>
      <c r="H1" s="2">
        <v>45108</v>
      </c>
      <c r="I1" s="3">
        <v>45139</v>
      </c>
      <c r="J1" s="2">
        <v>45170</v>
      </c>
      <c r="K1" s="3">
        <v>45200</v>
      </c>
      <c r="L1" s="2">
        <v>45231</v>
      </c>
      <c r="M1" s="3">
        <v>45261</v>
      </c>
      <c r="N1" s="47" t="s">
        <v>20</v>
      </c>
      <c r="Y1">
        <v>240</v>
      </c>
    </row>
    <row r="2" spans="1:25" s="4" customFormat="1" ht="19.2" customHeight="1" thickBot="1" x14ac:dyDescent="0.35">
      <c r="A2" s="83" t="s">
        <v>21</v>
      </c>
      <c r="B2" s="84"/>
      <c r="C2" s="84"/>
      <c r="D2" s="84"/>
      <c r="E2" s="84"/>
      <c r="F2" s="84"/>
      <c r="G2" s="84"/>
      <c r="H2" s="84"/>
      <c r="I2" s="84"/>
      <c r="J2" s="84"/>
      <c r="K2" s="84"/>
      <c r="L2" s="84"/>
      <c r="M2" s="84"/>
      <c r="N2" s="85"/>
    </row>
    <row r="3" spans="1:25" x14ac:dyDescent="0.3">
      <c r="A3" s="6" t="s">
        <v>22</v>
      </c>
      <c r="B3" s="7">
        <f>'Amortissement banque'!$E$4</f>
        <v>668.38276989955864</v>
      </c>
      <c r="C3" s="7">
        <f>'Amortissement banque'!$E$4</f>
        <v>668.38276989955864</v>
      </c>
      <c r="D3" s="7">
        <f>'Amortissement banque'!$E$4</f>
        <v>668.38276989955864</v>
      </c>
      <c r="E3" s="7">
        <f>'Amortissement banque'!$E$4</f>
        <v>668.38276989955864</v>
      </c>
      <c r="F3" s="7">
        <f>'Amortissement banque'!$E$4</f>
        <v>668.38276989955864</v>
      </c>
      <c r="G3" s="7">
        <f>'Amortissement banque'!$E$4</f>
        <v>668.38276989955864</v>
      </c>
      <c r="H3" s="7">
        <f>'Amortissement banque'!$E$4</f>
        <v>668.38276989955864</v>
      </c>
      <c r="I3" s="7">
        <f>'Amortissement banque'!$E$4</f>
        <v>668.38276989955864</v>
      </c>
      <c r="J3" s="7">
        <f>'Amortissement banque'!$E$4</f>
        <v>668.38276989955864</v>
      </c>
      <c r="K3" s="7">
        <f>'Amortissement banque'!$E$4</f>
        <v>668.38276989955864</v>
      </c>
      <c r="L3" s="7">
        <f>'Amortissement banque'!$E$4</f>
        <v>668.38276989955864</v>
      </c>
      <c r="M3" s="7">
        <f>'Amortissement banque'!$E$4</f>
        <v>668.38276989955864</v>
      </c>
      <c r="N3" s="8">
        <f t="shared" ref="N3:N8" si="0">SUM(B3:M3)</f>
        <v>8020.5932387947023</v>
      </c>
      <c r="P3" t="s">
        <v>23</v>
      </c>
      <c r="Q3" t="s">
        <v>24</v>
      </c>
      <c r="R3" t="s">
        <v>25</v>
      </c>
    </row>
    <row r="4" spans="1:25" x14ac:dyDescent="0.3">
      <c r="A4" s="9" t="s">
        <v>26</v>
      </c>
      <c r="B4" s="10">
        <f>Tableau97[[#This Row],[Intérêts ]]</f>
        <v>439.77825043182867</v>
      </c>
      <c r="C4" s="10">
        <f>'Amortissement banque'!$C5</f>
        <v>438.95924563673339</v>
      </c>
      <c r="D4" s="10">
        <f>'Amortissement banque'!$C6</f>
        <v>438.1373066526906</v>
      </c>
      <c r="E4" s="10">
        <f>'Amortissement banque'!$C7</f>
        <v>437.31242296759473</v>
      </c>
      <c r="F4" s="10">
        <f>'Amortissement banque'!$C8</f>
        <v>436.48458403167933</v>
      </c>
      <c r="G4" s="10">
        <f>'Amortissement banque'!$C9</f>
        <v>435.65377925738227</v>
      </c>
      <c r="H4" s="10">
        <f>'Amortissement banque'!$C10</f>
        <v>434.81999801920983</v>
      </c>
      <c r="I4" s="10">
        <f>'Amortissement banque'!$C11</f>
        <v>433.98322965360126</v>
      </c>
      <c r="J4" s="10">
        <f>'Amortissement banque'!$C12</f>
        <v>433.14346345879227</v>
      </c>
      <c r="K4" s="10">
        <f>'Amortissement banque'!$C13</f>
        <v>432.300688694678</v>
      </c>
      <c r="L4" s="10">
        <f>'Amortissement banque'!$C14</f>
        <v>431.45489458267599</v>
      </c>
      <c r="M4" s="10">
        <f>'Amortissement banque'!$C15</f>
        <v>430.60607030558793</v>
      </c>
      <c r="N4" s="8">
        <f t="shared" si="0"/>
        <v>5222.6339336924548</v>
      </c>
      <c r="P4" s="16" t="str">
        <f>A16</f>
        <v>Charge de coopropriété</v>
      </c>
      <c r="Q4" s="16">
        <v>1600</v>
      </c>
      <c r="R4" s="16">
        <f>Tableau8[[#This Row],[2023]]/12</f>
        <v>133.33333333333334</v>
      </c>
    </row>
    <row r="5" spans="1:25" x14ac:dyDescent="0.3">
      <c r="A5" s="9" t="s">
        <v>27</v>
      </c>
      <c r="B5" s="10">
        <f>'Amortissement banque'!$F$4</f>
        <v>36.825899999999997</v>
      </c>
      <c r="C5" s="10">
        <f>'Amortissement banque'!$F$4</f>
        <v>36.825899999999997</v>
      </c>
      <c r="D5" s="10">
        <f>'Amortissement banque'!$F$4</f>
        <v>36.825899999999997</v>
      </c>
      <c r="E5" s="10">
        <f>'Amortissement banque'!$F$4</f>
        <v>36.825899999999997</v>
      </c>
      <c r="F5" s="10">
        <f>'Amortissement banque'!$F$4</f>
        <v>36.825899999999997</v>
      </c>
      <c r="G5" s="10">
        <f>'Amortissement banque'!$F$4</f>
        <v>36.825899999999997</v>
      </c>
      <c r="H5" s="10">
        <f>'Amortissement banque'!$F$4</f>
        <v>36.825899999999997</v>
      </c>
      <c r="I5" s="10">
        <f>'Amortissement banque'!$F$4</f>
        <v>36.825899999999997</v>
      </c>
      <c r="J5" s="10">
        <f>'Amortissement banque'!$F$4</f>
        <v>36.825899999999997</v>
      </c>
      <c r="K5" s="10">
        <f>'Amortissement banque'!$F$4</f>
        <v>36.825899999999997</v>
      </c>
      <c r="L5" s="10">
        <f>'Amortissement banque'!$F$4</f>
        <v>36.825899999999997</v>
      </c>
      <c r="M5" s="10">
        <f>'Amortissement banque'!$F$4</f>
        <v>36.825899999999997</v>
      </c>
      <c r="N5" s="8">
        <f t="shared" si="0"/>
        <v>441.91079999999994</v>
      </c>
      <c r="P5" s="16" t="str">
        <f>A17</f>
        <v>Taxe foncière</v>
      </c>
      <c r="Q5" s="16">
        <v>850</v>
      </c>
      <c r="R5" s="16">
        <f>Tableau8[[#This Row],[2023]]/12</f>
        <v>70.833333333333329</v>
      </c>
    </row>
    <row r="6" spans="1:25" x14ac:dyDescent="0.3">
      <c r="A6" s="9" t="s">
        <v>28</v>
      </c>
      <c r="B6" s="10">
        <f>'Devis - Capacité - Impôt'!$D$5</f>
        <v>20.650000000000002</v>
      </c>
      <c r="C6" s="10">
        <f>'Devis - Capacité - Impôt'!$D$5</f>
        <v>20.650000000000002</v>
      </c>
      <c r="D6" s="10">
        <f>'Devis - Capacité - Impôt'!$D$5</f>
        <v>20.650000000000002</v>
      </c>
      <c r="E6" s="10">
        <f>'Devis - Capacité - Impôt'!$D$5</f>
        <v>20.650000000000002</v>
      </c>
      <c r="F6" s="10">
        <f>'Devis - Capacité - Impôt'!$D$5</f>
        <v>20.650000000000002</v>
      </c>
      <c r="G6" s="10">
        <f>'Devis - Capacité - Impôt'!$D$5</f>
        <v>20.650000000000002</v>
      </c>
      <c r="H6" s="10">
        <f>'Devis - Capacité - Impôt'!$D$5</f>
        <v>20.650000000000002</v>
      </c>
      <c r="I6" s="10">
        <f>'Devis - Capacité - Impôt'!$D$5</f>
        <v>20.650000000000002</v>
      </c>
      <c r="J6" s="10">
        <f>'Devis - Capacité - Impôt'!$D$5</f>
        <v>20.650000000000002</v>
      </c>
      <c r="K6" s="10">
        <f>'Devis - Capacité - Impôt'!$D$5</f>
        <v>20.650000000000002</v>
      </c>
      <c r="L6" s="10">
        <f>'Devis - Capacité - Impôt'!$D$5</f>
        <v>20.650000000000002</v>
      </c>
      <c r="M6" s="10">
        <f>'Devis - Capacité - Impôt'!$D$5</f>
        <v>20.650000000000002</v>
      </c>
      <c r="N6" s="8">
        <f t="shared" si="0"/>
        <v>247.80000000000004</v>
      </c>
      <c r="P6" s="16" t="str">
        <f>A20</f>
        <v xml:space="preserve">Autres frais / Mise en location </v>
      </c>
      <c r="Q6" s="16">
        <v>150</v>
      </c>
      <c r="R6" s="16">
        <f>Tableau8[[#This Row],[2023]]/12</f>
        <v>12.5</v>
      </c>
    </row>
    <row r="7" spans="1:25" x14ac:dyDescent="0.3">
      <c r="A7" s="9" t="s">
        <v>29</v>
      </c>
      <c r="B7" s="10">
        <f>'Devis - Capacité - Impôt'!$D$3</f>
        <v>7.8374999999999995</v>
      </c>
      <c r="C7" s="10">
        <f>'Devis - Capacité - Impôt'!$D$3</f>
        <v>7.8374999999999995</v>
      </c>
      <c r="D7" s="10">
        <f>'Devis - Capacité - Impôt'!$D$3</f>
        <v>7.8374999999999995</v>
      </c>
      <c r="E7" s="10">
        <f>'Devis - Capacité - Impôt'!$D$3</f>
        <v>7.8374999999999995</v>
      </c>
      <c r="F7" s="10">
        <f>'Devis - Capacité - Impôt'!$D$3</f>
        <v>7.8374999999999995</v>
      </c>
      <c r="G7" s="10">
        <f>'Devis - Capacité - Impôt'!$D$3</f>
        <v>7.8374999999999995</v>
      </c>
      <c r="H7" s="10">
        <f>'Devis - Capacité - Impôt'!$D$3</f>
        <v>7.8374999999999995</v>
      </c>
      <c r="I7" s="10">
        <f>'Devis - Capacité - Impôt'!$D$3</f>
        <v>7.8374999999999995</v>
      </c>
      <c r="J7" s="10">
        <f>'Devis - Capacité - Impôt'!$D$3</f>
        <v>7.8374999999999995</v>
      </c>
      <c r="K7" s="10">
        <f>'Devis - Capacité - Impôt'!$D$3</f>
        <v>7.8374999999999995</v>
      </c>
      <c r="L7" s="10">
        <f>'Devis - Capacité - Impôt'!$D$3</f>
        <v>7.8374999999999995</v>
      </c>
      <c r="M7" s="10">
        <f>'Devis - Capacité - Impôt'!$D$3</f>
        <v>7.8374999999999995</v>
      </c>
      <c r="N7" s="8">
        <f t="shared" si="0"/>
        <v>94.050000000000011</v>
      </c>
    </row>
    <row r="8" spans="1:25" x14ac:dyDescent="0.3">
      <c r="A8" s="9" t="s">
        <v>7</v>
      </c>
      <c r="B8" s="10">
        <f>B3+B5</f>
        <v>705.20866989955869</v>
      </c>
      <c r="C8" s="10">
        <f t="shared" ref="C8:M8" si="1">C3+C5</f>
        <v>705.20866989955869</v>
      </c>
      <c r="D8" s="10">
        <f t="shared" si="1"/>
        <v>705.20866989955869</v>
      </c>
      <c r="E8" s="10">
        <f t="shared" si="1"/>
        <v>705.20866989955869</v>
      </c>
      <c r="F8" s="10">
        <f t="shared" si="1"/>
        <v>705.20866989955869</v>
      </c>
      <c r="G8" s="10">
        <f t="shared" si="1"/>
        <v>705.20866989955869</v>
      </c>
      <c r="H8" s="10">
        <f t="shared" si="1"/>
        <v>705.20866989955869</v>
      </c>
      <c r="I8" s="10">
        <f t="shared" si="1"/>
        <v>705.20866989955869</v>
      </c>
      <c r="J8" s="10">
        <f t="shared" si="1"/>
        <v>705.20866989955869</v>
      </c>
      <c r="K8" s="10">
        <f t="shared" si="1"/>
        <v>705.20866989955869</v>
      </c>
      <c r="L8" s="10">
        <f t="shared" si="1"/>
        <v>705.20866989955869</v>
      </c>
      <c r="M8" s="10">
        <f t="shared" si="1"/>
        <v>705.20866989955869</v>
      </c>
      <c r="N8" s="8">
        <f t="shared" si="0"/>
        <v>8462.5040387947065</v>
      </c>
      <c r="P8" t="s">
        <v>61</v>
      </c>
      <c r="Q8" t="s">
        <v>62</v>
      </c>
      <c r="R8" t="s">
        <v>63</v>
      </c>
    </row>
    <row r="9" spans="1:25" s="11" customFormat="1" ht="15" thickBot="1" x14ac:dyDescent="0.35">
      <c r="A9" s="36" t="s">
        <v>30</v>
      </c>
      <c r="B9" s="37">
        <f>SUM(B3+B5+B6+B7)</f>
        <v>733.69616989955864</v>
      </c>
      <c r="C9" s="37">
        <f t="shared" ref="C9:M9" si="2">SUM(C3+C5+C6+C7)</f>
        <v>733.69616989955864</v>
      </c>
      <c r="D9" s="37">
        <f t="shared" si="2"/>
        <v>733.69616989955864</v>
      </c>
      <c r="E9" s="37">
        <f t="shared" si="2"/>
        <v>733.69616989955864</v>
      </c>
      <c r="F9" s="37">
        <f t="shared" si="2"/>
        <v>733.69616989955864</v>
      </c>
      <c r="G9" s="37">
        <f t="shared" si="2"/>
        <v>733.69616989955864</v>
      </c>
      <c r="H9" s="37">
        <f t="shared" si="2"/>
        <v>733.69616989955864</v>
      </c>
      <c r="I9" s="37">
        <f t="shared" si="2"/>
        <v>733.69616989955864</v>
      </c>
      <c r="J9" s="37">
        <f t="shared" si="2"/>
        <v>733.69616989955864</v>
      </c>
      <c r="K9" s="37">
        <f t="shared" si="2"/>
        <v>733.69616989955864</v>
      </c>
      <c r="L9" s="37">
        <f t="shared" si="2"/>
        <v>733.69616989955864</v>
      </c>
      <c r="M9" s="37">
        <f t="shared" si="2"/>
        <v>733.69616989955864</v>
      </c>
      <c r="N9" s="38">
        <f>SUM(B9:M9)</f>
        <v>8804.3540387947014</v>
      </c>
      <c r="P9" s="16"/>
      <c r="Q9" s="16">
        <f>(581+M9+M21)-700</f>
        <v>874.20283656622541</v>
      </c>
      <c r="R9" s="16">
        <f>M9-(M6+M7)+(11+M21)</f>
        <v>975.71533656622535</v>
      </c>
    </row>
    <row r="10" spans="1:25" s="12" customFormat="1" ht="19.2" customHeight="1" thickBot="1" x14ac:dyDescent="0.4">
      <c r="A10" s="86" t="s">
        <v>31</v>
      </c>
      <c r="B10" s="87"/>
      <c r="C10" s="87"/>
      <c r="D10" s="87"/>
      <c r="E10" s="87"/>
      <c r="F10" s="87"/>
      <c r="G10" s="87"/>
      <c r="H10" s="87"/>
      <c r="I10" s="87"/>
      <c r="J10" s="87"/>
      <c r="K10" s="87"/>
      <c r="L10" s="87"/>
      <c r="M10" s="87"/>
      <c r="N10" s="88"/>
      <c r="P10" s="16"/>
      <c r="Q10" s="16">
        <v>850</v>
      </c>
      <c r="R10" s="16">
        <f>Tableau82[[#This Row],[Avec locataire ]]/12</f>
        <v>70.833333333333329</v>
      </c>
    </row>
    <row r="11" spans="1:25" x14ac:dyDescent="0.3">
      <c r="A11" s="13" t="s">
        <v>32</v>
      </c>
      <c r="B11" s="14">
        <v>580</v>
      </c>
      <c r="C11" s="14">
        <f>B11</f>
        <v>580</v>
      </c>
      <c r="D11" s="14">
        <f t="shared" ref="D11:M11" si="3">C11</f>
        <v>580</v>
      </c>
      <c r="E11" s="14">
        <f t="shared" si="3"/>
        <v>580</v>
      </c>
      <c r="F11" s="14">
        <f t="shared" si="3"/>
        <v>580</v>
      </c>
      <c r="G11" s="14">
        <f t="shared" si="3"/>
        <v>580</v>
      </c>
      <c r="H11" s="14">
        <f t="shared" si="3"/>
        <v>580</v>
      </c>
      <c r="I11" s="14">
        <f t="shared" si="3"/>
        <v>580</v>
      </c>
      <c r="J11" s="14">
        <f t="shared" si="3"/>
        <v>580</v>
      </c>
      <c r="K11" s="14">
        <f t="shared" si="3"/>
        <v>580</v>
      </c>
      <c r="L11" s="14">
        <f t="shared" si="3"/>
        <v>580</v>
      </c>
      <c r="M11" s="14">
        <f t="shared" si="3"/>
        <v>580</v>
      </c>
      <c r="N11" s="48">
        <f t="shared" ref="N11:N12" si="4">SUM(B11:M11)</f>
        <v>6960</v>
      </c>
      <c r="P11" s="16"/>
      <c r="Q11" s="16">
        <v>150</v>
      </c>
      <c r="R11" s="16">
        <f>Tableau82[[#This Row],[Avec locataire ]]/12</f>
        <v>12.5</v>
      </c>
    </row>
    <row r="12" spans="1:25" x14ac:dyDescent="0.3">
      <c r="A12" s="13" t="s">
        <v>33</v>
      </c>
      <c r="B12" s="14">
        <v>50</v>
      </c>
      <c r="C12" s="14">
        <f>B12</f>
        <v>50</v>
      </c>
      <c r="D12" s="14">
        <f t="shared" ref="D12:M12" si="5">C12</f>
        <v>50</v>
      </c>
      <c r="E12" s="14">
        <f t="shared" si="5"/>
        <v>50</v>
      </c>
      <c r="F12" s="14">
        <f t="shared" si="5"/>
        <v>50</v>
      </c>
      <c r="G12" s="14">
        <f t="shared" si="5"/>
        <v>50</v>
      </c>
      <c r="H12" s="14">
        <f t="shared" si="5"/>
        <v>50</v>
      </c>
      <c r="I12" s="14">
        <f t="shared" si="5"/>
        <v>50</v>
      </c>
      <c r="J12" s="14">
        <f t="shared" si="5"/>
        <v>50</v>
      </c>
      <c r="K12" s="14">
        <f t="shared" si="5"/>
        <v>50</v>
      </c>
      <c r="L12" s="14">
        <f t="shared" si="5"/>
        <v>50</v>
      </c>
      <c r="M12" s="14">
        <f t="shared" si="5"/>
        <v>50</v>
      </c>
      <c r="N12" s="48">
        <f t="shared" si="4"/>
        <v>600</v>
      </c>
      <c r="P12" s="11"/>
    </row>
    <row r="13" spans="1:25" s="11" customFormat="1" ht="18" thickBot="1" x14ac:dyDescent="0.4">
      <c r="A13" s="39" t="s">
        <v>34</v>
      </c>
      <c r="B13" s="40">
        <f t="shared" ref="B13:N13" si="6">SUM(B11:B12)</f>
        <v>630</v>
      </c>
      <c r="C13" s="40">
        <f t="shared" si="6"/>
        <v>630</v>
      </c>
      <c r="D13" s="40">
        <f t="shared" si="6"/>
        <v>630</v>
      </c>
      <c r="E13" s="40">
        <f t="shared" si="6"/>
        <v>630</v>
      </c>
      <c r="F13" s="40">
        <f t="shared" si="6"/>
        <v>630</v>
      </c>
      <c r="G13" s="40">
        <f t="shared" si="6"/>
        <v>630</v>
      </c>
      <c r="H13" s="40">
        <f t="shared" si="6"/>
        <v>630</v>
      </c>
      <c r="I13" s="40">
        <f t="shared" si="6"/>
        <v>630</v>
      </c>
      <c r="J13" s="40">
        <f t="shared" si="6"/>
        <v>630</v>
      </c>
      <c r="K13" s="40">
        <f t="shared" si="6"/>
        <v>630</v>
      </c>
      <c r="L13" s="40">
        <f t="shared" si="6"/>
        <v>630</v>
      </c>
      <c r="M13" s="40">
        <f t="shared" si="6"/>
        <v>630</v>
      </c>
      <c r="N13" s="49">
        <f t="shared" si="6"/>
        <v>7560</v>
      </c>
      <c r="P13" s="12"/>
    </row>
    <row r="14" spans="1:25" ht="19.2" customHeight="1" thickBot="1" x14ac:dyDescent="0.35">
      <c r="A14" s="89" t="s">
        <v>35</v>
      </c>
      <c r="B14" s="90"/>
      <c r="C14" s="90"/>
      <c r="D14" s="90"/>
      <c r="E14" s="90"/>
      <c r="F14" s="90"/>
      <c r="G14" s="90"/>
      <c r="H14" s="90"/>
      <c r="I14" s="90"/>
      <c r="J14" s="90"/>
      <c r="K14" s="90"/>
      <c r="L14" s="90"/>
      <c r="M14" s="90"/>
      <c r="N14" s="91"/>
    </row>
    <row r="15" spans="1:25" x14ac:dyDescent="0.3">
      <c r="A15" s="15" t="s">
        <v>64</v>
      </c>
      <c r="B15" s="21">
        <f>(B11+B12)*0.068</f>
        <v>42.84</v>
      </c>
      <c r="C15" s="21">
        <f t="shared" ref="C15:M15" si="7">(C11+C12)*0.068</f>
        <v>42.84</v>
      </c>
      <c r="D15" s="21">
        <f t="shared" si="7"/>
        <v>42.84</v>
      </c>
      <c r="E15" s="21">
        <f t="shared" si="7"/>
        <v>42.84</v>
      </c>
      <c r="F15" s="21">
        <f t="shared" si="7"/>
        <v>42.84</v>
      </c>
      <c r="G15" s="21">
        <f t="shared" si="7"/>
        <v>42.84</v>
      </c>
      <c r="H15" s="21">
        <f t="shared" si="7"/>
        <v>42.84</v>
      </c>
      <c r="I15" s="21">
        <f t="shared" si="7"/>
        <v>42.84</v>
      </c>
      <c r="J15" s="21">
        <f t="shared" si="7"/>
        <v>42.84</v>
      </c>
      <c r="K15" s="21">
        <f t="shared" si="7"/>
        <v>42.84</v>
      </c>
      <c r="L15" s="21">
        <f t="shared" si="7"/>
        <v>42.84</v>
      </c>
      <c r="M15" s="21">
        <f t="shared" si="7"/>
        <v>42.84</v>
      </c>
      <c r="N15" s="50">
        <f>SUM(B15:M15)</f>
        <v>514.08000000000015</v>
      </c>
    </row>
    <row r="16" spans="1:25" x14ac:dyDescent="0.3">
      <c r="A16" s="15" t="s">
        <v>36</v>
      </c>
      <c r="B16" s="21">
        <f>$R$4</f>
        <v>133.33333333333334</v>
      </c>
      <c r="C16" s="21">
        <f t="shared" ref="C16:M16" si="8">$R$4</f>
        <v>133.33333333333334</v>
      </c>
      <c r="D16" s="21">
        <f t="shared" si="8"/>
        <v>133.33333333333334</v>
      </c>
      <c r="E16" s="21">
        <f t="shared" si="8"/>
        <v>133.33333333333334</v>
      </c>
      <c r="F16" s="21">
        <f t="shared" si="8"/>
        <v>133.33333333333334</v>
      </c>
      <c r="G16" s="21">
        <f t="shared" si="8"/>
        <v>133.33333333333334</v>
      </c>
      <c r="H16" s="21">
        <f t="shared" si="8"/>
        <v>133.33333333333334</v>
      </c>
      <c r="I16" s="21">
        <f t="shared" si="8"/>
        <v>133.33333333333334</v>
      </c>
      <c r="J16" s="21">
        <f t="shared" si="8"/>
        <v>133.33333333333334</v>
      </c>
      <c r="K16" s="21">
        <f t="shared" si="8"/>
        <v>133.33333333333334</v>
      </c>
      <c r="L16" s="21">
        <f t="shared" si="8"/>
        <v>133.33333333333334</v>
      </c>
      <c r="M16" s="21">
        <f t="shared" si="8"/>
        <v>133.33333333333334</v>
      </c>
      <c r="N16" s="50">
        <f>SUM(B16:M16)</f>
        <v>1599.9999999999998</v>
      </c>
    </row>
    <row r="17" spans="1:16" x14ac:dyDescent="0.3">
      <c r="A17" s="22" t="s">
        <v>37</v>
      </c>
      <c r="B17" s="21">
        <f>$R$5</f>
        <v>70.833333333333329</v>
      </c>
      <c r="C17" s="21">
        <f t="shared" ref="C17:M17" si="9">$R$5</f>
        <v>70.833333333333329</v>
      </c>
      <c r="D17" s="21">
        <f t="shared" si="9"/>
        <v>70.833333333333329</v>
      </c>
      <c r="E17" s="21">
        <f t="shared" si="9"/>
        <v>70.833333333333329</v>
      </c>
      <c r="F17" s="21">
        <f t="shared" si="9"/>
        <v>70.833333333333329</v>
      </c>
      <c r="G17" s="21">
        <f t="shared" si="9"/>
        <v>70.833333333333329</v>
      </c>
      <c r="H17" s="21">
        <f t="shared" si="9"/>
        <v>70.833333333333329</v>
      </c>
      <c r="I17" s="21">
        <f t="shared" si="9"/>
        <v>70.833333333333329</v>
      </c>
      <c r="J17" s="21">
        <f t="shared" si="9"/>
        <v>70.833333333333329</v>
      </c>
      <c r="K17" s="21">
        <f t="shared" si="9"/>
        <v>70.833333333333329</v>
      </c>
      <c r="L17" s="21">
        <f t="shared" si="9"/>
        <v>70.833333333333329</v>
      </c>
      <c r="M17" s="21">
        <f t="shared" si="9"/>
        <v>70.833333333333329</v>
      </c>
      <c r="N17" s="50">
        <f t="shared" ref="N17" si="10">SUM(B17:M17)</f>
        <v>850.00000000000011</v>
      </c>
    </row>
    <row r="18" spans="1:16" x14ac:dyDescent="0.3">
      <c r="A18" s="22" t="s">
        <v>38</v>
      </c>
      <c r="B18" s="21">
        <f t="shared" ref="B18:M18" si="11">$R$6</f>
        <v>12.5</v>
      </c>
      <c r="C18" s="21">
        <f t="shared" si="11"/>
        <v>12.5</v>
      </c>
      <c r="D18" s="21">
        <f t="shared" si="11"/>
        <v>12.5</v>
      </c>
      <c r="E18" s="21">
        <f t="shared" si="11"/>
        <v>12.5</v>
      </c>
      <c r="F18" s="21">
        <f t="shared" si="11"/>
        <v>12.5</v>
      </c>
      <c r="G18" s="21">
        <f t="shared" si="11"/>
        <v>12.5</v>
      </c>
      <c r="H18" s="21">
        <f t="shared" si="11"/>
        <v>12.5</v>
      </c>
      <c r="I18" s="21">
        <f t="shared" si="11"/>
        <v>12.5</v>
      </c>
      <c r="J18" s="21">
        <f t="shared" si="11"/>
        <v>12.5</v>
      </c>
      <c r="K18" s="21">
        <f t="shared" si="11"/>
        <v>12.5</v>
      </c>
      <c r="L18" s="21">
        <f t="shared" si="11"/>
        <v>12.5</v>
      </c>
      <c r="M18" s="21">
        <f t="shared" si="11"/>
        <v>12.5</v>
      </c>
      <c r="N18" s="50">
        <f>SUM(B18:M18)</f>
        <v>150</v>
      </c>
    </row>
    <row r="19" spans="1:16" x14ac:dyDescent="0.3">
      <c r="A19" s="22" t="s">
        <v>65</v>
      </c>
      <c r="B19" s="21"/>
      <c r="C19" s="21"/>
      <c r="D19" s="21"/>
      <c r="E19" s="21"/>
      <c r="F19" s="21"/>
      <c r="G19" s="21"/>
      <c r="H19" s="21"/>
      <c r="I19" s="21"/>
      <c r="J19" s="21"/>
      <c r="K19" s="21"/>
      <c r="L19" s="21"/>
      <c r="M19" s="21"/>
      <c r="N19" s="50">
        <f t="shared" ref="N19:N20" si="12">SUM(B19:M19)</f>
        <v>0</v>
      </c>
    </row>
    <row r="20" spans="1:16" x14ac:dyDescent="0.3">
      <c r="A20" s="22" t="s">
        <v>66</v>
      </c>
      <c r="B20" s="21">
        <f>(40*13)</f>
        <v>520</v>
      </c>
      <c r="C20" s="21"/>
      <c r="D20" s="21"/>
      <c r="E20" s="21"/>
      <c r="F20" s="21"/>
      <c r="G20" s="21"/>
      <c r="H20" s="21"/>
      <c r="I20" s="21"/>
      <c r="J20" s="21"/>
      <c r="K20" s="21"/>
      <c r="L20" s="21"/>
      <c r="M20" s="21"/>
      <c r="N20" s="50">
        <f t="shared" si="12"/>
        <v>520</v>
      </c>
    </row>
    <row r="21" spans="1:16" s="11" customFormat="1" ht="18" thickBot="1" x14ac:dyDescent="0.4">
      <c r="A21" s="41" t="s">
        <v>39</v>
      </c>
      <c r="B21" s="42">
        <f t="shared" ref="B21:M21" si="13">SUM(B15:B20)</f>
        <v>779.50666666666666</v>
      </c>
      <c r="C21" s="42">
        <f t="shared" si="13"/>
        <v>259.50666666666666</v>
      </c>
      <c r="D21" s="42">
        <f t="shared" si="13"/>
        <v>259.50666666666666</v>
      </c>
      <c r="E21" s="42">
        <f t="shared" si="13"/>
        <v>259.50666666666666</v>
      </c>
      <c r="F21" s="42">
        <f t="shared" si="13"/>
        <v>259.50666666666666</v>
      </c>
      <c r="G21" s="42">
        <f t="shared" si="13"/>
        <v>259.50666666666666</v>
      </c>
      <c r="H21" s="42">
        <f t="shared" si="13"/>
        <v>259.50666666666666</v>
      </c>
      <c r="I21" s="42">
        <f t="shared" si="13"/>
        <v>259.50666666666666</v>
      </c>
      <c r="J21" s="42">
        <f t="shared" si="13"/>
        <v>259.50666666666666</v>
      </c>
      <c r="K21" s="42">
        <f t="shared" si="13"/>
        <v>259.50666666666666</v>
      </c>
      <c r="L21" s="42">
        <f t="shared" si="13"/>
        <v>259.50666666666666</v>
      </c>
      <c r="M21" s="42">
        <f t="shared" si="13"/>
        <v>259.50666666666666</v>
      </c>
      <c r="N21" s="51">
        <f>SUM(B21:M21)</f>
        <v>3634.08</v>
      </c>
      <c r="P21" s="12"/>
    </row>
    <row r="22" spans="1:16" s="12" customFormat="1" ht="19.2" customHeight="1" thickBot="1" x14ac:dyDescent="0.4">
      <c r="A22" s="80" t="s">
        <v>40</v>
      </c>
      <c r="B22" s="81"/>
      <c r="C22" s="81"/>
      <c r="D22" s="81"/>
      <c r="E22" s="81"/>
      <c r="F22" s="81"/>
      <c r="G22" s="81"/>
      <c r="H22" s="81"/>
      <c r="I22" s="81"/>
      <c r="J22" s="81"/>
      <c r="K22" s="81"/>
      <c r="L22" s="81"/>
      <c r="M22" s="81"/>
      <c r="N22" s="82"/>
      <c r="P22"/>
    </row>
    <row r="23" spans="1:16" x14ac:dyDescent="0.3">
      <c r="A23" s="45" t="s">
        <v>41</v>
      </c>
      <c r="B23" s="46">
        <f t="shared" ref="B23:M23" si="14">B9+B21</f>
        <v>1513.2028365662254</v>
      </c>
      <c r="C23" s="46">
        <f t="shared" si="14"/>
        <v>993.2028365662253</v>
      </c>
      <c r="D23" s="46">
        <f t="shared" si="14"/>
        <v>993.2028365662253</v>
      </c>
      <c r="E23" s="46">
        <f t="shared" si="14"/>
        <v>993.2028365662253</v>
      </c>
      <c r="F23" s="46">
        <f t="shared" si="14"/>
        <v>993.2028365662253</v>
      </c>
      <c r="G23" s="46">
        <f t="shared" si="14"/>
        <v>993.2028365662253</v>
      </c>
      <c r="H23" s="46">
        <f t="shared" si="14"/>
        <v>993.2028365662253</v>
      </c>
      <c r="I23" s="46">
        <f t="shared" si="14"/>
        <v>993.2028365662253</v>
      </c>
      <c r="J23" s="46">
        <f t="shared" si="14"/>
        <v>993.2028365662253</v>
      </c>
      <c r="K23" s="46">
        <f t="shared" si="14"/>
        <v>993.2028365662253</v>
      </c>
      <c r="L23" s="46">
        <f t="shared" si="14"/>
        <v>993.2028365662253</v>
      </c>
      <c r="M23" s="46">
        <f t="shared" si="14"/>
        <v>993.2028365662253</v>
      </c>
      <c r="N23" s="52">
        <f>SUM(B23:M23)</f>
        <v>12438.434038794701</v>
      </c>
    </row>
    <row r="24" spans="1:16" x14ac:dyDescent="0.3">
      <c r="A24" s="43" t="s">
        <v>34</v>
      </c>
      <c r="B24" s="44">
        <f t="shared" ref="B24:M24" si="15">B13</f>
        <v>630</v>
      </c>
      <c r="C24" s="44">
        <f t="shared" si="15"/>
        <v>630</v>
      </c>
      <c r="D24" s="44">
        <f t="shared" si="15"/>
        <v>630</v>
      </c>
      <c r="E24" s="44">
        <f t="shared" si="15"/>
        <v>630</v>
      </c>
      <c r="F24" s="44">
        <f t="shared" si="15"/>
        <v>630</v>
      </c>
      <c r="G24" s="44">
        <f t="shared" si="15"/>
        <v>630</v>
      </c>
      <c r="H24" s="44">
        <f t="shared" si="15"/>
        <v>630</v>
      </c>
      <c r="I24" s="44">
        <f t="shared" si="15"/>
        <v>630</v>
      </c>
      <c r="J24" s="44">
        <f t="shared" si="15"/>
        <v>630</v>
      </c>
      <c r="K24" s="44">
        <f t="shared" si="15"/>
        <v>630</v>
      </c>
      <c r="L24" s="44">
        <f t="shared" si="15"/>
        <v>630</v>
      </c>
      <c r="M24" s="44">
        <f t="shared" si="15"/>
        <v>630</v>
      </c>
      <c r="N24" s="53">
        <f>SUM(B24:M24)</f>
        <v>7560</v>
      </c>
      <c r="P24" s="11"/>
    </row>
    <row r="25" spans="1:16" s="11" customFormat="1" ht="18" thickBot="1" x14ac:dyDescent="0.4">
      <c r="A25" s="54" t="s">
        <v>42</v>
      </c>
      <c r="B25" s="55">
        <f>B23-B24</f>
        <v>883.20283656622541</v>
      </c>
      <c r="C25" s="55">
        <f t="shared" ref="C25:M25" si="16">C23-C24</f>
        <v>363.2028365662253</v>
      </c>
      <c r="D25" s="55">
        <f t="shared" si="16"/>
        <v>363.2028365662253</v>
      </c>
      <c r="E25" s="55">
        <f t="shared" si="16"/>
        <v>363.2028365662253</v>
      </c>
      <c r="F25" s="55">
        <f t="shared" si="16"/>
        <v>363.2028365662253</v>
      </c>
      <c r="G25" s="55">
        <f t="shared" si="16"/>
        <v>363.2028365662253</v>
      </c>
      <c r="H25" s="55">
        <f t="shared" si="16"/>
        <v>363.2028365662253</v>
      </c>
      <c r="I25" s="55">
        <f t="shared" si="16"/>
        <v>363.2028365662253</v>
      </c>
      <c r="J25" s="55">
        <f t="shared" si="16"/>
        <v>363.2028365662253</v>
      </c>
      <c r="K25" s="55">
        <f t="shared" si="16"/>
        <v>363.2028365662253</v>
      </c>
      <c r="L25" s="55">
        <f t="shared" si="16"/>
        <v>363.2028365662253</v>
      </c>
      <c r="M25" s="55">
        <f t="shared" si="16"/>
        <v>363.2028365662253</v>
      </c>
      <c r="N25" s="56">
        <f>SUM(B25:M25)</f>
        <v>4878.434038794705</v>
      </c>
      <c r="P25" s="12"/>
    </row>
    <row r="26" spans="1:16" x14ac:dyDescent="0.3">
      <c r="F26" s="19"/>
    </row>
    <row r="27" spans="1:16" x14ac:dyDescent="0.3">
      <c r="F27" s="19"/>
    </row>
    <row r="28" spans="1:16" x14ac:dyDescent="0.3">
      <c r="F28" s="19"/>
      <c r="I28" s="17">
        <f>581+261.24</f>
        <v>842.24</v>
      </c>
      <c r="J28" s="67">
        <f>715+M15+M17</f>
        <v>828.6733333333334</v>
      </c>
    </row>
    <row r="29" spans="1:16" x14ac:dyDescent="0.3">
      <c r="F29" s="19"/>
      <c r="I29" s="17">
        <f>1800-I28</f>
        <v>957.76</v>
      </c>
    </row>
    <row r="30" spans="1:16" x14ac:dyDescent="0.3">
      <c r="F30" s="19"/>
    </row>
    <row r="31" spans="1:16" x14ac:dyDescent="0.3">
      <c r="F31" s="19"/>
    </row>
    <row r="32" spans="1:16" x14ac:dyDescent="0.3">
      <c r="F32" s="19"/>
    </row>
    <row r="33" spans="5:6" x14ac:dyDescent="0.3">
      <c r="F33" s="19"/>
    </row>
    <row r="34" spans="5:6" x14ac:dyDescent="0.3">
      <c r="E34" s="19"/>
    </row>
  </sheetData>
  <mergeCells count="4">
    <mergeCell ref="A22:N22"/>
    <mergeCell ref="A2:N2"/>
    <mergeCell ref="A10:N10"/>
    <mergeCell ref="A14:N14"/>
  </mergeCells>
  <conditionalFormatting sqref="A1:A2">
    <cfRule type="expression" dxfId="11" priority="5">
      <formula>ESTVIDE</formula>
    </cfRule>
  </conditionalFormatting>
  <conditionalFormatting sqref="A2:N9">
    <cfRule type="containsBlanks" dxfId="10" priority="6">
      <formula>LEN(TRIM(A2))=0</formula>
    </cfRule>
  </conditionalFormatting>
  <conditionalFormatting sqref="A10:N13">
    <cfRule type="containsBlanks" dxfId="9" priority="1">
      <formula>LEN(TRIM(A10))=0</formula>
    </cfRule>
    <cfRule type="containsBlanks" dxfId="8" priority="8">
      <formula>LEN(TRIM(A10))=0</formula>
    </cfRule>
  </conditionalFormatting>
  <conditionalFormatting sqref="A15:N21">
    <cfRule type="containsBlanks" dxfId="7" priority="23">
      <formula>LEN(TRIM(A15))=0</formula>
    </cfRule>
  </conditionalFormatting>
  <conditionalFormatting sqref="A22:N25">
    <cfRule type="containsBlanks" dxfId="6" priority="24">
      <formula>LEN(TRIM(A22))=0</formula>
    </cfRule>
  </conditionalFormatting>
  <pageMargins left="0.7" right="0.7" top="0.75" bottom="0.75" header="0.3" footer="0.3"/>
  <pageSetup paperSize="9" orientation="portrait" horizontalDpi="4294967293" verticalDpi="300" r:id="rId1"/>
  <tableParts count="2">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48714F-AF75-4C8D-9769-CBA9B7DBE780}">
  <sheetPr>
    <tabColor rgb="FF3B8249"/>
  </sheetPr>
  <dimension ref="A1:J10"/>
  <sheetViews>
    <sheetView workbookViewId="0">
      <selection activeCell="J3" sqref="J3"/>
    </sheetView>
  </sheetViews>
  <sheetFormatPr baseColWidth="10" defaultColWidth="11.44140625" defaultRowHeight="14.4" x14ac:dyDescent="0.3"/>
  <cols>
    <col min="1" max="1" width="35.33203125" customWidth="1"/>
    <col min="6" max="6" width="26.88671875" customWidth="1"/>
    <col min="9" max="9" width="18.6640625" customWidth="1"/>
  </cols>
  <sheetData>
    <row r="1" spans="1:10" x14ac:dyDescent="0.3">
      <c r="A1" s="92" t="s">
        <v>43</v>
      </c>
      <c r="B1" s="92"/>
      <c r="C1" s="92"/>
      <c r="D1" s="92"/>
      <c r="F1" s="93" t="s">
        <v>44</v>
      </c>
      <c r="G1" s="94"/>
      <c r="I1" s="96" t="s">
        <v>45</v>
      </c>
      <c r="J1" s="97"/>
    </row>
    <row r="2" spans="1:10" x14ac:dyDescent="0.3">
      <c r="A2" s="23"/>
      <c r="B2" s="23" t="s">
        <v>46</v>
      </c>
      <c r="C2" s="23" t="s">
        <v>47</v>
      </c>
      <c r="D2" s="23" t="s">
        <v>25</v>
      </c>
      <c r="F2" s="61" t="s">
        <v>48</v>
      </c>
      <c r="G2" s="60">
        <f>1871.88+(96+25.88)</f>
        <v>1993.7600000000002</v>
      </c>
      <c r="I2" s="24" t="s">
        <v>49</v>
      </c>
      <c r="J2" s="62">
        <f>'2023'!N11</f>
        <v>6960</v>
      </c>
    </row>
    <row r="3" spans="1:10" x14ac:dyDescent="0.3">
      <c r="A3" s="25" t="s">
        <v>50</v>
      </c>
      <c r="B3" s="26"/>
      <c r="C3" s="26">
        <v>94.05</v>
      </c>
      <c r="D3" s="26">
        <f>C3/12</f>
        <v>7.8374999999999995</v>
      </c>
      <c r="F3" s="61" t="s">
        <v>51</v>
      </c>
      <c r="G3" s="60">
        <f>(G2*13)/12</f>
        <v>2159.9066666666672</v>
      </c>
      <c r="I3" s="24" t="s">
        <v>52</v>
      </c>
      <c r="J3" s="62">
        <f>J2*0.7</f>
        <v>4872</v>
      </c>
    </row>
    <row r="4" spans="1:10" x14ac:dyDescent="0.3">
      <c r="A4" s="25" t="s">
        <v>53</v>
      </c>
      <c r="B4" s="26">
        <v>1835</v>
      </c>
      <c r="C4" s="26"/>
      <c r="D4" s="26">
        <v>10.050000000000001</v>
      </c>
      <c r="F4" s="61" t="s">
        <v>54</v>
      </c>
      <c r="G4" s="60">
        <f>G3*0.33</f>
        <v>712.76920000000018</v>
      </c>
      <c r="I4" s="24" t="s">
        <v>55</v>
      </c>
      <c r="J4" s="62">
        <f>J2-('2023'!N4+'2023'!N5+'2023'!N6+'2023'!N7+Tableau8[[#This Row],[2023]]+'2023'!Q5+'2023'!N20)-20</f>
        <v>-2036.3947336924539</v>
      </c>
    </row>
    <row r="5" spans="1:10" x14ac:dyDescent="0.3">
      <c r="A5" s="25" t="s">
        <v>56</v>
      </c>
      <c r="B5" s="26"/>
      <c r="C5" s="26">
        <v>247.8</v>
      </c>
      <c r="D5" s="26">
        <f>C5/12</f>
        <v>20.650000000000002</v>
      </c>
      <c r="F5" s="61" t="s">
        <v>57</v>
      </c>
      <c r="G5" s="60">
        <f>G4-'Amortissement banque'!C4</f>
        <v>272.99094956817152</v>
      </c>
    </row>
    <row r="6" spans="1:10" ht="15" thickBot="1" x14ac:dyDescent="0.35">
      <c r="A6" s="64" t="s">
        <v>58</v>
      </c>
      <c r="B6" s="65"/>
      <c r="C6" s="65"/>
      <c r="D6" s="65">
        <f>SUM(D3:D5)</f>
        <v>38.537500000000001</v>
      </c>
      <c r="F6" s="63" t="s">
        <v>59</v>
      </c>
      <c r="G6" s="66">
        <f>G5*'Amortissement banque'!J6</f>
        <v>81897.284870451462</v>
      </c>
    </row>
    <row r="7" spans="1:10" x14ac:dyDescent="0.3">
      <c r="B7" s="16"/>
      <c r="C7" s="16"/>
      <c r="D7" s="16"/>
    </row>
    <row r="8" spans="1:10" ht="44.4" customHeight="1" x14ac:dyDescent="0.3">
      <c r="A8" s="95" t="s">
        <v>60</v>
      </c>
      <c r="B8" s="95"/>
      <c r="C8" s="95"/>
      <c r="D8" s="95"/>
      <c r="E8" s="95"/>
      <c r="F8" s="95"/>
      <c r="G8" s="95"/>
    </row>
    <row r="9" spans="1:10" ht="160.19999999999999" customHeight="1" x14ac:dyDescent="0.3">
      <c r="A9" s="95"/>
      <c r="B9" s="95"/>
      <c r="C9" s="95"/>
      <c r="D9" s="95"/>
      <c r="E9" s="95"/>
      <c r="F9" s="95"/>
      <c r="G9" s="95"/>
    </row>
    <row r="10" spans="1:10" ht="43.95" customHeight="1" x14ac:dyDescent="0.3">
      <c r="A10" s="95"/>
      <c r="B10" s="95"/>
      <c r="C10" s="95"/>
      <c r="D10" s="95"/>
      <c r="E10" s="95"/>
      <c r="F10" s="95"/>
      <c r="G10" s="95"/>
    </row>
  </sheetData>
  <mergeCells count="4">
    <mergeCell ref="A1:D1"/>
    <mergeCell ref="F1:G1"/>
    <mergeCell ref="A8:G10"/>
    <mergeCell ref="I1:J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7C6A97-E922-4904-8A0D-8556455D33E2}">
  <sheetPr>
    <tabColor rgb="FFF1F1F1"/>
  </sheetPr>
  <dimension ref="A1:S326"/>
  <sheetViews>
    <sheetView workbookViewId="0">
      <selection activeCell="J3" sqref="J3"/>
    </sheetView>
  </sheetViews>
  <sheetFormatPr baseColWidth="10" defaultColWidth="11.44140625" defaultRowHeight="14.4" x14ac:dyDescent="0.3"/>
  <cols>
    <col min="1" max="1" width="23.33203125" customWidth="1"/>
    <col min="2" max="7" width="25.5546875" customWidth="1"/>
    <col min="8" max="8" width="1.33203125" customWidth="1"/>
    <col min="9" max="9" width="23.109375" customWidth="1"/>
    <col min="10" max="10" width="15" style="16" customWidth="1"/>
    <col min="11" max="19" width="11.5546875" style="16"/>
  </cols>
  <sheetData>
    <row r="1" spans="1:10" ht="20.399999999999999" customHeight="1" x14ac:dyDescent="0.3">
      <c r="A1" s="98" t="s">
        <v>0</v>
      </c>
      <c r="B1" s="99"/>
      <c r="C1" s="99"/>
      <c r="D1" s="99"/>
      <c r="E1" s="99"/>
      <c r="F1" s="99"/>
      <c r="G1" s="100"/>
      <c r="H1" s="20"/>
      <c r="I1" s="20"/>
    </row>
    <row r="2" spans="1:10" s="16" customFormat="1" x14ac:dyDescent="0.3">
      <c r="A2" s="5" t="s">
        <v>1</v>
      </c>
      <c r="B2" s="5" t="s">
        <v>2</v>
      </c>
      <c r="C2" s="5" t="s">
        <v>3</v>
      </c>
      <c r="D2" s="5" t="s">
        <v>4</v>
      </c>
      <c r="E2" s="5" t="s">
        <v>5</v>
      </c>
      <c r="F2" s="5" t="s">
        <v>6</v>
      </c>
      <c r="G2" s="5" t="s">
        <v>7</v>
      </c>
      <c r="H2"/>
      <c r="I2" s="27" t="s">
        <v>8</v>
      </c>
      <c r="J2" s="29">
        <v>122753</v>
      </c>
    </row>
    <row r="3" spans="1:10" s="16" customFormat="1" x14ac:dyDescent="0.3">
      <c r="A3" s="5">
        <v>0</v>
      </c>
      <c r="B3" s="16">
        <f>J2</f>
        <v>122753</v>
      </c>
      <c r="H3"/>
      <c r="I3" s="28" t="s">
        <v>9</v>
      </c>
      <c r="J3" s="30">
        <v>4.2999999999999997E-2</v>
      </c>
    </row>
    <row r="4" spans="1:10" s="16" customFormat="1" x14ac:dyDescent="0.3">
      <c r="A4" s="5">
        <v>1</v>
      </c>
      <c r="B4" s="16">
        <f>B3-D4</f>
        <v>122524.39548053227</v>
      </c>
      <c r="C4" s="16">
        <f>B3*$J$4</f>
        <v>439.77825043182867</v>
      </c>
      <c r="D4" s="16">
        <f>$J$8-Tableau97[[#This Row],[Intérêts ]]</f>
        <v>228.60451946772997</v>
      </c>
      <c r="E4" s="16">
        <f>$J$8</f>
        <v>668.38276989955864</v>
      </c>
      <c r="F4" s="16">
        <f>$J$11/$J$6</f>
        <v>36.825899999999997</v>
      </c>
      <c r="G4" s="16">
        <f>IF(E4&lt;&gt;"",E4+F4,"")</f>
        <v>705.20866989955869</v>
      </c>
      <c r="H4"/>
      <c r="I4" s="28" t="s">
        <v>10</v>
      </c>
      <c r="J4" s="30">
        <f>((1+J3/100)^(1/12)-1)*100</f>
        <v>3.5826273120154184E-3</v>
      </c>
    </row>
    <row r="5" spans="1:10" s="16" customFormat="1" x14ac:dyDescent="0.3">
      <c r="A5" s="5">
        <v>2</v>
      </c>
      <c r="B5" s="16">
        <f t="shared" ref="B5:B68" si="0">B4-D5</f>
        <v>122294.97195626945</v>
      </c>
      <c r="C5" s="16">
        <f t="shared" ref="C5:C68" si="1">B4*$J$4</f>
        <v>438.95924563673339</v>
      </c>
      <c r="D5" s="16">
        <f>$J$8-Tableau97[[#This Row],[Intérêts ]]</f>
        <v>229.42352426282525</v>
      </c>
      <c r="E5" s="16">
        <f t="shared" ref="E5:E68" si="2">$J$8</f>
        <v>668.38276989955864</v>
      </c>
      <c r="F5" s="16">
        <f t="shared" ref="F5:F68" si="3">$J$11/$J$6</f>
        <v>36.825899999999997</v>
      </c>
      <c r="G5" s="16">
        <f t="shared" ref="G5:G68" si="4">IF(E5&lt;&gt;"",E5+F5,"")</f>
        <v>705.20866989955869</v>
      </c>
      <c r="H5"/>
      <c r="I5" s="28" t="s">
        <v>11</v>
      </c>
      <c r="J5" s="59">
        <v>25</v>
      </c>
    </row>
    <row r="6" spans="1:10" s="16" customFormat="1" x14ac:dyDescent="0.3">
      <c r="A6" s="5">
        <v>3</v>
      </c>
      <c r="B6" s="16">
        <f t="shared" si="0"/>
        <v>122064.72649302258</v>
      </c>
      <c r="C6" s="16">
        <f t="shared" si="1"/>
        <v>438.1373066526906</v>
      </c>
      <c r="D6" s="16">
        <f>$J$8-Tableau97[[#This Row],[Intérêts ]]</f>
        <v>230.24546324686804</v>
      </c>
      <c r="E6" s="16">
        <f t="shared" si="2"/>
        <v>668.38276989955864</v>
      </c>
      <c r="F6" s="16">
        <f t="shared" si="3"/>
        <v>36.825899999999997</v>
      </c>
      <c r="G6" s="16">
        <f t="shared" si="4"/>
        <v>705.20866989955869</v>
      </c>
      <c r="H6"/>
      <c r="I6" s="28" t="s">
        <v>12</v>
      </c>
      <c r="J6" s="31">
        <f>J5*12</f>
        <v>300</v>
      </c>
    </row>
    <row r="7" spans="1:10" s="16" customFormat="1" x14ac:dyDescent="0.3">
      <c r="A7" s="5">
        <v>4</v>
      </c>
      <c r="B7" s="16">
        <f t="shared" si="0"/>
        <v>121833.65614609061</v>
      </c>
      <c r="C7" s="16">
        <f t="shared" si="1"/>
        <v>437.31242296759473</v>
      </c>
      <c r="D7" s="16">
        <f>$J$8-Tableau97[[#This Row],[Intérêts ]]</f>
        <v>231.07034693196391</v>
      </c>
      <c r="E7" s="16">
        <f t="shared" si="2"/>
        <v>668.38276989955864</v>
      </c>
      <c r="F7" s="16">
        <f t="shared" si="3"/>
        <v>36.825899999999997</v>
      </c>
      <c r="G7" s="16">
        <f t="shared" si="4"/>
        <v>705.20866989955869</v>
      </c>
      <c r="H7"/>
      <c r="I7" s="28" t="s">
        <v>13</v>
      </c>
      <c r="J7" s="30">
        <v>2.9999999999999997E-4</v>
      </c>
    </row>
    <row r="8" spans="1:10" s="16" customFormat="1" x14ac:dyDescent="0.3">
      <c r="A8" s="5">
        <v>5</v>
      </c>
      <c r="B8" s="16">
        <f t="shared" si="0"/>
        <v>121601.75796022273</v>
      </c>
      <c r="C8" s="16">
        <f t="shared" si="1"/>
        <v>436.48458403167933</v>
      </c>
      <c r="D8" s="16">
        <f>$J$8-Tableau97[[#This Row],[Intérêts ]]</f>
        <v>231.89818586787931</v>
      </c>
      <c r="E8" s="16">
        <f t="shared" si="2"/>
        <v>668.38276989955864</v>
      </c>
      <c r="F8" s="16">
        <f t="shared" si="3"/>
        <v>36.825899999999997</v>
      </c>
      <c r="G8" s="16">
        <f t="shared" si="4"/>
        <v>705.20866989955869</v>
      </c>
      <c r="H8"/>
      <c r="I8" s="28" t="s">
        <v>5</v>
      </c>
      <c r="J8" s="32">
        <f xml:space="preserve"> (-PMT(J4,J6,J2))</f>
        <v>668.38276989955864</v>
      </c>
    </row>
    <row r="9" spans="1:10" s="16" customFormat="1" x14ac:dyDescent="0.3">
      <c r="A9" s="5">
        <v>6</v>
      </c>
      <c r="B9" s="16">
        <f t="shared" si="0"/>
        <v>121369.02896958055</v>
      </c>
      <c r="C9" s="16">
        <f t="shared" si="1"/>
        <v>435.65377925738227</v>
      </c>
      <c r="D9" s="16">
        <f>$J$8-Tableau97[[#This Row],[Intérêts ]]</f>
        <v>232.72899064217637</v>
      </c>
      <c r="E9" s="16">
        <f t="shared" si="2"/>
        <v>668.38276989955864</v>
      </c>
      <c r="F9" s="16">
        <f t="shared" si="3"/>
        <v>36.825899999999997</v>
      </c>
      <c r="G9" s="16">
        <f t="shared" si="4"/>
        <v>705.20866989955869</v>
      </c>
      <c r="H9"/>
      <c r="I9" s="28" t="s">
        <v>14</v>
      </c>
      <c r="J9" s="32">
        <f>J8+(J2*J7)</f>
        <v>705.20866989955869</v>
      </c>
    </row>
    <row r="10" spans="1:10" s="16" customFormat="1" x14ac:dyDescent="0.3">
      <c r="A10" s="5">
        <v>7</v>
      </c>
      <c r="B10" s="16">
        <f t="shared" si="0"/>
        <v>121135.46619770021</v>
      </c>
      <c r="C10" s="16">
        <f t="shared" si="1"/>
        <v>434.81999801920983</v>
      </c>
      <c r="D10" s="16">
        <f>$J$8-Tableau97[[#This Row],[Intérêts ]]</f>
        <v>233.56277188034881</v>
      </c>
      <c r="E10" s="16">
        <f t="shared" si="2"/>
        <v>668.38276989955864</v>
      </c>
      <c r="F10" s="16">
        <f t="shared" si="3"/>
        <v>36.825899999999997</v>
      </c>
      <c r="G10" s="16">
        <f t="shared" si="4"/>
        <v>705.20866989955869</v>
      </c>
      <c r="H10"/>
      <c r="I10" s="28" t="s">
        <v>15</v>
      </c>
      <c r="J10" s="32">
        <f>(J8*J6)-J2</f>
        <v>77761.830969867588</v>
      </c>
    </row>
    <row r="11" spans="1:10" s="16" customFormat="1" x14ac:dyDescent="0.3">
      <c r="A11" s="5">
        <v>8</v>
      </c>
      <c r="B11" s="16">
        <f t="shared" si="0"/>
        <v>120901.06665745426</v>
      </c>
      <c r="C11" s="16">
        <f t="shared" si="1"/>
        <v>433.98322965360126</v>
      </c>
      <c r="D11" s="16">
        <f>$J$8-Tableau97[[#This Row],[Intérêts ]]</f>
        <v>234.39954024595738</v>
      </c>
      <c r="E11" s="16">
        <f t="shared" si="2"/>
        <v>668.38276989955864</v>
      </c>
      <c r="F11" s="16">
        <f t="shared" si="3"/>
        <v>36.825899999999997</v>
      </c>
      <c r="G11" s="16">
        <f t="shared" si="4"/>
        <v>705.20866989955869</v>
      </c>
      <c r="H11"/>
      <c r="I11" s="28" t="s">
        <v>16</v>
      </c>
      <c r="J11" s="33">
        <f>(J2*J7)*J6</f>
        <v>11047.769999999999</v>
      </c>
    </row>
    <row r="12" spans="1:10" s="16" customFormat="1" x14ac:dyDescent="0.3">
      <c r="A12" s="5">
        <v>9</v>
      </c>
      <c r="B12" s="16">
        <f t="shared" si="0"/>
        <v>120665.82735101349</v>
      </c>
      <c r="C12" s="16">
        <f t="shared" si="1"/>
        <v>433.14346345879227</v>
      </c>
      <c r="D12" s="16">
        <f>$J$8-Tableau97[[#This Row],[Intérêts ]]</f>
        <v>235.23930644076637</v>
      </c>
      <c r="E12" s="16">
        <f t="shared" si="2"/>
        <v>668.38276989955864</v>
      </c>
      <c r="F12" s="16">
        <f t="shared" si="3"/>
        <v>36.825899999999997</v>
      </c>
      <c r="G12" s="16">
        <f t="shared" si="4"/>
        <v>705.20866989955869</v>
      </c>
      <c r="H12"/>
      <c r="I12" s="28" t="s">
        <v>17</v>
      </c>
      <c r="J12" s="33">
        <f>J2*0.08203</f>
        <v>10069.428590000001</v>
      </c>
    </row>
    <row r="13" spans="1:10" s="16" customFormat="1" x14ac:dyDescent="0.3">
      <c r="A13" s="5">
        <v>10</v>
      </c>
      <c r="B13" s="16">
        <f t="shared" si="0"/>
        <v>120429.74526980861</v>
      </c>
      <c r="C13" s="16">
        <f t="shared" si="1"/>
        <v>432.300688694678</v>
      </c>
      <c r="D13" s="16">
        <f>$J$8-Tableau97[[#This Row],[Intérêts ]]</f>
        <v>236.08208120488064</v>
      </c>
      <c r="E13" s="16">
        <f t="shared" si="2"/>
        <v>668.38276989955864</v>
      </c>
      <c r="F13" s="16">
        <f t="shared" si="3"/>
        <v>36.825899999999997</v>
      </c>
      <c r="G13" s="16">
        <f t="shared" si="4"/>
        <v>705.20866989955869</v>
      </c>
      <c r="H13"/>
      <c r="I13" s="34" t="s">
        <v>18</v>
      </c>
      <c r="J13" s="35">
        <f>J12+J11+J10+J2</f>
        <v>221632.02955986757</v>
      </c>
    </row>
    <row r="14" spans="1:10" x14ac:dyDescent="0.3">
      <c r="A14" s="5">
        <v>11</v>
      </c>
      <c r="B14" s="16">
        <f t="shared" si="0"/>
        <v>120192.81739449174</v>
      </c>
      <c r="C14" s="16">
        <f t="shared" si="1"/>
        <v>431.45489458267599</v>
      </c>
      <c r="D14" s="16">
        <f>$J$8-Tableau97[[#This Row],[Intérêts ]]</f>
        <v>236.92787531688265</v>
      </c>
      <c r="E14" s="16">
        <f t="shared" si="2"/>
        <v>668.38276989955864</v>
      </c>
      <c r="F14" s="16">
        <f t="shared" si="3"/>
        <v>36.825899999999997</v>
      </c>
      <c r="G14" s="16">
        <f t="shared" si="4"/>
        <v>705.20866989955869</v>
      </c>
      <c r="I14" s="57" t="s">
        <v>19</v>
      </c>
      <c r="J14" s="58">
        <f>'2023'!B25</f>
        <v>883.20283656622541</v>
      </c>
    </row>
    <row r="15" spans="1:10" x14ac:dyDescent="0.3">
      <c r="A15" s="5">
        <v>12</v>
      </c>
      <c r="B15" s="16">
        <f t="shared" si="0"/>
        <v>119955.04069489776</v>
      </c>
      <c r="C15" s="16">
        <f t="shared" si="1"/>
        <v>430.60607030558793</v>
      </c>
      <c r="D15" s="16">
        <f>$J$8-Tableau97[[#This Row],[Intérêts ]]</f>
        <v>237.7766995939707</v>
      </c>
      <c r="E15" s="16">
        <f t="shared" si="2"/>
        <v>668.38276989955864</v>
      </c>
      <c r="F15" s="16">
        <f t="shared" si="3"/>
        <v>36.825899999999997</v>
      </c>
      <c r="G15" s="16">
        <f t="shared" si="4"/>
        <v>705.20866989955869</v>
      </c>
    </row>
    <row r="16" spans="1:10" x14ac:dyDescent="0.3">
      <c r="A16" s="5">
        <v>13</v>
      </c>
      <c r="B16" s="16">
        <f t="shared" si="0"/>
        <v>119716.41213000566</v>
      </c>
      <c r="C16" s="16">
        <f t="shared" si="1"/>
        <v>429.75420500746168</v>
      </c>
      <c r="D16" s="16">
        <f>$J$8-Tableau97[[#This Row],[Intérêts ]]</f>
        <v>238.62856489209696</v>
      </c>
      <c r="E16" s="16">
        <f t="shared" si="2"/>
        <v>668.38276989955864</v>
      </c>
      <c r="F16" s="16">
        <f t="shared" si="3"/>
        <v>36.825899999999997</v>
      </c>
      <c r="G16" s="16">
        <f t="shared" si="4"/>
        <v>705.20866989955869</v>
      </c>
    </row>
    <row r="17" spans="1:7" x14ac:dyDescent="0.3">
      <c r="A17" s="5">
        <v>14</v>
      </c>
      <c r="B17" s="16">
        <f t="shared" si="0"/>
        <v>119476.92864789955</v>
      </c>
      <c r="C17" s="16">
        <f t="shared" si="1"/>
        <v>428.89928779345217</v>
      </c>
      <c r="D17" s="16">
        <f>$J$8-Tableau97[[#This Row],[Intérêts ]]</f>
        <v>239.48348210610646</v>
      </c>
      <c r="E17" s="16">
        <f t="shared" si="2"/>
        <v>668.38276989955864</v>
      </c>
      <c r="F17" s="16">
        <f t="shared" si="3"/>
        <v>36.825899999999997</v>
      </c>
      <c r="G17" s="16">
        <f t="shared" si="4"/>
        <v>705.20866989955869</v>
      </c>
    </row>
    <row r="18" spans="1:7" x14ac:dyDescent="0.3">
      <c r="A18" s="5">
        <v>15</v>
      </c>
      <c r="B18" s="16">
        <f t="shared" si="0"/>
        <v>119236.58718572967</v>
      </c>
      <c r="C18" s="16">
        <f t="shared" si="1"/>
        <v>428.04130772968227</v>
      </c>
      <c r="D18" s="16">
        <f>$J$8-Tableau97[[#This Row],[Intérêts ]]</f>
        <v>240.34146216987637</v>
      </c>
      <c r="E18" s="16">
        <f t="shared" si="2"/>
        <v>668.38276989955864</v>
      </c>
      <c r="F18" s="16">
        <f t="shared" si="3"/>
        <v>36.825899999999997</v>
      </c>
      <c r="G18" s="16">
        <f t="shared" si="4"/>
        <v>705.20866989955869</v>
      </c>
    </row>
    <row r="19" spans="1:7" x14ac:dyDescent="0.3">
      <c r="A19" s="5">
        <v>16</v>
      </c>
      <c r="B19" s="16">
        <f t="shared" si="0"/>
        <v>118995.38466967322</v>
      </c>
      <c r="C19" s="16">
        <f t="shared" si="1"/>
        <v>427.18025384310278</v>
      </c>
      <c r="D19" s="16">
        <f>$J$8-Tableau97[[#This Row],[Intérêts ]]</f>
        <v>241.20251605645586</v>
      </c>
      <c r="E19" s="16">
        <f t="shared" si="2"/>
        <v>668.38276989955864</v>
      </c>
      <c r="F19" s="16">
        <f t="shared" si="3"/>
        <v>36.825899999999997</v>
      </c>
      <c r="G19" s="16">
        <f t="shared" si="4"/>
        <v>705.20866989955869</v>
      </c>
    </row>
    <row r="20" spans="1:7" x14ac:dyDescent="0.3">
      <c r="A20" s="5">
        <v>17</v>
      </c>
      <c r="B20" s="16">
        <f t="shared" si="0"/>
        <v>118753.31801489502</v>
      </c>
      <c r="C20" s="16">
        <f t="shared" si="1"/>
        <v>426.31611512135208</v>
      </c>
      <c r="D20" s="16">
        <f>$J$8-Tableau97[[#This Row],[Intérêts ]]</f>
        <v>242.06665477820655</v>
      </c>
      <c r="E20" s="16">
        <f t="shared" si="2"/>
        <v>668.38276989955864</v>
      </c>
      <c r="F20" s="16">
        <f t="shared" si="3"/>
        <v>36.825899999999997</v>
      </c>
      <c r="G20" s="16">
        <f t="shared" si="4"/>
        <v>705.20866989955869</v>
      </c>
    </row>
    <row r="21" spans="1:7" x14ac:dyDescent="0.3">
      <c r="A21" s="5">
        <v>18</v>
      </c>
      <c r="B21" s="16">
        <f t="shared" si="0"/>
        <v>118510.38412550808</v>
      </c>
      <c r="C21" s="16">
        <f t="shared" si="1"/>
        <v>425.44888051261552</v>
      </c>
      <c r="D21" s="16">
        <f>$J$8-Tableau97[[#This Row],[Intérêts ]]</f>
        <v>242.93388938694312</v>
      </c>
      <c r="E21" s="16">
        <f t="shared" si="2"/>
        <v>668.38276989955864</v>
      </c>
      <c r="F21" s="16">
        <f t="shared" si="3"/>
        <v>36.825899999999997</v>
      </c>
      <c r="G21" s="16">
        <f t="shared" si="4"/>
        <v>705.20866989955869</v>
      </c>
    </row>
    <row r="22" spans="1:7" x14ac:dyDescent="0.3">
      <c r="A22" s="5">
        <v>19</v>
      </c>
      <c r="B22" s="16">
        <f t="shared" si="0"/>
        <v>118266.57989453401</v>
      </c>
      <c r="C22" s="16">
        <f t="shared" si="1"/>
        <v>424.57853892548371</v>
      </c>
      <c r="D22" s="16">
        <f>$J$8-Tableau97[[#This Row],[Intérêts ]]</f>
        <v>243.80423097407493</v>
      </c>
      <c r="E22" s="16">
        <f t="shared" si="2"/>
        <v>668.38276989955864</v>
      </c>
      <c r="F22" s="16">
        <f t="shared" si="3"/>
        <v>36.825899999999997</v>
      </c>
      <c r="G22" s="16">
        <f t="shared" si="4"/>
        <v>705.20866989955869</v>
      </c>
    </row>
    <row r="23" spans="1:7" x14ac:dyDescent="0.3">
      <c r="A23" s="5">
        <v>20</v>
      </c>
      <c r="B23" s="16">
        <f t="shared" si="0"/>
        <v>118021.90220386325</v>
      </c>
      <c r="C23" s="16">
        <f t="shared" si="1"/>
        <v>423.70507922881109</v>
      </c>
      <c r="D23" s="16">
        <f>$J$8-Tableau97[[#This Row],[Intérêts ]]</f>
        <v>244.67769067074755</v>
      </c>
      <c r="E23" s="16">
        <f t="shared" si="2"/>
        <v>668.38276989955864</v>
      </c>
      <c r="F23" s="16">
        <f t="shared" si="3"/>
        <v>36.825899999999997</v>
      </c>
      <c r="G23" s="16">
        <f t="shared" si="4"/>
        <v>705.20866989955869</v>
      </c>
    </row>
    <row r="24" spans="1:7" x14ac:dyDescent="0.3">
      <c r="A24" s="5">
        <v>21</v>
      </c>
      <c r="B24" s="16">
        <f t="shared" si="0"/>
        <v>117776.34792421527</v>
      </c>
      <c r="C24" s="16">
        <f t="shared" si="1"/>
        <v>422.82849025157321</v>
      </c>
      <c r="D24" s="16">
        <f>$J$8-Tableau97[[#This Row],[Intérêts ]]</f>
        <v>245.55427964798542</v>
      </c>
      <c r="E24" s="16">
        <f t="shared" si="2"/>
        <v>668.38276989955864</v>
      </c>
      <c r="F24" s="16">
        <f t="shared" si="3"/>
        <v>36.825899999999997</v>
      </c>
      <c r="G24" s="16">
        <f t="shared" si="4"/>
        <v>705.20866989955869</v>
      </c>
    </row>
    <row r="25" spans="1:7" x14ac:dyDescent="0.3">
      <c r="A25" s="5">
        <v>22</v>
      </c>
      <c r="B25" s="16">
        <f t="shared" si="0"/>
        <v>117529.91391509843</v>
      </c>
      <c r="C25" s="16">
        <f t="shared" si="1"/>
        <v>421.94876078272404</v>
      </c>
      <c r="D25" s="16">
        <f>$J$8-Tableau97[[#This Row],[Intérêts ]]</f>
        <v>246.4340091168346</v>
      </c>
      <c r="E25" s="16">
        <f t="shared" si="2"/>
        <v>668.38276989955864</v>
      </c>
      <c r="F25" s="16">
        <f t="shared" si="3"/>
        <v>36.825899999999997</v>
      </c>
      <c r="G25" s="16">
        <f t="shared" si="4"/>
        <v>705.20866989955869</v>
      </c>
    </row>
    <row r="26" spans="1:7" x14ac:dyDescent="0.3">
      <c r="A26" s="5">
        <v>23</v>
      </c>
      <c r="B26" s="16">
        <f t="shared" si="0"/>
        <v>117282.59702476992</v>
      </c>
      <c r="C26" s="16">
        <f t="shared" si="1"/>
        <v>421.06587957105262</v>
      </c>
      <c r="D26" s="16">
        <f>$J$8-Tableau97[[#This Row],[Intérêts ]]</f>
        <v>247.31689032850602</v>
      </c>
      <c r="E26" s="16">
        <f t="shared" si="2"/>
        <v>668.38276989955864</v>
      </c>
      <c r="F26" s="16">
        <f t="shared" si="3"/>
        <v>36.825899999999997</v>
      </c>
      <c r="G26" s="16">
        <f t="shared" si="4"/>
        <v>705.20866989955869</v>
      </c>
    </row>
    <row r="27" spans="1:7" x14ac:dyDescent="0.3">
      <c r="A27" s="5">
        <v>24</v>
      </c>
      <c r="B27" s="16">
        <f t="shared" si="0"/>
        <v>117034.39409019539</v>
      </c>
      <c r="C27" s="16">
        <f t="shared" si="1"/>
        <v>420.17983532503894</v>
      </c>
      <c r="D27" s="16">
        <f>$J$8-Tableau97[[#This Row],[Intérêts ]]</f>
        <v>248.2029345745197</v>
      </c>
      <c r="E27" s="16">
        <f t="shared" si="2"/>
        <v>668.38276989955864</v>
      </c>
      <c r="F27" s="16">
        <f t="shared" si="3"/>
        <v>36.825899999999997</v>
      </c>
      <c r="G27" s="16">
        <f t="shared" si="4"/>
        <v>705.20866989955869</v>
      </c>
    </row>
    <row r="28" spans="1:7" x14ac:dyDescent="0.3">
      <c r="A28" s="5">
        <v>25</v>
      </c>
      <c r="B28" s="16">
        <f t="shared" si="0"/>
        <v>116785.30193700854</v>
      </c>
      <c r="C28" s="16">
        <f t="shared" si="1"/>
        <v>419.29061671270989</v>
      </c>
      <c r="D28" s="16">
        <f>$J$8-Tableau97[[#This Row],[Intérêts ]]</f>
        <v>249.09215318684875</v>
      </c>
      <c r="E28" s="16">
        <f t="shared" si="2"/>
        <v>668.38276989955864</v>
      </c>
      <c r="F28" s="16">
        <f t="shared" si="3"/>
        <v>36.825899999999997</v>
      </c>
      <c r="G28" s="16">
        <f t="shared" si="4"/>
        <v>705.20866989955869</v>
      </c>
    </row>
    <row r="29" spans="1:7" x14ac:dyDescent="0.3">
      <c r="A29" s="5">
        <v>26</v>
      </c>
      <c r="B29" s="16">
        <f t="shared" si="0"/>
        <v>116535.31737947048</v>
      </c>
      <c r="C29" s="16">
        <f t="shared" si="1"/>
        <v>418.39821236149396</v>
      </c>
      <c r="D29" s="16">
        <f>$J$8-Tableau97[[#This Row],[Intérêts ]]</f>
        <v>249.98455753806468</v>
      </c>
      <c r="E29" s="16">
        <f t="shared" si="2"/>
        <v>668.38276989955864</v>
      </c>
      <c r="F29" s="16">
        <f t="shared" si="3"/>
        <v>36.825899999999997</v>
      </c>
      <c r="G29" s="16">
        <f t="shared" si="4"/>
        <v>705.20866989955869</v>
      </c>
    </row>
    <row r="30" spans="1:7" x14ac:dyDescent="0.3">
      <c r="A30" s="5">
        <v>27</v>
      </c>
      <c r="B30" s="16">
        <f t="shared" si="0"/>
        <v>116284.437220429</v>
      </c>
      <c r="C30" s="16">
        <f t="shared" si="1"/>
        <v>417.50261085807597</v>
      </c>
      <c r="D30" s="16">
        <f>$J$8-Tableau97[[#This Row],[Intérêts ]]</f>
        <v>250.88015904148267</v>
      </c>
      <c r="E30" s="16">
        <f t="shared" si="2"/>
        <v>668.38276989955864</v>
      </c>
      <c r="F30" s="16">
        <f t="shared" si="3"/>
        <v>36.825899999999997</v>
      </c>
      <c r="G30" s="16">
        <f t="shared" si="4"/>
        <v>705.20866989955869</v>
      </c>
    </row>
    <row r="31" spans="1:7" x14ac:dyDescent="0.3">
      <c r="A31" s="5">
        <v>28</v>
      </c>
      <c r="B31" s="16">
        <f t="shared" si="0"/>
        <v>116032.65825127769</v>
      </c>
      <c r="C31" s="16">
        <f t="shared" si="1"/>
        <v>416.60380074825122</v>
      </c>
      <c r="D31" s="16">
        <f>$J$8-Tableau97[[#This Row],[Intérêts ]]</f>
        <v>251.77896915130742</v>
      </c>
      <c r="E31" s="16">
        <f t="shared" si="2"/>
        <v>668.38276989955864</v>
      </c>
      <c r="F31" s="16">
        <f t="shared" si="3"/>
        <v>36.825899999999997</v>
      </c>
      <c r="G31" s="16">
        <f t="shared" si="4"/>
        <v>705.20866989955869</v>
      </c>
    </row>
    <row r="32" spans="1:7" x14ac:dyDescent="0.3">
      <c r="A32" s="5">
        <v>29</v>
      </c>
      <c r="B32" s="16">
        <f t="shared" si="0"/>
        <v>115779.97725191491</v>
      </c>
      <c r="C32" s="16">
        <f t="shared" si="1"/>
        <v>415.70177053677867</v>
      </c>
      <c r="D32" s="16">
        <f>$J$8-Tableau97[[#This Row],[Intérêts ]]</f>
        <v>252.68099936277997</v>
      </c>
      <c r="E32" s="16">
        <f t="shared" si="2"/>
        <v>668.38276989955864</v>
      </c>
      <c r="F32" s="16">
        <f t="shared" si="3"/>
        <v>36.825899999999997</v>
      </c>
      <c r="G32" s="16">
        <f t="shared" si="4"/>
        <v>705.20866989955869</v>
      </c>
    </row>
    <row r="33" spans="1:7" x14ac:dyDescent="0.3">
      <c r="A33" s="5">
        <v>30</v>
      </c>
      <c r="B33" s="16">
        <f t="shared" si="0"/>
        <v>115526.39099070258</v>
      </c>
      <c r="C33" s="16">
        <f t="shared" si="1"/>
        <v>414.79650868723422</v>
      </c>
      <c r="D33" s="16">
        <f>$J$8-Tableau97[[#This Row],[Intérêts ]]</f>
        <v>253.58626121232442</v>
      </c>
      <c r="E33" s="16">
        <f t="shared" si="2"/>
        <v>668.38276989955864</v>
      </c>
      <c r="F33" s="16">
        <f t="shared" si="3"/>
        <v>36.825899999999997</v>
      </c>
      <c r="G33" s="16">
        <f t="shared" si="4"/>
        <v>705.20866989955869</v>
      </c>
    </row>
    <row r="34" spans="1:7" x14ac:dyDescent="0.3">
      <c r="A34" s="5">
        <v>31</v>
      </c>
      <c r="B34" s="16">
        <f t="shared" si="0"/>
        <v>115271.89622442488</v>
      </c>
      <c r="C34" s="16">
        <f t="shared" si="1"/>
        <v>413.88800362186305</v>
      </c>
      <c r="D34" s="16">
        <f>$J$8-Tableau97[[#This Row],[Intérêts ]]</f>
        <v>254.49476627769559</v>
      </c>
      <c r="E34" s="16">
        <f t="shared" si="2"/>
        <v>668.38276989955864</v>
      </c>
      <c r="F34" s="16">
        <f t="shared" si="3"/>
        <v>36.825899999999997</v>
      </c>
      <c r="G34" s="16">
        <f t="shared" si="4"/>
        <v>705.20866989955869</v>
      </c>
    </row>
    <row r="35" spans="1:7" x14ac:dyDescent="0.3">
      <c r="A35" s="5">
        <v>32</v>
      </c>
      <c r="B35" s="16">
        <f t="shared" si="0"/>
        <v>115016.48969824676</v>
      </c>
      <c r="C35" s="16">
        <f t="shared" si="1"/>
        <v>412.97624372143156</v>
      </c>
      <c r="D35" s="16">
        <f>$J$8-Tableau97[[#This Row],[Intérêts ]]</f>
        <v>255.40652617812708</v>
      </c>
      <c r="E35" s="16">
        <f t="shared" si="2"/>
        <v>668.38276989955864</v>
      </c>
      <c r="F35" s="16">
        <f t="shared" si="3"/>
        <v>36.825899999999997</v>
      </c>
      <c r="G35" s="16">
        <f t="shared" si="4"/>
        <v>705.20866989955869</v>
      </c>
    </row>
    <row r="36" spans="1:7" x14ac:dyDescent="0.3">
      <c r="A36" s="5">
        <v>33</v>
      </c>
      <c r="B36" s="16">
        <f t="shared" si="0"/>
        <v>114760.16814567229</v>
      </c>
      <c r="C36" s="16">
        <f t="shared" si="1"/>
        <v>412.06121732507887</v>
      </c>
      <c r="D36" s="16">
        <f>$J$8-Tableau97[[#This Row],[Intérêts ]]</f>
        <v>256.32155257447977</v>
      </c>
      <c r="E36" s="16">
        <f t="shared" si="2"/>
        <v>668.38276989955864</v>
      </c>
      <c r="F36" s="16">
        <f t="shared" si="3"/>
        <v>36.825899999999997</v>
      </c>
      <c r="G36" s="16">
        <f t="shared" si="4"/>
        <v>705.20866989955869</v>
      </c>
    </row>
    <row r="37" spans="1:7" x14ac:dyDescent="0.3">
      <c r="A37" s="5">
        <v>34</v>
      </c>
      <c r="B37" s="16">
        <f t="shared" si="0"/>
        <v>114502.9282885029</v>
      </c>
      <c r="C37" s="16">
        <f t="shared" si="1"/>
        <v>411.14291273016732</v>
      </c>
      <c r="D37" s="16">
        <f>$J$8-Tableau97[[#This Row],[Intérêts ]]</f>
        <v>257.23985716939131</v>
      </c>
      <c r="E37" s="16">
        <f t="shared" si="2"/>
        <v>668.38276989955864</v>
      </c>
      <c r="F37" s="16">
        <f t="shared" si="3"/>
        <v>36.825899999999997</v>
      </c>
      <c r="G37" s="16">
        <f t="shared" si="4"/>
        <v>705.20866989955869</v>
      </c>
    </row>
    <row r="38" spans="1:7" x14ac:dyDescent="0.3">
      <c r="A38" s="5">
        <v>35</v>
      </c>
      <c r="B38" s="16">
        <f t="shared" si="0"/>
        <v>114244.76683679548</v>
      </c>
      <c r="C38" s="16">
        <f t="shared" si="1"/>
        <v>410.22131819213337</v>
      </c>
      <c r="D38" s="16">
        <f>$J$8-Tableau97[[#This Row],[Intérêts ]]</f>
        <v>258.16145170742527</v>
      </c>
      <c r="E38" s="16">
        <f t="shared" si="2"/>
        <v>668.38276989955864</v>
      </c>
      <c r="F38" s="16">
        <f t="shared" si="3"/>
        <v>36.825899999999997</v>
      </c>
      <c r="G38" s="16">
        <f t="shared" si="4"/>
        <v>705.20866989955869</v>
      </c>
    </row>
    <row r="39" spans="1:7" x14ac:dyDescent="0.3">
      <c r="A39" s="5">
        <v>36</v>
      </c>
      <c r="B39" s="16">
        <f t="shared" si="0"/>
        <v>113985.68048882026</v>
      </c>
      <c r="C39" s="16">
        <f t="shared" si="1"/>
        <v>409.29642192433681</v>
      </c>
      <c r="D39" s="16">
        <f>$J$8-Tableau97[[#This Row],[Intérêts ]]</f>
        <v>259.08634797522183</v>
      </c>
      <c r="E39" s="16">
        <f t="shared" si="2"/>
        <v>668.38276989955864</v>
      </c>
      <c r="F39" s="16">
        <f t="shared" si="3"/>
        <v>36.825899999999997</v>
      </c>
      <c r="G39" s="16">
        <f t="shared" si="4"/>
        <v>705.20866989955869</v>
      </c>
    </row>
    <row r="40" spans="1:7" x14ac:dyDescent="0.3">
      <c r="A40" s="5">
        <v>37</v>
      </c>
      <c r="B40" s="16">
        <f t="shared" si="0"/>
        <v>113725.66593101861</v>
      </c>
      <c r="C40" s="16">
        <f t="shared" si="1"/>
        <v>408.36821209791043</v>
      </c>
      <c r="D40" s="16">
        <f>$J$8-Tableau97[[#This Row],[Intérêts ]]</f>
        <v>260.01455780164821</v>
      </c>
      <c r="E40" s="16">
        <f t="shared" si="2"/>
        <v>668.38276989955864</v>
      </c>
      <c r="F40" s="16">
        <f t="shared" si="3"/>
        <v>36.825899999999997</v>
      </c>
      <c r="G40" s="16">
        <f t="shared" si="4"/>
        <v>705.20866989955869</v>
      </c>
    </row>
    <row r="41" spans="1:7" x14ac:dyDescent="0.3">
      <c r="A41" s="5">
        <v>38</v>
      </c>
      <c r="B41" s="16">
        <f t="shared" si="0"/>
        <v>113464.71983796066</v>
      </c>
      <c r="C41" s="16">
        <f t="shared" si="1"/>
        <v>407.43667684160863</v>
      </c>
      <c r="D41" s="16">
        <f>$J$8-Tableau97[[#This Row],[Intérêts ]]</f>
        <v>260.94609305795001</v>
      </c>
      <c r="E41" s="16">
        <f t="shared" si="2"/>
        <v>668.38276989955864</v>
      </c>
      <c r="F41" s="16">
        <f t="shared" si="3"/>
        <v>36.825899999999997</v>
      </c>
      <c r="G41" s="16">
        <f t="shared" si="4"/>
        <v>705.20866989955869</v>
      </c>
    </row>
    <row r="42" spans="1:7" x14ac:dyDescent="0.3">
      <c r="A42" s="5">
        <v>39</v>
      </c>
      <c r="B42" s="16">
        <f t="shared" si="0"/>
        <v>113202.83887230276</v>
      </c>
      <c r="C42" s="16">
        <f t="shared" si="1"/>
        <v>406.50180424165552</v>
      </c>
      <c r="D42" s="16">
        <f>$J$8-Tableau97[[#This Row],[Intérêts ]]</f>
        <v>261.88096565790312</v>
      </c>
      <c r="E42" s="16">
        <f t="shared" si="2"/>
        <v>668.38276989955864</v>
      </c>
      <c r="F42" s="16">
        <f t="shared" si="3"/>
        <v>36.825899999999997</v>
      </c>
      <c r="G42" s="16">
        <f t="shared" si="4"/>
        <v>705.20866989955869</v>
      </c>
    </row>
    <row r="43" spans="1:7" x14ac:dyDescent="0.3">
      <c r="A43" s="5">
        <v>40</v>
      </c>
      <c r="B43" s="16">
        <f t="shared" si="0"/>
        <v>112940.0196847448</v>
      </c>
      <c r="C43" s="16">
        <f t="shared" si="1"/>
        <v>405.56358234159256</v>
      </c>
      <c r="D43" s="16">
        <f>$J$8-Tableau97[[#This Row],[Intérêts ]]</f>
        <v>262.81918755796607</v>
      </c>
      <c r="E43" s="16">
        <f t="shared" si="2"/>
        <v>668.38276989955864</v>
      </c>
      <c r="F43" s="16">
        <f t="shared" si="3"/>
        <v>36.825899999999997</v>
      </c>
      <c r="G43" s="16">
        <f t="shared" si="4"/>
        <v>705.20866989955869</v>
      </c>
    </row>
    <row r="44" spans="1:7" x14ac:dyDescent="0.3">
      <c r="A44" s="5">
        <v>41</v>
      </c>
      <c r="B44" s="16">
        <f t="shared" si="0"/>
        <v>112676.25891398736</v>
      </c>
      <c r="C44" s="16">
        <f t="shared" si="1"/>
        <v>404.62199914212567</v>
      </c>
      <c r="D44" s="16">
        <f>$J$8-Tableau97[[#This Row],[Intérêts ]]</f>
        <v>263.76077075743297</v>
      </c>
      <c r="E44" s="16">
        <f t="shared" si="2"/>
        <v>668.38276989955864</v>
      </c>
      <c r="F44" s="16">
        <f t="shared" si="3"/>
        <v>36.825899999999997</v>
      </c>
      <c r="G44" s="16">
        <f t="shared" si="4"/>
        <v>705.20866989955869</v>
      </c>
    </row>
    <row r="45" spans="1:7" x14ac:dyDescent="0.3">
      <c r="A45" s="5">
        <v>42</v>
      </c>
      <c r="B45" s="16">
        <f t="shared" si="0"/>
        <v>112411.55318668878</v>
      </c>
      <c r="C45" s="16">
        <f t="shared" si="1"/>
        <v>403.67704260097184</v>
      </c>
      <c r="D45" s="16">
        <f>$J$8-Tableau97[[#This Row],[Intérêts ]]</f>
        <v>264.70572729858679</v>
      </c>
      <c r="E45" s="16">
        <f t="shared" si="2"/>
        <v>668.38276989955864</v>
      </c>
      <c r="F45" s="16">
        <f t="shared" si="3"/>
        <v>36.825899999999997</v>
      </c>
      <c r="G45" s="16">
        <f t="shared" si="4"/>
        <v>705.20866989955869</v>
      </c>
    </row>
    <row r="46" spans="1:7" x14ac:dyDescent="0.3">
      <c r="A46" s="5">
        <v>43</v>
      </c>
      <c r="B46" s="16">
        <f t="shared" si="0"/>
        <v>112145.89911742193</v>
      </c>
      <c r="C46" s="16">
        <f t="shared" si="1"/>
        <v>402.72870063270506</v>
      </c>
      <c r="D46" s="16">
        <f>$J$8-Tableau97[[#This Row],[Intérêts ]]</f>
        <v>265.65406926685358</v>
      </c>
      <c r="E46" s="16">
        <f t="shared" si="2"/>
        <v>668.38276989955864</v>
      </c>
      <c r="F46" s="16">
        <f t="shared" si="3"/>
        <v>36.825899999999997</v>
      </c>
      <c r="G46" s="16">
        <f t="shared" si="4"/>
        <v>705.20866989955869</v>
      </c>
    </row>
    <row r="47" spans="1:7" x14ac:dyDescent="0.3">
      <c r="A47" s="5">
        <v>44</v>
      </c>
      <c r="B47" s="16">
        <f t="shared" si="0"/>
        <v>111879.29330863096</v>
      </c>
      <c r="C47" s="16">
        <f t="shared" si="1"/>
        <v>401.7769611086016</v>
      </c>
      <c r="D47" s="16">
        <f>$J$8-Tableau97[[#This Row],[Intérêts ]]</f>
        <v>266.60580879095704</v>
      </c>
      <c r="E47" s="16">
        <f t="shared" si="2"/>
        <v>668.38276989955864</v>
      </c>
      <c r="F47" s="16">
        <f t="shared" si="3"/>
        <v>36.825899999999997</v>
      </c>
      <c r="G47" s="16">
        <f t="shared" si="4"/>
        <v>705.20866989955869</v>
      </c>
    </row>
    <row r="48" spans="1:7" x14ac:dyDescent="0.3">
      <c r="A48" s="5">
        <v>45</v>
      </c>
      <c r="B48" s="16">
        <f t="shared" si="0"/>
        <v>111611.73235058789</v>
      </c>
      <c r="C48" s="16">
        <f t="shared" si="1"/>
        <v>400.82181185648511</v>
      </c>
      <c r="D48" s="16">
        <f>$J$8-Tableau97[[#This Row],[Intérêts ]]</f>
        <v>267.56095804307353</v>
      </c>
      <c r="E48" s="16">
        <f t="shared" si="2"/>
        <v>668.38276989955864</v>
      </c>
      <c r="F48" s="16">
        <f t="shared" si="3"/>
        <v>36.825899999999997</v>
      </c>
      <c r="G48" s="16">
        <f t="shared" si="4"/>
        <v>705.20866989955869</v>
      </c>
    </row>
    <row r="49" spans="1:7" x14ac:dyDescent="0.3">
      <c r="A49" s="5">
        <v>46</v>
      </c>
      <c r="B49" s="16">
        <f t="shared" si="0"/>
        <v>111343.2128213489</v>
      </c>
      <c r="C49" s="16">
        <f t="shared" si="1"/>
        <v>399.86324066057102</v>
      </c>
      <c r="D49" s="16">
        <f>$J$8-Tableau97[[#This Row],[Intérêts ]]</f>
        <v>268.51952923898762</v>
      </c>
      <c r="E49" s="16">
        <f t="shared" si="2"/>
        <v>668.38276989955864</v>
      </c>
      <c r="F49" s="16">
        <f t="shared" si="3"/>
        <v>36.825899999999997</v>
      </c>
      <c r="G49" s="16">
        <f t="shared" si="4"/>
        <v>705.20866989955869</v>
      </c>
    </row>
    <row r="50" spans="1:7" x14ac:dyDescent="0.3">
      <c r="A50" s="5">
        <v>47</v>
      </c>
      <c r="B50" s="16">
        <f t="shared" si="0"/>
        <v>111073.73128671065</v>
      </c>
      <c r="C50" s="16">
        <f t="shared" si="1"/>
        <v>398.90123526130992</v>
      </c>
      <c r="D50" s="16">
        <f>$J$8-Tableau97[[#This Row],[Intérêts ]]</f>
        <v>269.48153463824872</v>
      </c>
      <c r="E50" s="16">
        <f t="shared" si="2"/>
        <v>668.38276989955864</v>
      </c>
      <c r="F50" s="16">
        <f t="shared" si="3"/>
        <v>36.825899999999997</v>
      </c>
      <c r="G50" s="16">
        <f t="shared" si="4"/>
        <v>705.20866989955869</v>
      </c>
    </row>
    <row r="51" spans="1:7" x14ac:dyDescent="0.3">
      <c r="A51" s="5">
        <v>48</v>
      </c>
      <c r="B51" s="16">
        <f t="shared" si="0"/>
        <v>110803.28430016633</v>
      </c>
      <c r="C51" s="16">
        <f t="shared" si="1"/>
        <v>397.93578335523108</v>
      </c>
      <c r="D51" s="16">
        <f>$J$8-Tableau97[[#This Row],[Intérêts ]]</f>
        <v>270.44698654432756</v>
      </c>
      <c r="E51" s="16">
        <f t="shared" si="2"/>
        <v>668.38276989955864</v>
      </c>
      <c r="F51" s="16">
        <f t="shared" si="3"/>
        <v>36.825899999999997</v>
      </c>
      <c r="G51" s="16">
        <f t="shared" si="4"/>
        <v>705.20866989955869</v>
      </c>
    </row>
    <row r="52" spans="1:7" x14ac:dyDescent="0.3">
      <c r="A52" s="5">
        <v>49</v>
      </c>
      <c r="B52" s="16">
        <f t="shared" si="0"/>
        <v>110531.86840286155</v>
      </c>
      <c r="C52" s="16">
        <f t="shared" si="1"/>
        <v>396.96687259478512</v>
      </c>
      <c r="D52" s="16">
        <f>$J$8-Tableau97[[#This Row],[Intérêts ]]</f>
        <v>271.41589730477352</v>
      </c>
      <c r="E52" s="16">
        <f t="shared" si="2"/>
        <v>668.38276989955864</v>
      </c>
      <c r="F52" s="16">
        <f t="shared" si="3"/>
        <v>36.825899999999997</v>
      </c>
      <c r="G52" s="16">
        <f t="shared" si="4"/>
        <v>705.20866989955869</v>
      </c>
    </row>
    <row r="53" spans="1:7" x14ac:dyDescent="0.3">
      <c r="A53" s="5">
        <v>50</v>
      </c>
      <c r="B53" s="16">
        <f t="shared" si="0"/>
        <v>110259.48012355018</v>
      </c>
      <c r="C53" s="16">
        <f t="shared" si="1"/>
        <v>395.99449058818584</v>
      </c>
      <c r="D53" s="16">
        <f>$J$8-Tableau97[[#This Row],[Intérêts ]]</f>
        <v>272.3882793113728</v>
      </c>
      <c r="E53" s="16">
        <f t="shared" si="2"/>
        <v>668.38276989955864</v>
      </c>
      <c r="F53" s="16">
        <f t="shared" si="3"/>
        <v>36.825899999999997</v>
      </c>
      <c r="G53" s="16">
        <f t="shared" si="4"/>
        <v>705.20866989955869</v>
      </c>
    </row>
    <row r="54" spans="1:7" x14ac:dyDescent="0.3">
      <c r="A54" s="5">
        <v>51</v>
      </c>
      <c r="B54" s="16">
        <f t="shared" si="0"/>
        <v>109986.11597854987</v>
      </c>
      <c r="C54" s="16">
        <f t="shared" si="1"/>
        <v>395.01862489925202</v>
      </c>
      <c r="D54" s="16">
        <f>$J$8-Tableau97[[#This Row],[Intérêts ]]</f>
        <v>273.36414500030662</v>
      </c>
      <c r="E54" s="16">
        <f t="shared" si="2"/>
        <v>668.38276989955864</v>
      </c>
      <c r="F54" s="16">
        <f t="shared" si="3"/>
        <v>36.825899999999997</v>
      </c>
      <c r="G54" s="16">
        <f t="shared" si="4"/>
        <v>705.20866989955869</v>
      </c>
    </row>
    <row r="55" spans="1:7" x14ac:dyDescent="0.3">
      <c r="A55" s="5">
        <v>52</v>
      </c>
      <c r="B55" s="16">
        <f t="shared" si="0"/>
        <v>109711.77247169756</v>
      </c>
      <c r="C55" s="16">
        <f t="shared" si="1"/>
        <v>394.0392630472482</v>
      </c>
      <c r="D55" s="16">
        <f>$J$8-Tableau97[[#This Row],[Intérêts ]]</f>
        <v>274.34350685231044</v>
      </c>
      <c r="E55" s="16">
        <f t="shared" si="2"/>
        <v>668.38276989955864</v>
      </c>
      <c r="F55" s="16">
        <f t="shared" si="3"/>
        <v>36.825899999999997</v>
      </c>
      <c r="G55" s="16">
        <f t="shared" si="4"/>
        <v>705.20866989955869</v>
      </c>
    </row>
    <row r="56" spans="1:7" x14ac:dyDescent="0.3">
      <c r="A56" s="5">
        <v>53</v>
      </c>
      <c r="B56" s="16">
        <f t="shared" si="0"/>
        <v>109436.44609430473</v>
      </c>
      <c r="C56" s="16">
        <f t="shared" si="1"/>
        <v>393.05639250672505</v>
      </c>
      <c r="D56" s="16">
        <f>$J$8-Tableau97[[#This Row],[Intérêts ]]</f>
        <v>275.32637739283359</v>
      </c>
      <c r="E56" s="16">
        <f t="shared" si="2"/>
        <v>668.38276989955864</v>
      </c>
      <c r="F56" s="16">
        <f t="shared" si="3"/>
        <v>36.825899999999997</v>
      </c>
      <c r="G56" s="16">
        <f t="shared" si="4"/>
        <v>705.20866989955869</v>
      </c>
    </row>
    <row r="57" spans="1:7" x14ac:dyDescent="0.3">
      <c r="A57" s="5">
        <v>54</v>
      </c>
      <c r="B57" s="16">
        <f t="shared" si="0"/>
        <v>109160.13332511253</v>
      </c>
      <c r="C57" s="16">
        <f t="shared" si="1"/>
        <v>392.07000070735921</v>
      </c>
      <c r="D57" s="16">
        <f>$J$8-Tableau97[[#This Row],[Intérêts ]]</f>
        <v>276.31276919219943</v>
      </c>
      <c r="E57" s="16">
        <f t="shared" si="2"/>
        <v>668.38276989955864</v>
      </c>
      <c r="F57" s="16">
        <f t="shared" si="3"/>
        <v>36.825899999999997</v>
      </c>
      <c r="G57" s="16">
        <f t="shared" si="4"/>
        <v>705.20866989955869</v>
      </c>
    </row>
    <row r="58" spans="1:7" x14ac:dyDescent="0.3">
      <c r="A58" s="5">
        <v>55</v>
      </c>
      <c r="B58" s="16">
        <f t="shared" si="0"/>
        <v>108882.83063024677</v>
      </c>
      <c r="C58" s="16">
        <f t="shared" si="1"/>
        <v>391.08007503379258</v>
      </c>
      <c r="D58" s="16">
        <f>$J$8-Tableau97[[#This Row],[Intérêts ]]</f>
        <v>277.30269486576606</v>
      </c>
      <c r="E58" s="16">
        <f t="shared" si="2"/>
        <v>668.38276989955864</v>
      </c>
      <c r="F58" s="16">
        <f t="shared" si="3"/>
        <v>36.825899999999997</v>
      </c>
      <c r="G58" s="16">
        <f t="shared" si="4"/>
        <v>705.20866989955869</v>
      </c>
    </row>
    <row r="59" spans="1:7" x14ac:dyDescent="0.3">
      <c r="A59" s="5">
        <v>56</v>
      </c>
      <c r="B59" s="16">
        <f t="shared" si="0"/>
        <v>108604.53446317268</v>
      </c>
      <c r="C59" s="16">
        <f t="shared" si="1"/>
        <v>390.08660282547106</v>
      </c>
      <c r="D59" s="16">
        <f>$J$8-Tableau97[[#This Row],[Intérêts ]]</f>
        <v>278.29616707408758</v>
      </c>
      <c r="E59" s="16">
        <f t="shared" si="2"/>
        <v>668.38276989955864</v>
      </c>
      <c r="F59" s="16">
        <f t="shared" si="3"/>
        <v>36.825899999999997</v>
      </c>
      <c r="G59" s="16">
        <f t="shared" si="4"/>
        <v>705.20866989955869</v>
      </c>
    </row>
    <row r="60" spans="1:7" x14ac:dyDescent="0.3">
      <c r="A60" s="5">
        <v>57</v>
      </c>
      <c r="B60" s="16">
        <f t="shared" si="0"/>
        <v>108325.24126464959</v>
      </c>
      <c r="C60" s="16">
        <f t="shared" si="1"/>
        <v>389.08957137648218</v>
      </c>
      <c r="D60" s="16">
        <f>$J$8-Tableau97[[#This Row],[Intérêts ]]</f>
        <v>279.29319852307646</v>
      </c>
      <c r="E60" s="16">
        <f t="shared" si="2"/>
        <v>668.38276989955864</v>
      </c>
      <c r="F60" s="16">
        <f t="shared" si="3"/>
        <v>36.825899999999997</v>
      </c>
      <c r="G60" s="16">
        <f t="shared" si="4"/>
        <v>705.20866989955869</v>
      </c>
    </row>
    <row r="61" spans="1:7" x14ac:dyDescent="0.3">
      <c r="A61" s="5">
        <v>58</v>
      </c>
      <c r="B61" s="16">
        <f t="shared" si="0"/>
        <v>108044.94746268544</v>
      </c>
      <c r="C61" s="16">
        <f t="shared" si="1"/>
        <v>388.08896793539327</v>
      </c>
      <c r="D61" s="16">
        <f>$J$8-Tableau97[[#This Row],[Intérêts ]]</f>
        <v>280.29380196416537</v>
      </c>
      <c r="E61" s="16">
        <f t="shared" si="2"/>
        <v>668.38276989955864</v>
      </c>
      <c r="F61" s="16">
        <f t="shared" si="3"/>
        <v>36.825899999999997</v>
      </c>
      <c r="G61" s="16">
        <f t="shared" si="4"/>
        <v>705.20866989955869</v>
      </c>
    </row>
    <row r="62" spans="1:7" x14ac:dyDescent="0.3">
      <c r="A62" s="5">
        <v>59</v>
      </c>
      <c r="B62" s="16">
        <f t="shared" si="0"/>
        <v>107763.64947249097</v>
      </c>
      <c r="C62" s="16">
        <f t="shared" si="1"/>
        <v>387.08477970508784</v>
      </c>
      <c r="D62" s="16">
        <f>$J$8-Tableau97[[#This Row],[Intérêts ]]</f>
        <v>281.2979901944708</v>
      </c>
      <c r="E62" s="16">
        <f t="shared" si="2"/>
        <v>668.38276989955864</v>
      </c>
      <c r="F62" s="16">
        <f t="shared" si="3"/>
        <v>36.825899999999997</v>
      </c>
      <c r="G62" s="16">
        <f t="shared" si="4"/>
        <v>705.20866989955869</v>
      </c>
    </row>
    <row r="63" spans="1:7" x14ac:dyDescent="0.3">
      <c r="A63" s="5">
        <v>60</v>
      </c>
      <c r="B63" s="16">
        <f t="shared" si="0"/>
        <v>107481.34369643402</v>
      </c>
      <c r="C63" s="16">
        <f t="shared" si="1"/>
        <v>386.07699384260206</v>
      </c>
      <c r="D63" s="16">
        <f>$J$8-Tableau97[[#This Row],[Intérêts ]]</f>
        <v>282.30577605695657</v>
      </c>
      <c r="E63" s="16">
        <f t="shared" si="2"/>
        <v>668.38276989955864</v>
      </c>
      <c r="F63" s="16">
        <f t="shared" si="3"/>
        <v>36.825899999999997</v>
      </c>
      <c r="G63" s="16">
        <f t="shared" si="4"/>
        <v>705.20866989955869</v>
      </c>
    </row>
    <row r="64" spans="1:7" x14ac:dyDescent="0.3">
      <c r="A64" s="5">
        <v>61</v>
      </c>
      <c r="B64" s="16">
        <f t="shared" si="0"/>
        <v>107198.02652399342</v>
      </c>
      <c r="C64" s="16">
        <f t="shared" si="1"/>
        <v>385.06559745896078</v>
      </c>
      <c r="D64" s="16">
        <f>$J$8-Tableau97[[#This Row],[Intérêts ]]</f>
        <v>283.31717244059786</v>
      </c>
      <c r="E64" s="16">
        <f t="shared" si="2"/>
        <v>668.38276989955864</v>
      </c>
      <c r="F64" s="16">
        <f t="shared" si="3"/>
        <v>36.825899999999997</v>
      </c>
      <c r="G64" s="16">
        <f t="shared" si="4"/>
        <v>705.20866989955869</v>
      </c>
    </row>
    <row r="65" spans="1:7" x14ac:dyDescent="0.3">
      <c r="A65" s="5">
        <v>62</v>
      </c>
      <c r="B65" s="16">
        <f t="shared" si="0"/>
        <v>106913.69433171288</v>
      </c>
      <c r="C65" s="16">
        <f t="shared" si="1"/>
        <v>384.05057761901207</v>
      </c>
      <c r="D65" s="16">
        <f>$J$8-Tableau97[[#This Row],[Intérêts ]]</f>
        <v>284.33219228054656</v>
      </c>
      <c r="E65" s="16">
        <f t="shared" si="2"/>
        <v>668.38276989955864</v>
      </c>
      <c r="F65" s="16">
        <f t="shared" si="3"/>
        <v>36.825899999999997</v>
      </c>
      <c r="G65" s="16">
        <f t="shared" si="4"/>
        <v>705.20866989955869</v>
      </c>
    </row>
    <row r="66" spans="1:7" x14ac:dyDescent="0.3">
      <c r="A66" s="5">
        <v>63</v>
      </c>
      <c r="B66" s="16">
        <f t="shared" si="0"/>
        <v>106628.34348315457</v>
      </c>
      <c r="C66" s="16">
        <f t="shared" si="1"/>
        <v>383.03192134126255</v>
      </c>
      <c r="D66" s="16">
        <f>$J$8-Tableau97[[#This Row],[Intérêts ]]</f>
        <v>285.35084855829609</v>
      </c>
      <c r="E66" s="16">
        <f t="shared" si="2"/>
        <v>668.38276989955864</v>
      </c>
      <c r="F66" s="16">
        <f t="shared" si="3"/>
        <v>36.825899999999997</v>
      </c>
      <c r="G66" s="16">
        <f t="shared" si="4"/>
        <v>705.20866989955869</v>
      </c>
    </row>
    <row r="67" spans="1:7" x14ac:dyDescent="0.3">
      <c r="A67" s="5">
        <v>64</v>
      </c>
      <c r="B67" s="16">
        <f t="shared" si="0"/>
        <v>106341.97032885272</v>
      </c>
      <c r="C67" s="16">
        <f t="shared" si="1"/>
        <v>382.00961559771082</v>
      </c>
      <c r="D67" s="16">
        <f>$J$8-Tableau97[[#This Row],[Intérêts ]]</f>
        <v>286.37315430184782</v>
      </c>
      <c r="E67" s="16">
        <f t="shared" si="2"/>
        <v>668.38276989955864</v>
      </c>
      <c r="F67" s="16">
        <f t="shared" si="3"/>
        <v>36.825899999999997</v>
      </c>
      <c r="G67" s="16">
        <f t="shared" si="4"/>
        <v>705.20866989955869</v>
      </c>
    </row>
    <row r="68" spans="1:7" x14ac:dyDescent="0.3">
      <c r="A68" s="5">
        <v>65</v>
      </c>
      <c r="B68" s="16">
        <f t="shared" si="0"/>
        <v>106054.57120626685</v>
      </c>
      <c r="C68" s="16">
        <f t="shared" si="1"/>
        <v>380.98364731368099</v>
      </c>
      <c r="D68" s="16">
        <f>$J$8-Tableau97[[#This Row],[Intérêts ]]</f>
        <v>287.39912258587765</v>
      </c>
      <c r="E68" s="16">
        <f t="shared" si="2"/>
        <v>668.38276989955864</v>
      </c>
      <c r="F68" s="16">
        <f t="shared" si="3"/>
        <v>36.825899999999997</v>
      </c>
      <c r="G68" s="16">
        <f t="shared" si="4"/>
        <v>705.20866989955869</v>
      </c>
    </row>
    <row r="69" spans="1:7" x14ac:dyDescent="0.3">
      <c r="A69" s="5">
        <v>66</v>
      </c>
      <c r="B69" s="16">
        <f t="shared" ref="B69:B132" si="5">B68-D69</f>
        <v>105766.14243973495</v>
      </c>
      <c r="C69" s="16">
        <f t="shared" ref="C69:C132" si="6">B68*$J$4</f>
        <v>379.95400336765556</v>
      </c>
      <c r="D69" s="16">
        <f>$J$8-Tableau97[[#This Row],[Intérêts ]]</f>
        <v>288.42876653190308</v>
      </c>
      <c r="E69" s="16">
        <f t="shared" ref="E69:E132" si="7">$J$8</f>
        <v>668.38276989955864</v>
      </c>
      <c r="F69" s="16">
        <f t="shared" ref="F69:F132" si="8">$J$11/$J$6</f>
        <v>36.825899999999997</v>
      </c>
      <c r="G69" s="16">
        <f t="shared" ref="G69:G132" si="9">IF(E69&lt;&gt;"",E69+F69,"")</f>
        <v>705.20866989955869</v>
      </c>
    </row>
    <row r="70" spans="1:7" x14ac:dyDescent="0.3">
      <c r="A70" s="5">
        <v>67</v>
      </c>
      <c r="B70" s="16">
        <f t="shared" si="5"/>
        <v>105476.68034042649</v>
      </c>
      <c r="C70" s="16">
        <f t="shared" si="6"/>
        <v>378.92067059110747</v>
      </c>
      <c r="D70" s="16">
        <f>$J$8-Tableau97[[#This Row],[Intérêts ]]</f>
        <v>289.46209930845117</v>
      </c>
      <c r="E70" s="16">
        <f t="shared" si="7"/>
        <v>668.38276989955864</v>
      </c>
      <c r="F70" s="16">
        <f t="shared" si="8"/>
        <v>36.825899999999997</v>
      </c>
      <c r="G70" s="16">
        <f t="shared" si="9"/>
        <v>705.20866989955869</v>
      </c>
    </row>
    <row r="71" spans="1:7" x14ac:dyDescent="0.3">
      <c r="A71" s="5">
        <v>68</v>
      </c>
      <c r="B71" s="16">
        <f t="shared" si="5"/>
        <v>105186.18120629527</v>
      </c>
      <c r="C71" s="16">
        <f t="shared" si="6"/>
        <v>377.88363576833171</v>
      </c>
      <c r="D71" s="16">
        <f>$J$8-Tableau97[[#This Row],[Intérêts ]]</f>
        <v>290.49913413122692</v>
      </c>
      <c r="E71" s="16">
        <f t="shared" si="7"/>
        <v>668.38276989955864</v>
      </c>
      <c r="F71" s="16">
        <f t="shared" si="8"/>
        <v>36.825899999999997</v>
      </c>
      <c r="G71" s="16">
        <f t="shared" si="9"/>
        <v>705.20866989955869</v>
      </c>
    </row>
    <row r="72" spans="1:7" x14ac:dyDescent="0.3">
      <c r="A72" s="5">
        <v>69</v>
      </c>
      <c r="B72" s="16">
        <f t="shared" si="5"/>
        <v>104894.64132203198</v>
      </c>
      <c r="C72" s="16">
        <f t="shared" si="6"/>
        <v>376.84288563627632</v>
      </c>
      <c r="D72" s="16">
        <f>$J$8-Tableau97[[#This Row],[Intérêts ]]</f>
        <v>291.53988426328232</v>
      </c>
      <c r="E72" s="16">
        <f t="shared" si="7"/>
        <v>668.38276989955864</v>
      </c>
      <c r="F72" s="16">
        <f t="shared" si="8"/>
        <v>36.825899999999997</v>
      </c>
      <c r="G72" s="16">
        <f t="shared" si="9"/>
        <v>705.20866989955869</v>
      </c>
    </row>
    <row r="73" spans="1:7" x14ac:dyDescent="0.3">
      <c r="A73" s="5">
        <v>70</v>
      </c>
      <c r="B73" s="16">
        <f t="shared" si="5"/>
        <v>104602.0569590168</v>
      </c>
      <c r="C73" s="16">
        <f t="shared" si="6"/>
        <v>375.79840688437287</v>
      </c>
      <c r="D73" s="16">
        <f>$J$8-Tableau97[[#This Row],[Intérêts ]]</f>
        <v>292.58436301518577</v>
      </c>
      <c r="E73" s="16">
        <f t="shared" si="7"/>
        <v>668.38276989955864</v>
      </c>
      <c r="F73" s="16">
        <f t="shared" si="8"/>
        <v>36.825899999999997</v>
      </c>
      <c r="G73" s="16">
        <f t="shared" si="9"/>
        <v>705.20866989955869</v>
      </c>
    </row>
    <row r="74" spans="1:7" x14ac:dyDescent="0.3">
      <c r="A74" s="5">
        <v>71</v>
      </c>
      <c r="B74" s="16">
        <f t="shared" si="5"/>
        <v>104308.42437527161</v>
      </c>
      <c r="C74" s="16">
        <f t="shared" si="6"/>
        <v>374.75018615436608</v>
      </c>
      <c r="D74" s="16">
        <f>$J$8-Tableau97[[#This Row],[Intérêts ]]</f>
        <v>293.63258374519256</v>
      </c>
      <c r="E74" s="16">
        <f t="shared" si="7"/>
        <v>668.38276989955864</v>
      </c>
      <c r="F74" s="16">
        <f t="shared" si="8"/>
        <v>36.825899999999997</v>
      </c>
      <c r="G74" s="16">
        <f t="shared" si="9"/>
        <v>705.20866989955869</v>
      </c>
    </row>
    <row r="75" spans="1:7" x14ac:dyDescent="0.3">
      <c r="A75" s="5">
        <v>72</v>
      </c>
      <c r="B75" s="16">
        <f t="shared" si="5"/>
        <v>104013.73981541219</v>
      </c>
      <c r="C75" s="16">
        <f t="shared" si="6"/>
        <v>373.6982100401429</v>
      </c>
      <c r="D75" s="16">
        <f>$J$8-Tableau97[[#This Row],[Intérêts ]]</f>
        <v>294.68455985941574</v>
      </c>
      <c r="E75" s="16">
        <f t="shared" si="7"/>
        <v>668.38276989955864</v>
      </c>
      <c r="F75" s="16">
        <f t="shared" si="8"/>
        <v>36.825899999999997</v>
      </c>
      <c r="G75" s="16">
        <f t="shared" si="9"/>
        <v>705.20866989955869</v>
      </c>
    </row>
    <row r="76" spans="1:7" x14ac:dyDescent="0.3">
      <c r="A76" s="5">
        <v>73</v>
      </c>
      <c r="B76" s="16">
        <f t="shared" si="5"/>
        <v>103717.99951060019</v>
      </c>
      <c r="C76" s="16">
        <f t="shared" si="6"/>
        <v>372.64246508756128</v>
      </c>
      <c r="D76" s="16">
        <f>$J$8-Tableau97[[#This Row],[Intérêts ]]</f>
        <v>295.74030481199736</v>
      </c>
      <c r="E76" s="16">
        <f t="shared" si="7"/>
        <v>668.38276989955864</v>
      </c>
      <c r="F76" s="16">
        <f t="shared" si="8"/>
        <v>36.825899999999997</v>
      </c>
      <c r="G76" s="16">
        <f t="shared" si="9"/>
        <v>705.20866989955869</v>
      </c>
    </row>
    <row r="77" spans="1:7" x14ac:dyDescent="0.3">
      <c r="A77" s="5">
        <v>74</v>
      </c>
      <c r="B77" s="16">
        <f t="shared" si="5"/>
        <v>103421.1996784949</v>
      </c>
      <c r="C77" s="16">
        <f t="shared" si="6"/>
        <v>371.58293779427805</v>
      </c>
      <c r="D77" s="16">
        <f>$J$8-Tableau97[[#This Row],[Intérêts ]]</f>
        <v>296.79983210528059</v>
      </c>
      <c r="E77" s="16">
        <f t="shared" si="7"/>
        <v>668.38276989955864</v>
      </c>
      <c r="F77" s="16">
        <f t="shared" si="8"/>
        <v>36.825899999999997</v>
      </c>
      <c r="G77" s="16">
        <f t="shared" si="9"/>
        <v>705.20866989955869</v>
      </c>
    </row>
    <row r="78" spans="1:7" x14ac:dyDescent="0.3">
      <c r="A78" s="5">
        <v>75</v>
      </c>
      <c r="B78" s="16">
        <f t="shared" si="5"/>
        <v>103123.33652320491</v>
      </c>
      <c r="C78" s="16">
        <f t="shared" si="6"/>
        <v>370.51961460957602</v>
      </c>
      <c r="D78" s="16">
        <f>$J$8-Tableau97[[#This Row],[Intérêts ]]</f>
        <v>297.86315528998261</v>
      </c>
      <c r="E78" s="16">
        <f t="shared" si="7"/>
        <v>668.38276989955864</v>
      </c>
      <c r="F78" s="16">
        <f t="shared" si="8"/>
        <v>36.825899999999997</v>
      </c>
      <c r="G78" s="16">
        <f t="shared" si="9"/>
        <v>705.20866989955869</v>
      </c>
    </row>
    <row r="79" spans="1:7" x14ac:dyDescent="0.3">
      <c r="A79" s="5">
        <v>76</v>
      </c>
      <c r="B79" s="16">
        <f t="shared" si="5"/>
        <v>102824.40623523954</v>
      </c>
      <c r="C79" s="16">
        <f t="shared" si="6"/>
        <v>369.45248193419104</v>
      </c>
      <c r="D79" s="16">
        <f>$J$8-Tableau97[[#This Row],[Intérêts ]]</f>
        <v>298.9302879653676</v>
      </c>
      <c r="E79" s="16">
        <f t="shared" si="7"/>
        <v>668.38276989955864</v>
      </c>
      <c r="F79" s="16">
        <f t="shared" si="8"/>
        <v>36.825899999999997</v>
      </c>
      <c r="G79" s="16">
        <f t="shared" si="9"/>
        <v>705.20866989955869</v>
      </c>
    </row>
    <row r="80" spans="1:7" x14ac:dyDescent="0.3">
      <c r="A80" s="5">
        <v>77</v>
      </c>
      <c r="B80" s="16">
        <f t="shared" si="5"/>
        <v>102524.40499146012</v>
      </c>
      <c r="C80" s="16">
        <f t="shared" si="6"/>
        <v>368.38152612013766</v>
      </c>
      <c r="D80" s="16">
        <f>$J$8-Tableau97[[#This Row],[Intérêts ]]</f>
        <v>300.00124377942097</v>
      </c>
      <c r="E80" s="16">
        <f t="shared" si="7"/>
        <v>668.38276989955864</v>
      </c>
      <c r="F80" s="16">
        <f t="shared" si="8"/>
        <v>36.825899999999997</v>
      </c>
      <c r="G80" s="16">
        <f t="shared" si="9"/>
        <v>705.20866989955869</v>
      </c>
    </row>
    <row r="81" spans="1:7" x14ac:dyDescent="0.3">
      <c r="A81" s="5">
        <v>78</v>
      </c>
      <c r="B81" s="16">
        <f t="shared" si="5"/>
        <v>102223.3289550311</v>
      </c>
      <c r="C81" s="16">
        <f t="shared" si="6"/>
        <v>367.30673347053494</v>
      </c>
      <c r="D81" s="16">
        <f>$J$8-Tableau97[[#This Row],[Intérêts ]]</f>
        <v>301.0760364290237</v>
      </c>
      <c r="E81" s="16">
        <f t="shared" si="7"/>
        <v>668.38276989955864</v>
      </c>
      <c r="F81" s="16">
        <f t="shared" si="8"/>
        <v>36.825899999999997</v>
      </c>
      <c r="G81" s="16">
        <f t="shared" si="9"/>
        <v>705.20866989955869</v>
      </c>
    </row>
    <row r="82" spans="1:7" x14ac:dyDescent="0.3">
      <c r="A82" s="5">
        <v>79</v>
      </c>
      <c r="B82" s="16">
        <f t="shared" si="5"/>
        <v>101921.17427537097</v>
      </c>
      <c r="C82" s="16">
        <f t="shared" si="6"/>
        <v>366.22809023943097</v>
      </c>
      <c r="D82" s="16">
        <f>$J$8-Tableau97[[#This Row],[Intérêts ]]</f>
        <v>302.15467966012767</v>
      </c>
      <c r="E82" s="16">
        <f t="shared" si="7"/>
        <v>668.38276989955864</v>
      </c>
      <c r="F82" s="16">
        <f t="shared" si="8"/>
        <v>36.825899999999997</v>
      </c>
      <c r="G82" s="16">
        <f t="shared" si="9"/>
        <v>705.20866989955869</v>
      </c>
    </row>
    <row r="83" spans="1:7" x14ac:dyDescent="0.3">
      <c r="A83" s="5">
        <v>80</v>
      </c>
      <c r="B83" s="16">
        <f t="shared" si="5"/>
        <v>101617.93708810303</v>
      </c>
      <c r="C83" s="16">
        <f t="shared" si="6"/>
        <v>365.14558263162729</v>
      </c>
      <c r="D83" s="16">
        <f>$J$8-Tableau97[[#This Row],[Intérêts ]]</f>
        <v>303.23718726793135</v>
      </c>
      <c r="E83" s="16">
        <f t="shared" si="7"/>
        <v>668.38276989955864</v>
      </c>
      <c r="F83" s="16">
        <f t="shared" si="8"/>
        <v>36.825899999999997</v>
      </c>
      <c r="G83" s="16">
        <f t="shared" si="9"/>
        <v>705.20866989955869</v>
      </c>
    </row>
    <row r="84" spans="1:7" x14ac:dyDescent="0.3">
      <c r="A84" s="5">
        <v>81</v>
      </c>
      <c r="B84" s="16">
        <f t="shared" si="5"/>
        <v>101313.61351500597</v>
      </c>
      <c r="C84" s="16">
        <f t="shared" si="6"/>
        <v>364.05919680250247</v>
      </c>
      <c r="D84" s="16">
        <f>$J$8-Tableau97[[#This Row],[Intérêts ]]</f>
        <v>304.32357309705617</v>
      </c>
      <c r="E84" s="16">
        <f t="shared" si="7"/>
        <v>668.38276989955864</v>
      </c>
      <c r="F84" s="16">
        <f t="shared" si="8"/>
        <v>36.825899999999997</v>
      </c>
      <c r="G84" s="16">
        <f t="shared" si="9"/>
        <v>705.20866989955869</v>
      </c>
    </row>
    <row r="85" spans="1:7" x14ac:dyDescent="0.3">
      <c r="A85" s="5">
        <v>82</v>
      </c>
      <c r="B85" s="16">
        <f t="shared" si="5"/>
        <v>101008.19966396425</v>
      </c>
      <c r="C85" s="16">
        <f t="shared" si="6"/>
        <v>362.96891885783481</v>
      </c>
      <c r="D85" s="16">
        <f>$J$8-Tableau97[[#This Row],[Intérêts ]]</f>
        <v>305.41385104172383</v>
      </c>
      <c r="E85" s="16">
        <f t="shared" si="7"/>
        <v>668.38276989955864</v>
      </c>
      <c r="F85" s="16">
        <f t="shared" si="8"/>
        <v>36.825899999999997</v>
      </c>
      <c r="G85" s="16">
        <f t="shared" si="9"/>
        <v>705.20866989955869</v>
      </c>
    </row>
    <row r="86" spans="1:7" x14ac:dyDescent="0.3">
      <c r="A86" s="5">
        <v>83</v>
      </c>
      <c r="B86" s="16">
        <f t="shared" si="5"/>
        <v>100701.69162891831</v>
      </c>
      <c r="C86" s="16">
        <f t="shared" si="6"/>
        <v>361.87473485362489</v>
      </c>
      <c r="D86" s="16">
        <f>$J$8-Tableau97[[#This Row],[Intérêts ]]</f>
        <v>306.50803504593375</v>
      </c>
      <c r="E86" s="16">
        <f t="shared" si="7"/>
        <v>668.38276989955864</v>
      </c>
      <c r="F86" s="16">
        <f t="shared" si="8"/>
        <v>36.825899999999997</v>
      </c>
      <c r="G86" s="16">
        <f t="shared" si="9"/>
        <v>705.20866989955869</v>
      </c>
    </row>
    <row r="87" spans="1:7" x14ac:dyDescent="0.3">
      <c r="A87" s="5">
        <v>84</v>
      </c>
      <c r="B87" s="16">
        <f t="shared" si="5"/>
        <v>100394.08548981468</v>
      </c>
      <c r="C87" s="16">
        <f t="shared" si="6"/>
        <v>360.77663079591719</v>
      </c>
      <c r="D87" s="16">
        <f>$J$8-Tableau97[[#This Row],[Intérêts ]]</f>
        <v>307.60613910364145</v>
      </c>
      <c r="E87" s="16">
        <f t="shared" si="7"/>
        <v>668.38276989955864</v>
      </c>
      <c r="F87" s="16">
        <f t="shared" si="8"/>
        <v>36.825899999999997</v>
      </c>
      <c r="G87" s="16">
        <f t="shared" si="9"/>
        <v>705.20866989955869</v>
      </c>
    </row>
    <row r="88" spans="1:7" x14ac:dyDescent="0.3">
      <c r="A88" s="5">
        <v>85</v>
      </c>
      <c r="B88" s="16">
        <f t="shared" si="5"/>
        <v>100085.37731255573</v>
      </c>
      <c r="C88" s="16">
        <f t="shared" si="6"/>
        <v>359.67459264062086</v>
      </c>
      <c r="D88" s="16">
        <f>$J$8-Tableau97[[#This Row],[Intérêts ]]</f>
        <v>308.70817725893778</v>
      </c>
      <c r="E88" s="16">
        <f t="shared" si="7"/>
        <v>668.38276989955864</v>
      </c>
      <c r="F88" s="16">
        <f t="shared" si="8"/>
        <v>36.825899999999997</v>
      </c>
      <c r="G88" s="16">
        <f t="shared" si="9"/>
        <v>705.20866989955869</v>
      </c>
    </row>
    <row r="89" spans="1:7" x14ac:dyDescent="0.3">
      <c r="A89" s="5">
        <v>86</v>
      </c>
      <c r="B89" s="16">
        <f t="shared" si="5"/>
        <v>99775.563148949514</v>
      </c>
      <c r="C89" s="16">
        <f t="shared" si="6"/>
        <v>358.5686062933305</v>
      </c>
      <c r="D89" s="16">
        <f>$J$8-Tableau97[[#This Row],[Intérêts ]]</f>
        <v>309.81416360622813</v>
      </c>
      <c r="E89" s="16">
        <f t="shared" si="7"/>
        <v>668.38276989955864</v>
      </c>
      <c r="F89" s="16">
        <f t="shared" si="8"/>
        <v>36.825899999999997</v>
      </c>
      <c r="G89" s="16">
        <f t="shared" si="9"/>
        <v>705.20866989955869</v>
      </c>
    </row>
    <row r="90" spans="1:7" x14ac:dyDescent="0.3">
      <c r="A90" s="5">
        <v>87</v>
      </c>
      <c r="B90" s="16">
        <f t="shared" si="5"/>
        <v>99464.639036659108</v>
      </c>
      <c r="C90" s="16">
        <f t="shared" si="6"/>
        <v>357.45865760914563</v>
      </c>
      <c r="D90" s="16">
        <f>$J$8-Tableau97[[#This Row],[Intérêts ]]</f>
        <v>310.92411229041301</v>
      </c>
      <c r="E90" s="16">
        <f t="shared" si="7"/>
        <v>668.38276989955864</v>
      </c>
      <c r="F90" s="16">
        <f t="shared" si="8"/>
        <v>36.825899999999997</v>
      </c>
      <c r="G90" s="16">
        <f t="shared" si="9"/>
        <v>705.20866989955869</v>
      </c>
    </row>
    <row r="91" spans="1:7" x14ac:dyDescent="0.3">
      <c r="A91" s="5">
        <v>88</v>
      </c>
      <c r="B91" s="16">
        <f t="shared" si="5"/>
        <v>99152.60099915204</v>
      </c>
      <c r="C91" s="16">
        <f t="shared" si="6"/>
        <v>356.34473239248985</v>
      </c>
      <c r="D91" s="16">
        <f>$J$8-Tableau97[[#This Row],[Intérêts ]]</f>
        <v>312.03803750706879</v>
      </c>
      <c r="E91" s="16">
        <f t="shared" si="7"/>
        <v>668.38276989955864</v>
      </c>
      <c r="F91" s="16">
        <f t="shared" si="8"/>
        <v>36.825899999999997</v>
      </c>
      <c r="G91" s="16">
        <f t="shared" si="9"/>
        <v>705.20866989955869</v>
      </c>
    </row>
    <row r="92" spans="1:7" x14ac:dyDescent="0.3">
      <c r="A92" s="5">
        <v>89</v>
      </c>
      <c r="B92" s="16">
        <f t="shared" si="5"/>
        <v>98839.445045649409</v>
      </c>
      <c r="C92" s="16">
        <f t="shared" si="6"/>
        <v>355.22681639692934</v>
      </c>
      <c r="D92" s="16">
        <f>$J$8-Tableau97[[#This Row],[Intérêts ]]</f>
        <v>313.1559535026293</v>
      </c>
      <c r="E92" s="16">
        <f t="shared" si="7"/>
        <v>668.38276989955864</v>
      </c>
      <c r="F92" s="16">
        <f t="shared" si="8"/>
        <v>36.825899999999997</v>
      </c>
      <c r="G92" s="16">
        <f t="shared" si="9"/>
        <v>705.20866989955869</v>
      </c>
    </row>
    <row r="93" spans="1:7" x14ac:dyDescent="0.3">
      <c r="A93" s="5">
        <v>90</v>
      </c>
      <c r="B93" s="16">
        <f t="shared" si="5"/>
        <v>98525.167171074834</v>
      </c>
      <c r="C93" s="16">
        <f t="shared" si="6"/>
        <v>354.10489532499059</v>
      </c>
      <c r="D93" s="16">
        <f>$J$8-Tableau97[[#This Row],[Intérêts ]]</f>
        <v>314.27787457456805</v>
      </c>
      <c r="E93" s="16">
        <f t="shared" si="7"/>
        <v>668.38276989955864</v>
      </c>
      <c r="F93" s="16">
        <f t="shared" si="8"/>
        <v>36.825899999999997</v>
      </c>
      <c r="G93" s="16">
        <f t="shared" si="9"/>
        <v>705.20866989955869</v>
      </c>
    </row>
    <row r="94" spans="1:7" x14ac:dyDescent="0.3">
      <c r="A94" s="5">
        <v>91</v>
      </c>
      <c r="B94" s="16">
        <f t="shared" si="5"/>
        <v>98209.763356003255</v>
      </c>
      <c r="C94" s="16">
        <f t="shared" si="6"/>
        <v>352.97895482797759</v>
      </c>
      <c r="D94" s="16">
        <f>$J$8-Tableau97[[#This Row],[Intérêts ]]</f>
        <v>315.40381507158105</v>
      </c>
      <c r="E94" s="16">
        <f t="shared" si="7"/>
        <v>668.38276989955864</v>
      </c>
      <c r="F94" s="16">
        <f t="shared" si="8"/>
        <v>36.825899999999997</v>
      </c>
      <c r="G94" s="16">
        <f t="shared" si="9"/>
        <v>705.20866989955869</v>
      </c>
    </row>
    <row r="95" spans="1:7" x14ac:dyDescent="0.3">
      <c r="A95" s="5">
        <v>92</v>
      </c>
      <c r="B95" s="16">
        <f t="shared" si="5"/>
        <v>97893.229566609487</v>
      </c>
      <c r="C95" s="16">
        <f t="shared" si="6"/>
        <v>351.84898050578829</v>
      </c>
      <c r="D95" s="16">
        <f>$J$8-Tableau97[[#This Row],[Intérêts ]]</f>
        <v>316.53378939377035</v>
      </c>
      <c r="E95" s="16">
        <f t="shared" si="7"/>
        <v>668.38276989955864</v>
      </c>
      <c r="F95" s="16">
        <f t="shared" si="8"/>
        <v>36.825899999999997</v>
      </c>
      <c r="G95" s="16">
        <f t="shared" si="9"/>
        <v>705.20866989955869</v>
      </c>
    </row>
    <row r="96" spans="1:7" x14ac:dyDescent="0.3">
      <c r="A96" s="5">
        <v>93</v>
      </c>
      <c r="B96" s="16">
        <f t="shared" si="5"/>
        <v>97575.561754616661</v>
      </c>
      <c r="C96" s="16">
        <f t="shared" si="6"/>
        <v>350.71495790673043</v>
      </c>
      <c r="D96" s="16">
        <f>$J$8-Tableau97[[#This Row],[Intérêts ]]</f>
        <v>317.66781199282821</v>
      </c>
      <c r="E96" s="16">
        <f t="shared" si="7"/>
        <v>668.38276989955864</v>
      </c>
      <c r="F96" s="16">
        <f t="shared" si="8"/>
        <v>36.825899999999997</v>
      </c>
      <c r="G96" s="16">
        <f t="shared" si="9"/>
        <v>705.20866989955869</v>
      </c>
    </row>
    <row r="97" spans="1:7" x14ac:dyDescent="0.3">
      <c r="A97" s="5">
        <v>94</v>
      </c>
      <c r="B97" s="16">
        <f t="shared" si="5"/>
        <v>97256.75585724444</v>
      </c>
      <c r="C97" s="16">
        <f t="shared" si="6"/>
        <v>349.57687252733677</v>
      </c>
      <c r="D97" s="16">
        <f>$J$8-Tableau97[[#This Row],[Intérêts ]]</f>
        <v>318.80589737222186</v>
      </c>
      <c r="E97" s="16">
        <f t="shared" si="7"/>
        <v>668.38276989955864</v>
      </c>
      <c r="F97" s="16">
        <f t="shared" si="8"/>
        <v>36.825899999999997</v>
      </c>
      <c r="G97" s="16">
        <f t="shared" si="9"/>
        <v>705.20866989955869</v>
      </c>
    </row>
    <row r="98" spans="1:7" x14ac:dyDescent="0.3">
      <c r="A98" s="5">
        <v>95</v>
      </c>
      <c r="B98" s="16">
        <f t="shared" si="5"/>
        <v>96936.80779715706</v>
      </c>
      <c r="C98" s="16">
        <f t="shared" si="6"/>
        <v>348.43470981217945</v>
      </c>
      <c r="D98" s="16">
        <f>$J$8-Tableau97[[#This Row],[Intérêts ]]</f>
        <v>319.94806008737919</v>
      </c>
      <c r="E98" s="16">
        <f t="shared" si="7"/>
        <v>668.38276989955864</v>
      </c>
      <c r="F98" s="16">
        <f t="shared" si="8"/>
        <v>36.825899999999997</v>
      </c>
      <c r="G98" s="16">
        <f t="shared" si="9"/>
        <v>705.20866989955869</v>
      </c>
    </row>
    <row r="99" spans="1:7" x14ac:dyDescent="0.3">
      <c r="A99" s="5">
        <v>96</v>
      </c>
      <c r="B99" s="16">
        <f t="shared" si="5"/>
        <v>96615.713482411185</v>
      </c>
      <c r="C99" s="16">
        <f t="shared" si="6"/>
        <v>347.28845515368403</v>
      </c>
      <c r="D99" s="16">
        <f>$J$8-Tableau97[[#This Row],[Intérêts ]]</f>
        <v>321.09431474587461</v>
      </c>
      <c r="E99" s="16">
        <f t="shared" si="7"/>
        <v>668.38276989955864</v>
      </c>
      <c r="F99" s="16">
        <f t="shared" si="8"/>
        <v>36.825899999999997</v>
      </c>
      <c r="G99" s="16">
        <f t="shared" si="9"/>
        <v>705.20866989955869</v>
      </c>
    </row>
    <row r="100" spans="1:7" x14ac:dyDescent="0.3">
      <c r="A100" s="5">
        <v>97</v>
      </c>
      <c r="B100" s="16">
        <f t="shared" si="5"/>
        <v>96293.468806403573</v>
      </c>
      <c r="C100" s="16">
        <f t="shared" si="6"/>
        <v>346.13809389194262</v>
      </c>
      <c r="D100" s="16">
        <f>$J$8-Tableau97[[#This Row],[Intérêts ]]</f>
        <v>322.24467600761602</v>
      </c>
      <c r="E100" s="16">
        <f t="shared" si="7"/>
        <v>668.38276989955864</v>
      </c>
      <c r="F100" s="16">
        <f t="shared" si="8"/>
        <v>36.825899999999997</v>
      </c>
      <c r="G100" s="16">
        <f t="shared" si="9"/>
        <v>705.20866989955869</v>
      </c>
    </row>
    <row r="101" spans="1:7" x14ac:dyDescent="0.3">
      <c r="A101" s="5">
        <v>98</v>
      </c>
      <c r="B101" s="16">
        <f t="shared" si="5"/>
        <v>95970.069647818542</v>
      </c>
      <c r="C101" s="16">
        <f t="shared" si="6"/>
        <v>344.98361131452617</v>
      </c>
      <c r="D101" s="16">
        <f>$J$8-Tableau97[[#This Row],[Intérêts ]]</f>
        <v>323.39915858503247</v>
      </c>
      <c r="E101" s="16">
        <f t="shared" si="7"/>
        <v>668.38276989955864</v>
      </c>
      <c r="F101" s="16">
        <f t="shared" si="8"/>
        <v>36.825899999999997</v>
      </c>
      <c r="G101" s="16">
        <f t="shared" si="9"/>
        <v>705.20866989955869</v>
      </c>
    </row>
    <row r="102" spans="1:7" x14ac:dyDescent="0.3">
      <c r="A102" s="5">
        <v>99</v>
      </c>
      <c r="B102" s="16">
        <f t="shared" si="5"/>
        <v>95645.511870575283</v>
      </c>
      <c r="C102" s="16">
        <f t="shared" si="6"/>
        <v>343.82499265629662</v>
      </c>
      <c r="D102" s="16">
        <f>$J$8-Tableau97[[#This Row],[Intérêts ]]</f>
        <v>324.55777724326202</v>
      </c>
      <c r="E102" s="16">
        <f t="shared" si="7"/>
        <v>668.38276989955864</v>
      </c>
      <c r="F102" s="16">
        <f t="shared" si="8"/>
        <v>36.825899999999997</v>
      </c>
      <c r="G102" s="16">
        <f t="shared" si="9"/>
        <v>705.20866989955869</v>
      </c>
    </row>
    <row r="103" spans="1:7" x14ac:dyDescent="0.3">
      <c r="A103" s="5">
        <v>100</v>
      </c>
      <c r="B103" s="16">
        <f t="shared" si="5"/>
        <v>95319.791323774945</v>
      </c>
      <c r="C103" s="16">
        <f t="shared" si="6"/>
        <v>342.6622230992179</v>
      </c>
      <c r="D103" s="16">
        <f>$J$8-Tableau97[[#This Row],[Intérêts ]]</f>
        <v>325.72054680034074</v>
      </c>
      <c r="E103" s="16">
        <f t="shared" si="7"/>
        <v>668.38276989955864</v>
      </c>
      <c r="F103" s="16">
        <f t="shared" si="8"/>
        <v>36.825899999999997</v>
      </c>
      <c r="G103" s="16">
        <f t="shared" si="9"/>
        <v>705.20866989955869</v>
      </c>
    </row>
    <row r="104" spans="1:7" x14ac:dyDescent="0.3">
      <c r="A104" s="5">
        <v>101</v>
      </c>
      <c r="B104" s="16">
        <f t="shared" si="5"/>
        <v>94992.903841647552</v>
      </c>
      <c r="C104" s="16">
        <f t="shared" si="6"/>
        <v>341.49528777216642</v>
      </c>
      <c r="D104" s="16">
        <f>$J$8-Tableau97[[#This Row],[Intérêts ]]</f>
        <v>326.88748212739222</v>
      </c>
      <c r="E104" s="16">
        <f t="shared" si="7"/>
        <v>668.38276989955864</v>
      </c>
      <c r="F104" s="16">
        <f t="shared" si="8"/>
        <v>36.825899999999997</v>
      </c>
      <c r="G104" s="16">
        <f t="shared" si="9"/>
        <v>705.20866989955869</v>
      </c>
    </row>
    <row r="105" spans="1:7" x14ac:dyDescent="0.3">
      <c r="A105" s="5">
        <v>102</v>
      </c>
      <c r="B105" s="16">
        <f t="shared" si="5"/>
        <v>94664.845243498741</v>
      </c>
      <c r="C105" s="16">
        <f t="shared" si="6"/>
        <v>340.3241717507409</v>
      </c>
      <c r="D105" s="16">
        <f>$J$8-Tableau97[[#This Row],[Intérêts ]]</f>
        <v>328.05859814881774</v>
      </c>
      <c r="E105" s="16">
        <f t="shared" si="7"/>
        <v>668.38276989955864</v>
      </c>
      <c r="F105" s="16">
        <f t="shared" si="8"/>
        <v>36.825899999999997</v>
      </c>
      <c r="G105" s="16">
        <f t="shared" si="9"/>
        <v>705.20866989955869</v>
      </c>
    </row>
    <row r="106" spans="1:7" x14ac:dyDescent="0.3">
      <c r="A106" s="5">
        <v>103</v>
      </c>
      <c r="B106" s="16">
        <f t="shared" si="5"/>
        <v>94335.611333656256</v>
      </c>
      <c r="C106" s="16">
        <f t="shared" si="6"/>
        <v>339.14886005707149</v>
      </c>
      <c r="D106" s="16">
        <f>$J$8-Tableau97[[#This Row],[Intérêts ]]</f>
        <v>329.23390984248715</v>
      </c>
      <c r="E106" s="16">
        <f t="shared" si="7"/>
        <v>668.38276989955864</v>
      </c>
      <c r="F106" s="16">
        <f t="shared" si="8"/>
        <v>36.825899999999997</v>
      </c>
      <c r="G106" s="16">
        <f t="shared" si="9"/>
        <v>705.20866989955869</v>
      </c>
    </row>
    <row r="107" spans="1:7" x14ac:dyDescent="0.3">
      <c r="A107" s="5">
        <v>104</v>
      </c>
      <c r="B107" s="16">
        <f t="shared" si="5"/>
        <v>94005.197901416323</v>
      </c>
      <c r="C107" s="16">
        <f t="shared" si="6"/>
        <v>337.96933765962814</v>
      </c>
      <c r="D107" s="16">
        <f>$J$8-Tableau97[[#This Row],[Intérêts ]]</f>
        <v>330.4134322399305</v>
      </c>
      <c r="E107" s="16">
        <f t="shared" si="7"/>
        <v>668.38276989955864</v>
      </c>
      <c r="F107" s="16">
        <f t="shared" si="8"/>
        <v>36.825899999999997</v>
      </c>
      <c r="G107" s="16">
        <f t="shared" si="9"/>
        <v>705.20866989955869</v>
      </c>
    </row>
    <row r="108" spans="1:7" x14ac:dyDescent="0.3">
      <c r="A108" s="5">
        <v>105</v>
      </c>
      <c r="B108" s="16">
        <f t="shared" si="5"/>
        <v>93673.600720989794</v>
      </c>
      <c r="C108" s="16">
        <f t="shared" si="6"/>
        <v>336.78558947302861</v>
      </c>
      <c r="D108" s="16">
        <f>$J$8-Tableau97[[#This Row],[Intérêts ]]</f>
        <v>331.59718042653003</v>
      </c>
      <c r="E108" s="16">
        <f t="shared" si="7"/>
        <v>668.38276989955864</v>
      </c>
      <c r="F108" s="16">
        <f t="shared" si="8"/>
        <v>36.825899999999997</v>
      </c>
      <c r="G108" s="16">
        <f t="shared" si="9"/>
        <v>705.20866989955869</v>
      </c>
    </row>
    <row r="109" spans="1:7" x14ac:dyDescent="0.3">
      <c r="A109" s="5">
        <v>106</v>
      </c>
      <c r="B109" s="16">
        <f t="shared" si="5"/>
        <v>93340.815551448075</v>
      </c>
      <c r="C109" s="16">
        <f t="shared" si="6"/>
        <v>335.59760035784524</v>
      </c>
      <c r="D109" s="16">
        <f>$J$8-Tableau97[[#This Row],[Intérêts ]]</f>
        <v>332.7851695417134</v>
      </c>
      <c r="E109" s="16">
        <f t="shared" si="7"/>
        <v>668.38276989955864</v>
      </c>
      <c r="F109" s="16">
        <f t="shared" si="8"/>
        <v>36.825899999999997</v>
      </c>
      <c r="G109" s="16">
        <f t="shared" si="9"/>
        <v>705.20866989955869</v>
      </c>
    </row>
    <row r="110" spans="1:7" x14ac:dyDescent="0.3">
      <c r="A110" s="5">
        <v>107</v>
      </c>
      <c r="B110" s="16">
        <f t="shared" si="5"/>
        <v>93006.838136668928</v>
      </c>
      <c r="C110" s="16">
        <f t="shared" si="6"/>
        <v>334.4053551204114</v>
      </c>
      <c r="D110" s="16">
        <f>$J$8-Tableau97[[#This Row],[Intérêts ]]</f>
        <v>333.97741477914724</v>
      </c>
      <c r="E110" s="16">
        <f t="shared" si="7"/>
        <v>668.38276989955864</v>
      </c>
      <c r="F110" s="16">
        <f t="shared" si="8"/>
        <v>36.825899999999997</v>
      </c>
      <c r="G110" s="16">
        <f t="shared" si="9"/>
        <v>705.20866989955869</v>
      </c>
    </row>
    <row r="111" spans="1:7" x14ac:dyDescent="0.3">
      <c r="A111" s="5">
        <v>108</v>
      </c>
      <c r="B111" s="16">
        <f t="shared" si="5"/>
        <v>92671.664205281995</v>
      </c>
      <c r="C111" s="16">
        <f t="shared" si="6"/>
        <v>333.20883851262732</v>
      </c>
      <c r="D111" s="16">
        <f>$J$8-Tableau97[[#This Row],[Intérêts ]]</f>
        <v>335.17393138693132</v>
      </c>
      <c r="E111" s="16">
        <f t="shared" si="7"/>
        <v>668.38276989955864</v>
      </c>
      <c r="F111" s="16">
        <f t="shared" si="8"/>
        <v>36.825899999999997</v>
      </c>
      <c r="G111" s="16">
        <f t="shared" si="9"/>
        <v>705.20866989955869</v>
      </c>
    </row>
    <row r="112" spans="1:7" x14ac:dyDescent="0.3">
      <c r="A112" s="5">
        <v>109</v>
      </c>
      <c r="B112" s="16">
        <f t="shared" si="5"/>
        <v>92335.289470614196</v>
      </c>
      <c r="C112" s="16">
        <f t="shared" si="6"/>
        <v>332.00803523176489</v>
      </c>
      <c r="D112" s="16">
        <f>$J$8-Tableau97[[#This Row],[Intérêts ]]</f>
        <v>336.37473466779375</v>
      </c>
      <c r="E112" s="16">
        <f t="shared" si="7"/>
        <v>668.38276989955864</v>
      </c>
      <c r="F112" s="16">
        <f t="shared" si="8"/>
        <v>36.825899999999997</v>
      </c>
      <c r="G112" s="16">
        <f t="shared" si="9"/>
        <v>705.20866989955869</v>
      </c>
    </row>
    <row r="113" spans="1:7" x14ac:dyDescent="0.3">
      <c r="A113" s="5">
        <v>110</v>
      </c>
      <c r="B113" s="16">
        <f t="shared" si="5"/>
        <v>91997.709630634912</v>
      </c>
      <c r="C113" s="16">
        <f t="shared" si="6"/>
        <v>330.80292992027211</v>
      </c>
      <c r="D113" s="16">
        <f>$J$8-Tableau97[[#This Row],[Intérêts ]]</f>
        <v>337.57983997928653</v>
      </c>
      <c r="E113" s="16">
        <f t="shared" si="7"/>
        <v>668.38276989955864</v>
      </c>
      <c r="F113" s="16">
        <f t="shared" si="8"/>
        <v>36.825899999999997</v>
      </c>
      <c r="G113" s="16">
        <f t="shared" si="9"/>
        <v>705.20866989955869</v>
      </c>
    </row>
    <row r="114" spans="1:7" x14ac:dyDescent="0.3">
      <c r="A114" s="5">
        <v>111</v>
      </c>
      <c r="B114" s="16">
        <f t="shared" si="5"/>
        <v>91658.920367900937</v>
      </c>
      <c r="C114" s="16">
        <f t="shared" si="6"/>
        <v>329.59350716557651</v>
      </c>
      <c r="D114" s="16">
        <f>$J$8-Tableau97[[#This Row],[Intérêts ]]</f>
        <v>338.78926273398213</v>
      </c>
      <c r="E114" s="16">
        <f t="shared" si="7"/>
        <v>668.38276989955864</v>
      </c>
      <c r="F114" s="16">
        <f t="shared" si="8"/>
        <v>36.825899999999997</v>
      </c>
      <c r="G114" s="16">
        <f t="shared" si="9"/>
        <v>705.20866989955869</v>
      </c>
    </row>
    <row r="115" spans="1:7" x14ac:dyDescent="0.3">
      <c r="A115" s="5">
        <v>112</v>
      </c>
      <c r="B115" s="16">
        <f t="shared" si="5"/>
        <v>91318.917349501266</v>
      </c>
      <c r="C115" s="16">
        <f t="shared" si="6"/>
        <v>328.37975149988824</v>
      </c>
      <c r="D115" s="16">
        <f>$J$8-Tableau97[[#This Row],[Intérêts ]]</f>
        <v>340.0030183996704</v>
      </c>
      <c r="E115" s="16">
        <f t="shared" si="7"/>
        <v>668.38276989955864</v>
      </c>
      <c r="F115" s="16">
        <f t="shared" si="8"/>
        <v>36.825899999999997</v>
      </c>
      <c r="G115" s="16">
        <f t="shared" si="9"/>
        <v>705.20866989955869</v>
      </c>
    </row>
    <row r="116" spans="1:7" x14ac:dyDescent="0.3">
      <c r="A116" s="5">
        <v>113</v>
      </c>
      <c r="B116" s="16">
        <f t="shared" si="5"/>
        <v>90977.69622700171</v>
      </c>
      <c r="C116" s="16">
        <f t="shared" si="6"/>
        <v>327.16164740000187</v>
      </c>
      <c r="D116" s="16">
        <f>$J$8-Tableau97[[#This Row],[Intérêts ]]</f>
        <v>341.22112249955677</v>
      </c>
      <c r="E116" s="16">
        <f t="shared" si="7"/>
        <v>668.38276989955864</v>
      </c>
      <c r="F116" s="16">
        <f t="shared" si="8"/>
        <v>36.825899999999997</v>
      </c>
      <c r="G116" s="16">
        <f t="shared" si="9"/>
        <v>705.20866989955869</v>
      </c>
    </row>
    <row r="117" spans="1:7" x14ac:dyDescent="0.3">
      <c r="A117" s="5">
        <v>114</v>
      </c>
      <c r="B117" s="16">
        <f t="shared" si="5"/>
        <v>90635.252636389254</v>
      </c>
      <c r="C117" s="16">
        <f t="shared" si="6"/>
        <v>325.9391792870984</v>
      </c>
      <c r="D117" s="16">
        <f>$J$8-Tableau97[[#This Row],[Intérêts ]]</f>
        <v>342.44359061246024</v>
      </c>
      <c r="E117" s="16">
        <f t="shared" si="7"/>
        <v>668.38276989955864</v>
      </c>
      <c r="F117" s="16">
        <f t="shared" si="8"/>
        <v>36.825899999999997</v>
      </c>
      <c r="G117" s="16">
        <f t="shared" si="9"/>
        <v>705.20866989955869</v>
      </c>
    </row>
    <row r="118" spans="1:7" x14ac:dyDescent="0.3">
      <c r="A118" s="5">
        <v>115</v>
      </c>
      <c r="B118" s="16">
        <f t="shared" si="5"/>
        <v>90291.582198016244</v>
      </c>
      <c r="C118" s="16">
        <f t="shared" si="6"/>
        <v>324.7123315265456</v>
      </c>
      <c r="D118" s="16">
        <f>$J$8-Tableau97[[#This Row],[Intérêts ]]</f>
        <v>343.67043837301304</v>
      </c>
      <c r="E118" s="16">
        <f t="shared" si="7"/>
        <v>668.38276989955864</v>
      </c>
      <c r="F118" s="16">
        <f t="shared" si="8"/>
        <v>36.825899999999997</v>
      </c>
      <c r="G118" s="16">
        <f t="shared" si="9"/>
        <v>705.20866989955869</v>
      </c>
    </row>
    <row r="119" spans="1:7" x14ac:dyDescent="0.3">
      <c r="A119" s="5">
        <v>116</v>
      </c>
      <c r="B119" s="16">
        <f t="shared" si="5"/>
        <v>89946.68051654438</v>
      </c>
      <c r="C119" s="16">
        <f t="shared" si="6"/>
        <v>323.48108842769813</v>
      </c>
      <c r="D119" s="16">
        <f>$J$8-Tableau97[[#This Row],[Intérêts ]]</f>
        <v>344.90168147186051</v>
      </c>
      <c r="E119" s="16">
        <f t="shared" si="7"/>
        <v>668.38276989955864</v>
      </c>
      <c r="F119" s="16">
        <f t="shared" si="8"/>
        <v>36.825899999999997</v>
      </c>
      <c r="G119" s="16">
        <f t="shared" si="9"/>
        <v>705.20866989955869</v>
      </c>
    </row>
    <row r="120" spans="1:7" x14ac:dyDescent="0.3">
      <c r="A120" s="5">
        <v>117</v>
      </c>
      <c r="B120" s="16">
        <f t="shared" si="5"/>
        <v>89600.543180888519</v>
      </c>
      <c r="C120" s="16">
        <f t="shared" si="6"/>
        <v>322.24543424369699</v>
      </c>
      <c r="D120" s="16">
        <f>$J$8-Tableau97[[#This Row],[Intérêts ]]</f>
        <v>346.13733565586165</v>
      </c>
      <c r="E120" s="16">
        <f t="shared" si="7"/>
        <v>668.38276989955864</v>
      </c>
      <c r="F120" s="16">
        <f t="shared" si="8"/>
        <v>36.825899999999997</v>
      </c>
      <c r="G120" s="16">
        <f t="shared" si="9"/>
        <v>705.20866989955869</v>
      </c>
    </row>
    <row r="121" spans="1:7" x14ac:dyDescent="0.3">
      <c r="A121" s="5">
        <v>118</v>
      </c>
      <c r="B121" s="16">
        <f t="shared" si="5"/>
        <v>89253.165764160221</v>
      </c>
      <c r="C121" s="16">
        <f t="shared" si="6"/>
        <v>321.00535317126804</v>
      </c>
      <c r="D121" s="16">
        <f>$J$8-Tableau97[[#This Row],[Intérêts ]]</f>
        <v>347.3774167282906</v>
      </c>
      <c r="E121" s="16">
        <f t="shared" si="7"/>
        <v>668.38276989955864</v>
      </c>
      <c r="F121" s="16">
        <f t="shared" si="8"/>
        <v>36.825899999999997</v>
      </c>
      <c r="G121" s="16">
        <f t="shared" si="9"/>
        <v>705.20866989955869</v>
      </c>
    </row>
    <row r="122" spans="1:7" x14ac:dyDescent="0.3">
      <c r="A122" s="5">
        <v>119</v>
      </c>
      <c r="B122" s="16">
        <f t="shared" si="5"/>
        <v>88904.54382361118</v>
      </c>
      <c r="C122" s="16">
        <f t="shared" si="6"/>
        <v>319.76082935051988</v>
      </c>
      <c r="D122" s="16">
        <f>$J$8-Tableau97[[#This Row],[Intérêts ]]</f>
        <v>348.62194054903875</v>
      </c>
      <c r="E122" s="16">
        <f t="shared" si="7"/>
        <v>668.38276989955864</v>
      </c>
      <c r="F122" s="16">
        <f t="shared" si="8"/>
        <v>36.825899999999997</v>
      </c>
      <c r="G122" s="16">
        <f t="shared" si="9"/>
        <v>705.20866989955869</v>
      </c>
    </row>
    <row r="123" spans="1:7" x14ac:dyDescent="0.3">
      <c r="A123" s="5">
        <v>120</v>
      </c>
      <c r="B123" s="16">
        <f t="shared" si="5"/>
        <v>88554.672900576363</v>
      </c>
      <c r="C123" s="16">
        <f t="shared" si="6"/>
        <v>318.51184686474107</v>
      </c>
      <c r="D123" s="16">
        <f>$J$8-Tableau97[[#This Row],[Intérêts ]]</f>
        <v>349.87092303481757</v>
      </c>
      <c r="E123" s="16">
        <f t="shared" si="7"/>
        <v>668.38276989955864</v>
      </c>
      <c r="F123" s="16">
        <f t="shared" si="8"/>
        <v>36.825899999999997</v>
      </c>
      <c r="G123" s="16">
        <f t="shared" si="9"/>
        <v>705.20866989955869</v>
      </c>
    </row>
    <row r="124" spans="1:7" x14ac:dyDescent="0.3">
      <c r="A124" s="5">
        <v>121</v>
      </c>
      <c r="B124" s="16">
        <f t="shared" si="5"/>
        <v>88203.548520416996</v>
      </c>
      <c r="C124" s="16">
        <f t="shared" si="6"/>
        <v>317.25838974019649</v>
      </c>
      <c r="D124" s="16">
        <f>$J$8-Tableau97[[#This Row],[Intérêts ]]</f>
        <v>351.12438015936215</v>
      </c>
      <c r="E124" s="16">
        <f t="shared" si="7"/>
        <v>668.38276989955864</v>
      </c>
      <c r="F124" s="16">
        <f t="shared" si="8"/>
        <v>36.825899999999997</v>
      </c>
      <c r="G124" s="16">
        <f t="shared" si="9"/>
        <v>705.20866989955869</v>
      </c>
    </row>
    <row r="125" spans="1:7" x14ac:dyDescent="0.3">
      <c r="A125" s="5">
        <v>122</v>
      </c>
      <c r="B125" s="16">
        <f t="shared" si="5"/>
        <v>87851.166192463366</v>
      </c>
      <c r="C125" s="16">
        <f t="shared" si="6"/>
        <v>316.00044194592306</v>
      </c>
      <c r="D125" s="16">
        <f>$J$8-Tableau97[[#This Row],[Intérêts ]]</f>
        <v>352.38232795363558</v>
      </c>
      <c r="E125" s="16">
        <f t="shared" si="7"/>
        <v>668.38276989955864</v>
      </c>
      <c r="F125" s="16">
        <f t="shared" si="8"/>
        <v>36.825899999999997</v>
      </c>
      <c r="G125" s="16">
        <f t="shared" si="9"/>
        <v>705.20866989955869</v>
      </c>
    </row>
    <row r="126" spans="1:7" x14ac:dyDescent="0.3">
      <c r="A126" s="5">
        <v>123</v>
      </c>
      <c r="B126" s="16">
        <f t="shared" si="5"/>
        <v>87497.521409957335</v>
      </c>
      <c r="C126" s="16">
        <f t="shared" si="6"/>
        <v>314.7379873935248</v>
      </c>
      <c r="D126" s="16">
        <f>$J$8-Tableau97[[#This Row],[Intérêts ]]</f>
        <v>353.64478250603383</v>
      </c>
      <c r="E126" s="16">
        <f t="shared" si="7"/>
        <v>668.38276989955864</v>
      </c>
      <c r="F126" s="16">
        <f t="shared" si="8"/>
        <v>36.825899999999997</v>
      </c>
      <c r="G126" s="16">
        <f t="shared" si="9"/>
        <v>705.20866989955869</v>
      </c>
    </row>
    <row r="127" spans="1:7" x14ac:dyDescent="0.3">
      <c r="A127" s="5">
        <v>124</v>
      </c>
      <c r="B127" s="16">
        <f t="shared" si="5"/>
        <v>87142.609649994745</v>
      </c>
      <c r="C127" s="16">
        <f t="shared" si="6"/>
        <v>313.47100993696699</v>
      </c>
      <c r="D127" s="16">
        <f>$J$8-Tableau97[[#This Row],[Intérêts ]]</f>
        <v>354.91175996259165</v>
      </c>
      <c r="E127" s="16">
        <f t="shared" si="7"/>
        <v>668.38276989955864</v>
      </c>
      <c r="F127" s="16">
        <f t="shared" si="8"/>
        <v>36.825899999999997</v>
      </c>
      <c r="G127" s="16">
        <f t="shared" si="9"/>
        <v>705.20866989955869</v>
      </c>
    </row>
    <row r="128" spans="1:7" x14ac:dyDescent="0.3">
      <c r="A128" s="5">
        <v>125</v>
      </c>
      <c r="B128" s="16">
        <f t="shared" si="5"/>
        <v>86786.426373467562</v>
      </c>
      <c r="C128" s="16">
        <f t="shared" si="6"/>
        <v>312.19949337236955</v>
      </c>
      <c r="D128" s="16">
        <f>$J$8-Tableau97[[#This Row],[Intérêts ]]</f>
        <v>356.18327652718909</v>
      </c>
      <c r="E128" s="16">
        <f t="shared" si="7"/>
        <v>668.38276989955864</v>
      </c>
      <c r="F128" s="16">
        <f t="shared" si="8"/>
        <v>36.825899999999997</v>
      </c>
      <c r="G128" s="16">
        <f t="shared" si="9"/>
        <v>705.20866989955869</v>
      </c>
    </row>
    <row r="129" spans="1:7" x14ac:dyDescent="0.3">
      <c r="A129" s="5">
        <v>126</v>
      </c>
      <c r="B129" s="16">
        <f t="shared" si="5"/>
        <v>86428.967025005797</v>
      </c>
      <c r="C129" s="16">
        <f t="shared" si="6"/>
        <v>310.92342143780013</v>
      </c>
      <c r="D129" s="16">
        <f>$J$8-Tableau97[[#This Row],[Intérêts ]]</f>
        <v>357.45934846175851</v>
      </c>
      <c r="E129" s="16">
        <f t="shared" si="7"/>
        <v>668.38276989955864</v>
      </c>
      <c r="F129" s="16">
        <f t="shared" si="8"/>
        <v>36.825899999999997</v>
      </c>
      <c r="G129" s="16">
        <f t="shared" si="9"/>
        <v>705.20866989955869</v>
      </c>
    </row>
    <row r="130" spans="1:7" x14ac:dyDescent="0.3">
      <c r="A130" s="5">
        <v>127</v>
      </c>
      <c r="B130" s="16">
        <f t="shared" si="5"/>
        <v>86070.227032919298</v>
      </c>
      <c r="C130" s="16">
        <f t="shared" si="6"/>
        <v>309.64277781306578</v>
      </c>
      <c r="D130" s="16">
        <f>$J$8-Tableau97[[#This Row],[Intérêts ]]</f>
        <v>358.73999208649286</v>
      </c>
      <c r="E130" s="16">
        <f t="shared" si="7"/>
        <v>668.38276989955864</v>
      </c>
      <c r="F130" s="16">
        <f t="shared" si="8"/>
        <v>36.825899999999997</v>
      </c>
      <c r="G130" s="16">
        <f t="shared" si="9"/>
        <v>705.20866989955869</v>
      </c>
    </row>
    <row r="131" spans="1:7" x14ac:dyDescent="0.3">
      <c r="A131" s="5">
        <v>128</v>
      </c>
      <c r="B131" s="16">
        <f t="shared" si="5"/>
        <v>85710.201809139238</v>
      </c>
      <c r="C131" s="16">
        <f t="shared" si="6"/>
        <v>308.35754611950449</v>
      </c>
      <c r="D131" s="16">
        <f>$J$8-Tableau97[[#This Row],[Intérêts ]]</f>
        <v>360.02522378005415</v>
      </c>
      <c r="E131" s="16">
        <f t="shared" si="7"/>
        <v>668.38276989955864</v>
      </c>
      <c r="F131" s="16">
        <f t="shared" si="8"/>
        <v>36.825899999999997</v>
      </c>
      <c r="G131" s="16">
        <f t="shared" si="9"/>
        <v>705.20866989955869</v>
      </c>
    </row>
    <row r="132" spans="1:7" x14ac:dyDescent="0.3">
      <c r="A132" s="5">
        <v>129</v>
      </c>
      <c r="B132" s="16">
        <f t="shared" si="5"/>
        <v>85348.886749159457</v>
      </c>
      <c r="C132" s="16">
        <f t="shared" si="6"/>
        <v>307.06770991977555</v>
      </c>
      <c r="D132" s="16">
        <f>$J$8-Tableau97[[#This Row],[Intérêts ]]</f>
        <v>361.31505997978309</v>
      </c>
      <c r="E132" s="16">
        <f t="shared" si="7"/>
        <v>668.38276989955864</v>
      </c>
      <c r="F132" s="16">
        <f t="shared" si="8"/>
        <v>36.825899999999997</v>
      </c>
      <c r="G132" s="16">
        <f t="shared" si="9"/>
        <v>705.20866989955869</v>
      </c>
    </row>
    <row r="133" spans="1:7" x14ac:dyDescent="0.3">
      <c r="A133" s="5">
        <v>130</v>
      </c>
      <c r="B133" s="16">
        <f t="shared" ref="B133:B196" si="10">B132-D133</f>
        <v>84986.277231977554</v>
      </c>
      <c r="C133" s="16">
        <f t="shared" ref="C133:C196" si="11">B132*$J$4</f>
        <v>305.77325271764948</v>
      </c>
      <c r="D133" s="16">
        <f>$J$8-Tableau97[[#This Row],[Intérêts ]]</f>
        <v>362.60951718190915</v>
      </c>
      <c r="E133" s="16">
        <f t="shared" ref="E133:E196" si="12">$J$8</f>
        <v>668.38276989955864</v>
      </c>
      <c r="F133" s="16">
        <f t="shared" ref="F133:F196" si="13">$J$11/$J$6</f>
        <v>36.825899999999997</v>
      </c>
      <c r="G133" s="16">
        <f t="shared" ref="G133:G196" si="14">IF(E133&lt;&gt;"",E133+F133,"")</f>
        <v>705.20866989955869</v>
      </c>
    </row>
    <row r="134" spans="1:7" x14ac:dyDescent="0.3">
      <c r="A134" s="5">
        <v>131</v>
      </c>
      <c r="B134" s="16">
        <f t="shared" si="10"/>
        <v>84622.368620035792</v>
      </c>
      <c r="C134" s="16">
        <f t="shared" si="11"/>
        <v>304.47415795779688</v>
      </c>
      <c r="D134" s="16">
        <f>$J$8-Tableau97[[#This Row],[Intérêts ]]</f>
        <v>363.90861194176176</v>
      </c>
      <c r="E134" s="16">
        <f t="shared" si="12"/>
        <v>668.38276989955864</v>
      </c>
      <c r="F134" s="16">
        <f t="shared" si="13"/>
        <v>36.825899999999997</v>
      </c>
      <c r="G134" s="16">
        <f t="shared" si="14"/>
        <v>705.20866989955869</v>
      </c>
    </row>
    <row r="135" spans="1:7" x14ac:dyDescent="0.3">
      <c r="A135" s="5">
        <v>132</v>
      </c>
      <c r="B135" s="16">
        <f t="shared" si="10"/>
        <v>84257.156259161813</v>
      </c>
      <c r="C135" s="16">
        <f t="shared" si="11"/>
        <v>303.1704090255767</v>
      </c>
      <c r="D135" s="16">
        <f>$J$8-Tableau97[[#This Row],[Intérêts ]]</f>
        <v>365.21236087398194</v>
      </c>
      <c r="E135" s="16">
        <f t="shared" si="12"/>
        <v>668.38276989955864</v>
      </c>
      <c r="F135" s="16">
        <f t="shared" si="13"/>
        <v>36.825899999999997</v>
      </c>
      <c r="G135" s="16">
        <f t="shared" si="14"/>
        <v>705.20866989955869</v>
      </c>
    </row>
    <row r="136" spans="1:7" x14ac:dyDescent="0.3">
      <c r="A136" s="5">
        <v>133</v>
      </c>
      <c r="B136" s="16">
        <f t="shared" si="10"/>
        <v>83890.635478509081</v>
      </c>
      <c r="C136" s="16">
        <f t="shared" si="11"/>
        <v>301.86198924682395</v>
      </c>
      <c r="D136" s="16">
        <f>$J$8-Tableau97[[#This Row],[Intérêts ]]</f>
        <v>366.52078065273469</v>
      </c>
      <c r="E136" s="16">
        <f t="shared" si="12"/>
        <v>668.38276989955864</v>
      </c>
      <c r="F136" s="16">
        <f t="shared" si="13"/>
        <v>36.825899999999997</v>
      </c>
      <c r="G136" s="16">
        <f t="shared" si="14"/>
        <v>705.20866989955869</v>
      </c>
    </row>
    <row r="137" spans="1:7" x14ac:dyDescent="0.3">
      <c r="A137" s="5">
        <v>134</v>
      </c>
      <c r="B137" s="16">
        <f t="shared" si="10"/>
        <v>83522.801590497154</v>
      </c>
      <c r="C137" s="16">
        <f t="shared" si="11"/>
        <v>300.5488818876363</v>
      </c>
      <c r="D137" s="16">
        <f>$J$8-Tableau97[[#This Row],[Intérêts ]]</f>
        <v>367.83388801192234</v>
      </c>
      <c r="E137" s="16">
        <f t="shared" si="12"/>
        <v>668.38276989955864</v>
      </c>
      <c r="F137" s="16">
        <f t="shared" si="13"/>
        <v>36.825899999999997</v>
      </c>
      <c r="G137" s="16">
        <f t="shared" si="14"/>
        <v>705.20866989955869</v>
      </c>
    </row>
    <row r="138" spans="1:7" x14ac:dyDescent="0.3">
      <c r="A138" s="5">
        <v>135</v>
      </c>
      <c r="B138" s="16">
        <f t="shared" si="10"/>
        <v>83153.649890751753</v>
      </c>
      <c r="C138" s="16">
        <f t="shared" si="11"/>
        <v>299.23107015415991</v>
      </c>
      <c r="D138" s="16">
        <f>$J$8-Tableau97[[#This Row],[Intérêts ]]</f>
        <v>369.15169974539873</v>
      </c>
      <c r="E138" s="16">
        <f t="shared" si="12"/>
        <v>668.38276989955864</v>
      </c>
      <c r="F138" s="16">
        <f t="shared" si="13"/>
        <v>36.825899999999997</v>
      </c>
      <c r="G138" s="16">
        <f t="shared" si="14"/>
        <v>705.20866989955869</v>
      </c>
    </row>
    <row r="139" spans="1:7" x14ac:dyDescent="0.3">
      <c r="A139" s="5">
        <v>136</v>
      </c>
      <c r="B139" s="16">
        <f t="shared" si="10"/>
        <v>82783.175658044565</v>
      </c>
      <c r="C139" s="16">
        <f t="shared" si="11"/>
        <v>297.90853719237515</v>
      </c>
      <c r="D139" s="16">
        <f>$J$8-Tableau97[[#This Row],[Intérêts ]]</f>
        <v>370.47423270718349</v>
      </c>
      <c r="E139" s="16">
        <f t="shared" si="12"/>
        <v>668.38276989955864</v>
      </c>
      <c r="F139" s="16">
        <f t="shared" si="13"/>
        <v>36.825899999999997</v>
      </c>
      <c r="G139" s="16">
        <f t="shared" si="14"/>
        <v>705.20866989955869</v>
      </c>
    </row>
    <row r="140" spans="1:7" x14ac:dyDescent="0.3">
      <c r="A140" s="5">
        <v>137</v>
      </c>
      <c r="B140" s="16">
        <f t="shared" si="10"/>
        <v>82411.374154232893</v>
      </c>
      <c r="C140" s="16">
        <f t="shared" si="11"/>
        <v>296.58126608788041</v>
      </c>
      <c r="D140" s="16">
        <f>$J$8-Tableau97[[#This Row],[Intérêts ]]</f>
        <v>371.80150381167823</v>
      </c>
      <c r="E140" s="16">
        <f t="shared" si="12"/>
        <v>668.38276989955864</v>
      </c>
      <c r="F140" s="16">
        <f t="shared" si="13"/>
        <v>36.825899999999997</v>
      </c>
      <c r="G140" s="16">
        <f t="shared" si="14"/>
        <v>705.20866989955869</v>
      </c>
    </row>
    <row r="141" spans="1:7" x14ac:dyDescent="0.3">
      <c r="A141" s="5">
        <v>138</v>
      </c>
      <c r="B141" s="16">
        <f t="shared" si="10"/>
        <v>82038.24062419901</v>
      </c>
      <c r="C141" s="16">
        <f t="shared" si="11"/>
        <v>295.24923986567632</v>
      </c>
      <c r="D141" s="16">
        <f>$J$8-Tableau97[[#This Row],[Intérêts ]]</f>
        <v>373.13353003388232</v>
      </c>
      <c r="E141" s="16">
        <f t="shared" si="12"/>
        <v>668.38276989955864</v>
      </c>
      <c r="F141" s="16">
        <f t="shared" si="13"/>
        <v>36.825899999999997</v>
      </c>
      <c r="G141" s="16">
        <f t="shared" si="14"/>
        <v>705.20866989955869</v>
      </c>
    </row>
    <row r="142" spans="1:7" x14ac:dyDescent="0.3">
      <c r="A142" s="5">
        <v>139</v>
      </c>
      <c r="B142" s="16">
        <f t="shared" si="10"/>
        <v>81663.770295789393</v>
      </c>
      <c r="C142" s="16">
        <f t="shared" si="11"/>
        <v>293.91244148994821</v>
      </c>
      <c r="D142" s="16">
        <f>$J$8-Tableau97[[#This Row],[Intérêts ]]</f>
        <v>374.47032840961043</v>
      </c>
      <c r="E142" s="16">
        <f t="shared" si="12"/>
        <v>668.38276989955864</v>
      </c>
      <c r="F142" s="16">
        <f t="shared" si="13"/>
        <v>36.825899999999997</v>
      </c>
      <c r="G142" s="16">
        <f t="shared" si="14"/>
        <v>705.20866989955869</v>
      </c>
    </row>
    <row r="143" spans="1:7" x14ac:dyDescent="0.3">
      <c r="A143" s="5">
        <v>140</v>
      </c>
      <c r="B143" s="16">
        <f t="shared" si="10"/>
        <v>81287.958379753676</v>
      </c>
      <c r="C143" s="16">
        <f t="shared" si="11"/>
        <v>292.57085386384853</v>
      </c>
      <c r="D143" s="16">
        <f>$J$8-Tableau97[[#This Row],[Intérêts ]]</f>
        <v>375.81191603571011</v>
      </c>
      <c r="E143" s="16">
        <f t="shared" si="12"/>
        <v>668.38276989955864</v>
      </c>
      <c r="F143" s="16">
        <f t="shared" si="13"/>
        <v>36.825899999999997</v>
      </c>
      <c r="G143" s="16">
        <f t="shared" si="14"/>
        <v>705.20866989955869</v>
      </c>
    </row>
    <row r="144" spans="1:7" x14ac:dyDescent="0.3">
      <c r="A144" s="5">
        <v>141</v>
      </c>
      <c r="B144" s="16">
        <f t="shared" si="10"/>
        <v>80910.800069683391</v>
      </c>
      <c r="C144" s="16">
        <f t="shared" si="11"/>
        <v>291.22445982927815</v>
      </c>
      <c r="D144" s="16">
        <f>$J$8-Tableau97[[#This Row],[Intérêts ]]</f>
        <v>377.15831007028049</v>
      </c>
      <c r="E144" s="16">
        <f t="shared" si="12"/>
        <v>668.38276989955864</v>
      </c>
      <c r="F144" s="16">
        <f t="shared" si="13"/>
        <v>36.825899999999997</v>
      </c>
      <c r="G144" s="16">
        <f t="shared" si="14"/>
        <v>705.20866989955869</v>
      </c>
    </row>
    <row r="145" spans="1:7" x14ac:dyDescent="0.3">
      <c r="A145" s="5">
        <v>142</v>
      </c>
      <c r="B145" s="16">
        <f t="shared" si="10"/>
        <v>80532.290541950497</v>
      </c>
      <c r="C145" s="16">
        <f t="shared" si="11"/>
        <v>289.87324216666673</v>
      </c>
      <c r="D145" s="16">
        <f>$J$8-Tableau97[[#This Row],[Intérêts ]]</f>
        <v>378.50952773289191</v>
      </c>
      <c r="E145" s="16">
        <f t="shared" si="12"/>
        <v>668.38276989955864</v>
      </c>
      <c r="F145" s="16">
        <f t="shared" si="13"/>
        <v>36.825899999999997</v>
      </c>
      <c r="G145" s="16">
        <f t="shared" si="14"/>
        <v>705.20866989955869</v>
      </c>
    </row>
    <row r="146" spans="1:7" x14ac:dyDescent="0.3">
      <c r="A146" s="5">
        <v>143</v>
      </c>
      <c r="B146" s="16">
        <f t="shared" si="10"/>
        <v>80152.424955645693</v>
      </c>
      <c r="C146" s="16">
        <f t="shared" si="11"/>
        <v>288.51718359475279</v>
      </c>
      <c r="D146" s="16">
        <f>$J$8-Tableau97[[#This Row],[Intérêts ]]</f>
        <v>379.86558630480584</v>
      </c>
      <c r="E146" s="16">
        <f t="shared" si="12"/>
        <v>668.38276989955864</v>
      </c>
      <c r="F146" s="16">
        <f t="shared" si="13"/>
        <v>36.825899999999997</v>
      </c>
      <c r="G146" s="16">
        <f t="shared" si="14"/>
        <v>705.20866989955869</v>
      </c>
    </row>
    <row r="147" spans="1:7" x14ac:dyDescent="0.3">
      <c r="A147" s="5">
        <v>144</v>
      </c>
      <c r="B147" s="16">
        <f t="shared" si="10"/>
        <v>79771.198452516503</v>
      </c>
      <c r="C147" s="16">
        <f t="shared" si="11"/>
        <v>287.15626677036249</v>
      </c>
      <c r="D147" s="16">
        <f>$J$8-Tableau97[[#This Row],[Intérêts ]]</f>
        <v>381.22650312919615</v>
      </c>
      <c r="E147" s="16">
        <f t="shared" si="12"/>
        <v>668.38276989955864</v>
      </c>
      <c r="F147" s="16">
        <f t="shared" si="13"/>
        <v>36.825899999999997</v>
      </c>
      <c r="G147" s="16">
        <f t="shared" si="14"/>
        <v>705.20866989955869</v>
      </c>
    </row>
    <row r="148" spans="1:7" x14ac:dyDescent="0.3">
      <c r="A148" s="5">
        <v>145</v>
      </c>
      <c r="B148" s="16">
        <f t="shared" si="10"/>
        <v>79388.606156905138</v>
      </c>
      <c r="C148" s="16">
        <f t="shared" si="11"/>
        <v>285.79047428818768</v>
      </c>
      <c r="D148" s="16">
        <f>$J$8-Tableau97[[#This Row],[Intérêts ]]</f>
        <v>382.59229561137096</v>
      </c>
      <c r="E148" s="16">
        <f t="shared" si="12"/>
        <v>668.38276989955864</v>
      </c>
      <c r="F148" s="16">
        <f t="shared" si="13"/>
        <v>36.825899999999997</v>
      </c>
      <c r="G148" s="16">
        <f t="shared" si="14"/>
        <v>705.20866989955869</v>
      </c>
    </row>
    <row r="149" spans="1:7" x14ac:dyDescent="0.3">
      <c r="A149" s="5">
        <v>146</v>
      </c>
      <c r="B149" s="16">
        <f t="shared" si="10"/>
        <v>79004.643175686142</v>
      </c>
      <c r="C149" s="16">
        <f t="shared" si="11"/>
        <v>284.41978868056373</v>
      </c>
      <c r="D149" s="16">
        <f>$J$8-Tableau97[[#This Row],[Intérêts ]]</f>
        <v>383.96298121899491</v>
      </c>
      <c r="E149" s="16">
        <f t="shared" si="12"/>
        <v>668.38276989955864</v>
      </c>
      <c r="F149" s="16">
        <f t="shared" si="13"/>
        <v>36.825899999999997</v>
      </c>
      <c r="G149" s="16">
        <f t="shared" si="14"/>
        <v>705.20866989955869</v>
      </c>
    </row>
    <row r="150" spans="1:7" x14ac:dyDescent="0.3">
      <c r="A150" s="5">
        <v>147</v>
      </c>
      <c r="B150" s="16">
        <f t="shared" si="10"/>
        <v>78619.304598203831</v>
      </c>
      <c r="C150" s="16">
        <f t="shared" si="11"/>
        <v>283.04419241724571</v>
      </c>
      <c r="D150" s="16">
        <f>$J$8-Tableau97[[#This Row],[Intérêts ]]</f>
        <v>385.33857748231293</v>
      </c>
      <c r="E150" s="16">
        <f t="shared" si="12"/>
        <v>668.38276989955864</v>
      </c>
      <c r="F150" s="16">
        <f t="shared" si="13"/>
        <v>36.825899999999997</v>
      </c>
      <c r="G150" s="16">
        <f t="shared" si="14"/>
        <v>705.20866989955869</v>
      </c>
    </row>
    <row r="151" spans="1:7" x14ac:dyDescent="0.3">
      <c r="A151" s="5">
        <v>148</v>
      </c>
      <c r="B151" s="16">
        <f t="shared" si="10"/>
        <v>78232.58549620946</v>
      </c>
      <c r="C151" s="16">
        <f t="shared" si="11"/>
        <v>281.66366790518441</v>
      </c>
      <c r="D151" s="16">
        <f>$J$8-Tableau97[[#This Row],[Intérêts ]]</f>
        <v>386.71910199437423</v>
      </c>
      <c r="E151" s="16">
        <f t="shared" si="12"/>
        <v>668.38276989955864</v>
      </c>
      <c r="F151" s="16">
        <f t="shared" si="13"/>
        <v>36.825899999999997</v>
      </c>
      <c r="G151" s="16">
        <f t="shared" si="14"/>
        <v>705.20866989955869</v>
      </c>
    </row>
    <row r="152" spans="1:7" x14ac:dyDescent="0.3">
      <c r="A152" s="5">
        <v>149</v>
      </c>
      <c r="B152" s="16">
        <f t="shared" si="10"/>
        <v>77844.480923798197</v>
      </c>
      <c r="C152" s="16">
        <f t="shared" si="11"/>
        <v>280.27819748830132</v>
      </c>
      <c r="D152" s="16">
        <f>$J$8-Tableau97[[#This Row],[Intérêts ]]</f>
        <v>388.10457241125732</v>
      </c>
      <c r="E152" s="16">
        <f t="shared" si="12"/>
        <v>668.38276989955864</v>
      </c>
      <c r="F152" s="16">
        <f t="shared" si="13"/>
        <v>36.825899999999997</v>
      </c>
      <c r="G152" s="16">
        <f t="shared" si="14"/>
        <v>705.20866989955869</v>
      </c>
    </row>
    <row r="153" spans="1:7" x14ac:dyDescent="0.3">
      <c r="A153" s="5">
        <v>150</v>
      </c>
      <c r="B153" s="16">
        <f t="shared" si="10"/>
        <v>77454.985917345897</v>
      </c>
      <c r="C153" s="16">
        <f t="shared" si="11"/>
        <v>278.88776344726267</v>
      </c>
      <c r="D153" s="16">
        <f>$J$8-Tableau97[[#This Row],[Intérêts ]]</f>
        <v>389.49500645229597</v>
      </c>
      <c r="E153" s="16">
        <f t="shared" si="12"/>
        <v>668.38276989955864</v>
      </c>
      <c r="F153" s="16">
        <f t="shared" si="13"/>
        <v>36.825899999999997</v>
      </c>
      <c r="G153" s="16">
        <f t="shared" si="14"/>
        <v>705.20866989955869</v>
      </c>
    </row>
    <row r="154" spans="1:7" x14ac:dyDescent="0.3">
      <c r="A154" s="5">
        <v>151</v>
      </c>
      <c r="B154" s="16">
        <f t="shared" si="10"/>
        <v>77064.095495445596</v>
      </c>
      <c r="C154" s="16">
        <f t="shared" si="11"/>
        <v>277.49234799925301</v>
      </c>
      <c r="D154" s="16">
        <f>$J$8-Tableau97[[#This Row],[Intérêts ]]</f>
        <v>390.89042190030563</v>
      </c>
      <c r="E154" s="16">
        <f t="shared" si="12"/>
        <v>668.38276989955864</v>
      </c>
      <c r="F154" s="16">
        <f t="shared" si="13"/>
        <v>36.825899999999997</v>
      </c>
      <c r="G154" s="16">
        <f t="shared" si="14"/>
        <v>705.20866989955869</v>
      </c>
    </row>
    <row r="155" spans="1:7" x14ac:dyDescent="0.3">
      <c r="A155" s="5">
        <v>152</v>
      </c>
      <c r="B155" s="16">
        <f t="shared" si="10"/>
        <v>76671.804658843786</v>
      </c>
      <c r="C155" s="16">
        <f t="shared" si="11"/>
        <v>276.09193329774774</v>
      </c>
      <c r="D155" s="16">
        <f>$J$8-Tableau97[[#This Row],[Intérêts ]]</f>
        <v>392.29083660181089</v>
      </c>
      <c r="E155" s="16">
        <f t="shared" si="12"/>
        <v>668.38276989955864</v>
      </c>
      <c r="F155" s="16">
        <f t="shared" si="13"/>
        <v>36.825899999999997</v>
      </c>
      <c r="G155" s="16">
        <f t="shared" si="14"/>
        <v>705.20866989955869</v>
      </c>
    </row>
    <row r="156" spans="1:7" x14ac:dyDescent="0.3">
      <c r="A156" s="5">
        <v>153</v>
      </c>
      <c r="B156" s="16">
        <f t="shared" si="10"/>
        <v>76278.10839037651</v>
      </c>
      <c r="C156" s="16">
        <f t="shared" si="11"/>
        <v>274.68650143228473</v>
      </c>
      <c r="D156" s="16">
        <f>$J$8-Tableau97[[#This Row],[Intérêts ]]</f>
        <v>393.69626846727391</v>
      </c>
      <c r="E156" s="16">
        <f t="shared" si="12"/>
        <v>668.38276989955864</v>
      </c>
      <c r="F156" s="16">
        <f t="shared" si="13"/>
        <v>36.825899999999997</v>
      </c>
      <c r="G156" s="16">
        <f t="shared" si="14"/>
        <v>705.20866989955869</v>
      </c>
    </row>
    <row r="157" spans="1:7" x14ac:dyDescent="0.3">
      <c r="A157" s="5">
        <v>154</v>
      </c>
      <c r="B157" s="16">
        <f t="shared" si="10"/>
        <v>75883.00165490518</v>
      </c>
      <c r="C157" s="16">
        <f t="shared" si="11"/>
        <v>273.27603442823533</v>
      </c>
      <c r="D157" s="16">
        <f>$J$8-Tableau97[[#This Row],[Intérêts ]]</f>
        <v>395.1067354713233</v>
      </c>
      <c r="E157" s="16">
        <f t="shared" si="12"/>
        <v>668.38276989955864</v>
      </c>
      <c r="F157" s="16">
        <f t="shared" si="13"/>
        <v>36.825899999999997</v>
      </c>
      <c r="G157" s="16">
        <f t="shared" si="14"/>
        <v>705.20866989955869</v>
      </c>
    </row>
    <row r="158" spans="1:7" x14ac:dyDescent="0.3">
      <c r="A158" s="5">
        <v>155</v>
      </c>
      <c r="B158" s="16">
        <f t="shared" si="10"/>
        <v>75486.479399252203</v>
      </c>
      <c r="C158" s="16">
        <f t="shared" si="11"/>
        <v>271.8605142465745</v>
      </c>
      <c r="D158" s="16">
        <f>$J$8-Tableau97[[#This Row],[Intérêts ]]</f>
        <v>396.52225565298414</v>
      </c>
      <c r="E158" s="16">
        <f t="shared" si="12"/>
        <v>668.38276989955864</v>
      </c>
      <c r="F158" s="16">
        <f t="shared" si="13"/>
        <v>36.825899999999997</v>
      </c>
      <c r="G158" s="16">
        <f t="shared" si="14"/>
        <v>705.20866989955869</v>
      </c>
    </row>
    <row r="159" spans="1:7" x14ac:dyDescent="0.3">
      <c r="A159" s="5">
        <v>156</v>
      </c>
      <c r="B159" s="16">
        <f t="shared" si="10"/>
        <v>75088.536552136298</v>
      </c>
      <c r="C159" s="16">
        <f t="shared" si="11"/>
        <v>270.43992278365016</v>
      </c>
      <c r="D159" s="16">
        <f>$J$8-Tableau97[[#This Row],[Intérêts ]]</f>
        <v>397.94284711590848</v>
      </c>
      <c r="E159" s="16">
        <f t="shared" si="12"/>
        <v>668.38276989955864</v>
      </c>
      <c r="F159" s="16">
        <f t="shared" si="13"/>
        <v>36.825899999999997</v>
      </c>
      <c r="G159" s="16">
        <f t="shared" si="14"/>
        <v>705.20866989955869</v>
      </c>
    </row>
    <row r="160" spans="1:7" x14ac:dyDescent="0.3">
      <c r="A160" s="5">
        <v>157</v>
      </c>
      <c r="B160" s="16">
        <f t="shared" si="10"/>
        <v>74689.168024107697</v>
      </c>
      <c r="C160" s="16">
        <f t="shared" si="11"/>
        <v>269.01424187095154</v>
      </c>
      <c r="D160" s="16">
        <f>$J$8-Tableau97[[#This Row],[Intérêts ]]</f>
        <v>399.3685280286071</v>
      </c>
      <c r="E160" s="16">
        <f t="shared" si="12"/>
        <v>668.38276989955864</v>
      </c>
      <c r="F160" s="16">
        <f t="shared" si="13"/>
        <v>36.825899999999997</v>
      </c>
      <c r="G160" s="16">
        <f t="shared" si="14"/>
        <v>705.20866989955869</v>
      </c>
    </row>
    <row r="161" spans="1:7" x14ac:dyDescent="0.3">
      <c r="A161" s="5">
        <v>158</v>
      </c>
      <c r="B161" s="16">
        <f t="shared" si="10"/>
        <v>74288.368707483009</v>
      </c>
      <c r="C161" s="16">
        <f t="shared" si="11"/>
        <v>267.58345327487689</v>
      </c>
      <c r="D161" s="16">
        <f>$J$8-Tableau97[[#This Row],[Intérêts ]]</f>
        <v>400.79931662468175</v>
      </c>
      <c r="E161" s="16">
        <f t="shared" si="12"/>
        <v>668.38276989955864</v>
      </c>
      <c r="F161" s="16">
        <f t="shared" si="13"/>
        <v>36.825899999999997</v>
      </c>
      <c r="G161" s="16">
        <f t="shared" si="14"/>
        <v>705.20866989955869</v>
      </c>
    </row>
    <row r="162" spans="1:7" x14ac:dyDescent="0.3">
      <c r="A162" s="5">
        <v>159</v>
      </c>
      <c r="B162" s="16">
        <f t="shared" si="10"/>
        <v>73886.133476279952</v>
      </c>
      <c r="C162" s="16">
        <f t="shared" si="11"/>
        <v>266.14753869650019</v>
      </c>
      <c r="D162" s="16">
        <f>$J$8-Tableau97[[#This Row],[Intérêts ]]</f>
        <v>402.23523120305845</v>
      </c>
      <c r="E162" s="16">
        <f t="shared" si="12"/>
        <v>668.38276989955864</v>
      </c>
      <c r="F162" s="16">
        <f t="shared" si="13"/>
        <v>36.825899999999997</v>
      </c>
      <c r="G162" s="16">
        <f t="shared" si="14"/>
        <v>705.20866989955869</v>
      </c>
    </row>
    <row r="163" spans="1:7" x14ac:dyDescent="0.3">
      <c r="A163" s="5">
        <v>160</v>
      </c>
      <c r="B163" s="16">
        <f t="shared" si="10"/>
        <v>73482.457186151732</v>
      </c>
      <c r="C163" s="16">
        <f t="shared" si="11"/>
        <v>264.70647977133729</v>
      </c>
      <c r="D163" s="16">
        <f>$J$8-Tableau97[[#This Row],[Intérêts ]]</f>
        <v>403.67629012822135</v>
      </c>
      <c r="E163" s="16">
        <f t="shared" si="12"/>
        <v>668.38276989955864</v>
      </c>
      <c r="F163" s="16">
        <f t="shared" si="13"/>
        <v>36.825899999999997</v>
      </c>
      <c r="G163" s="16">
        <f t="shared" si="14"/>
        <v>705.20866989955869</v>
      </c>
    </row>
    <row r="164" spans="1:7" x14ac:dyDescent="0.3">
      <c r="A164" s="5">
        <v>161</v>
      </c>
      <c r="B164" s="16">
        <f t="shared" si="10"/>
        <v>73077.33467432129</v>
      </c>
      <c r="C164" s="16">
        <f t="shared" si="11"/>
        <v>263.26025806911082</v>
      </c>
      <c r="D164" s="16">
        <f>$J$8-Tableau97[[#This Row],[Intérêts ]]</f>
        <v>405.12251183044782</v>
      </c>
      <c r="E164" s="16">
        <f t="shared" si="12"/>
        <v>668.38276989955864</v>
      </c>
      <c r="F164" s="16">
        <f t="shared" si="13"/>
        <v>36.825899999999997</v>
      </c>
      <c r="G164" s="16">
        <f t="shared" si="14"/>
        <v>705.20866989955869</v>
      </c>
    </row>
    <row r="165" spans="1:7" x14ac:dyDescent="0.3">
      <c r="A165" s="5">
        <v>162</v>
      </c>
      <c r="B165" s="16">
        <f t="shared" si="10"/>
        <v>72670.760759515251</v>
      </c>
      <c r="C165" s="16">
        <f t="shared" si="11"/>
        <v>261.80885509351481</v>
      </c>
      <c r="D165" s="16">
        <f>$J$8-Tableau97[[#This Row],[Intérêts ]]</f>
        <v>406.57391480604383</v>
      </c>
      <c r="E165" s="16">
        <f t="shared" si="12"/>
        <v>668.38276989955864</v>
      </c>
      <c r="F165" s="16">
        <f t="shared" si="13"/>
        <v>36.825899999999997</v>
      </c>
      <c r="G165" s="16">
        <f t="shared" si="14"/>
        <v>705.20866989955869</v>
      </c>
    </row>
    <row r="166" spans="1:7" x14ac:dyDescent="0.3">
      <c r="A166" s="5">
        <v>163</v>
      </c>
      <c r="B166" s="16">
        <f t="shared" si="10"/>
        <v>72262.730241897676</v>
      </c>
      <c r="C166" s="16">
        <f t="shared" si="11"/>
        <v>260.35225228197766</v>
      </c>
      <c r="D166" s="16">
        <f>$J$8-Tableau97[[#This Row],[Intérêts ]]</f>
        <v>408.03051761758098</v>
      </c>
      <c r="E166" s="16">
        <f t="shared" si="12"/>
        <v>668.38276989955864</v>
      </c>
      <c r="F166" s="16">
        <f t="shared" si="13"/>
        <v>36.825899999999997</v>
      </c>
      <c r="G166" s="16">
        <f t="shared" si="14"/>
        <v>705.20866989955869</v>
      </c>
    </row>
    <row r="167" spans="1:7" x14ac:dyDescent="0.3">
      <c r="A167" s="5">
        <v>164</v>
      </c>
      <c r="B167" s="16">
        <f t="shared" si="10"/>
        <v>71853.237903003537</v>
      </c>
      <c r="C167" s="16">
        <f t="shared" si="11"/>
        <v>258.89043100542517</v>
      </c>
      <c r="D167" s="16">
        <f>$J$8-Tableau97[[#This Row],[Intérêts ]]</f>
        <v>409.49233889413347</v>
      </c>
      <c r="E167" s="16">
        <f t="shared" si="12"/>
        <v>668.38276989955864</v>
      </c>
      <c r="F167" s="16">
        <f t="shared" si="13"/>
        <v>36.825899999999997</v>
      </c>
      <c r="G167" s="16">
        <f t="shared" si="14"/>
        <v>705.20866989955869</v>
      </c>
    </row>
    <row r="168" spans="1:7" x14ac:dyDescent="0.3">
      <c r="A168" s="5">
        <v>165</v>
      </c>
      <c r="B168" s="16">
        <f t="shared" si="10"/>
        <v>71442.278505672017</v>
      </c>
      <c r="C168" s="16">
        <f t="shared" si="11"/>
        <v>257.42337256804194</v>
      </c>
      <c r="D168" s="16">
        <f>$J$8-Tableau97[[#This Row],[Intérêts ]]</f>
        <v>410.9593973315167</v>
      </c>
      <c r="E168" s="16">
        <f t="shared" si="12"/>
        <v>668.38276989955864</v>
      </c>
      <c r="F168" s="16">
        <f t="shared" si="13"/>
        <v>36.825899999999997</v>
      </c>
      <c r="G168" s="16">
        <f t="shared" si="14"/>
        <v>705.20866989955869</v>
      </c>
    </row>
    <row r="169" spans="1:7" x14ac:dyDescent="0.3">
      <c r="A169" s="5">
        <v>166</v>
      </c>
      <c r="B169" s="16">
        <f t="shared" si="10"/>
        <v>71029.846793979494</v>
      </c>
      <c r="C169" s="16">
        <f t="shared" si="11"/>
        <v>255.95105820703264</v>
      </c>
      <c r="D169" s="16">
        <f>$J$8-Tableau97[[#This Row],[Intérêts ]]</f>
        <v>412.43171169252599</v>
      </c>
      <c r="E169" s="16">
        <f t="shared" si="12"/>
        <v>668.38276989955864</v>
      </c>
      <c r="F169" s="16">
        <f t="shared" si="13"/>
        <v>36.825899999999997</v>
      </c>
      <c r="G169" s="16">
        <f t="shared" si="14"/>
        <v>705.20866989955869</v>
      </c>
    </row>
    <row r="170" spans="1:7" x14ac:dyDescent="0.3">
      <c r="A170" s="5">
        <v>167</v>
      </c>
      <c r="B170" s="16">
        <f t="shared" si="10"/>
        <v>70615.937493172314</v>
      </c>
      <c r="C170" s="16">
        <f t="shared" si="11"/>
        <v>254.47346909238175</v>
      </c>
      <c r="D170" s="16">
        <f>$J$8-Tableau97[[#This Row],[Intérêts ]]</f>
        <v>413.90930080717692</v>
      </c>
      <c r="E170" s="16">
        <f t="shared" si="12"/>
        <v>668.38276989955864</v>
      </c>
      <c r="F170" s="16">
        <f t="shared" si="13"/>
        <v>36.825899999999997</v>
      </c>
      <c r="G170" s="16">
        <f t="shared" si="14"/>
        <v>705.20866989955869</v>
      </c>
    </row>
    <row r="171" spans="1:7" x14ac:dyDescent="0.3">
      <c r="A171" s="5">
        <v>168</v>
      </c>
      <c r="B171" s="16">
        <f t="shared" si="10"/>
        <v>70200.545309599373</v>
      </c>
      <c r="C171" s="16">
        <f t="shared" si="11"/>
        <v>252.99058632661274</v>
      </c>
      <c r="D171" s="16">
        <f>$J$8-Tableau97[[#This Row],[Intérêts ]]</f>
        <v>415.3921835729459</v>
      </c>
      <c r="E171" s="16">
        <f t="shared" si="12"/>
        <v>668.38276989955864</v>
      </c>
      <c r="F171" s="16">
        <f t="shared" si="13"/>
        <v>36.825899999999997</v>
      </c>
      <c r="G171" s="16">
        <f t="shared" si="14"/>
        <v>705.20866989955869</v>
      </c>
    </row>
    <row r="172" spans="1:7" x14ac:dyDescent="0.3">
      <c r="A172" s="5">
        <v>169</v>
      </c>
      <c r="B172" s="16">
        <f t="shared" si="10"/>
        <v>69783.664930644358</v>
      </c>
      <c r="C172" s="16">
        <f t="shared" si="11"/>
        <v>251.50239094454659</v>
      </c>
      <c r="D172" s="16">
        <f>$J$8-Tableau97[[#This Row],[Intérêts ]]</f>
        <v>416.88037895501202</v>
      </c>
      <c r="E172" s="16">
        <f t="shared" si="12"/>
        <v>668.38276989955864</v>
      </c>
      <c r="F172" s="16">
        <f t="shared" si="13"/>
        <v>36.825899999999997</v>
      </c>
      <c r="G172" s="16">
        <f t="shared" si="14"/>
        <v>705.20866989955869</v>
      </c>
    </row>
    <row r="173" spans="1:7" x14ac:dyDescent="0.3">
      <c r="A173" s="5">
        <v>170</v>
      </c>
      <c r="B173" s="16">
        <f t="shared" si="10"/>
        <v>69365.291024657854</v>
      </c>
      <c r="C173" s="16">
        <f t="shared" si="11"/>
        <v>250.008863913059</v>
      </c>
      <c r="D173" s="16">
        <f>$J$8-Tableau97[[#This Row],[Intérêts ]]</f>
        <v>418.37390598649961</v>
      </c>
      <c r="E173" s="16">
        <f t="shared" si="12"/>
        <v>668.38276989955864</v>
      </c>
      <c r="F173" s="16">
        <f t="shared" si="13"/>
        <v>36.825899999999997</v>
      </c>
      <c r="G173" s="16">
        <f t="shared" si="14"/>
        <v>705.20866989955869</v>
      </c>
    </row>
    <row r="174" spans="1:7" x14ac:dyDescent="0.3">
      <c r="A174" s="5">
        <v>171</v>
      </c>
      <c r="B174" s="16">
        <f t="shared" si="10"/>
        <v>68945.418240889136</v>
      </c>
      <c r="C174" s="16">
        <f t="shared" si="11"/>
        <v>248.50998613083721</v>
      </c>
      <c r="D174" s="16">
        <f>$J$8-Tableau97[[#This Row],[Intérêts ]]</f>
        <v>419.87278376872143</v>
      </c>
      <c r="E174" s="16">
        <f t="shared" si="12"/>
        <v>668.38276989955864</v>
      </c>
      <c r="F174" s="16">
        <f t="shared" si="13"/>
        <v>36.825899999999997</v>
      </c>
      <c r="G174" s="16">
        <f t="shared" si="14"/>
        <v>705.20866989955869</v>
      </c>
    </row>
    <row r="175" spans="1:7" x14ac:dyDescent="0.3">
      <c r="A175" s="5">
        <v>172</v>
      </c>
      <c r="B175" s="16">
        <f t="shared" si="10"/>
        <v>68524.041209417715</v>
      </c>
      <c r="C175" s="16">
        <f t="shared" si="11"/>
        <v>247.00573842813543</v>
      </c>
      <c r="D175" s="16">
        <f>$J$8-Tableau97[[#This Row],[Intérêts ]]</f>
        <v>421.37703147142321</v>
      </c>
      <c r="E175" s="16">
        <f t="shared" si="12"/>
        <v>668.38276989955864</v>
      </c>
      <c r="F175" s="16">
        <f t="shared" si="13"/>
        <v>36.825899999999997</v>
      </c>
      <c r="G175" s="16">
        <f t="shared" si="14"/>
        <v>705.20866989955869</v>
      </c>
    </row>
    <row r="176" spans="1:7" x14ac:dyDescent="0.3">
      <c r="A176" s="5">
        <v>173</v>
      </c>
      <c r="B176" s="16">
        <f t="shared" si="10"/>
        <v>68101.154541084688</v>
      </c>
      <c r="C176" s="16">
        <f t="shared" si="11"/>
        <v>245.49610156652994</v>
      </c>
      <c r="D176" s="16">
        <f>$J$8-Tableau97[[#This Row],[Intérêts ]]</f>
        <v>422.88666833302869</v>
      </c>
      <c r="E176" s="16">
        <f t="shared" si="12"/>
        <v>668.38276989955864</v>
      </c>
      <c r="F176" s="16">
        <f t="shared" si="13"/>
        <v>36.825899999999997</v>
      </c>
      <c r="G176" s="16">
        <f t="shared" si="14"/>
        <v>705.20866989955869</v>
      </c>
    </row>
    <row r="177" spans="1:7" x14ac:dyDescent="0.3">
      <c r="A177" s="5">
        <v>174</v>
      </c>
      <c r="B177" s="16">
        <f t="shared" si="10"/>
        <v>67676.752827423799</v>
      </c>
      <c r="C177" s="16">
        <f t="shared" si="11"/>
        <v>243.98105623867283</v>
      </c>
      <c r="D177" s="16">
        <f>$J$8-Tableau97[[#This Row],[Intérêts ]]</f>
        <v>424.40171366088578</v>
      </c>
      <c r="E177" s="16">
        <f t="shared" si="12"/>
        <v>668.38276989955864</v>
      </c>
      <c r="F177" s="16">
        <f t="shared" si="13"/>
        <v>36.825899999999997</v>
      </c>
      <c r="G177" s="16">
        <f t="shared" si="14"/>
        <v>705.20866989955869</v>
      </c>
    </row>
    <row r="178" spans="1:7" x14ac:dyDescent="0.3">
      <c r="A178" s="5">
        <v>175</v>
      </c>
      <c r="B178" s="16">
        <f t="shared" si="10"/>
        <v>67250.830640592292</v>
      </c>
      <c r="C178" s="16">
        <f t="shared" si="11"/>
        <v>242.4605830680452</v>
      </c>
      <c r="D178" s="16">
        <f>$J$8-Tableau97[[#This Row],[Intérêts ]]</f>
        <v>425.92218683151344</v>
      </c>
      <c r="E178" s="16">
        <f t="shared" si="12"/>
        <v>668.38276989955864</v>
      </c>
      <c r="F178" s="16">
        <f t="shared" si="13"/>
        <v>36.825899999999997</v>
      </c>
      <c r="G178" s="16">
        <f t="shared" si="14"/>
        <v>705.20866989955869</v>
      </c>
    </row>
    <row r="179" spans="1:7" x14ac:dyDescent="0.3">
      <c r="A179" s="5">
        <v>176</v>
      </c>
      <c r="B179" s="16">
        <f t="shared" si="10"/>
        <v>66823.382533301439</v>
      </c>
      <c r="C179" s="16">
        <f t="shared" si="11"/>
        <v>240.93466260870929</v>
      </c>
      <c r="D179" s="16">
        <f>$J$8-Tableau97[[#This Row],[Intérêts ]]</f>
        <v>427.44810729084935</v>
      </c>
      <c r="E179" s="16">
        <f t="shared" si="12"/>
        <v>668.38276989955864</v>
      </c>
      <c r="F179" s="16">
        <f t="shared" si="13"/>
        <v>36.825899999999997</v>
      </c>
      <c r="G179" s="16">
        <f t="shared" si="14"/>
        <v>705.20866989955869</v>
      </c>
    </row>
    <row r="180" spans="1:7" x14ac:dyDescent="0.3">
      <c r="A180" s="5">
        <v>177</v>
      </c>
      <c r="B180" s="16">
        <f t="shared" si="10"/>
        <v>66394.403038746939</v>
      </c>
      <c r="C180" s="16">
        <f t="shared" si="11"/>
        <v>239.4032753450598</v>
      </c>
      <c r="D180" s="16">
        <f>$J$8-Tableau97[[#This Row],[Intérêts ]]</f>
        <v>428.97949455449884</v>
      </c>
      <c r="E180" s="16">
        <f t="shared" si="12"/>
        <v>668.38276989955864</v>
      </c>
      <c r="F180" s="16">
        <f t="shared" si="13"/>
        <v>36.825899999999997</v>
      </c>
      <c r="G180" s="16">
        <f t="shared" si="14"/>
        <v>705.20866989955869</v>
      </c>
    </row>
    <row r="181" spans="1:7" x14ac:dyDescent="0.3">
      <c r="A181" s="5">
        <v>178</v>
      </c>
      <c r="B181" s="16">
        <f t="shared" si="10"/>
        <v>65963.886670538952</v>
      </c>
      <c r="C181" s="16">
        <f t="shared" si="11"/>
        <v>237.86640169157428</v>
      </c>
      <c r="D181" s="16">
        <f>$J$8-Tableau97[[#This Row],[Intérêts ]]</f>
        <v>430.51636820798433</v>
      </c>
      <c r="E181" s="16">
        <f t="shared" si="12"/>
        <v>668.38276989955864</v>
      </c>
      <c r="F181" s="16">
        <f t="shared" si="13"/>
        <v>36.825899999999997</v>
      </c>
      <c r="G181" s="16">
        <f t="shared" si="14"/>
        <v>705.20866989955869</v>
      </c>
    </row>
    <row r="182" spans="1:7" x14ac:dyDescent="0.3">
      <c r="A182" s="5">
        <v>179</v>
      </c>
      <c r="B182" s="16">
        <f t="shared" si="10"/>
        <v>65531.827922631957</v>
      </c>
      <c r="C182" s="16">
        <f t="shared" si="11"/>
        <v>236.32402199256265</v>
      </c>
      <c r="D182" s="16">
        <f>$J$8-Tableau97[[#This Row],[Intérêts ]]</f>
        <v>432.05874790699602</v>
      </c>
      <c r="E182" s="16">
        <f t="shared" si="12"/>
        <v>668.38276989955864</v>
      </c>
      <c r="F182" s="16">
        <f t="shared" si="13"/>
        <v>36.825899999999997</v>
      </c>
      <c r="G182" s="16">
        <f t="shared" si="14"/>
        <v>705.20866989955869</v>
      </c>
    </row>
    <row r="183" spans="1:7" x14ac:dyDescent="0.3">
      <c r="A183" s="5">
        <v>180</v>
      </c>
      <c r="B183" s="16">
        <f t="shared" si="10"/>
        <v>65098.221269254318</v>
      </c>
      <c r="C183" s="16">
        <f t="shared" si="11"/>
        <v>234.77611652191587</v>
      </c>
      <c r="D183" s="16">
        <f>$J$8-Tableau97[[#This Row],[Intérêts ]]</f>
        <v>433.60665337764277</v>
      </c>
      <c r="E183" s="16">
        <f t="shared" si="12"/>
        <v>668.38276989955864</v>
      </c>
      <c r="F183" s="16">
        <f t="shared" si="13"/>
        <v>36.825899999999997</v>
      </c>
      <c r="G183" s="16">
        <f t="shared" si="14"/>
        <v>705.20866989955869</v>
      </c>
    </row>
    <row r="184" spans="1:7" x14ac:dyDescent="0.3">
      <c r="A184" s="5">
        <v>181</v>
      </c>
      <c r="B184" s="16">
        <f t="shared" si="10"/>
        <v>64663.061164837614</v>
      </c>
      <c r="C184" s="16">
        <f t="shared" si="11"/>
        <v>233.22266548285353</v>
      </c>
      <c r="D184" s="16">
        <f>$J$8-Tableau97[[#This Row],[Intérêts ]]</f>
        <v>435.16010441670511</v>
      </c>
      <c r="E184" s="16">
        <f t="shared" si="12"/>
        <v>668.38276989955864</v>
      </c>
      <c r="F184" s="16">
        <f t="shared" si="13"/>
        <v>36.825899999999997</v>
      </c>
      <c r="G184" s="16">
        <f t="shared" si="14"/>
        <v>705.20866989955869</v>
      </c>
    </row>
    <row r="185" spans="1:7" x14ac:dyDescent="0.3">
      <c r="A185" s="5">
        <v>182</v>
      </c>
      <c r="B185" s="16">
        <f t="shared" si="10"/>
        <v>64226.342043945726</v>
      </c>
      <c r="C185" s="16">
        <f t="shared" si="11"/>
        <v>231.66364900767078</v>
      </c>
      <c r="D185" s="16">
        <f>$J$8-Tableau97[[#This Row],[Intérêts ]]</f>
        <v>436.71912089188788</v>
      </c>
      <c r="E185" s="16">
        <f t="shared" si="12"/>
        <v>668.38276989955864</v>
      </c>
      <c r="F185" s="16">
        <f t="shared" si="13"/>
        <v>36.825899999999997</v>
      </c>
      <c r="G185" s="16">
        <f t="shared" si="14"/>
        <v>705.20866989955869</v>
      </c>
    </row>
    <row r="186" spans="1:7" x14ac:dyDescent="0.3">
      <c r="A186" s="5">
        <v>183</v>
      </c>
      <c r="B186" s="16">
        <f t="shared" si="10"/>
        <v>63788.058321203651</v>
      </c>
      <c r="C186" s="16">
        <f t="shared" si="11"/>
        <v>230.09904715748414</v>
      </c>
      <c r="D186" s="16">
        <f>$J$8-Tableau97[[#This Row],[Intérêts ]]</f>
        <v>438.28372274207447</v>
      </c>
      <c r="E186" s="16">
        <f t="shared" si="12"/>
        <v>668.38276989955864</v>
      </c>
      <c r="F186" s="16">
        <f t="shared" si="13"/>
        <v>36.825899999999997</v>
      </c>
      <c r="G186" s="16">
        <f t="shared" si="14"/>
        <v>705.20866989955869</v>
      </c>
    </row>
    <row r="187" spans="1:7" x14ac:dyDescent="0.3">
      <c r="A187" s="5">
        <v>184</v>
      </c>
      <c r="B187" s="16">
        <f t="shared" si="10"/>
        <v>63348.204391226071</v>
      </c>
      <c r="C187" s="16">
        <f t="shared" si="11"/>
        <v>228.52883992197658</v>
      </c>
      <c r="D187" s="16">
        <f>$J$8-Tableau97[[#This Row],[Intérêts ]]</f>
        <v>439.85392997758208</v>
      </c>
      <c r="E187" s="16">
        <f t="shared" si="12"/>
        <v>668.38276989955864</v>
      </c>
      <c r="F187" s="16">
        <f t="shared" si="13"/>
        <v>36.825899999999997</v>
      </c>
      <c r="G187" s="16">
        <f t="shared" si="14"/>
        <v>705.20866989955869</v>
      </c>
    </row>
    <row r="188" spans="1:7" x14ac:dyDescent="0.3">
      <c r="A188" s="5">
        <v>185</v>
      </c>
      <c r="B188" s="16">
        <f t="shared" si="10"/>
        <v>62906.774628545652</v>
      </c>
      <c r="C188" s="16">
        <f t="shared" si="11"/>
        <v>226.95300721914157</v>
      </c>
      <c r="D188" s="16">
        <f>$J$8-Tableau97[[#This Row],[Intérêts ]]</f>
        <v>441.42976268041707</v>
      </c>
      <c r="E188" s="16">
        <f t="shared" si="12"/>
        <v>668.38276989955864</v>
      </c>
      <c r="F188" s="16">
        <f t="shared" si="13"/>
        <v>36.825899999999997</v>
      </c>
      <c r="G188" s="16">
        <f t="shared" si="14"/>
        <v>705.20866989955869</v>
      </c>
    </row>
    <row r="189" spans="1:7" x14ac:dyDescent="0.3">
      <c r="A189" s="5">
        <v>186</v>
      </c>
      <c r="B189" s="16">
        <f t="shared" si="10"/>
        <v>62463.763387541119</v>
      </c>
      <c r="C189" s="16">
        <f t="shared" si="11"/>
        <v>225.37152889502624</v>
      </c>
      <c r="D189" s="16">
        <f>$J$8-Tableau97[[#This Row],[Intérêts ]]</f>
        <v>443.01124100453239</v>
      </c>
      <c r="E189" s="16">
        <f t="shared" si="12"/>
        <v>668.38276989955864</v>
      </c>
      <c r="F189" s="16">
        <f t="shared" si="13"/>
        <v>36.825899999999997</v>
      </c>
      <c r="G189" s="16">
        <f t="shared" si="14"/>
        <v>705.20866989955869</v>
      </c>
    </row>
    <row r="190" spans="1:7" x14ac:dyDescent="0.3">
      <c r="A190" s="5">
        <v>187</v>
      </c>
      <c r="B190" s="16">
        <f t="shared" si="10"/>
        <v>62019.165002365036</v>
      </c>
      <c r="C190" s="16">
        <f t="shared" si="11"/>
        <v>223.78438472347355</v>
      </c>
      <c r="D190" s="16">
        <f>$J$8-Tableau97[[#This Row],[Intérêts ]]</f>
        <v>444.59838517608512</v>
      </c>
      <c r="E190" s="16">
        <f t="shared" si="12"/>
        <v>668.38276989955864</v>
      </c>
      <c r="F190" s="16">
        <f t="shared" si="13"/>
        <v>36.825899999999997</v>
      </c>
      <c r="G190" s="16">
        <f t="shared" si="14"/>
        <v>705.20866989955869</v>
      </c>
    </row>
    <row r="191" spans="1:7" x14ac:dyDescent="0.3">
      <c r="A191" s="5">
        <v>188</v>
      </c>
      <c r="B191" s="16">
        <f t="shared" si="10"/>
        <v>61572.973786871342</v>
      </c>
      <c r="C191" s="16">
        <f t="shared" si="11"/>
        <v>222.19155440586377</v>
      </c>
      <c r="D191" s="16">
        <f>$J$8-Tableau97[[#This Row],[Intérêts ]]</f>
        <v>446.19121549369487</v>
      </c>
      <c r="E191" s="16">
        <f t="shared" si="12"/>
        <v>668.38276989955864</v>
      </c>
      <c r="F191" s="16">
        <f t="shared" si="13"/>
        <v>36.825899999999997</v>
      </c>
      <c r="G191" s="16">
        <f t="shared" si="14"/>
        <v>705.20866989955869</v>
      </c>
    </row>
    <row r="192" spans="1:7" x14ac:dyDescent="0.3">
      <c r="A192" s="5">
        <v>189</v>
      </c>
      <c r="B192" s="16">
        <f t="shared" si="10"/>
        <v>61125.184034542639</v>
      </c>
      <c r="C192" s="16">
        <f t="shared" si="11"/>
        <v>220.5930175708547</v>
      </c>
      <c r="D192" s="16">
        <f>$J$8-Tableau97[[#This Row],[Intérêts ]]</f>
        <v>447.78975232870391</v>
      </c>
      <c r="E192" s="16">
        <f t="shared" si="12"/>
        <v>668.38276989955864</v>
      </c>
      <c r="F192" s="16">
        <f t="shared" si="13"/>
        <v>36.825899999999997</v>
      </c>
      <c r="G192" s="16">
        <f t="shared" si="14"/>
        <v>705.20866989955869</v>
      </c>
    </row>
    <row r="193" spans="1:7" x14ac:dyDescent="0.3">
      <c r="A193" s="5">
        <v>190</v>
      </c>
      <c r="B193" s="16">
        <f t="shared" si="10"/>
        <v>60675.790018417203</v>
      </c>
      <c r="C193" s="16">
        <f t="shared" si="11"/>
        <v>218.98875377412125</v>
      </c>
      <c r="D193" s="16">
        <f>$J$8-Tableau97[[#This Row],[Intérêts ]]</f>
        <v>449.39401612543736</v>
      </c>
      <c r="E193" s="16">
        <f t="shared" si="12"/>
        <v>668.38276989955864</v>
      </c>
      <c r="F193" s="16">
        <f t="shared" si="13"/>
        <v>36.825899999999997</v>
      </c>
      <c r="G193" s="16">
        <f t="shared" si="14"/>
        <v>705.20866989955869</v>
      </c>
    </row>
    <row r="194" spans="1:7" x14ac:dyDescent="0.3">
      <c r="A194" s="5">
        <v>191</v>
      </c>
      <c r="B194" s="16">
        <f t="shared" si="10"/>
        <v>60224.785991015735</v>
      </c>
      <c r="C194" s="16">
        <f t="shared" si="11"/>
        <v>217.37874249809397</v>
      </c>
      <c r="D194" s="16">
        <f>$J$8-Tableau97[[#This Row],[Intérêts ]]</f>
        <v>451.00402740146467</v>
      </c>
      <c r="E194" s="16">
        <f t="shared" si="12"/>
        <v>668.38276989955864</v>
      </c>
      <c r="F194" s="16">
        <f t="shared" si="13"/>
        <v>36.825899999999997</v>
      </c>
      <c r="G194" s="16">
        <f t="shared" si="14"/>
        <v>705.20866989955869</v>
      </c>
    </row>
    <row r="195" spans="1:7" x14ac:dyDescent="0.3">
      <c r="A195" s="5">
        <v>192</v>
      </c>
      <c r="B195" s="16">
        <f t="shared" si="10"/>
        <v>59772.166184267873</v>
      </c>
      <c r="C195" s="16">
        <f t="shared" si="11"/>
        <v>215.76296315169654</v>
      </c>
      <c r="D195" s="16">
        <f>$J$8-Tableau97[[#This Row],[Intérêts ]]</f>
        <v>452.61980674786207</v>
      </c>
      <c r="E195" s="16">
        <f t="shared" si="12"/>
        <v>668.38276989955864</v>
      </c>
      <c r="F195" s="16">
        <f t="shared" si="13"/>
        <v>36.825899999999997</v>
      </c>
      <c r="G195" s="16">
        <f t="shared" si="14"/>
        <v>705.20866989955869</v>
      </c>
    </row>
    <row r="196" spans="1:7" x14ac:dyDescent="0.3">
      <c r="A196" s="5">
        <v>193</v>
      </c>
      <c r="B196" s="16">
        <f t="shared" si="10"/>
        <v>59317.924809438395</v>
      </c>
      <c r="C196" s="16">
        <f t="shared" si="11"/>
        <v>214.1413950700825</v>
      </c>
      <c r="D196" s="16">
        <f>$J$8-Tableau97[[#This Row],[Intérêts ]]</f>
        <v>454.24137482947617</v>
      </c>
      <c r="E196" s="16">
        <f t="shared" si="12"/>
        <v>668.38276989955864</v>
      </c>
      <c r="F196" s="16">
        <f t="shared" si="13"/>
        <v>36.825899999999997</v>
      </c>
      <c r="G196" s="16">
        <f t="shared" si="14"/>
        <v>705.20866989955869</v>
      </c>
    </row>
    <row r="197" spans="1:7" x14ac:dyDescent="0.3">
      <c r="A197" s="5">
        <v>194</v>
      </c>
      <c r="B197" s="16">
        <f t="shared" ref="B197:B244" si="15">B196-D197</f>
        <v>58862.056057053211</v>
      </c>
      <c r="C197" s="16">
        <f t="shared" ref="C197:C244" si="16">B196*$J$4</f>
        <v>212.51401751437098</v>
      </c>
      <c r="D197" s="16">
        <f>$J$8-Tableau97[[#This Row],[Intérêts ]]</f>
        <v>455.86875238518769</v>
      </c>
      <c r="E197" s="16">
        <f t="shared" ref="E197:E244" si="17">$J$8</f>
        <v>668.38276989955864</v>
      </c>
      <c r="F197" s="16">
        <f t="shared" ref="F197:F244" si="18">$J$11/$J$6</f>
        <v>36.825899999999997</v>
      </c>
      <c r="G197" s="16">
        <f t="shared" ref="G197:G244" si="19">IF(E197&lt;&gt;"",E197+F197,"")</f>
        <v>705.20866989955869</v>
      </c>
    </row>
    <row r="198" spans="1:7" x14ac:dyDescent="0.3">
      <c r="A198" s="5">
        <v>195</v>
      </c>
      <c r="B198" s="16">
        <f t="shared" si="15"/>
        <v>58404.554096825035</v>
      </c>
      <c r="C198" s="16">
        <f t="shared" si="16"/>
        <v>210.88080967138143</v>
      </c>
      <c r="D198" s="16">
        <f>$J$8-Tableau97[[#This Row],[Intérêts ]]</f>
        <v>457.50196022817721</v>
      </c>
      <c r="E198" s="16">
        <f t="shared" si="17"/>
        <v>668.38276989955864</v>
      </c>
      <c r="F198" s="16">
        <f t="shared" si="18"/>
        <v>36.825899999999997</v>
      </c>
      <c r="G198" s="16">
        <f t="shared" si="19"/>
        <v>705.20866989955869</v>
      </c>
    </row>
    <row r="199" spans="1:7" x14ac:dyDescent="0.3">
      <c r="A199" s="5">
        <v>196</v>
      </c>
      <c r="B199" s="16">
        <f t="shared" si="15"/>
        <v>57945.413077578844</v>
      </c>
      <c r="C199" s="16">
        <f t="shared" si="16"/>
        <v>209.24175065336738</v>
      </c>
      <c r="D199" s="16">
        <f>$J$8-Tableau97[[#This Row],[Intérêts ]]</f>
        <v>459.14101924619126</v>
      </c>
      <c r="E199" s="16">
        <f t="shared" si="17"/>
        <v>668.38276989955864</v>
      </c>
      <c r="F199" s="16">
        <f t="shared" si="18"/>
        <v>36.825899999999997</v>
      </c>
      <c r="G199" s="16">
        <f t="shared" si="19"/>
        <v>705.20866989955869</v>
      </c>
    </row>
    <row r="200" spans="1:7" x14ac:dyDescent="0.3">
      <c r="A200" s="5">
        <v>197</v>
      </c>
      <c r="B200" s="16">
        <f t="shared" si="15"/>
        <v>57484.627127177031</v>
      </c>
      <c r="C200" s="16">
        <f t="shared" si="16"/>
        <v>207.59681949774935</v>
      </c>
      <c r="D200" s="16">
        <f>$J$8-Tableau97[[#This Row],[Intérêts ]]</f>
        <v>460.78595040180926</v>
      </c>
      <c r="E200" s="16">
        <f t="shared" si="17"/>
        <v>668.38276989955864</v>
      </c>
      <c r="F200" s="16">
        <f t="shared" si="18"/>
        <v>36.825899999999997</v>
      </c>
      <c r="G200" s="16">
        <f t="shared" si="19"/>
        <v>705.20866989955869</v>
      </c>
    </row>
    <row r="201" spans="1:7" x14ac:dyDescent="0.3">
      <c r="A201" s="5">
        <v>198</v>
      </c>
      <c r="B201" s="16">
        <f t="shared" si="15"/>
        <v>57022.190352444319</v>
      </c>
      <c r="C201" s="16">
        <f t="shared" si="16"/>
        <v>205.94599516684684</v>
      </c>
      <c r="D201" s="16">
        <f>$J$8-Tableau97[[#This Row],[Intérêts ]]</f>
        <v>462.4367747327118</v>
      </c>
      <c r="E201" s="16">
        <f t="shared" si="17"/>
        <v>668.38276989955864</v>
      </c>
      <c r="F201" s="16">
        <f t="shared" si="18"/>
        <v>36.825899999999997</v>
      </c>
      <c r="G201" s="16">
        <f t="shared" si="19"/>
        <v>705.20866989955869</v>
      </c>
    </row>
    <row r="202" spans="1:7" x14ac:dyDescent="0.3">
      <c r="A202" s="5">
        <v>199</v>
      </c>
      <c r="B202" s="16">
        <f t="shared" si="15"/>
        <v>56558.096839092366</v>
      </c>
      <c r="C202" s="16">
        <f t="shared" si="16"/>
        <v>204.28925654760911</v>
      </c>
      <c r="D202" s="16">
        <f>$J$8-Tableau97[[#This Row],[Intérêts ]]</f>
        <v>464.09351335194953</v>
      </c>
      <c r="E202" s="16">
        <f t="shared" si="17"/>
        <v>668.38276989955864</v>
      </c>
      <c r="F202" s="16">
        <f t="shared" si="18"/>
        <v>36.825899999999997</v>
      </c>
      <c r="G202" s="16">
        <f t="shared" si="19"/>
        <v>705.20866989955869</v>
      </c>
    </row>
    <row r="203" spans="1:7" x14ac:dyDescent="0.3">
      <c r="A203" s="5">
        <v>200</v>
      </c>
      <c r="B203" s="16">
        <f t="shared" si="15"/>
        <v>56092.340651644154</v>
      </c>
      <c r="C203" s="16">
        <f t="shared" si="16"/>
        <v>202.62658245134523</v>
      </c>
      <c r="D203" s="16">
        <f>$J$8-Tableau97[[#This Row],[Intérêts ]]</f>
        <v>465.75618744821338</v>
      </c>
      <c r="E203" s="16">
        <f t="shared" si="17"/>
        <v>668.38276989955864</v>
      </c>
      <c r="F203" s="16">
        <f t="shared" si="18"/>
        <v>36.825899999999997</v>
      </c>
      <c r="G203" s="16">
        <f t="shared" si="19"/>
        <v>705.20866989955869</v>
      </c>
    </row>
    <row r="204" spans="1:7" x14ac:dyDescent="0.3">
      <c r="A204" s="5">
        <v>201</v>
      </c>
      <c r="B204" s="16">
        <f t="shared" si="15"/>
        <v>55624.915833358049</v>
      </c>
      <c r="C204" s="16">
        <f t="shared" si="16"/>
        <v>200.95795161345308</v>
      </c>
      <c r="D204" s="16">
        <f>$J$8-Tableau97[[#This Row],[Intérêts ]]</f>
        <v>467.42481828610556</v>
      </c>
      <c r="E204" s="16">
        <f t="shared" si="17"/>
        <v>668.38276989955864</v>
      </c>
      <c r="F204" s="16">
        <f t="shared" si="18"/>
        <v>36.825899999999997</v>
      </c>
      <c r="G204" s="16">
        <f t="shared" si="19"/>
        <v>705.20866989955869</v>
      </c>
    </row>
    <row r="205" spans="1:7" x14ac:dyDescent="0.3">
      <c r="A205" s="5">
        <v>202</v>
      </c>
      <c r="B205" s="16">
        <f t="shared" si="15"/>
        <v>55155.816406151636</v>
      </c>
      <c r="C205" s="16">
        <f t="shared" si="16"/>
        <v>199.28334269314743</v>
      </c>
      <c r="D205" s="16">
        <f>$J$8-Tableau97[[#This Row],[Intérêts ]]</f>
        <v>469.09942720641118</v>
      </c>
      <c r="E205" s="16">
        <f t="shared" si="17"/>
        <v>668.38276989955864</v>
      </c>
      <c r="F205" s="16">
        <f t="shared" si="18"/>
        <v>36.825899999999997</v>
      </c>
      <c r="G205" s="16">
        <f t="shared" si="19"/>
        <v>705.20866989955869</v>
      </c>
    </row>
    <row r="206" spans="1:7" x14ac:dyDescent="0.3">
      <c r="A206" s="5">
        <v>203</v>
      </c>
      <c r="B206" s="16">
        <f t="shared" si="15"/>
        <v>54685.036370525268</v>
      </c>
      <c r="C206" s="16">
        <f t="shared" si="16"/>
        <v>197.60273427318694</v>
      </c>
      <c r="D206" s="16">
        <f>$J$8-Tableau97[[#This Row],[Intérêts ]]</f>
        <v>470.78003562637173</v>
      </c>
      <c r="E206" s="16">
        <f t="shared" si="17"/>
        <v>668.38276989955864</v>
      </c>
      <c r="F206" s="16">
        <f t="shared" si="18"/>
        <v>36.825899999999997</v>
      </c>
      <c r="G206" s="16">
        <f t="shared" si="19"/>
        <v>705.20866989955869</v>
      </c>
    </row>
    <row r="207" spans="1:7" x14ac:dyDescent="0.3">
      <c r="A207" s="5">
        <v>204</v>
      </c>
      <c r="B207" s="16">
        <f t="shared" si="15"/>
        <v>54212.569705485308</v>
      </c>
      <c r="C207" s="16">
        <f t="shared" si="16"/>
        <v>195.91610485960032</v>
      </c>
      <c r="D207" s="16">
        <f>$J$8-Tableau97[[#This Row],[Intérêts ]]</f>
        <v>472.46666503995834</v>
      </c>
      <c r="E207" s="16">
        <f t="shared" si="17"/>
        <v>668.38276989955864</v>
      </c>
      <c r="F207" s="16">
        <f t="shared" si="18"/>
        <v>36.825899999999997</v>
      </c>
      <c r="G207" s="16">
        <f t="shared" si="19"/>
        <v>705.20866989955869</v>
      </c>
    </row>
    <row r="208" spans="1:7" x14ac:dyDescent="0.3">
      <c r="A208" s="5">
        <v>205</v>
      </c>
      <c r="B208" s="16">
        <f t="shared" si="15"/>
        <v>53738.410368467157</v>
      </c>
      <c r="C208" s="16">
        <f t="shared" si="16"/>
        <v>194.22343288141133</v>
      </c>
      <c r="D208" s="16">
        <f>$J$8-Tableau97[[#This Row],[Intérêts ]]</f>
        <v>474.15933701814731</v>
      </c>
      <c r="E208" s="16">
        <f t="shared" si="17"/>
        <v>668.38276989955864</v>
      </c>
      <c r="F208" s="16">
        <f t="shared" si="18"/>
        <v>36.825899999999997</v>
      </c>
      <c r="G208" s="16">
        <f t="shared" si="19"/>
        <v>705.20866989955869</v>
      </c>
    </row>
    <row r="209" spans="1:7" x14ac:dyDescent="0.3">
      <c r="A209" s="5">
        <v>206</v>
      </c>
      <c r="B209" s="16">
        <f t="shared" si="15"/>
        <v>53262.552295257963</v>
      </c>
      <c r="C209" s="16">
        <f t="shared" si="16"/>
        <v>192.52469669036299</v>
      </c>
      <c r="D209" s="16">
        <f>$J$8-Tableau97[[#This Row],[Intérêts ]]</f>
        <v>475.85807320919565</v>
      </c>
      <c r="E209" s="16">
        <f t="shared" si="17"/>
        <v>668.38276989955864</v>
      </c>
      <c r="F209" s="16">
        <f t="shared" si="18"/>
        <v>36.825899999999997</v>
      </c>
      <c r="G209" s="16">
        <f t="shared" si="19"/>
        <v>705.20866989955869</v>
      </c>
    </row>
    <row r="210" spans="1:7" x14ac:dyDescent="0.3">
      <c r="A210" s="5">
        <v>207</v>
      </c>
      <c r="B210" s="16">
        <f t="shared" si="15"/>
        <v>52784.989399919046</v>
      </c>
      <c r="C210" s="16">
        <f t="shared" si="16"/>
        <v>190.8198745606407</v>
      </c>
      <c r="D210" s="16">
        <f>$J$8-Tableau97[[#This Row],[Intérêts ]]</f>
        <v>477.56289533891794</v>
      </c>
      <c r="E210" s="16">
        <f t="shared" si="17"/>
        <v>668.38276989955864</v>
      </c>
      <c r="F210" s="16">
        <f t="shared" si="18"/>
        <v>36.825899999999997</v>
      </c>
      <c r="G210" s="16">
        <f t="shared" si="19"/>
        <v>705.20866989955869</v>
      </c>
    </row>
    <row r="211" spans="1:7" x14ac:dyDescent="0.3">
      <c r="A211" s="5">
        <v>208</v>
      </c>
      <c r="B211" s="16">
        <f t="shared" si="15"/>
        <v>52305.715574708083</v>
      </c>
      <c r="C211" s="16">
        <f t="shared" si="16"/>
        <v>189.10894468859433</v>
      </c>
      <c r="D211" s="16">
        <f>$J$8-Tableau97[[#This Row],[Intérêts ]]</f>
        <v>479.27382521096433</v>
      </c>
      <c r="E211" s="16">
        <f t="shared" si="17"/>
        <v>668.38276989955864</v>
      </c>
      <c r="F211" s="16">
        <f t="shared" si="18"/>
        <v>36.825899999999997</v>
      </c>
      <c r="G211" s="16">
        <f t="shared" si="19"/>
        <v>705.20866989955869</v>
      </c>
    </row>
    <row r="212" spans="1:7" x14ac:dyDescent="0.3">
      <c r="A212" s="5">
        <v>209</v>
      </c>
      <c r="B212" s="16">
        <f t="shared" si="15"/>
        <v>51824.724690000985</v>
      </c>
      <c r="C212" s="16">
        <f t="shared" si="16"/>
        <v>187.39188519245943</v>
      </c>
      <c r="D212" s="16">
        <f>$J$8-Tableau97[[#This Row],[Intérêts ]]</f>
        <v>480.99088470709921</v>
      </c>
      <c r="E212" s="16">
        <f t="shared" si="17"/>
        <v>668.38276989955864</v>
      </c>
      <c r="F212" s="16">
        <f t="shared" si="18"/>
        <v>36.825899999999997</v>
      </c>
      <c r="G212" s="16">
        <f t="shared" si="19"/>
        <v>705.20866989955869</v>
      </c>
    </row>
    <row r="213" spans="1:7" x14ac:dyDescent="0.3">
      <c r="A213" s="5">
        <v>210</v>
      </c>
      <c r="B213" s="16">
        <f t="shared" si="15"/>
        <v>51342.010594213505</v>
      </c>
      <c r="C213" s="16">
        <f t="shared" si="16"/>
        <v>185.66867411207733</v>
      </c>
      <c r="D213" s="16">
        <f>$J$8-Tableau97[[#This Row],[Intérêts ]]</f>
        <v>482.71409578748131</v>
      </c>
      <c r="E213" s="16">
        <f t="shared" si="17"/>
        <v>668.38276989955864</v>
      </c>
      <c r="F213" s="16">
        <f t="shared" si="18"/>
        <v>36.825899999999997</v>
      </c>
      <c r="G213" s="16">
        <f t="shared" si="19"/>
        <v>705.20866989955869</v>
      </c>
    </row>
    <row r="214" spans="1:7" x14ac:dyDescent="0.3">
      <c r="A214" s="5">
        <v>211</v>
      </c>
      <c r="B214" s="16">
        <f t="shared" si="15"/>
        <v>50857.567113722558</v>
      </c>
      <c r="C214" s="16">
        <f t="shared" si="16"/>
        <v>183.93928940861426</v>
      </c>
      <c r="D214" s="16">
        <f>$J$8-Tableau97[[#This Row],[Intérêts ]]</f>
        <v>484.44348049094435</v>
      </c>
      <c r="E214" s="16">
        <f t="shared" si="17"/>
        <v>668.38276989955864</v>
      </c>
      <c r="F214" s="16">
        <f t="shared" si="18"/>
        <v>36.825899999999997</v>
      </c>
      <c r="G214" s="16">
        <f t="shared" si="19"/>
        <v>705.20866989955869</v>
      </c>
    </row>
    <row r="215" spans="1:7" x14ac:dyDescent="0.3">
      <c r="A215" s="5">
        <v>212</v>
      </c>
      <c r="B215" s="16">
        <f t="shared" si="15"/>
        <v>50371.388052787283</v>
      </c>
      <c r="C215" s="16">
        <f t="shared" si="16"/>
        <v>182.2037089642796</v>
      </c>
      <c r="D215" s="16">
        <f>$J$8-Tableau97[[#This Row],[Intérêts ]]</f>
        <v>486.17906093527904</v>
      </c>
      <c r="E215" s="16">
        <f t="shared" si="17"/>
        <v>668.38276989955864</v>
      </c>
      <c r="F215" s="16">
        <f t="shared" si="18"/>
        <v>36.825899999999997</v>
      </c>
      <c r="G215" s="16">
        <f t="shared" si="19"/>
        <v>705.20866989955869</v>
      </c>
    </row>
    <row r="216" spans="1:7" x14ac:dyDescent="0.3">
      <c r="A216" s="5">
        <v>213</v>
      </c>
      <c r="B216" s="16">
        <f t="shared" si="15"/>
        <v>49883.467193469769</v>
      </c>
      <c r="C216" s="16">
        <f t="shared" si="16"/>
        <v>180.46191058204286</v>
      </c>
      <c r="D216" s="16">
        <f>$J$8-Tableau97[[#This Row],[Intérêts ]]</f>
        <v>487.92085931751581</v>
      </c>
      <c r="E216" s="16">
        <f t="shared" si="17"/>
        <v>668.38276989955864</v>
      </c>
      <c r="F216" s="16">
        <f t="shared" si="18"/>
        <v>36.825899999999997</v>
      </c>
      <c r="G216" s="16">
        <f t="shared" si="19"/>
        <v>705.20866989955869</v>
      </c>
    </row>
    <row r="217" spans="1:7" x14ac:dyDescent="0.3">
      <c r="A217" s="5">
        <v>214</v>
      </c>
      <c r="B217" s="16">
        <f t="shared" si="15"/>
        <v>49393.798295555564</v>
      </c>
      <c r="C217" s="16">
        <f t="shared" si="16"/>
        <v>178.7138719853499</v>
      </c>
      <c r="D217" s="16">
        <f>$J$8-Tableau97[[#This Row],[Intérêts ]]</f>
        <v>489.66889791420874</v>
      </c>
      <c r="E217" s="16">
        <f t="shared" si="17"/>
        <v>668.38276989955864</v>
      </c>
      <c r="F217" s="16">
        <f t="shared" si="18"/>
        <v>36.825899999999997</v>
      </c>
      <c r="G217" s="16">
        <f t="shared" si="19"/>
        <v>705.20866989955869</v>
      </c>
    </row>
    <row r="218" spans="1:7" x14ac:dyDescent="0.3">
      <c r="A218" s="5">
        <v>215</v>
      </c>
      <c r="B218" s="16">
        <f t="shared" si="15"/>
        <v>48902.375096473843</v>
      </c>
      <c r="C218" s="16">
        <f t="shared" si="16"/>
        <v>176.95957081783797</v>
      </c>
      <c r="D218" s="16">
        <f>$J$8-Tableau97[[#This Row],[Intérêts ]]</f>
        <v>491.42319908172067</v>
      </c>
      <c r="E218" s="16">
        <f t="shared" si="17"/>
        <v>668.38276989955864</v>
      </c>
      <c r="F218" s="16">
        <f t="shared" si="18"/>
        <v>36.825899999999997</v>
      </c>
      <c r="G218" s="16">
        <f t="shared" si="19"/>
        <v>705.20866989955869</v>
      </c>
    </row>
    <row r="219" spans="1:7" x14ac:dyDescent="0.3">
      <c r="A219" s="5">
        <v>216</v>
      </c>
      <c r="B219" s="16">
        <f t="shared" si="15"/>
        <v>48409.191311217335</v>
      </c>
      <c r="C219" s="16">
        <f t="shared" si="16"/>
        <v>175.19898464304981</v>
      </c>
      <c r="D219" s="16">
        <f>$J$8-Tableau97[[#This Row],[Intérêts ]]</f>
        <v>493.18378525650883</v>
      </c>
      <c r="E219" s="16">
        <f t="shared" si="17"/>
        <v>668.38276989955864</v>
      </c>
      <c r="F219" s="16">
        <f t="shared" si="18"/>
        <v>36.825899999999997</v>
      </c>
      <c r="G219" s="16">
        <f t="shared" si="19"/>
        <v>705.20866989955869</v>
      </c>
    </row>
    <row r="220" spans="1:7" x14ac:dyDescent="0.3">
      <c r="A220" s="5">
        <v>217</v>
      </c>
      <c r="B220" s="16">
        <f t="shared" si="15"/>
        <v>47914.240632261921</v>
      </c>
      <c r="C220" s="16">
        <f t="shared" si="16"/>
        <v>173.43209094414672</v>
      </c>
      <c r="D220" s="16">
        <f>$J$8-Tableau97[[#This Row],[Intérêts ]]</f>
        <v>494.95067895541195</v>
      </c>
      <c r="E220" s="16">
        <f t="shared" si="17"/>
        <v>668.38276989955864</v>
      </c>
      <c r="F220" s="16">
        <f t="shared" si="18"/>
        <v>36.825899999999997</v>
      </c>
      <c r="G220" s="16">
        <f t="shared" si="19"/>
        <v>705.20866989955869</v>
      </c>
    </row>
    <row r="221" spans="1:7" x14ac:dyDescent="0.3">
      <c r="A221" s="5">
        <v>218</v>
      </c>
      <c r="B221" s="16">
        <f t="shared" si="15"/>
        <v>47417.516729485986</v>
      </c>
      <c r="C221" s="16">
        <f t="shared" si="16"/>
        <v>171.65886712362047</v>
      </c>
      <c r="D221" s="16">
        <f>$J$8-Tableau97[[#This Row],[Intérêts ]]</f>
        <v>496.7239027759382</v>
      </c>
      <c r="E221" s="16">
        <f t="shared" si="17"/>
        <v>668.38276989955864</v>
      </c>
      <c r="F221" s="16">
        <f t="shared" si="18"/>
        <v>36.825899999999997</v>
      </c>
      <c r="G221" s="16">
        <f t="shared" si="19"/>
        <v>705.20866989955869</v>
      </c>
    </row>
    <row r="222" spans="1:7" x14ac:dyDescent="0.3">
      <c r="A222" s="5">
        <v>219</v>
      </c>
      <c r="B222" s="16">
        <f t="shared" si="15"/>
        <v>46919.013250089432</v>
      </c>
      <c r="C222" s="16">
        <f t="shared" si="16"/>
        <v>169.87929050300451</v>
      </c>
      <c r="D222" s="16">
        <f>$J$8-Tableau97[[#This Row],[Intérêts ]]</f>
        <v>498.5034793965541</v>
      </c>
      <c r="E222" s="16">
        <f t="shared" si="17"/>
        <v>668.38276989955864</v>
      </c>
      <c r="F222" s="16">
        <f t="shared" si="18"/>
        <v>36.825899999999997</v>
      </c>
      <c r="G222" s="16">
        <f t="shared" si="19"/>
        <v>705.20866989955869</v>
      </c>
    </row>
    <row r="223" spans="1:7" x14ac:dyDescent="0.3">
      <c r="A223" s="5">
        <v>220</v>
      </c>
      <c r="B223" s="16">
        <f t="shared" si="15"/>
        <v>46418.723818512459</v>
      </c>
      <c r="C223" s="16">
        <f t="shared" si="16"/>
        <v>168.09333832258369</v>
      </c>
      <c r="D223" s="16">
        <f>$J$8-Tableau97[[#This Row],[Intérêts ]]</f>
        <v>500.28943157697495</v>
      </c>
      <c r="E223" s="16">
        <f t="shared" si="17"/>
        <v>668.38276989955864</v>
      </c>
      <c r="F223" s="16">
        <f t="shared" si="18"/>
        <v>36.825899999999997</v>
      </c>
      <c r="G223" s="16">
        <f t="shared" si="19"/>
        <v>705.20866989955869</v>
      </c>
    </row>
    <row r="224" spans="1:7" x14ac:dyDescent="0.3">
      <c r="A224" s="5">
        <v>221</v>
      </c>
      <c r="B224" s="16">
        <f t="shared" si="15"/>
        <v>45916.642036354002</v>
      </c>
      <c r="C224" s="16">
        <f t="shared" si="16"/>
        <v>166.30098774110337</v>
      </c>
      <c r="D224" s="16">
        <f>$J$8-Tableau97[[#This Row],[Intérêts ]]</f>
        <v>502.08178215845527</v>
      </c>
      <c r="E224" s="16">
        <f t="shared" si="17"/>
        <v>668.38276989955864</v>
      </c>
      <c r="F224" s="16">
        <f t="shared" si="18"/>
        <v>36.825899999999997</v>
      </c>
      <c r="G224" s="16">
        <f t="shared" si="19"/>
        <v>705.20866989955869</v>
      </c>
    </row>
    <row r="225" spans="1:7" x14ac:dyDescent="0.3">
      <c r="A225" s="5">
        <v>222</v>
      </c>
      <c r="B225" s="16">
        <f t="shared" si="15"/>
        <v>45412.76148228992</v>
      </c>
      <c r="C225" s="16">
        <f t="shared" si="16"/>
        <v>164.5022158354771</v>
      </c>
      <c r="D225" s="16">
        <f>$J$8-Tableau97[[#This Row],[Intérêts ]]</f>
        <v>503.88055406408154</v>
      </c>
      <c r="E225" s="16">
        <f t="shared" si="17"/>
        <v>668.38276989955864</v>
      </c>
      <c r="F225" s="16">
        <f t="shared" si="18"/>
        <v>36.825899999999997</v>
      </c>
      <c r="G225" s="16">
        <f t="shared" si="19"/>
        <v>705.20866989955869</v>
      </c>
    </row>
    <row r="226" spans="1:7" x14ac:dyDescent="0.3">
      <c r="A226" s="5">
        <v>223</v>
      </c>
      <c r="B226" s="16">
        <f t="shared" si="15"/>
        <v>44907.075711990852</v>
      </c>
      <c r="C226" s="16">
        <f t="shared" si="16"/>
        <v>162.69699960049365</v>
      </c>
      <c r="D226" s="16">
        <f>$J$8-Tableau97[[#This Row],[Intérêts ]]</f>
        <v>505.68577029906498</v>
      </c>
      <c r="E226" s="16">
        <f t="shared" si="17"/>
        <v>668.38276989955864</v>
      </c>
      <c r="F226" s="16">
        <f t="shared" si="18"/>
        <v>36.825899999999997</v>
      </c>
      <c r="G226" s="16">
        <f t="shared" si="19"/>
        <v>705.20866989955869</v>
      </c>
    </row>
    <row r="227" spans="1:7" x14ac:dyDescent="0.3">
      <c r="A227" s="5">
        <v>224</v>
      </c>
      <c r="B227" s="16">
        <f t="shared" si="15"/>
        <v>44399.578258039815</v>
      </c>
      <c r="C227" s="16">
        <f t="shared" si="16"/>
        <v>160.88531594852267</v>
      </c>
      <c r="D227" s="16">
        <f>$J$8-Tableau97[[#This Row],[Intérêts ]]</f>
        <v>507.49745395103594</v>
      </c>
      <c r="E227" s="16">
        <f t="shared" si="17"/>
        <v>668.38276989955864</v>
      </c>
      <c r="F227" s="16">
        <f t="shared" si="18"/>
        <v>36.825899999999997</v>
      </c>
      <c r="G227" s="16">
        <f t="shared" si="19"/>
        <v>705.20866989955869</v>
      </c>
    </row>
    <row r="228" spans="1:7" x14ac:dyDescent="0.3">
      <c r="A228" s="5">
        <v>225</v>
      </c>
      <c r="B228" s="16">
        <f t="shared" si="15"/>
        <v>43890.26262984948</v>
      </c>
      <c r="C228" s="16">
        <f t="shared" si="16"/>
        <v>159.06714170921938</v>
      </c>
      <c r="D228" s="16">
        <f>$J$8-Tableau97[[#This Row],[Intérêts ]]</f>
        <v>509.31562819033923</v>
      </c>
      <c r="E228" s="16">
        <f t="shared" si="17"/>
        <v>668.38276989955864</v>
      </c>
      <c r="F228" s="16">
        <f t="shared" si="18"/>
        <v>36.825899999999997</v>
      </c>
      <c r="G228" s="16">
        <f t="shared" si="19"/>
        <v>705.20866989955869</v>
      </c>
    </row>
    <row r="229" spans="1:7" x14ac:dyDescent="0.3">
      <c r="A229" s="5">
        <v>226</v>
      </c>
      <c r="B229" s="16">
        <f t="shared" si="15"/>
        <v>43379.122313579152</v>
      </c>
      <c r="C229" s="16">
        <f t="shared" si="16"/>
        <v>157.24245362922841</v>
      </c>
      <c r="D229" s="16">
        <f>$J$8-Tableau97[[#This Row],[Intérêts ]]</f>
        <v>511.14031627033023</v>
      </c>
      <c r="E229" s="16">
        <f t="shared" si="17"/>
        <v>668.38276989955864</v>
      </c>
      <c r="F229" s="16">
        <f t="shared" si="18"/>
        <v>36.825899999999997</v>
      </c>
      <c r="G229" s="16">
        <f t="shared" si="19"/>
        <v>705.20866989955869</v>
      </c>
    </row>
    <row r="230" spans="1:7" x14ac:dyDescent="0.3">
      <c r="A230" s="5">
        <v>227</v>
      </c>
      <c r="B230" s="16">
        <f t="shared" si="15"/>
        <v>42866.150772051478</v>
      </c>
      <c r="C230" s="16">
        <f t="shared" si="16"/>
        <v>155.41122837188612</v>
      </c>
      <c r="D230" s="16">
        <f>$J$8-Tableau97[[#This Row],[Intérêts ]]</f>
        <v>512.97154152767257</v>
      </c>
      <c r="E230" s="16">
        <f t="shared" si="17"/>
        <v>668.38276989955864</v>
      </c>
      <c r="F230" s="16">
        <f t="shared" si="18"/>
        <v>36.825899999999997</v>
      </c>
      <c r="G230" s="16">
        <f t="shared" si="19"/>
        <v>705.20866989955869</v>
      </c>
    </row>
    <row r="231" spans="1:7" x14ac:dyDescent="0.3">
      <c r="A231" s="5">
        <v>228</v>
      </c>
      <c r="B231" s="16">
        <f t="shared" si="15"/>
        <v>42351.34144466884</v>
      </c>
      <c r="C231" s="16">
        <f t="shared" si="16"/>
        <v>153.57344251692243</v>
      </c>
      <c r="D231" s="16">
        <f>$J$8-Tableau97[[#This Row],[Intérêts ]]</f>
        <v>514.80932738263618</v>
      </c>
      <c r="E231" s="16">
        <f t="shared" si="17"/>
        <v>668.38276989955864</v>
      </c>
      <c r="F231" s="16">
        <f t="shared" si="18"/>
        <v>36.825899999999997</v>
      </c>
      <c r="G231" s="16">
        <f t="shared" si="19"/>
        <v>705.20866989955869</v>
      </c>
    </row>
    <row r="232" spans="1:7" x14ac:dyDescent="0.3">
      <c r="A232" s="5">
        <v>229</v>
      </c>
      <c r="B232" s="16">
        <f t="shared" si="15"/>
        <v>41834.687747329444</v>
      </c>
      <c r="C232" s="16">
        <f t="shared" si="16"/>
        <v>151.72907256016111</v>
      </c>
      <c r="D232" s="16">
        <f>$J$8-Tableau97[[#This Row],[Intérêts ]]</f>
        <v>516.65369733939747</v>
      </c>
      <c r="E232" s="16">
        <f t="shared" si="17"/>
        <v>668.38276989955864</v>
      </c>
      <c r="F232" s="16">
        <f t="shared" si="18"/>
        <v>36.825899999999997</v>
      </c>
      <c r="G232" s="16">
        <f t="shared" si="19"/>
        <v>705.20866989955869</v>
      </c>
    </row>
    <row r="233" spans="1:7" x14ac:dyDescent="0.3">
      <c r="A233" s="5">
        <v>230</v>
      </c>
      <c r="B233" s="16">
        <f t="shared" si="15"/>
        <v>41316.183072343105</v>
      </c>
      <c r="C233" s="16">
        <f t="shared" si="16"/>
        <v>149.87809491321926</v>
      </c>
      <c r="D233" s="16">
        <f>$J$8-Tableau97[[#This Row],[Intérêts ]]</f>
        <v>518.50467498633941</v>
      </c>
      <c r="E233" s="16">
        <f t="shared" si="17"/>
        <v>668.38276989955864</v>
      </c>
      <c r="F233" s="16">
        <f t="shared" si="18"/>
        <v>36.825899999999997</v>
      </c>
      <c r="G233" s="16">
        <f t="shared" si="19"/>
        <v>705.20866989955869</v>
      </c>
    </row>
    <row r="234" spans="1:7" x14ac:dyDescent="0.3">
      <c r="A234" s="5">
        <v>231</v>
      </c>
      <c r="B234" s="16">
        <f t="shared" si="15"/>
        <v>40795.820788346755</v>
      </c>
      <c r="C234" s="16">
        <f t="shared" si="16"/>
        <v>148.0204859032055</v>
      </c>
      <c r="D234" s="16">
        <f>$J$8-Tableau97[[#This Row],[Intérêts ]]</f>
        <v>520.3622839963532</v>
      </c>
      <c r="E234" s="16">
        <f t="shared" si="17"/>
        <v>668.38276989955864</v>
      </c>
      <c r="F234" s="16">
        <f t="shared" si="18"/>
        <v>36.825899999999997</v>
      </c>
      <c r="G234" s="16">
        <f t="shared" si="19"/>
        <v>705.20866989955869</v>
      </c>
    </row>
    <row r="235" spans="1:7" x14ac:dyDescent="0.3">
      <c r="A235" s="5">
        <v>232</v>
      </c>
      <c r="B235" s="16">
        <f t="shared" si="15"/>
        <v>40273.594240219616</v>
      </c>
      <c r="C235" s="16">
        <f t="shared" si="16"/>
        <v>146.15622177241747</v>
      </c>
      <c r="D235" s="16">
        <f>$J$8-Tableau97[[#This Row],[Intérêts ]]</f>
        <v>522.2265481271412</v>
      </c>
      <c r="E235" s="16">
        <f t="shared" si="17"/>
        <v>668.38276989955864</v>
      </c>
      <c r="F235" s="16">
        <f t="shared" si="18"/>
        <v>36.825899999999997</v>
      </c>
      <c r="G235" s="16">
        <f t="shared" si="19"/>
        <v>705.20866989955869</v>
      </c>
    </row>
    <row r="236" spans="1:7" x14ac:dyDescent="0.3">
      <c r="A236" s="5">
        <v>233</v>
      </c>
      <c r="B236" s="16">
        <f t="shared" si="15"/>
        <v>39749.496748998092</v>
      </c>
      <c r="C236" s="16">
        <f t="shared" si="16"/>
        <v>144.28527867803763</v>
      </c>
      <c r="D236" s="16">
        <f>$J$8-Tableau97[[#This Row],[Intérêts ]]</f>
        <v>524.09749122152107</v>
      </c>
      <c r="E236" s="16">
        <f t="shared" si="17"/>
        <v>668.38276989955864</v>
      </c>
      <c r="F236" s="16">
        <f t="shared" si="18"/>
        <v>36.825899999999997</v>
      </c>
      <c r="G236" s="16">
        <f t="shared" si="19"/>
        <v>705.20866989955869</v>
      </c>
    </row>
    <row r="237" spans="1:7" x14ac:dyDescent="0.3">
      <c r="A237" s="5">
        <v>234</v>
      </c>
      <c r="B237" s="16">
        <f t="shared" si="15"/>
        <v>39223.521611790362</v>
      </c>
      <c r="C237" s="16">
        <f t="shared" si="16"/>
        <v>142.40763269182864</v>
      </c>
      <c r="D237" s="16">
        <f>$J$8-Tableau97[[#This Row],[Intérêts ]]</f>
        <v>525.97513720772997</v>
      </c>
      <c r="E237" s="16">
        <f t="shared" si="17"/>
        <v>668.38276989955864</v>
      </c>
      <c r="F237" s="16">
        <f t="shared" si="18"/>
        <v>36.825899999999997</v>
      </c>
      <c r="G237" s="16">
        <f t="shared" si="19"/>
        <v>705.20866989955869</v>
      </c>
    </row>
    <row r="238" spans="1:7" x14ac:dyDescent="0.3">
      <c r="A238" s="5">
        <v>235</v>
      </c>
      <c r="B238" s="16">
        <f t="shared" si="15"/>
        <v>38695.662101690628</v>
      </c>
      <c r="C238" s="16">
        <f t="shared" si="16"/>
        <v>140.52325979982717</v>
      </c>
      <c r="D238" s="16">
        <f>$J$8-Tableau97[[#This Row],[Intérêts ]]</f>
        <v>527.85951009973144</v>
      </c>
      <c r="E238" s="16">
        <f t="shared" si="17"/>
        <v>668.38276989955864</v>
      </c>
      <c r="F238" s="16">
        <f t="shared" si="18"/>
        <v>36.825899999999997</v>
      </c>
      <c r="G238" s="16">
        <f t="shared" si="19"/>
        <v>705.20866989955869</v>
      </c>
    </row>
    <row r="239" spans="1:7" x14ac:dyDescent="0.3">
      <c r="A239" s="5">
        <v>236</v>
      </c>
      <c r="B239" s="16">
        <f t="shared" si="15"/>
        <v>38165.911467693106</v>
      </c>
      <c r="C239" s="16">
        <f t="shared" si="16"/>
        <v>138.63213590203679</v>
      </c>
      <c r="D239" s="16">
        <f>$J$8-Tableau97[[#This Row],[Intérêts ]]</f>
        <v>529.75063399752185</v>
      </c>
      <c r="E239" s="16">
        <f t="shared" si="17"/>
        <v>668.38276989955864</v>
      </c>
      <c r="F239" s="16">
        <f t="shared" si="18"/>
        <v>36.825899999999997</v>
      </c>
      <c r="G239" s="16">
        <f t="shared" si="19"/>
        <v>705.20866989955869</v>
      </c>
    </row>
    <row r="240" spans="1:7" x14ac:dyDescent="0.3">
      <c r="A240" s="5">
        <v>237</v>
      </c>
      <c r="B240" s="16">
        <f t="shared" si="15"/>
        <v>37634.262934605664</v>
      </c>
      <c r="C240" s="16">
        <f t="shared" si="16"/>
        <v>136.73423681211978</v>
      </c>
      <c r="D240" s="16">
        <f>$J$8-Tableau97[[#This Row],[Intérêts ]]</f>
        <v>531.64853308743886</v>
      </c>
      <c r="E240" s="16">
        <f t="shared" si="17"/>
        <v>668.38276989955864</v>
      </c>
      <c r="F240" s="16">
        <f t="shared" si="18"/>
        <v>36.825899999999997</v>
      </c>
      <c r="G240" s="16">
        <f t="shared" si="19"/>
        <v>705.20866989955869</v>
      </c>
    </row>
    <row r="241" spans="1:7" x14ac:dyDescent="0.3">
      <c r="A241" s="5">
        <v>238</v>
      </c>
      <c r="B241" s="16">
        <f t="shared" si="15"/>
        <v>37100.709702963191</v>
      </c>
      <c r="C241" s="16">
        <f t="shared" si="16"/>
        <v>134.82953825708779</v>
      </c>
      <c r="D241" s="16">
        <f>$J$8-Tableau97[[#This Row],[Intérêts ]]</f>
        <v>533.55323164247079</v>
      </c>
      <c r="E241" s="16">
        <f t="shared" si="17"/>
        <v>668.38276989955864</v>
      </c>
      <c r="F241" s="16">
        <f t="shared" si="18"/>
        <v>36.825899999999997</v>
      </c>
      <c r="G241" s="16">
        <f t="shared" si="19"/>
        <v>705.20866989955869</v>
      </c>
    </row>
    <row r="242" spans="1:7" x14ac:dyDescent="0.3">
      <c r="A242" s="5">
        <v>239</v>
      </c>
      <c r="B242" s="16">
        <f t="shared" si="15"/>
        <v>36565.244948940621</v>
      </c>
      <c r="C242" s="16">
        <f t="shared" si="16"/>
        <v>132.91801587699138</v>
      </c>
      <c r="D242" s="16">
        <f>$J$8-Tableau97[[#This Row],[Intérêts ]]</f>
        <v>535.46475402256726</v>
      </c>
      <c r="E242" s="16">
        <f t="shared" si="17"/>
        <v>668.38276989955864</v>
      </c>
      <c r="F242" s="16">
        <f t="shared" si="18"/>
        <v>36.825899999999997</v>
      </c>
      <c r="G242" s="16">
        <f t="shared" si="19"/>
        <v>705.20866989955869</v>
      </c>
    </row>
    <row r="243" spans="1:7" x14ac:dyDescent="0.3">
      <c r="A243" s="5">
        <v>240</v>
      </c>
      <c r="B243" s="16">
        <f t="shared" si="15"/>
        <v>36027.861824265674</v>
      </c>
      <c r="C243" s="16">
        <f t="shared" si="16"/>
        <v>130.99964522460849</v>
      </c>
      <c r="D243" s="16">
        <f>$J$8-Tableau97[[#This Row],[Intérêts ]]</f>
        <v>537.38312467495018</v>
      </c>
      <c r="E243" s="16">
        <f t="shared" si="17"/>
        <v>668.38276989955864</v>
      </c>
      <c r="F243" s="16">
        <f t="shared" si="18"/>
        <v>36.825899999999997</v>
      </c>
      <c r="G243" s="16">
        <f t="shared" si="19"/>
        <v>705.20866989955869</v>
      </c>
    </row>
    <row r="244" spans="1:7" x14ac:dyDescent="0.3">
      <c r="A244" s="5">
        <v>241</v>
      </c>
      <c r="B244" s="16">
        <f t="shared" si="15"/>
        <v>35488.553456131245</v>
      </c>
      <c r="C244" s="16">
        <f t="shared" si="16"/>
        <v>129.07440176513185</v>
      </c>
      <c r="D244" s="16">
        <f>$J$8-Tableau97[[#This Row],[Intérêts ]]</f>
        <v>539.30836813442681</v>
      </c>
      <c r="E244" s="16">
        <f t="shared" si="17"/>
        <v>668.38276989955864</v>
      </c>
      <c r="F244" s="16">
        <f t="shared" si="18"/>
        <v>36.825899999999997</v>
      </c>
      <c r="G244" s="16">
        <f t="shared" si="19"/>
        <v>705.20866989955869</v>
      </c>
    </row>
    <row r="245" spans="1:7" x14ac:dyDescent="0.3">
      <c r="A245" s="5">
        <v>242</v>
      </c>
      <c r="B245" s="16">
        <f>B244-D245</f>
        <v>34947.312947107544</v>
      </c>
      <c r="C245" s="16">
        <f>B244*$J$4</f>
        <v>127.14226087585497</v>
      </c>
      <c r="D245" s="16">
        <f>$J$8-Tableau97[[#This Row],[Intérêts ]]</f>
        <v>541.24050902370368</v>
      </c>
      <c r="E245" s="16">
        <f>$J$8</f>
        <v>668.38276989955864</v>
      </c>
      <c r="F245" s="16">
        <f>$J$11/$J$6</f>
        <v>36.825899999999997</v>
      </c>
      <c r="G245" s="16">
        <f>IF(E245&lt;&gt;"",E245+F245,"")</f>
        <v>705.20866989955869</v>
      </c>
    </row>
    <row r="246" spans="1:7" x14ac:dyDescent="0.3">
      <c r="A246" s="5">
        <v>243</v>
      </c>
      <c r="B246" s="16">
        <f t="shared" ref="B246:B286" si="20">B245-D246</f>
        <v>34404.133375053847</v>
      </c>
      <c r="C246" s="16">
        <f t="shared" ref="C246:C286" si="21">B245*$J$4</f>
        <v>125.20319784585753</v>
      </c>
      <c r="D246" s="16">
        <f>$J$8-Tableau97[[#This Row],[Intérêts ]]</f>
        <v>543.17957205370112</v>
      </c>
      <c r="E246" s="16">
        <f t="shared" ref="E246:E286" si="22">$J$8</f>
        <v>668.38276989955864</v>
      </c>
      <c r="F246" s="16">
        <f t="shared" ref="F246:F286" si="23">$J$11/$J$6</f>
        <v>36.825899999999997</v>
      </c>
      <c r="G246" s="16">
        <f t="shared" ref="G246:G286" si="24">IF(E246&lt;&gt;"",E246+F246,"")</f>
        <v>705.20866989955869</v>
      </c>
    </row>
    <row r="247" spans="1:7" x14ac:dyDescent="0.3">
      <c r="A247" s="5">
        <v>244</v>
      </c>
      <c r="B247" s="16">
        <f t="shared" si="20"/>
        <v>33859.007793029974</v>
      </c>
      <c r="C247" s="16">
        <f t="shared" si="21"/>
        <v>123.25718787568911</v>
      </c>
      <c r="D247" s="16">
        <f>$J$8-Tableau97[[#This Row],[Intérêts ]]</f>
        <v>545.12558202386958</v>
      </c>
      <c r="E247" s="16">
        <f t="shared" si="22"/>
        <v>668.38276989955864</v>
      </c>
      <c r="F247" s="16">
        <f t="shared" si="23"/>
        <v>36.825899999999997</v>
      </c>
      <c r="G247" s="16">
        <f t="shared" si="24"/>
        <v>705.20866989955869</v>
      </c>
    </row>
    <row r="248" spans="1:7" x14ac:dyDescent="0.3">
      <c r="A248" s="5">
        <v>245</v>
      </c>
      <c r="B248" s="16">
        <f t="shared" si="20"/>
        <v>33311.929229207468</v>
      </c>
      <c r="C248" s="16">
        <f t="shared" si="21"/>
        <v>121.30420607705209</v>
      </c>
      <c r="D248" s="16">
        <f>$J$8-Tableau97[[#This Row],[Intérêts ]]</f>
        <v>547.07856382250657</v>
      </c>
      <c r="E248" s="16">
        <f t="shared" si="22"/>
        <v>668.38276989955864</v>
      </c>
      <c r="F248" s="16">
        <f t="shared" si="23"/>
        <v>36.825899999999997</v>
      </c>
      <c r="G248" s="16">
        <f t="shared" si="24"/>
        <v>705.20866989955869</v>
      </c>
    </row>
    <row r="249" spans="1:7" x14ac:dyDescent="0.3">
      <c r="A249" s="5">
        <v>246</v>
      </c>
      <c r="B249" s="16">
        <f t="shared" si="20"/>
        <v>32762.890686780393</v>
      </c>
      <c r="C249" s="16">
        <f t="shared" si="21"/>
        <v>119.3442274724834</v>
      </c>
      <c r="D249" s="16">
        <f>$J$8-Tableau97[[#This Row],[Intérêts ]]</f>
        <v>549.0385424270753</v>
      </c>
      <c r="E249" s="16">
        <f t="shared" si="22"/>
        <v>668.38276989955864</v>
      </c>
      <c r="F249" s="16">
        <f t="shared" si="23"/>
        <v>36.825899999999997</v>
      </c>
      <c r="G249" s="16">
        <f t="shared" si="24"/>
        <v>705.20866989955869</v>
      </c>
    </row>
    <row r="250" spans="1:7" x14ac:dyDescent="0.3">
      <c r="A250" s="5">
        <v>247</v>
      </c>
      <c r="B250" s="16">
        <f t="shared" si="20"/>
        <v>32211.885143875868</v>
      </c>
      <c r="C250" s="16">
        <f t="shared" si="21"/>
        <v>117.37722699503502</v>
      </c>
      <c r="D250" s="16">
        <f>$J$8-Tableau97[[#This Row],[Intérêts ]]</f>
        <v>551.00554290452362</v>
      </c>
      <c r="E250" s="16">
        <f t="shared" si="22"/>
        <v>668.38276989955864</v>
      </c>
      <c r="F250" s="16">
        <f t="shared" si="23"/>
        <v>36.825899999999997</v>
      </c>
      <c r="G250" s="16">
        <f t="shared" si="24"/>
        <v>705.20866989955869</v>
      </c>
    </row>
    <row r="251" spans="1:7" x14ac:dyDescent="0.3">
      <c r="A251" s="5">
        <v>248</v>
      </c>
      <c r="B251" s="16">
        <f t="shared" si="20"/>
        <v>31658.905553464265</v>
      </c>
      <c r="C251" s="16">
        <f t="shared" si="21"/>
        <v>115.40317948795339</v>
      </c>
      <c r="D251" s="16">
        <f>$J$8-Tableau97[[#This Row],[Intérêts ]]</f>
        <v>552.97959041160527</v>
      </c>
      <c r="E251" s="16">
        <f t="shared" si="22"/>
        <v>668.38276989955864</v>
      </c>
      <c r="F251" s="16">
        <f t="shared" si="23"/>
        <v>36.825899999999997</v>
      </c>
      <c r="G251" s="16">
        <f t="shared" si="24"/>
        <v>705.20866989955869</v>
      </c>
    </row>
    <row r="252" spans="1:7" x14ac:dyDescent="0.3">
      <c r="A252" s="5">
        <v>249</v>
      </c>
      <c r="B252" s="16">
        <f t="shared" si="20"/>
        <v>31103.944843269062</v>
      </c>
      <c r="C252" s="16">
        <f t="shared" si="21"/>
        <v>113.42205970435768</v>
      </c>
      <c r="D252" s="16">
        <f>$J$8-Tableau97[[#This Row],[Intérêts ]]</f>
        <v>554.96071019520093</v>
      </c>
      <c r="E252" s="16">
        <f t="shared" si="22"/>
        <v>668.38276989955864</v>
      </c>
      <c r="F252" s="16">
        <f t="shared" si="23"/>
        <v>36.825899999999997</v>
      </c>
      <c r="G252" s="16">
        <f t="shared" si="24"/>
        <v>705.20866989955869</v>
      </c>
    </row>
    <row r="253" spans="1:7" x14ac:dyDescent="0.3">
      <c r="A253" s="5">
        <v>250</v>
      </c>
      <c r="B253" s="16">
        <f t="shared" si="20"/>
        <v>30546.99591567642</v>
      </c>
      <c r="C253" s="16">
        <f t="shared" si="21"/>
        <v>111.43384230691687</v>
      </c>
      <c r="D253" s="16">
        <f>$J$8-Tableau97[[#This Row],[Intérêts ]]</f>
        <v>556.94892759264178</v>
      </c>
      <c r="E253" s="16">
        <f t="shared" si="22"/>
        <v>668.38276989955864</v>
      </c>
      <c r="F253" s="16">
        <f t="shared" si="23"/>
        <v>36.825899999999997</v>
      </c>
      <c r="G253" s="16">
        <f t="shared" si="24"/>
        <v>705.20866989955869</v>
      </c>
    </row>
    <row r="254" spans="1:7" x14ac:dyDescent="0.3">
      <c r="A254" s="5">
        <v>251</v>
      </c>
      <c r="B254" s="16">
        <f t="shared" si="20"/>
        <v>29988.051647644388</v>
      </c>
      <c r="C254" s="16">
        <f t="shared" si="21"/>
        <v>109.43850186752577</v>
      </c>
      <c r="D254" s="16">
        <f>$J$8-Tableau97[[#This Row],[Intérêts ]]</f>
        <v>558.94426803203282</v>
      </c>
      <c r="E254" s="16">
        <f t="shared" si="22"/>
        <v>668.38276989955864</v>
      </c>
      <c r="F254" s="16">
        <f t="shared" si="23"/>
        <v>36.825899999999997</v>
      </c>
      <c r="G254" s="16">
        <f t="shared" si="24"/>
        <v>705.20866989955869</v>
      </c>
    </row>
    <row r="255" spans="1:7" x14ac:dyDescent="0.3">
      <c r="A255" s="5">
        <v>252</v>
      </c>
      <c r="B255" s="16">
        <f t="shared" si="20"/>
        <v>29427.104890611809</v>
      </c>
      <c r="C255" s="16">
        <f t="shared" si="21"/>
        <v>107.43601286697975</v>
      </c>
      <c r="D255" s="16">
        <f>$J$8-Tableau97[[#This Row],[Intérêts ]]</f>
        <v>560.94675703257894</v>
      </c>
      <c r="E255" s="16">
        <f t="shared" si="22"/>
        <v>668.38276989955864</v>
      </c>
      <c r="F255" s="16">
        <f t="shared" si="23"/>
        <v>36.825899999999997</v>
      </c>
      <c r="G255" s="16">
        <f t="shared" si="24"/>
        <v>705.20866989955869</v>
      </c>
    </row>
    <row r="256" spans="1:7" x14ac:dyDescent="0.3">
      <c r="A256" s="5">
        <v>253</v>
      </c>
      <c r="B256" s="16">
        <f t="shared" si="20"/>
        <v>28864.148470406897</v>
      </c>
      <c r="C256" s="16">
        <f t="shared" si="21"/>
        <v>105.42634969464835</v>
      </c>
      <c r="D256" s="16">
        <f>$J$8-Tableau97[[#This Row],[Intérêts ]]</f>
        <v>562.95642020491027</v>
      </c>
      <c r="E256" s="16">
        <f t="shared" si="22"/>
        <v>668.38276989955864</v>
      </c>
      <c r="F256" s="16">
        <f t="shared" si="23"/>
        <v>36.825899999999997</v>
      </c>
      <c r="G256" s="16">
        <f t="shared" si="24"/>
        <v>705.20866989955869</v>
      </c>
    </row>
    <row r="257" spans="1:7" x14ac:dyDescent="0.3">
      <c r="A257" s="5">
        <v>254</v>
      </c>
      <c r="B257" s="16">
        <f t="shared" si="20"/>
        <v>28299.175187155488</v>
      </c>
      <c r="C257" s="16">
        <f t="shared" si="21"/>
        <v>103.40948664814782</v>
      </c>
      <c r="D257" s="16">
        <f>$J$8-Tableau97[[#This Row],[Intérêts ]]</f>
        <v>564.97328325141086</v>
      </c>
      <c r="E257" s="16">
        <f t="shared" si="22"/>
        <v>668.38276989955864</v>
      </c>
      <c r="F257" s="16">
        <f t="shared" si="23"/>
        <v>36.825899999999997</v>
      </c>
      <c r="G257" s="16">
        <f t="shared" si="24"/>
        <v>705.20866989955869</v>
      </c>
    </row>
    <row r="258" spans="1:7" x14ac:dyDescent="0.3">
      <c r="A258" s="5">
        <v>255</v>
      </c>
      <c r="B258" s="16">
        <f t="shared" si="20"/>
        <v>27732.177815188941</v>
      </c>
      <c r="C258" s="16">
        <f t="shared" si="21"/>
        <v>101.38539793301229</v>
      </c>
      <c r="D258" s="16">
        <f>$J$8-Tableau97[[#This Row],[Intérêts ]]</f>
        <v>566.99737196654632</v>
      </c>
      <c r="E258" s="16">
        <f t="shared" si="22"/>
        <v>668.38276989955864</v>
      </c>
      <c r="F258" s="16">
        <f t="shared" si="23"/>
        <v>36.825899999999997</v>
      </c>
      <c r="G258" s="16">
        <f t="shared" si="24"/>
        <v>705.20866989955869</v>
      </c>
    </row>
    <row r="259" spans="1:7" x14ac:dyDescent="0.3">
      <c r="A259" s="5">
        <v>256</v>
      </c>
      <c r="B259" s="16">
        <f t="shared" si="20"/>
        <v>27163.149102951746</v>
      </c>
      <c r="C259" s="16">
        <f t="shared" si="21"/>
        <v>99.354057662363971</v>
      </c>
      <c r="D259" s="16">
        <f>$J$8-Tableau97[[#This Row],[Intérêts ]]</f>
        <v>569.02871223719467</v>
      </c>
      <c r="E259" s="16">
        <f t="shared" si="22"/>
        <v>668.38276989955864</v>
      </c>
      <c r="F259" s="16">
        <f t="shared" si="23"/>
        <v>36.825899999999997</v>
      </c>
      <c r="G259" s="16">
        <f t="shared" si="24"/>
        <v>705.20866989955869</v>
      </c>
    </row>
    <row r="260" spans="1:7" x14ac:dyDescent="0.3">
      <c r="A260" s="5">
        <v>257</v>
      </c>
      <c r="B260" s="16">
        <f t="shared" si="20"/>
        <v>26592.081772908768</v>
      </c>
      <c r="C260" s="16">
        <f t="shared" si="21"/>
        <v>97.315439856582032</v>
      </c>
      <c r="D260" s="16">
        <f>$J$8-Tableau97[[#This Row],[Intérêts ]]</f>
        <v>571.06733004297666</v>
      </c>
      <c r="E260" s="16">
        <f t="shared" si="22"/>
        <v>668.38276989955864</v>
      </c>
      <c r="F260" s="16">
        <f t="shared" si="23"/>
        <v>36.825899999999997</v>
      </c>
      <c r="G260" s="16">
        <f t="shared" si="24"/>
        <v>705.20866989955869</v>
      </c>
    </row>
    <row r="261" spans="1:7" x14ac:dyDescent="0.3">
      <c r="A261" s="5">
        <v>258</v>
      </c>
      <c r="B261" s="16">
        <f t="shared" si="20"/>
        <v>26018.968521452181</v>
      </c>
      <c r="C261" s="16">
        <f t="shared" si="21"/>
        <v>95.269518442970337</v>
      </c>
      <c r="D261" s="16">
        <f>$J$8-Tableau97[[#This Row],[Intérêts ]]</f>
        <v>573.11325145658827</v>
      </c>
      <c r="E261" s="16">
        <f t="shared" si="22"/>
        <v>668.38276989955864</v>
      </c>
      <c r="F261" s="16">
        <f t="shared" si="23"/>
        <v>36.825899999999997</v>
      </c>
      <c r="G261" s="16">
        <f t="shared" si="24"/>
        <v>705.20866989955869</v>
      </c>
    </row>
    <row r="262" spans="1:7" x14ac:dyDescent="0.3">
      <c r="A262" s="5">
        <v>259</v>
      </c>
      <c r="B262" s="16">
        <f t="shared" si="20"/>
        <v>25443.802018808048</v>
      </c>
      <c r="C262" s="16">
        <f t="shared" si="21"/>
        <v>93.216267255424015</v>
      </c>
      <c r="D262" s="16">
        <f>$J$8-Tableau97[[#This Row],[Intérêts ]]</f>
        <v>575.16650264413465</v>
      </c>
      <c r="E262" s="16">
        <f t="shared" si="22"/>
        <v>668.38276989955864</v>
      </c>
      <c r="F262" s="16">
        <f t="shared" si="23"/>
        <v>36.825899999999997</v>
      </c>
      <c r="G262" s="16">
        <f t="shared" si="24"/>
        <v>705.20866989955869</v>
      </c>
    </row>
    <row r="263" spans="1:7" x14ac:dyDescent="0.3">
      <c r="A263" s="5">
        <v>260</v>
      </c>
      <c r="B263" s="16">
        <f t="shared" si="20"/>
        <v>24866.574908942584</v>
      </c>
      <c r="C263" s="16">
        <f t="shared" si="21"/>
        <v>91.155660034094751</v>
      </c>
      <c r="D263" s="16">
        <f>$J$8-Tableau97[[#This Row],[Intérêts ]]</f>
        <v>577.22710986546394</v>
      </c>
      <c r="E263" s="16">
        <f t="shared" si="22"/>
        <v>668.38276989955864</v>
      </c>
      <c r="F263" s="16">
        <f t="shared" si="23"/>
        <v>36.825899999999997</v>
      </c>
      <c r="G263" s="16">
        <f t="shared" si="24"/>
        <v>705.20866989955869</v>
      </c>
    </row>
    <row r="264" spans="1:7" x14ac:dyDescent="0.3">
      <c r="A264" s="5">
        <v>261</v>
      </c>
      <c r="B264" s="16">
        <f t="shared" si="20"/>
        <v>24287.27980946808</v>
      </c>
      <c r="C264" s="16">
        <f t="shared" si="21"/>
        <v>89.087670425055023</v>
      </c>
      <c r="D264" s="16">
        <f>$J$8-Tableau97[[#This Row],[Intérêts ]]</f>
        <v>579.29509947450356</v>
      </c>
      <c r="E264" s="16">
        <f t="shared" si="22"/>
        <v>668.38276989955864</v>
      </c>
      <c r="F264" s="16">
        <f t="shared" si="23"/>
        <v>36.825899999999997</v>
      </c>
      <c r="G264" s="16">
        <f t="shared" si="24"/>
        <v>705.20866989955869</v>
      </c>
    </row>
    <row r="265" spans="1:7" x14ac:dyDescent="0.3">
      <c r="A265" s="5">
        <v>262</v>
      </c>
      <c r="B265" s="16">
        <f t="shared" si="20"/>
        <v>23705.909311548483</v>
      </c>
      <c r="C265" s="16">
        <f t="shared" si="21"/>
        <v>87.012271979960971</v>
      </c>
      <c r="D265" s="16">
        <f>$J$8-Tableau97[[#This Row],[Intérêts ]]</f>
        <v>581.37049791959771</v>
      </c>
      <c r="E265" s="16">
        <f t="shared" si="22"/>
        <v>668.38276989955864</v>
      </c>
      <c r="F265" s="16">
        <f t="shared" si="23"/>
        <v>36.825899999999997</v>
      </c>
      <c r="G265" s="16">
        <f t="shared" si="24"/>
        <v>705.20866989955869</v>
      </c>
    </row>
    <row r="266" spans="1:7" x14ac:dyDescent="0.3">
      <c r="A266" s="5">
        <v>263</v>
      </c>
      <c r="B266" s="16">
        <f t="shared" si="20"/>
        <v>23122.455979804639</v>
      </c>
      <c r="C266" s="16">
        <f t="shared" si="21"/>
        <v>84.929438155714223</v>
      </c>
      <c r="D266" s="16">
        <f>$J$8-Tableau97[[#This Row],[Intérêts ]]</f>
        <v>583.45333174384439</v>
      </c>
      <c r="E266" s="16">
        <f t="shared" si="22"/>
        <v>668.38276989955864</v>
      </c>
      <c r="F266" s="16">
        <f t="shared" si="23"/>
        <v>36.825899999999997</v>
      </c>
      <c r="G266" s="16">
        <f t="shared" si="24"/>
        <v>705.20866989955869</v>
      </c>
    </row>
    <row r="267" spans="1:7" x14ac:dyDescent="0.3">
      <c r="A267" s="5">
        <v>264</v>
      </c>
      <c r="B267" s="16">
        <f t="shared" si="20"/>
        <v>22536.912352219202</v>
      </c>
      <c r="C267" s="16">
        <f t="shared" si="21"/>
        <v>82.839142314122327</v>
      </c>
      <c r="D267" s="16">
        <f>$J$8-Tableau97[[#This Row],[Intérêts ]]</f>
        <v>585.5436275854363</v>
      </c>
      <c r="E267" s="16">
        <f t="shared" si="22"/>
        <v>668.38276989955864</v>
      </c>
      <c r="F267" s="16">
        <f t="shared" si="23"/>
        <v>36.825899999999997</v>
      </c>
      <c r="G267" s="16">
        <f t="shared" si="24"/>
        <v>705.20866989955869</v>
      </c>
    </row>
    <row r="268" spans="1:7" x14ac:dyDescent="0.3">
      <c r="A268" s="5">
        <v>265</v>
      </c>
      <c r="B268" s="16">
        <f t="shared" si="20"/>
        <v>21949.270940041202</v>
      </c>
      <c r="C268" s="16">
        <f t="shared" si="21"/>
        <v>80.74135772155816</v>
      </c>
      <c r="D268" s="16">
        <f>$J$8-Tableau97[[#This Row],[Intérêts ]]</f>
        <v>587.64141217800045</v>
      </c>
      <c r="E268" s="16">
        <f t="shared" si="22"/>
        <v>668.38276989955864</v>
      </c>
      <c r="F268" s="16">
        <f t="shared" si="23"/>
        <v>36.825899999999997</v>
      </c>
      <c r="G268" s="16">
        <f t="shared" si="24"/>
        <v>705.20866989955869</v>
      </c>
    </row>
    <row r="269" spans="1:7" x14ac:dyDescent="0.3">
      <c r="A269" s="5">
        <v>266</v>
      </c>
      <c r="B269" s="16">
        <f t="shared" si="20"/>
        <v>21359.524227690261</v>
      </c>
      <c r="C269" s="16">
        <f t="shared" si="21"/>
        <v>78.636057548617941</v>
      </c>
      <c r="D269" s="16">
        <f>$J$8-Tableau97[[#This Row],[Intérêts ]]</f>
        <v>589.7467123509407</v>
      </c>
      <c r="E269" s="16">
        <f t="shared" si="22"/>
        <v>668.38276989955864</v>
      </c>
      <c r="F269" s="16">
        <f t="shared" si="23"/>
        <v>36.825899999999997</v>
      </c>
      <c r="G269" s="16">
        <f t="shared" si="24"/>
        <v>705.20866989955869</v>
      </c>
    </row>
    <row r="270" spans="1:7" x14ac:dyDescent="0.3">
      <c r="A270" s="5">
        <v>267</v>
      </c>
      <c r="B270" s="16">
        <f t="shared" si="20"/>
        <v>20767.664672660481</v>
      </c>
      <c r="C270" s="16">
        <f t="shared" si="21"/>
        <v>76.523214869778158</v>
      </c>
      <c r="D270" s="16">
        <f>$J$8-Tableau97[[#This Row],[Intérêts ]]</f>
        <v>591.85955502978049</v>
      </c>
      <c r="E270" s="16">
        <f t="shared" si="22"/>
        <v>668.38276989955864</v>
      </c>
      <c r="F270" s="16">
        <f t="shared" si="23"/>
        <v>36.825899999999997</v>
      </c>
      <c r="G270" s="16">
        <f t="shared" si="24"/>
        <v>705.20866989955869</v>
      </c>
    </row>
    <row r="271" spans="1:7" x14ac:dyDescent="0.3">
      <c r="A271" s="5">
        <v>268</v>
      </c>
      <c r="B271" s="16">
        <f t="shared" si="20"/>
        <v>20173.684705423973</v>
      </c>
      <c r="C271" s="16">
        <f t="shared" si="21"/>
        <v>74.40280266305119</v>
      </c>
      <c r="D271" s="16">
        <f>$J$8-Tableau97[[#This Row],[Intérêts ]]</f>
        <v>593.97996723650749</v>
      </c>
      <c r="E271" s="16">
        <f t="shared" si="22"/>
        <v>668.38276989955864</v>
      </c>
      <c r="F271" s="16">
        <f t="shared" si="23"/>
        <v>36.825899999999997</v>
      </c>
      <c r="G271" s="16">
        <f t="shared" si="24"/>
        <v>705.20866989955869</v>
      </c>
    </row>
    <row r="272" spans="1:7" x14ac:dyDescent="0.3">
      <c r="A272" s="5">
        <v>269</v>
      </c>
      <c r="B272" s="16">
        <f t="shared" si="20"/>
        <v>19577.576729334054</v>
      </c>
      <c r="C272" s="16">
        <f t="shared" si="21"/>
        <v>72.274793809639647</v>
      </c>
      <c r="D272" s="16">
        <f>$J$8-Tableau97[[#This Row],[Intérêts ]]</f>
        <v>596.10797608991902</v>
      </c>
      <c r="E272" s="16">
        <f t="shared" si="22"/>
        <v>668.38276989955864</v>
      </c>
      <c r="F272" s="16">
        <f t="shared" si="23"/>
        <v>36.825899999999997</v>
      </c>
      <c r="G272" s="16">
        <f t="shared" si="24"/>
        <v>705.20866989955869</v>
      </c>
    </row>
    <row r="273" spans="1:7" x14ac:dyDescent="0.3">
      <c r="A273" s="5">
        <v>270</v>
      </c>
      <c r="B273" s="16">
        <f t="shared" si="20"/>
        <v>18979.333120528085</v>
      </c>
      <c r="C273" s="16">
        <f t="shared" si="21"/>
        <v>70.139161093589664</v>
      </c>
      <c r="D273" s="16">
        <f>$J$8-Tableau97[[#This Row],[Intérêts ]]</f>
        <v>598.24360880596896</v>
      </c>
      <c r="E273" s="16">
        <f t="shared" si="22"/>
        <v>668.38276989955864</v>
      </c>
      <c r="F273" s="16">
        <f t="shared" si="23"/>
        <v>36.825899999999997</v>
      </c>
      <c r="G273" s="16">
        <f t="shared" si="24"/>
        <v>705.20866989955869</v>
      </c>
    </row>
    <row r="274" spans="1:7" x14ac:dyDescent="0.3">
      <c r="A274" s="5">
        <v>271</v>
      </c>
      <c r="B274" s="16">
        <f t="shared" si="20"/>
        <v>18378.946227829969</v>
      </c>
      <c r="C274" s="16">
        <f t="shared" si="21"/>
        <v>67.995877201442738</v>
      </c>
      <c r="D274" s="16">
        <f>$J$8-Tableau97[[#This Row],[Intérêts ]]</f>
        <v>600.38689269811584</v>
      </c>
      <c r="E274" s="16">
        <f t="shared" si="22"/>
        <v>668.38276989955864</v>
      </c>
      <c r="F274" s="16">
        <f t="shared" si="23"/>
        <v>36.825899999999997</v>
      </c>
      <c r="G274" s="16">
        <f t="shared" si="24"/>
        <v>705.20866989955869</v>
      </c>
    </row>
    <row r="275" spans="1:7" x14ac:dyDescent="0.3">
      <c r="A275" s="5">
        <v>272</v>
      </c>
      <c r="B275" s="16">
        <f t="shared" si="20"/>
        <v>17776.408372652295</v>
      </c>
      <c r="C275" s="16">
        <f t="shared" si="21"/>
        <v>65.844914721886397</v>
      </c>
      <c r="D275" s="16">
        <f>$J$8-Tableau97[[#This Row],[Intérêts ]]</f>
        <v>602.53785517767221</v>
      </c>
      <c r="E275" s="16">
        <f t="shared" si="22"/>
        <v>668.38276989955864</v>
      </c>
      <c r="F275" s="16">
        <f t="shared" si="23"/>
        <v>36.825899999999997</v>
      </c>
      <c r="G275" s="16">
        <f t="shared" si="24"/>
        <v>705.20866989955869</v>
      </c>
    </row>
    <row r="276" spans="1:7" x14ac:dyDescent="0.3">
      <c r="A276" s="5">
        <v>273</v>
      </c>
      <c r="B276" s="16">
        <f t="shared" si="20"/>
        <v>17171.71184889814</v>
      </c>
      <c r="C276" s="16">
        <f t="shared" si="21"/>
        <v>63.686246145403672</v>
      </c>
      <c r="D276" s="16">
        <f>$J$8-Tableau97[[#This Row],[Intérêts ]]</f>
        <v>604.69652375415501</v>
      </c>
      <c r="E276" s="16">
        <f t="shared" si="22"/>
        <v>668.38276989955864</v>
      </c>
      <c r="F276" s="16">
        <f t="shared" si="23"/>
        <v>36.825899999999997</v>
      </c>
      <c r="G276" s="16">
        <f t="shared" si="24"/>
        <v>705.20866989955869</v>
      </c>
    </row>
    <row r="277" spans="1:7" x14ac:dyDescent="0.3">
      <c r="A277" s="5">
        <v>274</v>
      </c>
      <c r="B277" s="16">
        <f t="shared" si="20"/>
        <v>16564.848922862504</v>
      </c>
      <c r="C277" s="16">
        <f t="shared" si="21"/>
        <v>61.519843863921253</v>
      </c>
      <c r="D277" s="16">
        <f>$J$8-Tableau97[[#This Row],[Intérêts ]]</f>
        <v>606.86292603563743</v>
      </c>
      <c r="E277" s="16">
        <f t="shared" si="22"/>
        <v>668.38276989955864</v>
      </c>
      <c r="F277" s="16">
        <f t="shared" si="23"/>
        <v>36.825899999999997</v>
      </c>
      <c r="G277" s="16">
        <f t="shared" si="24"/>
        <v>705.20866989955869</v>
      </c>
    </row>
    <row r="278" spans="1:7" x14ac:dyDescent="0.3">
      <c r="A278" s="5">
        <v>275</v>
      </c>
      <c r="B278" s="16">
        <f t="shared" si="20"/>
        <v>15955.811833133401</v>
      </c>
      <c r="C278" s="16">
        <f t="shared" si="21"/>
        <v>59.34568017045639</v>
      </c>
      <c r="D278" s="16">
        <f>$J$8-Tableau97[[#This Row],[Intérêts ]]</f>
        <v>609.03708972910226</v>
      </c>
      <c r="E278" s="16">
        <f t="shared" si="22"/>
        <v>668.38276989955864</v>
      </c>
      <c r="F278" s="16">
        <f t="shared" si="23"/>
        <v>36.825899999999997</v>
      </c>
      <c r="G278" s="16">
        <f t="shared" si="24"/>
        <v>705.20866989955869</v>
      </c>
    </row>
    <row r="279" spans="1:7" x14ac:dyDescent="0.3">
      <c r="A279" s="5">
        <v>276</v>
      </c>
      <c r="B279" s="16">
        <f t="shared" si="20"/>
        <v>15344.592790492605</v>
      </c>
      <c r="C279" s="16">
        <f t="shared" si="21"/>
        <v>57.16372725876252</v>
      </c>
      <c r="D279" s="16">
        <f>$J$8-Tableau97[[#This Row],[Intérêts ]]</f>
        <v>611.21904264079615</v>
      </c>
      <c r="E279" s="16">
        <f t="shared" si="22"/>
        <v>668.38276989955864</v>
      </c>
      <c r="F279" s="16">
        <f t="shared" si="23"/>
        <v>36.825899999999997</v>
      </c>
      <c r="G279" s="16">
        <f t="shared" si="24"/>
        <v>705.20866989955869</v>
      </c>
    </row>
    <row r="280" spans="1:7" x14ac:dyDescent="0.3">
      <c r="A280" s="5">
        <v>277</v>
      </c>
      <c r="B280" s="16">
        <f t="shared" si="20"/>
        <v>14731.183977816019</v>
      </c>
      <c r="C280" s="16">
        <f t="shared" si="21"/>
        <v>54.973957222973688</v>
      </c>
      <c r="D280" s="16">
        <f>$J$8-Tableau97[[#This Row],[Intérêts ]]</f>
        <v>613.40881267658494</v>
      </c>
      <c r="E280" s="16">
        <f t="shared" si="22"/>
        <v>668.38276989955864</v>
      </c>
      <c r="F280" s="16">
        <f t="shared" si="23"/>
        <v>36.825899999999997</v>
      </c>
      <c r="G280" s="16">
        <f t="shared" si="24"/>
        <v>705.20866989955869</v>
      </c>
    </row>
    <row r="281" spans="1:7" x14ac:dyDescent="0.3">
      <c r="A281" s="5">
        <v>278</v>
      </c>
      <c r="B281" s="16">
        <f t="shared" si="20"/>
        <v>14115.577549973708</v>
      </c>
      <c r="C281" s="16">
        <f t="shared" si="21"/>
        <v>52.776342057247604</v>
      </c>
      <c r="D281" s="16">
        <f>$J$8-Tableau97[[#This Row],[Intérêts ]]</f>
        <v>615.60642784231106</v>
      </c>
      <c r="E281" s="16">
        <f t="shared" si="22"/>
        <v>668.38276989955864</v>
      </c>
      <c r="F281" s="16">
        <f t="shared" si="23"/>
        <v>36.825899999999997</v>
      </c>
      <c r="G281" s="16">
        <f t="shared" si="24"/>
        <v>705.20866989955869</v>
      </c>
    </row>
    <row r="282" spans="1:7" x14ac:dyDescent="0.3">
      <c r="A282" s="5">
        <v>279</v>
      </c>
      <c r="B282" s="16">
        <f t="shared" si="20"/>
        <v>13497.765633729558</v>
      </c>
      <c r="C282" s="16">
        <f t="shared" si="21"/>
        <v>50.57085365540749</v>
      </c>
      <c r="D282" s="16">
        <f>$J$8-Tableau97[[#This Row],[Intérêts ]]</f>
        <v>617.81191624415112</v>
      </c>
      <c r="E282" s="16">
        <f t="shared" si="22"/>
        <v>668.38276989955864</v>
      </c>
      <c r="F282" s="16">
        <f t="shared" si="23"/>
        <v>36.825899999999997</v>
      </c>
      <c r="G282" s="16">
        <f t="shared" si="24"/>
        <v>705.20866989955869</v>
      </c>
    </row>
    <row r="283" spans="1:7" x14ac:dyDescent="0.3">
      <c r="A283" s="5">
        <v>280</v>
      </c>
      <c r="B283" s="16">
        <f t="shared" si="20"/>
        <v>12877.740327640582</v>
      </c>
      <c r="C283" s="16">
        <f t="shared" si="21"/>
        <v>48.357463810582615</v>
      </c>
      <c r="D283" s="16">
        <f>$J$8-Tableau97[[#This Row],[Intérêts ]]</f>
        <v>620.02530608897598</v>
      </c>
      <c r="E283" s="16">
        <f t="shared" si="22"/>
        <v>668.38276989955864</v>
      </c>
      <c r="F283" s="16">
        <f t="shared" si="23"/>
        <v>36.825899999999997</v>
      </c>
      <c r="G283" s="16">
        <f t="shared" si="24"/>
        <v>705.20866989955869</v>
      </c>
    </row>
    <row r="284" spans="1:7" x14ac:dyDescent="0.3">
      <c r="A284" s="5">
        <v>281</v>
      </c>
      <c r="B284" s="16">
        <f t="shared" si="20"/>
        <v>12255.493701955871</v>
      </c>
      <c r="C284" s="16">
        <f t="shared" si="21"/>
        <v>46.136144214847533</v>
      </c>
      <c r="D284" s="16">
        <f>$J$8-Tableau97[[#This Row],[Intérêts ]]</f>
        <v>622.24662568471115</v>
      </c>
      <c r="E284" s="16">
        <f t="shared" si="22"/>
        <v>668.38276989955864</v>
      </c>
      <c r="F284" s="16">
        <f t="shared" si="23"/>
        <v>36.825899999999997</v>
      </c>
      <c r="G284" s="16">
        <f t="shared" si="24"/>
        <v>705.20866989955869</v>
      </c>
    </row>
    <row r="285" spans="1:7" x14ac:dyDescent="0.3">
      <c r="A285" s="5">
        <v>282</v>
      </c>
      <c r="B285" s="16">
        <f t="shared" si="20"/>
        <v>11631.017798515173</v>
      </c>
      <c r="C285" s="16">
        <f t="shared" si="21"/>
        <v>43.906866458860051</v>
      </c>
      <c r="D285" s="16">
        <f>$J$8-Tableau97[[#This Row],[Intérêts ]]</f>
        <v>624.47590344069863</v>
      </c>
      <c r="E285" s="16">
        <f t="shared" si="22"/>
        <v>668.38276989955864</v>
      </c>
      <c r="F285" s="16">
        <f t="shared" si="23"/>
        <v>36.825899999999997</v>
      </c>
      <c r="G285" s="16">
        <f t="shared" si="24"/>
        <v>705.20866989955869</v>
      </c>
    </row>
    <row r="286" spans="1:7" x14ac:dyDescent="0.3">
      <c r="A286" s="5">
        <v>283</v>
      </c>
      <c r="B286" s="16">
        <f t="shared" si="20"/>
        <v>11004.304630647111</v>
      </c>
      <c r="C286" s="16">
        <f t="shared" si="21"/>
        <v>41.669602031497902</v>
      </c>
      <c r="D286" s="16">
        <f>$J$8-Tableau97[[#This Row],[Intérêts ]]</f>
        <v>626.71316786806074</v>
      </c>
      <c r="E286" s="16">
        <f t="shared" si="22"/>
        <v>668.38276989955864</v>
      </c>
      <c r="F286" s="16">
        <f t="shared" si="23"/>
        <v>36.825899999999997</v>
      </c>
      <c r="G286" s="16">
        <f t="shared" si="24"/>
        <v>705.20866989955869</v>
      </c>
    </row>
    <row r="287" spans="1:7" x14ac:dyDescent="0.3">
      <c r="A287" s="5">
        <v>284</v>
      </c>
      <c r="B287" s="16">
        <f>B286-D287</f>
        <v>10375.346183067048</v>
      </c>
      <c r="C287" s="16">
        <f>B286*$J$4</f>
        <v>39.424322319494081</v>
      </c>
      <c r="D287" s="16">
        <f>$J$8-Tableau97[[#This Row],[Intérêts ]]</f>
        <v>628.95844758006456</v>
      </c>
      <c r="E287" s="16">
        <f>$J$8</f>
        <v>668.38276989955864</v>
      </c>
      <c r="F287" s="16">
        <f>$J$11/$J$6</f>
        <v>36.825899999999997</v>
      </c>
      <c r="G287" s="16">
        <f>IF(E287&lt;&gt;"",E287+F287,"")</f>
        <v>705.20866989955869</v>
      </c>
    </row>
    <row r="288" spans="1:7" x14ac:dyDescent="0.3">
      <c r="A288" s="5">
        <v>285</v>
      </c>
      <c r="B288" s="16">
        <f t="shared" ref="B288:B303" si="25">B287-D288</f>
        <v>9744.1344117745593</v>
      </c>
      <c r="C288" s="16">
        <f t="shared" ref="C288:C303" si="26">B287*$J$4</f>
        <v>37.170998607070928</v>
      </c>
      <c r="D288" s="16">
        <f>$J$8-Tableau97[[#This Row],[Intérêts ]]</f>
        <v>631.2117712924877</v>
      </c>
      <c r="E288" s="16">
        <f t="shared" ref="E288:E303" si="27">$J$8</f>
        <v>668.38276989955864</v>
      </c>
      <c r="F288" s="16">
        <f t="shared" ref="F288:F303" si="28">$J$11/$J$6</f>
        <v>36.825899999999997</v>
      </c>
      <c r="G288" s="16">
        <f t="shared" ref="G288:G303" si="29">IF(E288&lt;&gt;"",E288+F288,"")</f>
        <v>705.20866989955869</v>
      </c>
    </row>
    <row r="289" spans="1:7" x14ac:dyDescent="0.3">
      <c r="A289" s="5">
        <v>286</v>
      </c>
      <c r="B289" s="16">
        <f t="shared" si="25"/>
        <v>9110.6612439505734</v>
      </c>
      <c r="C289" s="16">
        <f t="shared" si="26"/>
        <v>34.909602075572828</v>
      </c>
      <c r="D289" s="16">
        <f>$J$8-Tableau97[[#This Row],[Intérêts ]]</f>
        <v>633.47316782398582</v>
      </c>
      <c r="E289" s="16">
        <f t="shared" si="27"/>
        <v>668.38276989955864</v>
      </c>
      <c r="F289" s="16">
        <f t="shared" si="28"/>
        <v>36.825899999999997</v>
      </c>
      <c r="G289" s="16">
        <f t="shared" si="29"/>
        <v>705.20866989955869</v>
      </c>
    </row>
    <row r="290" spans="1:7" x14ac:dyDescent="0.3">
      <c r="A290" s="5">
        <v>287</v>
      </c>
      <c r="B290" s="16">
        <f t="shared" si="25"/>
        <v>8474.9185778541123</v>
      </c>
      <c r="C290" s="16">
        <f t="shared" si="26"/>
        <v>32.640103803097688</v>
      </c>
      <c r="D290" s="16">
        <f>$J$8-Tableau97[[#This Row],[Intérêts ]]</f>
        <v>635.74266609646099</v>
      </c>
      <c r="E290" s="16">
        <f t="shared" si="27"/>
        <v>668.38276989955864</v>
      </c>
      <c r="F290" s="16">
        <f t="shared" si="28"/>
        <v>36.825899999999997</v>
      </c>
      <c r="G290" s="16">
        <f t="shared" si="29"/>
        <v>705.20866989955869</v>
      </c>
    </row>
    <row r="291" spans="1:7" x14ac:dyDescent="0.3">
      <c r="A291" s="5">
        <v>288</v>
      </c>
      <c r="B291" s="16">
        <f t="shared" si="25"/>
        <v>7836.898282718681</v>
      </c>
      <c r="C291" s="16">
        <f t="shared" si="26"/>
        <v>30.362474764127011</v>
      </c>
      <c r="D291" s="16">
        <f>$J$8-Tableau97[[#This Row],[Intérêts ]]</f>
        <v>638.02029513543164</v>
      </c>
      <c r="E291" s="16">
        <f t="shared" si="27"/>
        <v>668.38276989955864</v>
      </c>
      <c r="F291" s="16">
        <f t="shared" si="28"/>
        <v>36.825899999999997</v>
      </c>
      <c r="G291" s="16">
        <f t="shared" si="29"/>
        <v>705.20866989955869</v>
      </c>
    </row>
    <row r="292" spans="1:7" x14ac:dyDescent="0.3">
      <c r="A292" s="5">
        <v>289</v>
      </c>
      <c r="B292" s="16">
        <f t="shared" si="25"/>
        <v>7196.5921986482772</v>
      </c>
      <c r="C292" s="16">
        <f t="shared" si="26"/>
        <v>28.076685829154677</v>
      </c>
      <c r="D292" s="16">
        <f>$J$8-Tableau97[[#This Row],[Intérêts ]]</f>
        <v>640.30608407040393</v>
      </c>
      <c r="E292" s="16">
        <f t="shared" si="27"/>
        <v>668.38276989955864</v>
      </c>
      <c r="F292" s="16">
        <f t="shared" si="28"/>
        <v>36.825899999999997</v>
      </c>
      <c r="G292" s="16">
        <f t="shared" si="29"/>
        <v>705.20866989955869</v>
      </c>
    </row>
    <row r="293" spans="1:7" x14ac:dyDescent="0.3">
      <c r="A293" s="5">
        <v>290</v>
      </c>
      <c r="B293" s="16">
        <f t="shared" si="25"/>
        <v>6553.9921365130331</v>
      </c>
      <c r="C293" s="16">
        <f t="shared" si="26"/>
        <v>25.782707764314406</v>
      </c>
      <c r="D293" s="16">
        <f>$J$8-Tableau97[[#This Row],[Intérêts ]]</f>
        <v>642.60006213524423</v>
      </c>
      <c r="E293" s="16">
        <f t="shared" si="27"/>
        <v>668.38276989955864</v>
      </c>
      <c r="F293" s="16">
        <f t="shared" si="28"/>
        <v>36.825899999999997</v>
      </c>
      <c r="G293" s="16">
        <f t="shared" si="29"/>
        <v>705.20866989955869</v>
      </c>
    </row>
    <row r="294" spans="1:7" x14ac:dyDescent="0.3">
      <c r="A294" s="5">
        <v>291</v>
      </c>
      <c r="B294" s="16">
        <f t="shared" si="25"/>
        <v>5909.0898778444807</v>
      </c>
      <c r="C294" s="16">
        <f t="shared" si="26"/>
        <v>23.480511231005877</v>
      </c>
      <c r="D294" s="16">
        <f>$J$8-Tableau97[[#This Row],[Intérêts ]]</f>
        <v>644.9022586685528</v>
      </c>
      <c r="E294" s="16">
        <f t="shared" si="27"/>
        <v>668.38276989955864</v>
      </c>
      <c r="F294" s="16">
        <f t="shared" si="28"/>
        <v>36.825899999999997</v>
      </c>
      <c r="G294" s="16">
        <f t="shared" si="29"/>
        <v>705.20866989955869</v>
      </c>
    </row>
    <row r="295" spans="1:7" x14ac:dyDescent="0.3">
      <c r="A295" s="5">
        <v>292</v>
      </c>
      <c r="B295" s="16">
        <f t="shared" si="25"/>
        <v>5261.8771747304418</v>
      </c>
      <c r="C295" s="16">
        <f t="shared" si="26"/>
        <v>21.170066785519488</v>
      </c>
      <c r="D295" s="16">
        <f>$J$8-Tableau97[[#This Row],[Intérêts ]]</f>
        <v>647.21270311403919</v>
      </c>
      <c r="E295" s="16">
        <f t="shared" si="27"/>
        <v>668.38276989955864</v>
      </c>
      <c r="F295" s="16">
        <f t="shared" si="28"/>
        <v>36.825899999999997</v>
      </c>
      <c r="G295" s="16">
        <f t="shared" si="29"/>
        <v>705.20866989955869</v>
      </c>
    </row>
    <row r="296" spans="1:7" x14ac:dyDescent="0.3">
      <c r="A296" s="5">
        <v>293</v>
      </c>
      <c r="B296" s="16">
        <f t="shared" si="25"/>
        <v>4612.3457497095433</v>
      </c>
      <c r="C296" s="16">
        <f t="shared" si="26"/>
        <v>18.851344878659805</v>
      </c>
      <c r="D296" s="16">
        <f>$J$8-Tableau97[[#This Row],[Intérêts ]]</f>
        <v>649.53142502089884</v>
      </c>
      <c r="E296" s="16">
        <f t="shared" si="27"/>
        <v>668.38276989955864</v>
      </c>
      <c r="F296" s="16">
        <f t="shared" si="28"/>
        <v>36.825899999999997</v>
      </c>
      <c r="G296" s="16">
        <f t="shared" si="29"/>
        <v>705.20866989955869</v>
      </c>
    </row>
    <row r="297" spans="1:7" x14ac:dyDescent="0.3">
      <c r="A297" s="5">
        <v>294</v>
      </c>
      <c r="B297" s="16">
        <f t="shared" si="25"/>
        <v>3960.4872956653521</v>
      </c>
      <c r="C297" s="16">
        <f t="shared" si="26"/>
        <v>16.524315855367639</v>
      </c>
      <c r="D297" s="16">
        <f>$J$8-Tableau97[[#This Row],[Intérêts ]]</f>
        <v>651.85845404419103</v>
      </c>
      <c r="E297" s="16">
        <f t="shared" si="27"/>
        <v>668.38276989955864</v>
      </c>
      <c r="F297" s="16">
        <f t="shared" si="28"/>
        <v>36.825899999999997</v>
      </c>
      <c r="G297" s="16">
        <f t="shared" si="29"/>
        <v>705.20866989955869</v>
      </c>
    </row>
    <row r="298" spans="1:7" x14ac:dyDescent="0.3">
      <c r="A298" s="5">
        <v>295</v>
      </c>
      <c r="B298" s="16">
        <f t="shared" si="25"/>
        <v>3306.2934757201342</v>
      </c>
      <c r="C298" s="16">
        <f t="shared" si="26"/>
        <v>14.188949954340774</v>
      </c>
      <c r="D298" s="16">
        <f>$J$8-Tableau97[[#This Row],[Intérêts ]]</f>
        <v>654.19381994521791</v>
      </c>
      <c r="E298" s="16">
        <f t="shared" si="27"/>
        <v>668.38276989955864</v>
      </c>
      <c r="F298" s="16">
        <f t="shared" si="28"/>
        <v>36.825899999999997</v>
      </c>
      <c r="G298" s="16">
        <f t="shared" si="29"/>
        <v>705.20866989955869</v>
      </c>
    </row>
    <row r="299" spans="1:7" x14ac:dyDescent="0.3">
      <c r="A299" s="5">
        <v>296</v>
      </c>
      <c r="B299" s="16">
        <f t="shared" si="25"/>
        <v>2649.7559231282289</v>
      </c>
      <c r="C299" s="16">
        <f t="shared" si="26"/>
        <v>11.845217307653339</v>
      </c>
      <c r="D299" s="16">
        <f>$J$8-Tableau97[[#This Row],[Intérêts ]]</f>
        <v>656.5375525919053</v>
      </c>
      <c r="E299" s="16">
        <f t="shared" si="27"/>
        <v>668.38276989955864</v>
      </c>
      <c r="F299" s="16">
        <f t="shared" si="28"/>
        <v>36.825899999999997</v>
      </c>
      <c r="G299" s="16">
        <f t="shared" si="29"/>
        <v>705.20866989955869</v>
      </c>
    </row>
    <row r="300" spans="1:7" x14ac:dyDescent="0.3">
      <c r="A300" s="5">
        <v>297</v>
      </c>
      <c r="B300" s="16">
        <f t="shared" si="25"/>
        <v>1990.8662411690441</v>
      </c>
      <c r="C300" s="16">
        <f t="shared" si="26"/>
        <v>9.4930879403738206</v>
      </c>
      <c r="D300" s="16">
        <f>$J$8-Tableau97[[#This Row],[Intérêts ]]</f>
        <v>658.88968195918483</v>
      </c>
      <c r="E300" s="16">
        <f t="shared" si="27"/>
        <v>668.38276989955864</v>
      </c>
      <c r="F300" s="16">
        <f t="shared" si="28"/>
        <v>36.825899999999997</v>
      </c>
      <c r="G300" s="16">
        <f t="shared" si="29"/>
        <v>705.20866989955869</v>
      </c>
    </row>
    <row r="301" spans="1:7" x14ac:dyDescent="0.3">
      <c r="A301" s="5">
        <v>298</v>
      </c>
      <c r="B301" s="16">
        <f t="shared" si="25"/>
        <v>1329.6160030396672</v>
      </c>
      <c r="C301" s="16">
        <f t="shared" si="26"/>
        <v>7.1325317701816919</v>
      </c>
      <c r="D301" s="16">
        <f>$J$8-Tableau97[[#This Row],[Intérêts ]]</f>
        <v>661.25023812937695</v>
      </c>
      <c r="E301" s="16">
        <f t="shared" si="27"/>
        <v>668.38276989955864</v>
      </c>
      <c r="F301" s="16">
        <f t="shared" si="28"/>
        <v>36.825899999999997</v>
      </c>
      <c r="G301" s="16">
        <f t="shared" si="29"/>
        <v>705.20866989955869</v>
      </c>
    </row>
    <row r="302" spans="1:7" x14ac:dyDescent="0.3">
      <c r="A302" s="5">
        <v>299</v>
      </c>
      <c r="B302" s="16">
        <f t="shared" si="25"/>
        <v>665.99675174709125</v>
      </c>
      <c r="C302" s="16">
        <f t="shared" si="26"/>
        <v>4.7635186069826876</v>
      </c>
      <c r="D302" s="16">
        <f>$J$8-Tableau97[[#This Row],[Intérêts ]]</f>
        <v>663.619251292576</v>
      </c>
      <c r="E302" s="16">
        <f t="shared" si="27"/>
        <v>668.38276989955864</v>
      </c>
      <c r="F302" s="16">
        <f t="shared" si="28"/>
        <v>36.825899999999997</v>
      </c>
      <c r="G302" s="16">
        <f t="shared" si="29"/>
        <v>705.20866989955869</v>
      </c>
    </row>
    <row r="303" spans="1:7" x14ac:dyDescent="0.3">
      <c r="A303" s="5">
        <v>300</v>
      </c>
      <c r="B303" s="16">
        <f t="shared" si="25"/>
        <v>5.525180313270539E-11</v>
      </c>
      <c r="C303" s="16">
        <f t="shared" si="26"/>
        <v>2.3860181525226816</v>
      </c>
      <c r="D303" s="16">
        <f>$J$8-Tableau97[[#This Row],[Intérêts ]]</f>
        <v>665.996751747036</v>
      </c>
      <c r="E303" s="16">
        <f t="shared" si="27"/>
        <v>668.38276989955864</v>
      </c>
      <c r="F303" s="16">
        <f t="shared" si="28"/>
        <v>36.825899999999997</v>
      </c>
      <c r="G303" s="16">
        <f t="shared" si="29"/>
        <v>705.20866989955869</v>
      </c>
    </row>
    <row r="304" spans="1:7" x14ac:dyDescent="0.3">
      <c r="A304" s="5"/>
      <c r="B304" s="16"/>
      <c r="C304" s="16"/>
      <c r="D304" s="16"/>
      <c r="E304" s="16"/>
      <c r="F304" s="16"/>
      <c r="G304" s="16"/>
    </row>
    <row r="305" spans="1:7" x14ac:dyDescent="0.3">
      <c r="A305" s="5"/>
      <c r="B305" s="16"/>
      <c r="C305" s="16"/>
      <c r="D305" s="16"/>
      <c r="E305" s="16"/>
      <c r="F305" s="16"/>
      <c r="G305" s="16"/>
    </row>
    <row r="306" spans="1:7" x14ac:dyDescent="0.3">
      <c r="A306" s="5"/>
      <c r="B306" s="16"/>
      <c r="C306" s="16"/>
      <c r="D306" s="16"/>
      <c r="E306" s="16"/>
      <c r="F306" s="16"/>
      <c r="G306" s="16"/>
    </row>
    <row r="307" spans="1:7" x14ac:dyDescent="0.3">
      <c r="A307" s="5"/>
      <c r="B307" s="16"/>
      <c r="C307" s="16"/>
      <c r="D307" s="16"/>
      <c r="E307" s="16"/>
      <c r="F307" s="16"/>
      <c r="G307" s="16"/>
    </row>
    <row r="308" spans="1:7" x14ac:dyDescent="0.3">
      <c r="A308" s="5"/>
      <c r="B308" s="16"/>
      <c r="C308" s="16"/>
      <c r="D308" s="16"/>
      <c r="E308" s="16"/>
      <c r="F308" s="16"/>
      <c r="G308" s="16"/>
    </row>
    <row r="309" spans="1:7" x14ac:dyDescent="0.3">
      <c r="A309" s="5"/>
      <c r="B309" s="16"/>
      <c r="C309" s="16"/>
      <c r="D309" s="16"/>
      <c r="E309" s="16"/>
      <c r="F309" s="16"/>
      <c r="G309" s="16"/>
    </row>
    <row r="310" spans="1:7" x14ac:dyDescent="0.3">
      <c r="A310" s="5"/>
      <c r="B310" s="16"/>
      <c r="C310" s="16"/>
      <c r="D310" s="16"/>
      <c r="E310" s="16"/>
      <c r="F310" s="16"/>
      <c r="G310" s="16"/>
    </row>
    <row r="311" spans="1:7" x14ac:dyDescent="0.3">
      <c r="A311" s="5"/>
      <c r="B311" s="16"/>
      <c r="C311" s="16"/>
      <c r="D311" s="16"/>
      <c r="E311" s="16"/>
      <c r="F311" s="16"/>
      <c r="G311" s="16"/>
    </row>
    <row r="312" spans="1:7" x14ac:dyDescent="0.3">
      <c r="A312" s="5"/>
      <c r="B312" s="16"/>
      <c r="C312" s="16"/>
      <c r="D312" s="16"/>
      <c r="E312" s="16"/>
      <c r="F312" s="16"/>
      <c r="G312" s="16"/>
    </row>
    <row r="313" spans="1:7" x14ac:dyDescent="0.3">
      <c r="A313" s="5"/>
      <c r="B313" s="16"/>
      <c r="C313" s="16"/>
      <c r="D313" s="16"/>
      <c r="E313" s="16"/>
      <c r="F313" s="16"/>
      <c r="G313" s="16"/>
    </row>
    <row r="314" spans="1:7" x14ac:dyDescent="0.3">
      <c r="A314" s="5"/>
      <c r="B314" s="16"/>
      <c r="C314" s="16"/>
      <c r="D314" s="16"/>
      <c r="E314" s="16"/>
      <c r="F314" s="16"/>
      <c r="G314" s="16"/>
    </row>
    <row r="315" spans="1:7" x14ac:dyDescent="0.3">
      <c r="A315" s="5"/>
      <c r="B315" s="16"/>
      <c r="C315" s="16"/>
      <c r="D315" s="16"/>
      <c r="E315" s="16"/>
      <c r="F315" s="16"/>
      <c r="G315" s="16"/>
    </row>
    <row r="316" spans="1:7" x14ac:dyDescent="0.3">
      <c r="A316" s="5"/>
      <c r="B316" s="16"/>
      <c r="C316" s="16"/>
      <c r="D316" s="16"/>
      <c r="E316" s="16"/>
      <c r="F316" s="16"/>
      <c r="G316" s="16"/>
    </row>
    <row r="317" spans="1:7" x14ac:dyDescent="0.3">
      <c r="A317" s="5"/>
      <c r="B317" s="16"/>
      <c r="C317" s="16"/>
      <c r="D317" s="16"/>
      <c r="E317" s="16"/>
      <c r="F317" s="16"/>
      <c r="G317" s="16"/>
    </row>
    <row r="318" spans="1:7" x14ac:dyDescent="0.3">
      <c r="A318" s="5"/>
      <c r="B318" s="16"/>
      <c r="C318" s="16"/>
      <c r="D318" s="16"/>
      <c r="E318" s="16"/>
      <c r="F318" s="16"/>
      <c r="G318" s="16"/>
    </row>
    <row r="319" spans="1:7" x14ac:dyDescent="0.3">
      <c r="A319" s="5"/>
      <c r="B319" s="16"/>
      <c r="C319" s="16"/>
      <c r="D319" s="16"/>
      <c r="E319" s="16"/>
      <c r="F319" s="16"/>
      <c r="G319" s="16"/>
    </row>
    <row r="320" spans="1:7" x14ac:dyDescent="0.3">
      <c r="A320" s="5"/>
      <c r="B320" s="16"/>
      <c r="C320" s="16"/>
      <c r="D320" s="16"/>
      <c r="E320" s="16"/>
      <c r="F320" s="16"/>
      <c r="G320" s="16"/>
    </row>
    <row r="321" spans="1:7" x14ac:dyDescent="0.3">
      <c r="A321" s="5"/>
      <c r="B321" s="16"/>
      <c r="C321" s="16"/>
      <c r="D321" s="16"/>
      <c r="E321" s="16"/>
      <c r="F321" s="16"/>
      <c r="G321" s="16"/>
    </row>
    <row r="322" spans="1:7" x14ac:dyDescent="0.3">
      <c r="A322" s="5"/>
      <c r="B322" s="16"/>
      <c r="C322" s="16"/>
      <c r="D322" s="16"/>
      <c r="E322" s="16"/>
      <c r="F322" s="16"/>
      <c r="G322" s="16"/>
    </row>
    <row r="323" spans="1:7" x14ac:dyDescent="0.3">
      <c r="A323" s="5"/>
      <c r="B323" s="16"/>
      <c r="C323" s="16"/>
      <c r="D323" s="16"/>
      <c r="E323" s="16"/>
      <c r="F323" s="16"/>
      <c r="G323" s="16"/>
    </row>
    <row r="324" spans="1:7" x14ac:dyDescent="0.3">
      <c r="A324" s="5"/>
      <c r="B324" s="16"/>
      <c r="C324" s="16"/>
      <c r="D324" s="16"/>
      <c r="E324" s="16"/>
      <c r="F324" s="16"/>
      <c r="G324" s="16"/>
    </row>
    <row r="325" spans="1:7" x14ac:dyDescent="0.3">
      <c r="A325" s="5"/>
      <c r="B325" s="16"/>
      <c r="C325" s="16"/>
      <c r="D325" s="16"/>
      <c r="E325" s="16"/>
      <c r="F325" s="16"/>
      <c r="G325" s="16"/>
    </row>
    <row r="326" spans="1:7" x14ac:dyDescent="0.3">
      <c r="A326" s="5"/>
      <c r="B326" s="16"/>
      <c r="C326" s="16"/>
      <c r="D326" s="16"/>
      <c r="E326" s="16"/>
      <c r="F326" s="16"/>
      <c r="G326" s="16"/>
    </row>
  </sheetData>
  <mergeCells count="1">
    <mergeCell ref="A1:G1"/>
  </mergeCells>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8E9600-534C-46E3-B736-8DD38765F095}">
  <sheetPr>
    <tabColor rgb="FF595657"/>
  </sheetPr>
  <dimension ref="A1:W306"/>
  <sheetViews>
    <sheetView topLeftCell="J1" workbookViewId="0">
      <selection activeCell="Y305" sqref="Y305"/>
    </sheetView>
  </sheetViews>
  <sheetFormatPr baseColWidth="10" defaultRowHeight="14.4" x14ac:dyDescent="0.3"/>
  <cols>
    <col min="1" max="1" width="17.6640625" style="69" customWidth="1"/>
    <col min="2" max="2" width="32.6640625" style="69" customWidth="1"/>
    <col min="3" max="3" width="13.33203125" style="69" customWidth="1"/>
    <col min="4" max="4" width="14.6640625" style="69" customWidth="1"/>
    <col min="5" max="5" width="32.44140625" style="69" customWidth="1"/>
    <col min="6" max="6" width="22.5546875" style="69" customWidth="1"/>
    <col min="7" max="7" width="11.5546875" style="69"/>
    <col min="8" max="8" width="2.33203125" customWidth="1"/>
    <col min="13" max="13" width="23.33203125" customWidth="1"/>
  </cols>
  <sheetData>
    <row r="1" spans="1:23" ht="21" customHeight="1" x14ac:dyDescent="0.3">
      <c r="A1" s="106" t="s">
        <v>71</v>
      </c>
      <c r="B1" s="107"/>
      <c r="C1" s="107"/>
      <c r="D1" s="107"/>
      <c r="E1" s="107"/>
      <c r="F1" s="107"/>
      <c r="G1" s="108"/>
      <c r="H1" s="78"/>
      <c r="I1" s="112" t="s">
        <v>71</v>
      </c>
      <c r="J1" s="113"/>
      <c r="K1" s="113"/>
      <c r="L1" s="113"/>
      <c r="M1" s="113"/>
      <c r="N1" s="113"/>
      <c r="O1" s="114"/>
    </row>
    <row r="2" spans="1:23" ht="21" customHeight="1" x14ac:dyDescent="0.3">
      <c r="A2" s="110" t="s">
        <v>87</v>
      </c>
      <c r="B2" s="111"/>
      <c r="C2" s="109" t="s">
        <v>86</v>
      </c>
      <c r="D2" s="109"/>
      <c r="E2" s="70" t="s">
        <v>82</v>
      </c>
      <c r="F2" s="101" t="s">
        <v>92</v>
      </c>
      <c r="G2" s="102"/>
      <c r="H2" s="78"/>
      <c r="I2" s="115" t="s">
        <v>87</v>
      </c>
      <c r="J2" s="116"/>
      <c r="K2" s="109" t="s">
        <v>86</v>
      </c>
      <c r="L2" s="109"/>
      <c r="M2" s="75" t="s">
        <v>90</v>
      </c>
      <c r="N2" s="101" t="s">
        <v>91</v>
      </c>
      <c r="O2" s="102"/>
    </row>
    <row r="3" spans="1:23" ht="14.4" customHeight="1" x14ac:dyDescent="0.3">
      <c r="A3" s="110"/>
      <c r="B3" s="111"/>
      <c r="C3" s="109"/>
      <c r="D3" s="109"/>
      <c r="E3" s="70" t="s">
        <v>83</v>
      </c>
      <c r="F3" s="101" t="s">
        <v>74</v>
      </c>
      <c r="G3" s="102"/>
      <c r="H3" s="78"/>
      <c r="I3" s="115"/>
      <c r="J3" s="116"/>
      <c r="K3" s="109"/>
      <c r="L3" s="109"/>
      <c r="M3" s="75" t="s">
        <v>83</v>
      </c>
      <c r="N3" s="101" t="s">
        <v>88</v>
      </c>
      <c r="O3" s="102"/>
    </row>
    <row r="4" spans="1:23" ht="26.4" customHeight="1" x14ac:dyDescent="0.3">
      <c r="A4" s="71" t="s">
        <v>72</v>
      </c>
      <c r="B4" s="70"/>
      <c r="C4" s="109" t="s">
        <v>68</v>
      </c>
      <c r="D4" s="109"/>
      <c r="E4" s="70" t="s">
        <v>84</v>
      </c>
      <c r="F4" s="101" t="s">
        <v>75</v>
      </c>
      <c r="G4" s="102"/>
      <c r="H4" s="78"/>
      <c r="I4" s="104" t="s">
        <v>72</v>
      </c>
      <c r="J4" s="105"/>
      <c r="K4" s="109" t="s">
        <v>68</v>
      </c>
      <c r="L4" s="109"/>
      <c r="M4" s="75" t="s">
        <v>84</v>
      </c>
      <c r="N4" s="101" t="s">
        <v>89</v>
      </c>
      <c r="O4" s="102"/>
    </row>
    <row r="5" spans="1:23" x14ac:dyDescent="0.3">
      <c r="A5" s="71" t="s">
        <v>73</v>
      </c>
      <c r="B5" s="70"/>
      <c r="C5" s="103">
        <v>122753</v>
      </c>
      <c r="D5" s="103"/>
      <c r="E5" s="70" t="s">
        <v>85</v>
      </c>
      <c r="F5" s="101" t="s">
        <v>69</v>
      </c>
      <c r="G5" s="102"/>
      <c r="H5" s="78"/>
      <c r="I5" s="104" t="s">
        <v>73</v>
      </c>
      <c r="J5" s="105"/>
      <c r="K5" s="103">
        <v>10000</v>
      </c>
      <c r="L5" s="103"/>
      <c r="M5" s="75" t="s">
        <v>85</v>
      </c>
      <c r="N5" s="101" t="s">
        <v>69</v>
      </c>
      <c r="O5" s="102"/>
    </row>
    <row r="6" spans="1:23" ht="58.2" thickBot="1" x14ac:dyDescent="0.35">
      <c r="A6" s="72" t="s">
        <v>76</v>
      </c>
      <c r="B6" s="73" t="s">
        <v>77</v>
      </c>
      <c r="C6" s="73" t="s">
        <v>78</v>
      </c>
      <c r="D6" s="73" t="s">
        <v>79</v>
      </c>
      <c r="E6" s="73" t="s">
        <v>70</v>
      </c>
      <c r="F6" s="73" t="s">
        <v>80</v>
      </c>
      <c r="G6" s="74" t="s">
        <v>81</v>
      </c>
      <c r="H6" s="78"/>
      <c r="I6" s="72" t="s">
        <v>76</v>
      </c>
      <c r="J6" s="73" t="s">
        <v>77</v>
      </c>
      <c r="K6" s="73" t="s">
        <v>78</v>
      </c>
      <c r="L6" s="73" t="s">
        <v>79</v>
      </c>
      <c r="M6" s="73" t="s">
        <v>70</v>
      </c>
      <c r="N6" s="73" t="s">
        <v>80</v>
      </c>
      <c r="O6" s="74" t="s">
        <v>81</v>
      </c>
      <c r="Q6" s="79" t="s">
        <v>76</v>
      </c>
      <c r="R6" s="79" t="s">
        <v>77</v>
      </c>
      <c r="S6" s="79" t="s">
        <v>78</v>
      </c>
      <c r="T6" s="79" t="s">
        <v>79</v>
      </c>
      <c r="U6" s="79" t="s">
        <v>70</v>
      </c>
      <c r="V6" s="79" t="s">
        <v>80</v>
      </c>
      <c r="W6" s="79" t="s">
        <v>81</v>
      </c>
    </row>
    <row r="7" spans="1:23" x14ac:dyDescent="0.3">
      <c r="A7" s="76">
        <v>1</v>
      </c>
      <c r="B7" s="77">
        <v>214.33</v>
      </c>
      <c r="C7" s="77">
        <v>402.02</v>
      </c>
      <c r="D7" s="77">
        <v>0</v>
      </c>
      <c r="E7" s="77">
        <v>33.450000000000003</v>
      </c>
      <c r="F7" s="77">
        <v>649.79999999999995</v>
      </c>
      <c r="G7" s="77">
        <v>122538.67</v>
      </c>
      <c r="H7" s="78"/>
      <c r="I7" s="76">
        <v>1</v>
      </c>
      <c r="J7" s="77">
        <v>54.21</v>
      </c>
      <c r="K7" s="77">
        <v>0</v>
      </c>
      <c r="L7" s="77">
        <v>0</v>
      </c>
      <c r="M7" s="77">
        <v>2.73</v>
      </c>
      <c r="N7" s="77">
        <v>56.94</v>
      </c>
      <c r="O7" s="77">
        <v>9945.7900000000009</v>
      </c>
      <c r="Q7">
        <v>1</v>
      </c>
      <c r="R7" s="16">
        <f>SUM(Tableau1[[#This Row],[Amortiss. Capital]]+Tableau2[[#This Row],[Amortiss. Capital]])</f>
        <v>268.54000000000002</v>
      </c>
      <c r="S7" s="16">
        <f>SUM(Tableau1[[#This Row],[Intérêt Normaux]]+Tableau2[[#This Row],[Intérêt Normaux]])</f>
        <v>402.02</v>
      </c>
      <c r="T7" s="16">
        <f>SUM(Tableau1[[#This Row],[Intérêts différés]]+Tableau2[[#This Row],[Intérêts différés]])</f>
        <v>0</v>
      </c>
      <c r="U7" s="16">
        <f>SUM(Tableau1[[#This Row],[Assurances]]+Tableau2[[#This Row],[Assurances]])</f>
        <v>36.18</v>
      </c>
      <c r="V7" s="16">
        <f>SUM(Tableau1[[#This Row],[Total à payer]]+Tableau2[[#This Row],[Total à payer]])</f>
        <v>706.74</v>
      </c>
      <c r="W7" s="16">
        <f>SUM(Tableau1[[#This Row],[Montant restant dû après échéance]]+Tableau2[[#This Row],[Montant restant dû après échéance]])</f>
        <v>132484.46</v>
      </c>
    </row>
    <row r="8" spans="1:23" x14ac:dyDescent="0.3">
      <c r="A8" s="76">
        <v>2</v>
      </c>
      <c r="B8" s="77">
        <v>215.1</v>
      </c>
      <c r="C8" s="77">
        <v>401.31</v>
      </c>
      <c r="D8" s="77">
        <v>0</v>
      </c>
      <c r="E8" s="77">
        <v>33.39</v>
      </c>
      <c r="F8" s="77">
        <v>649.79999999999995</v>
      </c>
      <c r="G8" s="77">
        <v>122323.57</v>
      </c>
      <c r="H8" s="78"/>
      <c r="I8" s="76">
        <v>2</v>
      </c>
      <c r="J8" s="77">
        <v>54.23</v>
      </c>
      <c r="K8" s="77">
        <v>0</v>
      </c>
      <c r="L8" s="77">
        <v>0</v>
      </c>
      <c r="M8" s="77">
        <v>2.71</v>
      </c>
      <c r="N8" s="77">
        <v>56.94</v>
      </c>
      <c r="O8" s="77">
        <v>9891.56</v>
      </c>
      <c r="Q8">
        <v>2</v>
      </c>
      <c r="R8" s="16">
        <f>SUM(Tableau1[[#This Row],[Amortiss. Capital]]+Tableau2[[#This Row],[Amortiss. Capital]])</f>
        <v>269.33</v>
      </c>
      <c r="S8" s="16">
        <f>SUM(Tableau1[[#This Row],[Intérêt Normaux]]+Tableau2[[#This Row],[Intérêt Normaux]])</f>
        <v>401.31</v>
      </c>
      <c r="T8" s="16">
        <f>SUM(Tableau1[[#This Row],[Intérêts différés]]+Tableau2[[#This Row],[Intérêts différés]])</f>
        <v>0</v>
      </c>
      <c r="U8" s="16">
        <f>SUM(Tableau1[[#This Row],[Assurances]]+Tableau2[[#This Row],[Assurances]])</f>
        <v>36.1</v>
      </c>
      <c r="V8" s="16">
        <f>SUM(Tableau1[[#This Row],[Total à payer]]+Tableau2[[#This Row],[Total à payer]])</f>
        <v>706.74</v>
      </c>
      <c r="W8" s="16">
        <f>SUM(Tableau1[[#This Row],[Montant restant dû après échéance]]+Tableau2[[#This Row],[Montant restant dû après échéance]])</f>
        <v>132215.13</v>
      </c>
    </row>
    <row r="9" spans="1:23" x14ac:dyDescent="0.3">
      <c r="A9" s="76">
        <v>3</v>
      </c>
      <c r="B9" s="77">
        <v>215.86</v>
      </c>
      <c r="C9" s="77">
        <v>400.61</v>
      </c>
      <c r="D9" s="77">
        <v>0</v>
      </c>
      <c r="E9" s="77">
        <v>33.33</v>
      </c>
      <c r="F9" s="77">
        <v>649.79999999999995</v>
      </c>
      <c r="G9" s="77">
        <v>122107.71</v>
      </c>
      <c r="H9" s="78"/>
      <c r="I9" s="76">
        <v>3</v>
      </c>
      <c r="J9" s="77">
        <v>54.24</v>
      </c>
      <c r="K9" s="77">
        <v>0</v>
      </c>
      <c r="L9" s="77">
        <v>0</v>
      </c>
      <c r="M9" s="77">
        <v>2.7</v>
      </c>
      <c r="N9" s="77">
        <v>56.94</v>
      </c>
      <c r="O9" s="77">
        <v>9837.32</v>
      </c>
      <c r="Q9">
        <v>3</v>
      </c>
      <c r="R9" s="16">
        <f>SUM(Tableau1[[#This Row],[Amortiss. Capital]]+Tableau2[[#This Row],[Amortiss. Capital]])</f>
        <v>270.10000000000002</v>
      </c>
      <c r="S9" s="16">
        <f>SUM(Tableau1[[#This Row],[Intérêt Normaux]]+Tableau2[[#This Row],[Intérêt Normaux]])</f>
        <v>400.61</v>
      </c>
      <c r="T9" s="16">
        <f>SUM(Tableau1[[#This Row],[Intérêts différés]]+Tableau2[[#This Row],[Intérêts différés]])</f>
        <v>0</v>
      </c>
      <c r="U9" s="16">
        <f>SUM(Tableau1[[#This Row],[Assurances]]+Tableau2[[#This Row],[Assurances]])</f>
        <v>36.03</v>
      </c>
      <c r="V9" s="16">
        <f>SUM(Tableau1[[#This Row],[Total à payer]]+Tableau2[[#This Row],[Total à payer]])</f>
        <v>706.74</v>
      </c>
      <c r="W9" s="16">
        <f>SUM(Tableau1[[#This Row],[Montant restant dû après échéance]]+Tableau2[[#This Row],[Montant restant dû après échéance]])</f>
        <v>131945.03</v>
      </c>
    </row>
    <row r="10" spans="1:23" x14ac:dyDescent="0.3">
      <c r="A10" s="76">
        <v>4</v>
      </c>
      <c r="B10" s="77">
        <v>216.63</v>
      </c>
      <c r="C10" s="77">
        <v>399.9</v>
      </c>
      <c r="D10" s="77">
        <v>0</v>
      </c>
      <c r="E10" s="77">
        <v>33.270000000000003</v>
      </c>
      <c r="F10" s="77">
        <v>649.79999999999995</v>
      </c>
      <c r="G10" s="77">
        <v>121891.08</v>
      </c>
      <c r="H10" s="78"/>
      <c r="I10" s="76">
        <v>4</v>
      </c>
      <c r="J10" s="77">
        <v>54.26</v>
      </c>
      <c r="K10" s="77">
        <v>0</v>
      </c>
      <c r="L10" s="77">
        <v>0</v>
      </c>
      <c r="M10" s="77">
        <v>2.68</v>
      </c>
      <c r="N10" s="77">
        <v>56.94</v>
      </c>
      <c r="O10" s="77">
        <v>9783.06</v>
      </c>
      <c r="Q10">
        <v>4</v>
      </c>
      <c r="R10" s="16">
        <f>SUM(Tableau1[[#This Row],[Amortiss. Capital]]+Tableau2[[#This Row],[Amortiss. Capital]])</f>
        <v>270.89</v>
      </c>
      <c r="S10" s="16">
        <f>SUM(Tableau1[[#This Row],[Intérêt Normaux]]+Tableau2[[#This Row],[Intérêt Normaux]])</f>
        <v>399.9</v>
      </c>
      <c r="T10" s="16">
        <f>SUM(Tableau1[[#This Row],[Intérêts différés]]+Tableau2[[#This Row],[Intérêts différés]])</f>
        <v>0</v>
      </c>
      <c r="U10" s="16">
        <f>SUM(Tableau1[[#This Row],[Assurances]]+Tableau2[[#This Row],[Assurances]])</f>
        <v>35.950000000000003</v>
      </c>
      <c r="V10" s="16">
        <f>SUM(Tableau1[[#This Row],[Total à payer]]+Tableau2[[#This Row],[Total à payer]])</f>
        <v>706.74</v>
      </c>
      <c r="W10" s="16">
        <f>SUM(Tableau1[[#This Row],[Montant restant dû après échéance]]+Tableau2[[#This Row],[Montant restant dû après échéance]])</f>
        <v>131674.14000000001</v>
      </c>
    </row>
    <row r="11" spans="1:23" x14ac:dyDescent="0.3">
      <c r="A11" s="76">
        <v>5</v>
      </c>
      <c r="B11" s="77">
        <v>217.39</v>
      </c>
      <c r="C11" s="77">
        <v>399.19</v>
      </c>
      <c r="D11" s="77">
        <v>0</v>
      </c>
      <c r="E11" s="77">
        <v>33.22</v>
      </c>
      <c r="F11" s="77">
        <v>649.79999999999995</v>
      </c>
      <c r="G11" s="77">
        <v>121673.69</v>
      </c>
      <c r="H11" s="78"/>
      <c r="I11" s="76">
        <v>5</v>
      </c>
      <c r="J11" s="77">
        <v>54.27</v>
      </c>
      <c r="K11" s="77">
        <v>0</v>
      </c>
      <c r="L11" s="77">
        <v>0</v>
      </c>
      <c r="M11" s="77">
        <v>2.67</v>
      </c>
      <c r="N11" s="77">
        <v>56.94</v>
      </c>
      <c r="O11" s="77">
        <v>9728.7900000000009</v>
      </c>
      <c r="Q11">
        <v>5</v>
      </c>
      <c r="R11" s="16">
        <f>SUM(Tableau1[[#This Row],[Amortiss. Capital]]+Tableau2[[#This Row],[Amortiss. Capital]])</f>
        <v>271.65999999999997</v>
      </c>
      <c r="S11" s="16">
        <f>SUM(Tableau1[[#This Row],[Intérêt Normaux]]+Tableau2[[#This Row],[Intérêt Normaux]])</f>
        <v>399.19</v>
      </c>
      <c r="T11" s="16">
        <f>SUM(Tableau1[[#This Row],[Intérêts différés]]+Tableau2[[#This Row],[Intérêts différés]])</f>
        <v>0</v>
      </c>
      <c r="U11" s="16">
        <f>SUM(Tableau1[[#This Row],[Assurances]]+Tableau2[[#This Row],[Assurances]])</f>
        <v>35.89</v>
      </c>
      <c r="V11" s="16">
        <f>SUM(Tableau1[[#This Row],[Total à payer]]+Tableau2[[#This Row],[Total à payer]])</f>
        <v>706.74</v>
      </c>
      <c r="W11" s="16">
        <f>SUM(Tableau1[[#This Row],[Montant restant dû après échéance]]+Tableau2[[#This Row],[Montant restant dû après échéance]])</f>
        <v>131402.48000000001</v>
      </c>
    </row>
    <row r="12" spans="1:23" x14ac:dyDescent="0.3">
      <c r="A12" s="76">
        <v>6</v>
      </c>
      <c r="B12" s="77">
        <v>218.16</v>
      </c>
      <c r="C12" s="77">
        <v>398.48</v>
      </c>
      <c r="D12" s="77">
        <v>0</v>
      </c>
      <c r="E12" s="77">
        <v>33.159999999999997</v>
      </c>
      <c r="F12" s="77">
        <v>649.79999999999995</v>
      </c>
      <c r="G12" s="77">
        <v>121455.53</v>
      </c>
      <c r="H12" s="78"/>
      <c r="I12" s="76">
        <v>6</v>
      </c>
      <c r="J12" s="77">
        <v>54.29</v>
      </c>
      <c r="K12" s="77">
        <v>0</v>
      </c>
      <c r="L12" s="77">
        <v>0</v>
      </c>
      <c r="M12" s="77">
        <v>2.65</v>
      </c>
      <c r="N12" s="77">
        <v>56.94</v>
      </c>
      <c r="O12" s="77">
        <v>9674.5</v>
      </c>
      <c r="Q12">
        <v>6</v>
      </c>
      <c r="R12" s="16">
        <f>SUM(Tableau1[[#This Row],[Amortiss. Capital]]+Tableau2[[#This Row],[Amortiss. Capital]])</f>
        <v>272.45</v>
      </c>
      <c r="S12" s="16">
        <f>SUM(Tableau1[[#This Row],[Intérêt Normaux]]+Tableau2[[#This Row],[Intérêt Normaux]])</f>
        <v>398.48</v>
      </c>
      <c r="T12" s="16">
        <f>SUM(Tableau1[[#This Row],[Intérêts différés]]+Tableau2[[#This Row],[Intérêts différés]])</f>
        <v>0</v>
      </c>
      <c r="U12" s="16">
        <f>SUM(Tableau1[[#This Row],[Assurances]]+Tableau2[[#This Row],[Assurances]])</f>
        <v>35.809999999999995</v>
      </c>
      <c r="V12" s="16">
        <f>SUM(Tableau1[[#This Row],[Total à payer]]+Tableau2[[#This Row],[Total à payer]])</f>
        <v>706.74</v>
      </c>
      <c r="W12" s="16">
        <f>SUM(Tableau1[[#This Row],[Montant restant dû après échéance]]+Tableau2[[#This Row],[Montant restant dû après échéance]])</f>
        <v>131130.03</v>
      </c>
    </row>
    <row r="13" spans="1:23" x14ac:dyDescent="0.3">
      <c r="A13" s="76">
        <v>7</v>
      </c>
      <c r="B13" s="77">
        <v>218.93</v>
      </c>
      <c r="C13" s="77">
        <v>397.77</v>
      </c>
      <c r="D13" s="77">
        <v>0</v>
      </c>
      <c r="E13" s="77">
        <v>33.1</v>
      </c>
      <c r="F13" s="77">
        <v>649.79999999999995</v>
      </c>
      <c r="G13" s="77">
        <v>121236.6</v>
      </c>
      <c r="H13" s="78"/>
      <c r="I13" s="76">
        <v>7</v>
      </c>
      <c r="J13" s="77">
        <v>54.3</v>
      </c>
      <c r="K13" s="77">
        <v>0</v>
      </c>
      <c r="L13" s="77">
        <v>0</v>
      </c>
      <c r="M13" s="77">
        <v>2.64</v>
      </c>
      <c r="N13" s="77">
        <v>56.94</v>
      </c>
      <c r="O13" s="77">
        <v>9620.2000000000007</v>
      </c>
      <c r="Q13">
        <v>7</v>
      </c>
      <c r="R13" s="16">
        <f>SUM(Tableau1[[#This Row],[Amortiss. Capital]]+Tableau2[[#This Row],[Amortiss. Capital]])</f>
        <v>273.23</v>
      </c>
      <c r="S13" s="16">
        <f>SUM(Tableau1[[#This Row],[Intérêt Normaux]]+Tableau2[[#This Row],[Intérêt Normaux]])</f>
        <v>397.77</v>
      </c>
      <c r="T13" s="16">
        <f>SUM(Tableau1[[#This Row],[Intérêts différés]]+Tableau2[[#This Row],[Intérêts différés]])</f>
        <v>0</v>
      </c>
      <c r="U13" s="16">
        <f>SUM(Tableau1[[#This Row],[Assurances]]+Tableau2[[#This Row],[Assurances]])</f>
        <v>35.74</v>
      </c>
      <c r="V13" s="16">
        <f>SUM(Tableau1[[#This Row],[Total à payer]]+Tableau2[[#This Row],[Total à payer]])</f>
        <v>706.74</v>
      </c>
      <c r="W13" s="16">
        <f>SUM(Tableau1[[#This Row],[Montant restant dû après échéance]]+Tableau2[[#This Row],[Montant restant dû après échéance]])</f>
        <v>130856.8</v>
      </c>
    </row>
    <row r="14" spans="1:23" x14ac:dyDescent="0.3">
      <c r="A14" s="76">
        <v>8</v>
      </c>
      <c r="B14" s="77">
        <v>219.71</v>
      </c>
      <c r="C14" s="77">
        <v>397.05</v>
      </c>
      <c r="D14" s="77">
        <v>0</v>
      </c>
      <c r="E14" s="77">
        <v>33.04</v>
      </c>
      <c r="F14" s="77">
        <v>649.79999999999995</v>
      </c>
      <c r="G14" s="77">
        <v>121016.89</v>
      </c>
      <c r="H14" s="78"/>
      <c r="I14" s="76">
        <v>8</v>
      </c>
      <c r="J14" s="77">
        <v>54.32</v>
      </c>
      <c r="K14" s="77">
        <v>0</v>
      </c>
      <c r="L14" s="77">
        <v>0</v>
      </c>
      <c r="M14" s="77">
        <v>2.62</v>
      </c>
      <c r="N14" s="77">
        <v>56.94</v>
      </c>
      <c r="O14" s="77">
        <v>9565.8799999999992</v>
      </c>
      <c r="Q14">
        <v>8</v>
      </c>
      <c r="R14" s="16">
        <f>SUM(Tableau1[[#This Row],[Amortiss. Capital]]+Tableau2[[#This Row],[Amortiss. Capital]])</f>
        <v>274.03000000000003</v>
      </c>
      <c r="S14" s="16">
        <f>SUM(Tableau1[[#This Row],[Intérêt Normaux]]+Tableau2[[#This Row],[Intérêt Normaux]])</f>
        <v>397.05</v>
      </c>
      <c r="T14" s="16">
        <f>SUM(Tableau1[[#This Row],[Intérêts différés]]+Tableau2[[#This Row],[Intérêts différés]])</f>
        <v>0</v>
      </c>
      <c r="U14" s="16">
        <f>SUM(Tableau1[[#This Row],[Assurances]]+Tableau2[[#This Row],[Assurances]])</f>
        <v>35.659999999999997</v>
      </c>
      <c r="V14" s="16">
        <f>SUM(Tableau1[[#This Row],[Total à payer]]+Tableau2[[#This Row],[Total à payer]])</f>
        <v>706.74</v>
      </c>
      <c r="W14" s="16">
        <f>SUM(Tableau1[[#This Row],[Montant restant dû après échéance]]+Tableau2[[#This Row],[Montant restant dû après échéance]])</f>
        <v>130582.77</v>
      </c>
    </row>
    <row r="15" spans="1:23" x14ac:dyDescent="0.3">
      <c r="A15" s="76">
        <v>9</v>
      </c>
      <c r="B15" s="77">
        <v>220.49</v>
      </c>
      <c r="C15" s="77">
        <v>396.33</v>
      </c>
      <c r="D15" s="77">
        <v>0</v>
      </c>
      <c r="E15" s="77">
        <v>32.979999999999997</v>
      </c>
      <c r="F15" s="77">
        <v>649.79999999999995</v>
      </c>
      <c r="G15" s="77">
        <v>120796.4</v>
      </c>
      <c r="H15" s="78"/>
      <c r="I15" s="76">
        <v>9</v>
      </c>
      <c r="J15" s="77">
        <v>54.33</v>
      </c>
      <c r="K15" s="77">
        <v>0</v>
      </c>
      <c r="L15" s="77">
        <v>0</v>
      </c>
      <c r="M15" s="77">
        <v>2.61</v>
      </c>
      <c r="N15" s="77">
        <v>56.94</v>
      </c>
      <c r="O15" s="77">
        <v>9511.5499999999993</v>
      </c>
      <c r="Q15">
        <v>9</v>
      </c>
      <c r="R15" s="16">
        <f>SUM(Tableau1[[#This Row],[Amortiss. Capital]]+Tableau2[[#This Row],[Amortiss. Capital]])</f>
        <v>274.82</v>
      </c>
      <c r="S15" s="16">
        <f>SUM(Tableau1[[#This Row],[Intérêt Normaux]]+Tableau2[[#This Row],[Intérêt Normaux]])</f>
        <v>396.33</v>
      </c>
      <c r="T15" s="16">
        <f>SUM(Tableau1[[#This Row],[Intérêts différés]]+Tableau2[[#This Row],[Intérêts différés]])</f>
        <v>0</v>
      </c>
      <c r="U15" s="16">
        <f>SUM(Tableau1[[#This Row],[Assurances]]+Tableau2[[#This Row],[Assurances]])</f>
        <v>35.589999999999996</v>
      </c>
      <c r="V15" s="16">
        <f>SUM(Tableau1[[#This Row],[Total à payer]]+Tableau2[[#This Row],[Total à payer]])</f>
        <v>706.74</v>
      </c>
      <c r="W15" s="16">
        <f>SUM(Tableau1[[#This Row],[Montant restant dû après échéance]]+Tableau2[[#This Row],[Montant restant dû après échéance]])</f>
        <v>130307.95</v>
      </c>
    </row>
    <row r="16" spans="1:23" x14ac:dyDescent="0.3">
      <c r="A16" s="76">
        <v>10</v>
      </c>
      <c r="B16" s="77">
        <v>221.27</v>
      </c>
      <c r="C16" s="77">
        <v>395.61</v>
      </c>
      <c r="D16" s="77">
        <v>0</v>
      </c>
      <c r="E16" s="77">
        <v>32.92</v>
      </c>
      <c r="F16" s="77">
        <v>649.79999999999995</v>
      </c>
      <c r="G16" s="77">
        <v>120575.13</v>
      </c>
      <c r="H16" s="78"/>
      <c r="I16" s="76">
        <v>10</v>
      </c>
      <c r="J16" s="77">
        <v>54.35</v>
      </c>
      <c r="K16" s="77">
        <v>0</v>
      </c>
      <c r="L16" s="77">
        <v>0</v>
      </c>
      <c r="M16" s="77">
        <v>2.59</v>
      </c>
      <c r="N16" s="77">
        <v>56.94</v>
      </c>
      <c r="O16" s="77">
        <v>9457.2000000000007</v>
      </c>
      <c r="Q16">
        <v>10</v>
      </c>
      <c r="R16" s="16">
        <f>SUM(Tableau1[[#This Row],[Amortiss. Capital]]+Tableau2[[#This Row],[Amortiss. Capital]])</f>
        <v>275.62</v>
      </c>
      <c r="S16" s="16">
        <f>SUM(Tableau1[[#This Row],[Intérêt Normaux]]+Tableau2[[#This Row],[Intérêt Normaux]])</f>
        <v>395.61</v>
      </c>
      <c r="T16" s="16">
        <f>SUM(Tableau1[[#This Row],[Intérêts différés]]+Tableau2[[#This Row],[Intérêts différés]])</f>
        <v>0</v>
      </c>
      <c r="U16" s="16">
        <f>SUM(Tableau1[[#This Row],[Assurances]]+Tableau2[[#This Row],[Assurances]])</f>
        <v>35.510000000000005</v>
      </c>
      <c r="V16" s="16">
        <f>SUM(Tableau1[[#This Row],[Total à payer]]+Tableau2[[#This Row],[Total à payer]])</f>
        <v>706.74</v>
      </c>
      <c r="W16" s="16">
        <f>SUM(Tableau1[[#This Row],[Montant restant dû après échéance]]+Tableau2[[#This Row],[Montant restant dû après échéance]])</f>
        <v>130032.33</v>
      </c>
    </row>
    <row r="17" spans="1:23" x14ac:dyDescent="0.3">
      <c r="A17" s="76">
        <v>11</v>
      </c>
      <c r="B17" s="77">
        <v>222.06</v>
      </c>
      <c r="C17" s="77">
        <v>394.88</v>
      </c>
      <c r="D17" s="77">
        <v>0</v>
      </c>
      <c r="E17" s="77">
        <v>32.86</v>
      </c>
      <c r="F17" s="77">
        <v>649.79999999999995</v>
      </c>
      <c r="G17" s="77">
        <v>120353.07</v>
      </c>
      <c r="H17" s="78"/>
      <c r="I17" s="76">
        <v>11</v>
      </c>
      <c r="J17" s="77">
        <v>54.36</v>
      </c>
      <c r="K17" s="77">
        <v>0</v>
      </c>
      <c r="L17" s="77">
        <v>0</v>
      </c>
      <c r="M17" s="77">
        <v>2.58</v>
      </c>
      <c r="N17" s="77">
        <v>56.94</v>
      </c>
      <c r="O17" s="77">
        <v>9402.84</v>
      </c>
      <c r="Q17">
        <v>11</v>
      </c>
      <c r="R17" s="16">
        <f>SUM(Tableau1[[#This Row],[Amortiss. Capital]]+Tableau2[[#This Row],[Amortiss. Capital]])</f>
        <v>276.42</v>
      </c>
      <c r="S17" s="16">
        <f>SUM(Tableau1[[#This Row],[Intérêt Normaux]]+Tableau2[[#This Row],[Intérêt Normaux]])</f>
        <v>394.88</v>
      </c>
      <c r="T17" s="16">
        <f>SUM(Tableau1[[#This Row],[Intérêts différés]]+Tableau2[[#This Row],[Intérêts différés]])</f>
        <v>0</v>
      </c>
      <c r="U17" s="16">
        <f>SUM(Tableau1[[#This Row],[Assurances]]+Tableau2[[#This Row],[Assurances]])</f>
        <v>35.44</v>
      </c>
      <c r="V17" s="16">
        <f>SUM(Tableau1[[#This Row],[Total à payer]]+Tableau2[[#This Row],[Total à payer]])</f>
        <v>706.74</v>
      </c>
      <c r="W17" s="16">
        <f>SUM(Tableau1[[#This Row],[Montant restant dû après échéance]]+Tableau2[[#This Row],[Montant restant dû après échéance]])</f>
        <v>129755.91</v>
      </c>
    </row>
    <row r="18" spans="1:23" x14ac:dyDescent="0.3">
      <c r="A18" s="76">
        <v>12</v>
      </c>
      <c r="B18" s="77">
        <v>222.84</v>
      </c>
      <c r="C18" s="77">
        <v>394.16</v>
      </c>
      <c r="D18" s="77">
        <v>0</v>
      </c>
      <c r="E18" s="77">
        <v>32.799999999999997</v>
      </c>
      <c r="F18" s="77">
        <v>649.79999999999995</v>
      </c>
      <c r="G18" s="77">
        <v>120130.23</v>
      </c>
      <c r="H18" s="78"/>
      <c r="I18" s="76">
        <v>12</v>
      </c>
      <c r="J18" s="77">
        <v>54.38</v>
      </c>
      <c r="K18" s="77">
        <v>0</v>
      </c>
      <c r="L18" s="77">
        <v>0</v>
      </c>
      <c r="M18" s="77">
        <v>2.56</v>
      </c>
      <c r="N18" s="77">
        <v>56.94</v>
      </c>
      <c r="O18" s="77">
        <v>9348.4599999999991</v>
      </c>
      <c r="Q18">
        <v>12</v>
      </c>
      <c r="R18" s="16">
        <f>SUM(Tableau1[[#This Row],[Amortiss. Capital]]+Tableau2[[#This Row],[Amortiss. Capital]])</f>
        <v>277.22000000000003</v>
      </c>
      <c r="S18" s="16">
        <f>SUM(Tableau1[[#This Row],[Intérêt Normaux]]+Tableau2[[#This Row],[Intérêt Normaux]])</f>
        <v>394.16</v>
      </c>
      <c r="T18" s="16">
        <f>SUM(Tableau1[[#This Row],[Intérêts différés]]+Tableau2[[#This Row],[Intérêts différés]])</f>
        <v>0</v>
      </c>
      <c r="U18" s="16">
        <f>SUM(Tableau1[[#This Row],[Assurances]]+Tableau2[[#This Row],[Assurances]])</f>
        <v>35.36</v>
      </c>
      <c r="V18" s="16">
        <f>SUM(Tableau1[[#This Row],[Total à payer]]+Tableau2[[#This Row],[Total à payer]])</f>
        <v>706.74</v>
      </c>
      <c r="W18" s="16">
        <f>SUM(Tableau1[[#This Row],[Montant restant dû après échéance]]+Tableau2[[#This Row],[Montant restant dû après échéance]])</f>
        <v>129478.69</v>
      </c>
    </row>
    <row r="19" spans="1:23" x14ac:dyDescent="0.3">
      <c r="A19" s="76">
        <v>13</v>
      </c>
      <c r="B19" s="77">
        <v>223.63</v>
      </c>
      <c r="C19" s="77">
        <v>393.43</v>
      </c>
      <c r="D19" s="77">
        <v>0</v>
      </c>
      <c r="E19" s="77">
        <v>32.74</v>
      </c>
      <c r="F19" s="77">
        <v>649.79999999999995</v>
      </c>
      <c r="G19" s="77">
        <v>119906.6</v>
      </c>
      <c r="H19" s="78"/>
      <c r="I19" s="76">
        <v>13</v>
      </c>
      <c r="J19" s="77">
        <v>54.39</v>
      </c>
      <c r="K19" s="77">
        <v>0</v>
      </c>
      <c r="L19" s="77">
        <v>0</v>
      </c>
      <c r="M19" s="77">
        <v>2.5499999999999998</v>
      </c>
      <c r="N19" s="77">
        <v>56.94</v>
      </c>
      <c r="O19" s="77">
        <v>9294.07</v>
      </c>
      <c r="Q19">
        <v>13</v>
      </c>
      <c r="R19" s="16">
        <f>SUM(Tableau1[[#This Row],[Amortiss. Capital]]+Tableau2[[#This Row],[Amortiss. Capital]])</f>
        <v>278.02</v>
      </c>
      <c r="S19" s="16">
        <f>SUM(Tableau1[[#This Row],[Intérêt Normaux]]+Tableau2[[#This Row],[Intérêt Normaux]])</f>
        <v>393.43</v>
      </c>
      <c r="T19" s="16">
        <f>SUM(Tableau1[[#This Row],[Intérêts différés]]+Tableau2[[#This Row],[Intérêts différés]])</f>
        <v>0</v>
      </c>
      <c r="U19" s="16">
        <f>SUM(Tableau1[[#This Row],[Assurances]]+Tableau2[[#This Row],[Assurances]])</f>
        <v>35.29</v>
      </c>
      <c r="V19" s="16">
        <f>SUM(Tableau1[[#This Row],[Total à payer]]+Tableau2[[#This Row],[Total à payer]])</f>
        <v>706.74</v>
      </c>
      <c r="W19" s="16">
        <f>SUM(Tableau1[[#This Row],[Montant restant dû après échéance]]+Tableau2[[#This Row],[Montant restant dû après échéance]])</f>
        <v>129200.67000000001</v>
      </c>
    </row>
    <row r="20" spans="1:23" x14ac:dyDescent="0.3">
      <c r="A20" s="76">
        <v>14</v>
      </c>
      <c r="B20" s="77">
        <v>224.44</v>
      </c>
      <c r="C20" s="77">
        <v>392.69</v>
      </c>
      <c r="D20" s="77">
        <v>0</v>
      </c>
      <c r="E20" s="77">
        <v>32.67</v>
      </c>
      <c r="F20" s="77">
        <v>649.79999999999995</v>
      </c>
      <c r="G20" s="77">
        <v>119682.16</v>
      </c>
      <c r="H20" s="78"/>
      <c r="I20" s="76">
        <v>14</v>
      </c>
      <c r="J20" s="77">
        <v>54.41</v>
      </c>
      <c r="K20" s="77">
        <v>0</v>
      </c>
      <c r="L20" s="77">
        <v>0</v>
      </c>
      <c r="M20" s="77">
        <v>2.5299999999999998</v>
      </c>
      <c r="N20" s="77">
        <v>56.94</v>
      </c>
      <c r="O20" s="77">
        <v>9239.66</v>
      </c>
      <c r="Q20">
        <v>14</v>
      </c>
      <c r="R20" s="16">
        <f>SUM(Tableau1[[#This Row],[Amortiss. Capital]]+Tableau2[[#This Row],[Amortiss. Capital]])</f>
        <v>278.85000000000002</v>
      </c>
      <c r="S20" s="16">
        <f>SUM(Tableau1[[#This Row],[Intérêt Normaux]]+Tableau2[[#This Row],[Intérêt Normaux]])</f>
        <v>392.69</v>
      </c>
      <c r="T20" s="16">
        <f>SUM(Tableau1[[#This Row],[Intérêts différés]]+Tableau2[[#This Row],[Intérêts différés]])</f>
        <v>0</v>
      </c>
      <c r="U20" s="16">
        <f>SUM(Tableau1[[#This Row],[Assurances]]+Tableau2[[#This Row],[Assurances]])</f>
        <v>35.200000000000003</v>
      </c>
      <c r="V20" s="16">
        <f>SUM(Tableau1[[#This Row],[Total à payer]]+Tableau2[[#This Row],[Total à payer]])</f>
        <v>706.74</v>
      </c>
      <c r="W20" s="16">
        <f>SUM(Tableau1[[#This Row],[Montant restant dû après échéance]]+Tableau2[[#This Row],[Montant restant dû après échéance]])</f>
        <v>128921.82</v>
      </c>
    </row>
    <row r="21" spans="1:23" x14ac:dyDescent="0.3">
      <c r="A21" s="76">
        <v>15</v>
      </c>
      <c r="B21" s="77">
        <v>225.23</v>
      </c>
      <c r="C21" s="77">
        <v>391.96</v>
      </c>
      <c r="D21" s="77">
        <v>0</v>
      </c>
      <c r="E21" s="77">
        <v>32.61</v>
      </c>
      <c r="F21" s="77">
        <v>649.79999999999995</v>
      </c>
      <c r="G21" s="77">
        <v>119456.93</v>
      </c>
      <c r="H21" s="78"/>
      <c r="I21" s="76">
        <v>15</v>
      </c>
      <c r="J21" s="77">
        <v>54.42</v>
      </c>
      <c r="K21" s="77">
        <v>0</v>
      </c>
      <c r="L21" s="77">
        <v>0</v>
      </c>
      <c r="M21" s="77">
        <v>2.52</v>
      </c>
      <c r="N21" s="77">
        <v>56.94</v>
      </c>
      <c r="O21" s="77">
        <v>9185.24</v>
      </c>
      <c r="Q21">
        <v>15</v>
      </c>
      <c r="R21" s="16">
        <f>SUM(Tableau1[[#This Row],[Amortiss. Capital]]+Tableau2[[#This Row],[Amortiss. Capital]])</f>
        <v>279.64999999999998</v>
      </c>
      <c r="S21" s="16">
        <f>SUM(Tableau1[[#This Row],[Intérêt Normaux]]+Tableau2[[#This Row],[Intérêt Normaux]])</f>
        <v>391.96</v>
      </c>
      <c r="T21" s="16">
        <f>SUM(Tableau1[[#This Row],[Intérêts différés]]+Tableau2[[#This Row],[Intérêts différés]])</f>
        <v>0</v>
      </c>
      <c r="U21" s="16">
        <f>SUM(Tableau1[[#This Row],[Assurances]]+Tableau2[[#This Row],[Assurances]])</f>
        <v>35.130000000000003</v>
      </c>
      <c r="V21" s="16">
        <f>SUM(Tableau1[[#This Row],[Total à payer]]+Tableau2[[#This Row],[Total à payer]])</f>
        <v>706.74</v>
      </c>
      <c r="W21" s="16">
        <f>SUM(Tableau1[[#This Row],[Montant restant dû après échéance]]+Tableau2[[#This Row],[Montant restant dû après échéance]])</f>
        <v>128642.17</v>
      </c>
    </row>
    <row r="22" spans="1:23" x14ac:dyDescent="0.3">
      <c r="A22" s="76">
        <v>16</v>
      </c>
      <c r="B22" s="77">
        <v>226.03</v>
      </c>
      <c r="C22" s="77">
        <v>391.22</v>
      </c>
      <c r="D22" s="77">
        <v>0</v>
      </c>
      <c r="E22" s="77">
        <v>32.549999999999997</v>
      </c>
      <c r="F22" s="77">
        <v>649.79999999999995</v>
      </c>
      <c r="G22" s="77">
        <v>119230.9</v>
      </c>
      <c r="H22" s="78"/>
      <c r="I22" s="76">
        <v>16</v>
      </c>
      <c r="J22" s="77">
        <v>54.44</v>
      </c>
      <c r="K22" s="77">
        <v>0</v>
      </c>
      <c r="L22" s="77">
        <v>0</v>
      </c>
      <c r="M22" s="77">
        <v>2.5</v>
      </c>
      <c r="N22" s="77">
        <v>56.94</v>
      </c>
      <c r="O22" s="77">
        <v>9130.7999999999993</v>
      </c>
      <c r="Q22">
        <v>16</v>
      </c>
      <c r="R22" s="16">
        <f>SUM(Tableau1[[#This Row],[Amortiss. Capital]]+Tableau2[[#This Row],[Amortiss. Capital]])</f>
        <v>280.47000000000003</v>
      </c>
      <c r="S22" s="16">
        <f>SUM(Tableau1[[#This Row],[Intérêt Normaux]]+Tableau2[[#This Row],[Intérêt Normaux]])</f>
        <v>391.22</v>
      </c>
      <c r="T22" s="16">
        <f>SUM(Tableau1[[#This Row],[Intérêts différés]]+Tableau2[[#This Row],[Intérêts différés]])</f>
        <v>0</v>
      </c>
      <c r="U22" s="16">
        <f>SUM(Tableau1[[#This Row],[Assurances]]+Tableau2[[#This Row],[Assurances]])</f>
        <v>35.049999999999997</v>
      </c>
      <c r="V22" s="16">
        <f>SUM(Tableau1[[#This Row],[Total à payer]]+Tableau2[[#This Row],[Total à payer]])</f>
        <v>706.74</v>
      </c>
      <c r="W22" s="16">
        <f>SUM(Tableau1[[#This Row],[Montant restant dû après échéance]]+Tableau2[[#This Row],[Montant restant dû après échéance]])</f>
        <v>128361.7</v>
      </c>
    </row>
    <row r="23" spans="1:23" x14ac:dyDescent="0.3">
      <c r="A23" s="76">
        <v>17</v>
      </c>
      <c r="B23" s="77">
        <v>226.83</v>
      </c>
      <c r="C23" s="77">
        <v>390.48</v>
      </c>
      <c r="D23" s="77">
        <v>0</v>
      </c>
      <c r="E23" s="77">
        <v>32.49</v>
      </c>
      <c r="F23" s="77">
        <v>649.79999999999995</v>
      </c>
      <c r="G23" s="77">
        <v>119004.07</v>
      </c>
      <c r="H23" s="78"/>
      <c r="I23" s="76">
        <v>17</v>
      </c>
      <c r="J23" s="77">
        <v>54.45</v>
      </c>
      <c r="K23" s="77">
        <v>0</v>
      </c>
      <c r="L23" s="77">
        <v>0</v>
      </c>
      <c r="M23" s="77">
        <v>2.4900000000000002</v>
      </c>
      <c r="N23" s="77">
        <v>56.94</v>
      </c>
      <c r="O23" s="77">
        <v>9076.35</v>
      </c>
      <c r="Q23">
        <v>17</v>
      </c>
      <c r="R23" s="16">
        <f>SUM(Tableau1[[#This Row],[Amortiss. Capital]]+Tableau2[[#This Row],[Amortiss. Capital]])</f>
        <v>281.28000000000003</v>
      </c>
      <c r="S23" s="16">
        <f>SUM(Tableau1[[#This Row],[Intérêt Normaux]]+Tableau2[[#This Row],[Intérêt Normaux]])</f>
        <v>390.48</v>
      </c>
      <c r="T23" s="16">
        <f>SUM(Tableau1[[#This Row],[Intérêts différés]]+Tableau2[[#This Row],[Intérêts différés]])</f>
        <v>0</v>
      </c>
      <c r="U23" s="16">
        <f>SUM(Tableau1[[#This Row],[Assurances]]+Tableau2[[#This Row],[Assurances]])</f>
        <v>34.980000000000004</v>
      </c>
      <c r="V23" s="16">
        <f>SUM(Tableau1[[#This Row],[Total à payer]]+Tableau2[[#This Row],[Total à payer]])</f>
        <v>706.74</v>
      </c>
      <c r="W23" s="16">
        <f>SUM(Tableau1[[#This Row],[Montant restant dû après échéance]]+Tableau2[[#This Row],[Montant restant dû après échéance]])</f>
        <v>128080.42000000001</v>
      </c>
    </row>
    <row r="24" spans="1:23" x14ac:dyDescent="0.3">
      <c r="A24" s="76">
        <v>18</v>
      </c>
      <c r="B24" s="77">
        <v>227.63</v>
      </c>
      <c r="C24" s="77">
        <v>389.74</v>
      </c>
      <c r="D24" s="77">
        <v>0</v>
      </c>
      <c r="E24" s="77">
        <v>32.43</v>
      </c>
      <c r="F24" s="77">
        <v>649.79999999999995</v>
      </c>
      <c r="G24" s="77">
        <v>118776.44</v>
      </c>
      <c r="H24" s="78"/>
      <c r="I24" s="76">
        <v>18</v>
      </c>
      <c r="J24" s="77">
        <v>54.47</v>
      </c>
      <c r="K24" s="77">
        <v>0</v>
      </c>
      <c r="L24" s="77">
        <v>0</v>
      </c>
      <c r="M24" s="77">
        <v>2.4700000000000002</v>
      </c>
      <c r="N24" s="77">
        <v>56.94</v>
      </c>
      <c r="O24" s="77">
        <v>9021.8799999999992</v>
      </c>
      <c r="Q24">
        <v>18</v>
      </c>
      <c r="R24" s="16">
        <f>SUM(Tableau1[[#This Row],[Amortiss. Capital]]+Tableau2[[#This Row],[Amortiss. Capital]])</f>
        <v>282.10000000000002</v>
      </c>
      <c r="S24" s="16">
        <f>SUM(Tableau1[[#This Row],[Intérêt Normaux]]+Tableau2[[#This Row],[Intérêt Normaux]])</f>
        <v>389.74</v>
      </c>
      <c r="T24" s="16">
        <f>SUM(Tableau1[[#This Row],[Intérêts différés]]+Tableau2[[#This Row],[Intérêts différés]])</f>
        <v>0</v>
      </c>
      <c r="U24" s="16">
        <f>SUM(Tableau1[[#This Row],[Assurances]]+Tableau2[[#This Row],[Assurances]])</f>
        <v>34.9</v>
      </c>
      <c r="V24" s="16">
        <f>SUM(Tableau1[[#This Row],[Total à payer]]+Tableau2[[#This Row],[Total à payer]])</f>
        <v>706.74</v>
      </c>
      <c r="W24" s="16">
        <f>SUM(Tableau1[[#This Row],[Montant restant dû après échéance]]+Tableau2[[#This Row],[Montant restant dû après échéance]])</f>
        <v>127798.32</v>
      </c>
    </row>
    <row r="25" spans="1:23" x14ac:dyDescent="0.3">
      <c r="A25" s="76">
        <v>19</v>
      </c>
      <c r="B25" s="77">
        <v>228.44</v>
      </c>
      <c r="C25" s="77">
        <v>388.99</v>
      </c>
      <c r="D25" s="77">
        <v>0</v>
      </c>
      <c r="E25" s="77">
        <v>32.369999999999997</v>
      </c>
      <c r="F25" s="77">
        <v>649.79999999999995</v>
      </c>
      <c r="G25" s="77">
        <v>118548</v>
      </c>
      <c r="H25" s="78"/>
      <c r="I25" s="76">
        <v>19</v>
      </c>
      <c r="J25" s="77">
        <v>54.48</v>
      </c>
      <c r="K25" s="77">
        <v>0</v>
      </c>
      <c r="L25" s="77">
        <v>0</v>
      </c>
      <c r="M25" s="77">
        <v>2.46</v>
      </c>
      <c r="N25" s="77">
        <v>56.94</v>
      </c>
      <c r="O25" s="77">
        <v>8967.4</v>
      </c>
      <c r="Q25">
        <v>19</v>
      </c>
      <c r="R25" s="16">
        <f>SUM(Tableau1[[#This Row],[Amortiss. Capital]]+Tableau2[[#This Row],[Amortiss. Capital]])</f>
        <v>282.92</v>
      </c>
      <c r="S25" s="16">
        <f>SUM(Tableau1[[#This Row],[Intérêt Normaux]]+Tableau2[[#This Row],[Intérêt Normaux]])</f>
        <v>388.99</v>
      </c>
      <c r="T25" s="16">
        <f>SUM(Tableau1[[#This Row],[Intérêts différés]]+Tableau2[[#This Row],[Intérêts différés]])</f>
        <v>0</v>
      </c>
      <c r="U25" s="16">
        <f>SUM(Tableau1[[#This Row],[Assurances]]+Tableau2[[#This Row],[Assurances]])</f>
        <v>34.83</v>
      </c>
      <c r="V25" s="16">
        <f>SUM(Tableau1[[#This Row],[Total à payer]]+Tableau2[[#This Row],[Total à payer]])</f>
        <v>706.74</v>
      </c>
      <c r="W25" s="16">
        <f>SUM(Tableau1[[#This Row],[Montant restant dû après échéance]]+Tableau2[[#This Row],[Montant restant dû après échéance]])</f>
        <v>127515.4</v>
      </c>
    </row>
    <row r="26" spans="1:23" x14ac:dyDescent="0.3">
      <c r="A26" s="76">
        <v>20</v>
      </c>
      <c r="B26" s="77">
        <v>229.26</v>
      </c>
      <c r="C26" s="77">
        <v>388.24</v>
      </c>
      <c r="D26" s="77">
        <v>0</v>
      </c>
      <c r="E26" s="77">
        <v>32.299999999999997</v>
      </c>
      <c r="F26" s="77">
        <v>649.79999999999995</v>
      </c>
      <c r="G26" s="77">
        <v>118318.74</v>
      </c>
      <c r="H26" s="78"/>
      <c r="I26" s="76">
        <v>20</v>
      </c>
      <c r="J26" s="77">
        <v>54.5</v>
      </c>
      <c r="K26" s="77">
        <v>0</v>
      </c>
      <c r="L26" s="77">
        <v>0</v>
      </c>
      <c r="M26" s="77">
        <v>2.44</v>
      </c>
      <c r="N26" s="77">
        <v>56.94</v>
      </c>
      <c r="O26" s="77">
        <v>8912.9</v>
      </c>
      <c r="Q26">
        <v>20</v>
      </c>
      <c r="R26" s="16">
        <f>SUM(Tableau1[[#This Row],[Amortiss. Capital]]+Tableau2[[#This Row],[Amortiss. Capital]])</f>
        <v>283.76</v>
      </c>
      <c r="S26" s="16">
        <f>SUM(Tableau1[[#This Row],[Intérêt Normaux]]+Tableau2[[#This Row],[Intérêt Normaux]])</f>
        <v>388.24</v>
      </c>
      <c r="T26" s="16">
        <f>SUM(Tableau1[[#This Row],[Intérêts différés]]+Tableau2[[#This Row],[Intérêts différés]])</f>
        <v>0</v>
      </c>
      <c r="U26" s="16">
        <f>SUM(Tableau1[[#This Row],[Assurances]]+Tableau2[[#This Row],[Assurances]])</f>
        <v>34.739999999999995</v>
      </c>
      <c r="V26" s="16">
        <f>SUM(Tableau1[[#This Row],[Total à payer]]+Tableau2[[#This Row],[Total à payer]])</f>
        <v>706.74</v>
      </c>
      <c r="W26" s="16">
        <f>SUM(Tableau1[[#This Row],[Montant restant dû après échéance]]+Tableau2[[#This Row],[Montant restant dû après échéance]])</f>
        <v>127231.64</v>
      </c>
    </row>
    <row r="27" spans="1:23" x14ac:dyDescent="0.3">
      <c r="A27" s="76">
        <v>21</v>
      </c>
      <c r="B27" s="77">
        <v>230.07</v>
      </c>
      <c r="C27" s="77">
        <v>387.49</v>
      </c>
      <c r="D27" s="77">
        <v>0</v>
      </c>
      <c r="E27" s="77">
        <v>32.24</v>
      </c>
      <c r="F27" s="77">
        <v>649.79999999999995</v>
      </c>
      <c r="G27" s="77">
        <v>118088.67</v>
      </c>
      <c r="H27" s="78"/>
      <c r="I27" s="76">
        <v>21</v>
      </c>
      <c r="J27" s="77">
        <v>54.51</v>
      </c>
      <c r="K27" s="77">
        <v>0</v>
      </c>
      <c r="L27" s="77">
        <v>0</v>
      </c>
      <c r="M27" s="77">
        <v>2.4300000000000002</v>
      </c>
      <c r="N27" s="77">
        <v>56.94</v>
      </c>
      <c r="O27" s="77">
        <v>8858.39</v>
      </c>
      <c r="Q27">
        <v>21</v>
      </c>
      <c r="R27" s="16">
        <f>SUM(Tableau1[[#This Row],[Amortiss. Capital]]+Tableau2[[#This Row],[Amortiss. Capital]])</f>
        <v>284.58</v>
      </c>
      <c r="S27" s="16">
        <f>SUM(Tableau1[[#This Row],[Intérêt Normaux]]+Tableau2[[#This Row],[Intérêt Normaux]])</f>
        <v>387.49</v>
      </c>
      <c r="T27" s="16">
        <f>SUM(Tableau1[[#This Row],[Intérêts différés]]+Tableau2[[#This Row],[Intérêts différés]])</f>
        <v>0</v>
      </c>
      <c r="U27" s="16">
        <f>SUM(Tableau1[[#This Row],[Assurances]]+Tableau2[[#This Row],[Assurances]])</f>
        <v>34.67</v>
      </c>
      <c r="V27" s="16">
        <f>SUM(Tableau1[[#This Row],[Total à payer]]+Tableau2[[#This Row],[Total à payer]])</f>
        <v>706.74</v>
      </c>
      <c r="W27" s="16">
        <f>SUM(Tableau1[[#This Row],[Montant restant dû après échéance]]+Tableau2[[#This Row],[Montant restant dû après échéance]])</f>
        <v>126947.06</v>
      </c>
    </row>
    <row r="28" spans="1:23" x14ac:dyDescent="0.3">
      <c r="A28" s="76">
        <v>22</v>
      </c>
      <c r="B28" s="77">
        <v>230.88</v>
      </c>
      <c r="C28" s="77">
        <v>386.74</v>
      </c>
      <c r="D28" s="77">
        <v>0</v>
      </c>
      <c r="E28" s="77">
        <v>32.18</v>
      </c>
      <c r="F28" s="77">
        <v>649.79999999999995</v>
      </c>
      <c r="G28" s="77">
        <v>117857.79</v>
      </c>
      <c r="H28" s="78"/>
      <c r="I28" s="76">
        <v>22</v>
      </c>
      <c r="J28" s="77">
        <v>54.53</v>
      </c>
      <c r="K28" s="77">
        <v>0</v>
      </c>
      <c r="L28" s="77">
        <v>0</v>
      </c>
      <c r="M28" s="77">
        <v>2.41</v>
      </c>
      <c r="N28" s="77">
        <v>56.94</v>
      </c>
      <c r="O28" s="77">
        <v>8803.86</v>
      </c>
      <c r="Q28">
        <v>22</v>
      </c>
      <c r="R28" s="16">
        <f>SUM(Tableau1[[#This Row],[Amortiss. Capital]]+Tableau2[[#This Row],[Amortiss. Capital]])</f>
        <v>285.40999999999997</v>
      </c>
      <c r="S28" s="16">
        <f>SUM(Tableau1[[#This Row],[Intérêt Normaux]]+Tableau2[[#This Row],[Intérêt Normaux]])</f>
        <v>386.74</v>
      </c>
      <c r="T28" s="16">
        <f>SUM(Tableau1[[#This Row],[Intérêts différés]]+Tableau2[[#This Row],[Intérêts différés]])</f>
        <v>0</v>
      </c>
      <c r="U28" s="16">
        <f>SUM(Tableau1[[#This Row],[Assurances]]+Tableau2[[#This Row],[Assurances]])</f>
        <v>34.590000000000003</v>
      </c>
      <c r="V28" s="16">
        <f>SUM(Tableau1[[#This Row],[Total à payer]]+Tableau2[[#This Row],[Total à payer]])</f>
        <v>706.74</v>
      </c>
      <c r="W28" s="16">
        <f>SUM(Tableau1[[#This Row],[Montant restant dû après échéance]]+Tableau2[[#This Row],[Montant restant dû après échéance]])</f>
        <v>126661.65</v>
      </c>
    </row>
    <row r="29" spans="1:23" x14ac:dyDescent="0.3">
      <c r="A29" s="76">
        <v>23</v>
      </c>
      <c r="B29" s="77">
        <v>231.7</v>
      </c>
      <c r="C29" s="77">
        <v>385.98</v>
      </c>
      <c r="D29" s="77">
        <v>0</v>
      </c>
      <c r="E29" s="77">
        <v>32.119999999999997</v>
      </c>
      <c r="F29" s="77">
        <v>649.79999999999995</v>
      </c>
      <c r="G29" s="77">
        <v>117626.09</v>
      </c>
      <c r="H29" s="78"/>
      <c r="I29" s="76">
        <v>23</v>
      </c>
      <c r="J29" s="77">
        <v>54.54</v>
      </c>
      <c r="K29" s="77">
        <v>0</v>
      </c>
      <c r="L29" s="77">
        <v>0</v>
      </c>
      <c r="M29" s="77">
        <v>2.4</v>
      </c>
      <c r="N29" s="77">
        <v>56.94</v>
      </c>
      <c r="O29" s="77">
        <v>8749.32</v>
      </c>
      <c r="Q29">
        <v>23</v>
      </c>
      <c r="R29" s="16">
        <f>SUM(Tableau1[[#This Row],[Amortiss. Capital]]+Tableau2[[#This Row],[Amortiss. Capital]])</f>
        <v>286.24</v>
      </c>
      <c r="S29" s="16">
        <f>SUM(Tableau1[[#This Row],[Intérêt Normaux]]+Tableau2[[#This Row],[Intérêt Normaux]])</f>
        <v>385.98</v>
      </c>
      <c r="T29" s="16">
        <f>SUM(Tableau1[[#This Row],[Intérêts différés]]+Tableau2[[#This Row],[Intérêts différés]])</f>
        <v>0</v>
      </c>
      <c r="U29" s="16">
        <f>SUM(Tableau1[[#This Row],[Assurances]]+Tableau2[[#This Row],[Assurances]])</f>
        <v>34.519999999999996</v>
      </c>
      <c r="V29" s="16">
        <f>SUM(Tableau1[[#This Row],[Total à payer]]+Tableau2[[#This Row],[Total à payer]])</f>
        <v>706.74</v>
      </c>
      <c r="W29" s="16">
        <f>SUM(Tableau1[[#This Row],[Montant restant dû après échéance]]+Tableau2[[#This Row],[Montant restant dû après échéance]])</f>
        <v>126375.41</v>
      </c>
    </row>
    <row r="30" spans="1:23" x14ac:dyDescent="0.3">
      <c r="A30" s="76">
        <v>24</v>
      </c>
      <c r="B30" s="77">
        <v>232.52</v>
      </c>
      <c r="C30" s="77">
        <v>385.23</v>
      </c>
      <c r="D30" s="77">
        <v>0</v>
      </c>
      <c r="E30" s="77">
        <v>32.049999999999997</v>
      </c>
      <c r="F30" s="77">
        <v>649.79999999999995</v>
      </c>
      <c r="G30" s="77">
        <v>117393.57</v>
      </c>
      <c r="H30" s="78"/>
      <c r="I30" s="76">
        <v>24</v>
      </c>
      <c r="J30" s="77">
        <v>54.56</v>
      </c>
      <c r="K30" s="77">
        <v>0</v>
      </c>
      <c r="L30" s="77">
        <v>0</v>
      </c>
      <c r="M30" s="77">
        <v>2.38</v>
      </c>
      <c r="N30" s="77">
        <v>56.94</v>
      </c>
      <c r="O30" s="77">
        <v>8694.76</v>
      </c>
      <c r="Q30">
        <v>24</v>
      </c>
      <c r="R30" s="16">
        <f>SUM(Tableau1[[#This Row],[Amortiss. Capital]]+Tableau2[[#This Row],[Amortiss. Capital]])</f>
        <v>287.08000000000004</v>
      </c>
      <c r="S30" s="16">
        <f>SUM(Tableau1[[#This Row],[Intérêt Normaux]]+Tableau2[[#This Row],[Intérêt Normaux]])</f>
        <v>385.23</v>
      </c>
      <c r="T30" s="16">
        <f>SUM(Tableau1[[#This Row],[Intérêts différés]]+Tableau2[[#This Row],[Intérêts différés]])</f>
        <v>0</v>
      </c>
      <c r="U30" s="16">
        <f>SUM(Tableau1[[#This Row],[Assurances]]+Tableau2[[#This Row],[Assurances]])</f>
        <v>34.43</v>
      </c>
      <c r="V30" s="16">
        <f>SUM(Tableau1[[#This Row],[Total à payer]]+Tableau2[[#This Row],[Total à payer]])</f>
        <v>706.74</v>
      </c>
      <c r="W30" s="16">
        <f>SUM(Tableau1[[#This Row],[Montant restant dû après échéance]]+Tableau2[[#This Row],[Montant restant dû après échéance]])</f>
        <v>126088.33</v>
      </c>
    </row>
    <row r="31" spans="1:23" x14ac:dyDescent="0.3">
      <c r="A31" s="76">
        <v>25</v>
      </c>
      <c r="B31" s="77">
        <v>233.35</v>
      </c>
      <c r="C31" s="77">
        <v>384.46</v>
      </c>
      <c r="D31" s="77">
        <v>0</v>
      </c>
      <c r="E31" s="77">
        <v>31.99</v>
      </c>
      <c r="F31" s="77">
        <v>649.79999999999995</v>
      </c>
      <c r="G31" s="77">
        <v>117160.22</v>
      </c>
      <c r="H31" s="78"/>
      <c r="I31" s="76">
        <v>25</v>
      </c>
      <c r="J31" s="77">
        <v>54.57</v>
      </c>
      <c r="K31" s="77">
        <v>0</v>
      </c>
      <c r="L31" s="77">
        <v>0</v>
      </c>
      <c r="M31" s="77">
        <v>2.37</v>
      </c>
      <c r="N31" s="77">
        <v>56.94</v>
      </c>
      <c r="O31" s="77">
        <v>8640.19</v>
      </c>
      <c r="Q31">
        <v>25</v>
      </c>
      <c r="R31" s="16">
        <f>SUM(Tableau1[[#This Row],[Amortiss. Capital]]+Tableau2[[#This Row],[Amortiss. Capital]])</f>
        <v>287.92</v>
      </c>
      <c r="S31" s="16">
        <f>SUM(Tableau1[[#This Row],[Intérêt Normaux]]+Tableau2[[#This Row],[Intérêt Normaux]])</f>
        <v>384.46</v>
      </c>
      <c r="T31" s="16">
        <f>SUM(Tableau1[[#This Row],[Intérêts différés]]+Tableau2[[#This Row],[Intérêts différés]])</f>
        <v>0</v>
      </c>
      <c r="U31" s="16">
        <f>SUM(Tableau1[[#This Row],[Assurances]]+Tableau2[[#This Row],[Assurances]])</f>
        <v>34.36</v>
      </c>
      <c r="V31" s="16">
        <f>SUM(Tableau1[[#This Row],[Total à payer]]+Tableau2[[#This Row],[Total à payer]])</f>
        <v>706.74</v>
      </c>
      <c r="W31" s="16">
        <f>SUM(Tableau1[[#This Row],[Montant restant dû après échéance]]+Tableau2[[#This Row],[Montant restant dû après échéance]])</f>
        <v>125800.41</v>
      </c>
    </row>
    <row r="32" spans="1:23" x14ac:dyDescent="0.3">
      <c r="A32" s="76">
        <v>26</v>
      </c>
      <c r="B32" s="77">
        <v>234.17</v>
      </c>
      <c r="C32" s="77">
        <v>383.7</v>
      </c>
      <c r="D32" s="77">
        <v>0</v>
      </c>
      <c r="E32" s="77">
        <v>31.93</v>
      </c>
      <c r="F32" s="77">
        <v>649.79999999999995</v>
      </c>
      <c r="G32" s="77">
        <v>116926.05</v>
      </c>
      <c r="H32" s="78"/>
      <c r="I32" s="76">
        <v>26</v>
      </c>
      <c r="J32" s="77">
        <v>54.59</v>
      </c>
      <c r="K32" s="77">
        <v>0</v>
      </c>
      <c r="L32" s="77">
        <v>0</v>
      </c>
      <c r="M32" s="77">
        <v>2.35</v>
      </c>
      <c r="N32" s="77">
        <v>56.94</v>
      </c>
      <c r="O32" s="77">
        <v>8585.6</v>
      </c>
      <c r="Q32">
        <v>26</v>
      </c>
      <c r="R32" s="16">
        <f>SUM(Tableau1[[#This Row],[Amortiss. Capital]]+Tableau2[[#This Row],[Amortiss. Capital]])</f>
        <v>288.76</v>
      </c>
      <c r="S32" s="16">
        <f>SUM(Tableau1[[#This Row],[Intérêt Normaux]]+Tableau2[[#This Row],[Intérêt Normaux]])</f>
        <v>383.7</v>
      </c>
      <c r="T32" s="16">
        <f>SUM(Tableau1[[#This Row],[Intérêts différés]]+Tableau2[[#This Row],[Intérêts différés]])</f>
        <v>0</v>
      </c>
      <c r="U32" s="16">
        <f>SUM(Tableau1[[#This Row],[Assurances]]+Tableau2[[#This Row],[Assurances]])</f>
        <v>34.28</v>
      </c>
      <c r="V32" s="16">
        <f>SUM(Tableau1[[#This Row],[Total à payer]]+Tableau2[[#This Row],[Total à payer]])</f>
        <v>706.74</v>
      </c>
      <c r="W32" s="16">
        <f>SUM(Tableau1[[#This Row],[Montant restant dû après échéance]]+Tableau2[[#This Row],[Montant restant dû après échéance]])</f>
        <v>125511.65000000001</v>
      </c>
    </row>
    <row r="33" spans="1:23" x14ac:dyDescent="0.3">
      <c r="A33" s="76">
        <v>27</v>
      </c>
      <c r="B33" s="77">
        <v>235.01</v>
      </c>
      <c r="C33" s="77">
        <v>382.93</v>
      </c>
      <c r="D33" s="77">
        <v>0</v>
      </c>
      <c r="E33" s="77">
        <v>31.86</v>
      </c>
      <c r="F33" s="77">
        <v>649.79999999999995</v>
      </c>
      <c r="G33" s="77">
        <v>116691.04</v>
      </c>
      <c r="H33" s="78"/>
      <c r="I33" s="76">
        <v>27</v>
      </c>
      <c r="J33" s="77">
        <v>54.6</v>
      </c>
      <c r="K33" s="77">
        <v>0</v>
      </c>
      <c r="L33" s="77">
        <v>0</v>
      </c>
      <c r="M33" s="77">
        <v>2.34</v>
      </c>
      <c r="N33" s="77">
        <v>56.94</v>
      </c>
      <c r="O33" s="77">
        <v>8531</v>
      </c>
      <c r="Q33">
        <v>27</v>
      </c>
      <c r="R33" s="16">
        <f>SUM(Tableau1[[#This Row],[Amortiss. Capital]]+Tableau2[[#This Row],[Amortiss. Capital]])</f>
        <v>289.61</v>
      </c>
      <c r="S33" s="16">
        <f>SUM(Tableau1[[#This Row],[Intérêt Normaux]]+Tableau2[[#This Row],[Intérêt Normaux]])</f>
        <v>382.93</v>
      </c>
      <c r="T33" s="16">
        <f>SUM(Tableau1[[#This Row],[Intérêts différés]]+Tableau2[[#This Row],[Intérêts différés]])</f>
        <v>0</v>
      </c>
      <c r="U33" s="16">
        <f>SUM(Tableau1[[#This Row],[Assurances]]+Tableau2[[#This Row],[Assurances]])</f>
        <v>34.200000000000003</v>
      </c>
      <c r="V33" s="16">
        <f>SUM(Tableau1[[#This Row],[Total à payer]]+Tableau2[[#This Row],[Total à payer]])</f>
        <v>706.74</v>
      </c>
      <c r="W33" s="16">
        <f>SUM(Tableau1[[#This Row],[Montant restant dû après échéance]]+Tableau2[[#This Row],[Montant restant dû après échéance]])</f>
        <v>125222.04</v>
      </c>
    </row>
    <row r="34" spans="1:23" x14ac:dyDescent="0.3">
      <c r="A34" s="76">
        <v>28</v>
      </c>
      <c r="B34" s="77">
        <v>235.84</v>
      </c>
      <c r="C34" s="77">
        <v>382.16</v>
      </c>
      <c r="D34" s="77">
        <v>0</v>
      </c>
      <c r="E34" s="77">
        <v>31.8</v>
      </c>
      <c r="F34" s="77">
        <v>649.79999999999995</v>
      </c>
      <c r="G34" s="77">
        <v>116455.2</v>
      </c>
      <c r="H34" s="78"/>
      <c r="I34" s="76">
        <v>28</v>
      </c>
      <c r="J34" s="77">
        <v>54.62</v>
      </c>
      <c r="K34" s="77">
        <v>0</v>
      </c>
      <c r="L34" s="77">
        <v>0</v>
      </c>
      <c r="M34" s="77">
        <v>2.3199999999999998</v>
      </c>
      <c r="N34" s="77">
        <v>56.94</v>
      </c>
      <c r="O34" s="77">
        <v>8476.3799999999992</v>
      </c>
      <c r="Q34">
        <v>28</v>
      </c>
      <c r="R34" s="16">
        <f>SUM(Tableau1[[#This Row],[Amortiss. Capital]]+Tableau2[[#This Row],[Amortiss. Capital]])</f>
        <v>290.45999999999998</v>
      </c>
      <c r="S34" s="16">
        <f>SUM(Tableau1[[#This Row],[Intérêt Normaux]]+Tableau2[[#This Row],[Intérêt Normaux]])</f>
        <v>382.16</v>
      </c>
      <c r="T34" s="16">
        <f>SUM(Tableau1[[#This Row],[Intérêts différés]]+Tableau2[[#This Row],[Intérêts différés]])</f>
        <v>0</v>
      </c>
      <c r="U34" s="16">
        <f>SUM(Tableau1[[#This Row],[Assurances]]+Tableau2[[#This Row],[Assurances]])</f>
        <v>34.119999999999997</v>
      </c>
      <c r="V34" s="16">
        <f>SUM(Tableau1[[#This Row],[Total à payer]]+Tableau2[[#This Row],[Total à payer]])</f>
        <v>706.74</v>
      </c>
      <c r="W34" s="16">
        <f>SUM(Tableau1[[#This Row],[Montant restant dû après échéance]]+Tableau2[[#This Row],[Montant restant dû après échéance]])</f>
        <v>124931.58</v>
      </c>
    </row>
    <row r="35" spans="1:23" x14ac:dyDescent="0.3">
      <c r="A35" s="76">
        <v>29</v>
      </c>
      <c r="B35" s="77">
        <v>236.68</v>
      </c>
      <c r="C35" s="77">
        <v>381.39</v>
      </c>
      <c r="D35" s="77">
        <v>0</v>
      </c>
      <c r="E35" s="77">
        <v>31.73</v>
      </c>
      <c r="F35" s="77">
        <v>649.79999999999995</v>
      </c>
      <c r="G35" s="77">
        <v>116218.52</v>
      </c>
      <c r="H35" s="78"/>
      <c r="I35" s="76">
        <v>29</v>
      </c>
      <c r="J35" s="77">
        <v>54.63</v>
      </c>
      <c r="K35" s="77">
        <v>0</v>
      </c>
      <c r="L35" s="77">
        <v>0</v>
      </c>
      <c r="M35" s="77">
        <v>2.31</v>
      </c>
      <c r="N35" s="77">
        <v>56.94</v>
      </c>
      <c r="O35" s="77">
        <v>8421.75</v>
      </c>
      <c r="Q35">
        <v>29</v>
      </c>
      <c r="R35" s="16">
        <f>SUM(Tableau1[[#This Row],[Amortiss. Capital]]+Tableau2[[#This Row],[Amortiss. Capital]])</f>
        <v>291.31</v>
      </c>
      <c r="S35" s="16">
        <f>SUM(Tableau1[[#This Row],[Intérêt Normaux]]+Tableau2[[#This Row],[Intérêt Normaux]])</f>
        <v>381.39</v>
      </c>
      <c r="T35" s="16">
        <f>SUM(Tableau1[[#This Row],[Intérêts différés]]+Tableau2[[#This Row],[Intérêts différés]])</f>
        <v>0</v>
      </c>
      <c r="U35" s="16">
        <f>SUM(Tableau1[[#This Row],[Assurances]]+Tableau2[[#This Row],[Assurances]])</f>
        <v>34.04</v>
      </c>
      <c r="V35" s="16">
        <f>SUM(Tableau1[[#This Row],[Total à payer]]+Tableau2[[#This Row],[Total à payer]])</f>
        <v>706.74</v>
      </c>
      <c r="W35" s="16">
        <f>SUM(Tableau1[[#This Row],[Montant restant dû après échéance]]+Tableau2[[#This Row],[Montant restant dû après échéance]])</f>
        <v>124640.27</v>
      </c>
    </row>
    <row r="36" spans="1:23" x14ac:dyDescent="0.3">
      <c r="A36" s="76">
        <v>30</v>
      </c>
      <c r="B36" s="77">
        <v>237.51</v>
      </c>
      <c r="C36" s="77">
        <v>380.62</v>
      </c>
      <c r="D36" s="77">
        <v>0</v>
      </c>
      <c r="E36" s="77">
        <v>31.67</v>
      </c>
      <c r="F36" s="77">
        <v>649.79999999999995</v>
      </c>
      <c r="G36" s="77">
        <v>115981.01</v>
      </c>
      <c r="H36" s="78"/>
      <c r="I36" s="76">
        <v>30</v>
      </c>
      <c r="J36" s="77">
        <v>54.65</v>
      </c>
      <c r="K36" s="77">
        <v>0</v>
      </c>
      <c r="L36" s="77">
        <v>0</v>
      </c>
      <c r="M36" s="77">
        <v>2.29</v>
      </c>
      <c r="N36" s="77">
        <v>56.94</v>
      </c>
      <c r="O36" s="77">
        <v>8367.1</v>
      </c>
      <c r="Q36">
        <v>30</v>
      </c>
      <c r="R36" s="16">
        <f>SUM(Tableau1[[#This Row],[Amortiss. Capital]]+Tableau2[[#This Row],[Amortiss. Capital]])</f>
        <v>292.15999999999997</v>
      </c>
      <c r="S36" s="16">
        <f>SUM(Tableau1[[#This Row],[Intérêt Normaux]]+Tableau2[[#This Row],[Intérêt Normaux]])</f>
        <v>380.62</v>
      </c>
      <c r="T36" s="16">
        <f>SUM(Tableau1[[#This Row],[Intérêts différés]]+Tableau2[[#This Row],[Intérêts différés]])</f>
        <v>0</v>
      </c>
      <c r="U36" s="16">
        <f>SUM(Tableau1[[#This Row],[Assurances]]+Tableau2[[#This Row],[Assurances]])</f>
        <v>33.96</v>
      </c>
      <c r="V36" s="16">
        <f>SUM(Tableau1[[#This Row],[Total à payer]]+Tableau2[[#This Row],[Total à payer]])</f>
        <v>706.74</v>
      </c>
      <c r="W36" s="16">
        <f>SUM(Tableau1[[#This Row],[Montant restant dû après échéance]]+Tableau2[[#This Row],[Montant restant dû après échéance]])</f>
        <v>124348.11</v>
      </c>
    </row>
    <row r="37" spans="1:23" x14ac:dyDescent="0.3">
      <c r="A37" s="76">
        <v>31</v>
      </c>
      <c r="B37" s="77">
        <v>238.36</v>
      </c>
      <c r="C37" s="77">
        <v>379.84</v>
      </c>
      <c r="D37" s="77">
        <v>0</v>
      </c>
      <c r="E37" s="77">
        <v>31.6</v>
      </c>
      <c r="F37" s="77">
        <v>649.79999999999995</v>
      </c>
      <c r="G37" s="77">
        <v>115742.65</v>
      </c>
      <c r="H37" s="78"/>
      <c r="I37" s="76">
        <v>31</v>
      </c>
      <c r="J37" s="77">
        <v>54.66</v>
      </c>
      <c r="K37" s="77">
        <v>0</v>
      </c>
      <c r="L37" s="77">
        <v>0</v>
      </c>
      <c r="M37" s="77">
        <v>2.2799999999999998</v>
      </c>
      <c r="N37" s="77">
        <v>56.94</v>
      </c>
      <c r="O37" s="77">
        <v>8312.44</v>
      </c>
      <c r="Q37">
        <v>31</v>
      </c>
      <c r="R37" s="16">
        <f>SUM(Tableau1[[#This Row],[Amortiss. Capital]]+Tableau2[[#This Row],[Amortiss. Capital]])</f>
        <v>293.02</v>
      </c>
      <c r="S37" s="16">
        <f>SUM(Tableau1[[#This Row],[Intérêt Normaux]]+Tableau2[[#This Row],[Intérêt Normaux]])</f>
        <v>379.84</v>
      </c>
      <c r="T37" s="16">
        <f>SUM(Tableau1[[#This Row],[Intérêts différés]]+Tableau2[[#This Row],[Intérêts différés]])</f>
        <v>0</v>
      </c>
      <c r="U37" s="16">
        <f>SUM(Tableau1[[#This Row],[Assurances]]+Tableau2[[#This Row],[Assurances]])</f>
        <v>33.880000000000003</v>
      </c>
      <c r="V37" s="16">
        <f>SUM(Tableau1[[#This Row],[Total à payer]]+Tableau2[[#This Row],[Total à payer]])</f>
        <v>706.74</v>
      </c>
      <c r="W37" s="16">
        <f>SUM(Tableau1[[#This Row],[Montant restant dû après échéance]]+Tableau2[[#This Row],[Montant restant dû après échéance]])</f>
        <v>124055.09</v>
      </c>
    </row>
    <row r="38" spans="1:23" x14ac:dyDescent="0.3">
      <c r="A38" s="76">
        <v>32</v>
      </c>
      <c r="B38" s="77">
        <v>239.2</v>
      </c>
      <c r="C38" s="77">
        <v>379.06</v>
      </c>
      <c r="D38" s="77">
        <v>0</v>
      </c>
      <c r="E38" s="77">
        <v>31.54</v>
      </c>
      <c r="F38" s="77">
        <v>649.79999999999995</v>
      </c>
      <c r="G38" s="77">
        <v>115503.45</v>
      </c>
      <c r="H38" s="78"/>
      <c r="I38" s="76">
        <v>32</v>
      </c>
      <c r="J38" s="77">
        <v>54.67</v>
      </c>
      <c r="K38" s="77">
        <v>0</v>
      </c>
      <c r="L38" s="77">
        <v>0</v>
      </c>
      <c r="M38" s="77">
        <v>2.27</v>
      </c>
      <c r="N38" s="77">
        <v>56.94</v>
      </c>
      <c r="O38" s="77">
        <v>8257.77</v>
      </c>
      <c r="Q38">
        <v>32</v>
      </c>
      <c r="R38" s="16">
        <f>SUM(Tableau1[[#This Row],[Amortiss. Capital]]+Tableau2[[#This Row],[Amortiss. Capital]])</f>
        <v>293.87</v>
      </c>
      <c r="S38" s="16">
        <f>SUM(Tableau1[[#This Row],[Intérêt Normaux]]+Tableau2[[#This Row],[Intérêt Normaux]])</f>
        <v>379.06</v>
      </c>
      <c r="T38" s="16">
        <f>SUM(Tableau1[[#This Row],[Intérêts différés]]+Tableau2[[#This Row],[Intérêts différés]])</f>
        <v>0</v>
      </c>
      <c r="U38" s="16">
        <f>SUM(Tableau1[[#This Row],[Assurances]]+Tableau2[[#This Row],[Assurances]])</f>
        <v>33.81</v>
      </c>
      <c r="V38" s="16">
        <f>SUM(Tableau1[[#This Row],[Total à payer]]+Tableau2[[#This Row],[Total à payer]])</f>
        <v>706.74</v>
      </c>
      <c r="W38" s="16">
        <f>SUM(Tableau1[[#This Row],[Montant restant dû après échéance]]+Tableau2[[#This Row],[Montant restant dû après échéance]])</f>
        <v>123761.22</v>
      </c>
    </row>
    <row r="39" spans="1:23" x14ac:dyDescent="0.3">
      <c r="A39" s="76">
        <v>33</v>
      </c>
      <c r="B39" s="77">
        <v>240.06</v>
      </c>
      <c r="C39" s="77">
        <v>378.27</v>
      </c>
      <c r="D39" s="77">
        <v>0</v>
      </c>
      <c r="E39" s="77">
        <v>31.47</v>
      </c>
      <c r="F39" s="77">
        <v>649.79999999999995</v>
      </c>
      <c r="G39" s="77">
        <v>115263.39</v>
      </c>
      <c r="H39" s="78"/>
      <c r="I39" s="76">
        <v>33</v>
      </c>
      <c r="J39" s="77">
        <v>54.69</v>
      </c>
      <c r="K39" s="77">
        <v>0</v>
      </c>
      <c r="L39" s="77">
        <v>0</v>
      </c>
      <c r="M39" s="77">
        <v>2.25</v>
      </c>
      <c r="N39" s="77">
        <v>56.94</v>
      </c>
      <c r="O39" s="77">
        <v>8203.08</v>
      </c>
      <c r="Q39">
        <v>33</v>
      </c>
      <c r="R39" s="16">
        <f>SUM(Tableau1[[#This Row],[Amortiss. Capital]]+Tableau2[[#This Row],[Amortiss. Capital]])</f>
        <v>294.75</v>
      </c>
      <c r="S39" s="16">
        <f>SUM(Tableau1[[#This Row],[Intérêt Normaux]]+Tableau2[[#This Row],[Intérêt Normaux]])</f>
        <v>378.27</v>
      </c>
      <c r="T39" s="16">
        <f>SUM(Tableau1[[#This Row],[Intérêts différés]]+Tableau2[[#This Row],[Intérêts différés]])</f>
        <v>0</v>
      </c>
      <c r="U39" s="16">
        <f>SUM(Tableau1[[#This Row],[Assurances]]+Tableau2[[#This Row],[Assurances]])</f>
        <v>33.72</v>
      </c>
      <c r="V39" s="16">
        <f>SUM(Tableau1[[#This Row],[Total à payer]]+Tableau2[[#This Row],[Total à payer]])</f>
        <v>706.74</v>
      </c>
      <c r="W39" s="16">
        <f>SUM(Tableau1[[#This Row],[Montant restant dû après échéance]]+Tableau2[[#This Row],[Montant restant dû après échéance]])</f>
        <v>123466.47</v>
      </c>
    </row>
    <row r="40" spans="1:23" x14ac:dyDescent="0.3">
      <c r="A40" s="76">
        <v>34</v>
      </c>
      <c r="B40" s="77">
        <v>240.9</v>
      </c>
      <c r="C40" s="77">
        <v>377.49</v>
      </c>
      <c r="D40" s="77">
        <v>0</v>
      </c>
      <c r="E40" s="77">
        <v>31.41</v>
      </c>
      <c r="F40" s="77">
        <v>649.79999999999995</v>
      </c>
      <c r="G40" s="77">
        <v>115022.49</v>
      </c>
      <c r="H40" s="78"/>
      <c r="I40" s="76">
        <v>34</v>
      </c>
      <c r="J40" s="77">
        <v>54.7</v>
      </c>
      <c r="K40" s="77">
        <v>0</v>
      </c>
      <c r="L40" s="77">
        <v>0</v>
      </c>
      <c r="M40" s="77">
        <v>2.2400000000000002</v>
      </c>
      <c r="N40" s="77">
        <v>56.94</v>
      </c>
      <c r="O40" s="77">
        <v>8148.38</v>
      </c>
      <c r="Q40">
        <v>34</v>
      </c>
      <c r="R40" s="16">
        <f>SUM(Tableau1[[#This Row],[Amortiss. Capital]]+Tableau2[[#This Row],[Amortiss. Capital]])</f>
        <v>295.60000000000002</v>
      </c>
      <c r="S40" s="16">
        <f>SUM(Tableau1[[#This Row],[Intérêt Normaux]]+Tableau2[[#This Row],[Intérêt Normaux]])</f>
        <v>377.49</v>
      </c>
      <c r="T40" s="16">
        <f>SUM(Tableau1[[#This Row],[Intérêts différés]]+Tableau2[[#This Row],[Intérêts différés]])</f>
        <v>0</v>
      </c>
      <c r="U40" s="16">
        <f>SUM(Tableau1[[#This Row],[Assurances]]+Tableau2[[#This Row],[Assurances]])</f>
        <v>33.65</v>
      </c>
      <c r="V40" s="16">
        <f>SUM(Tableau1[[#This Row],[Total à payer]]+Tableau2[[#This Row],[Total à payer]])</f>
        <v>706.74</v>
      </c>
      <c r="W40" s="16">
        <f>SUM(Tableau1[[#This Row],[Montant restant dû après échéance]]+Tableau2[[#This Row],[Montant restant dû après échéance]])</f>
        <v>123170.87000000001</v>
      </c>
    </row>
    <row r="41" spans="1:23" x14ac:dyDescent="0.3">
      <c r="A41" s="76">
        <v>35</v>
      </c>
      <c r="B41" s="77">
        <v>241.76</v>
      </c>
      <c r="C41" s="77">
        <v>376.7</v>
      </c>
      <c r="D41" s="77">
        <v>0</v>
      </c>
      <c r="E41" s="77">
        <v>31.34</v>
      </c>
      <c r="F41" s="77">
        <v>649.79999999999995</v>
      </c>
      <c r="G41" s="77">
        <v>114780.73</v>
      </c>
      <c r="H41" s="78"/>
      <c r="I41" s="76">
        <v>35</v>
      </c>
      <c r="J41" s="77">
        <v>54.72</v>
      </c>
      <c r="K41" s="77">
        <v>0</v>
      </c>
      <c r="L41" s="77">
        <v>0</v>
      </c>
      <c r="M41" s="77">
        <v>2.2200000000000002</v>
      </c>
      <c r="N41" s="77">
        <v>56.94</v>
      </c>
      <c r="O41" s="77">
        <v>8093.66</v>
      </c>
      <c r="Q41">
        <v>35</v>
      </c>
      <c r="R41" s="16">
        <f>SUM(Tableau1[[#This Row],[Amortiss. Capital]]+Tableau2[[#This Row],[Amortiss. Capital]])</f>
        <v>296.48</v>
      </c>
      <c r="S41" s="16">
        <f>SUM(Tableau1[[#This Row],[Intérêt Normaux]]+Tableau2[[#This Row],[Intérêt Normaux]])</f>
        <v>376.7</v>
      </c>
      <c r="T41" s="16">
        <f>SUM(Tableau1[[#This Row],[Intérêts différés]]+Tableau2[[#This Row],[Intérêts différés]])</f>
        <v>0</v>
      </c>
      <c r="U41" s="16">
        <f>SUM(Tableau1[[#This Row],[Assurances]]+Tableau2[[#This Row],[Assurances]])</f>
        <v>33.56</v>
      </c>
      <c r="V41" s="16">
        <f>SUM(Tableau1[[#This Row],[Total à payer]]+Tableau2[[#This Row],[Total à payer]])</f>
        <v>706.74</v>
      </c>
      <c r="W41" s="16">
        <f>SUM(Tableau1[[#This Row],[Montant restant dû après échéance]]+Tableau2[[#This Row],[Montant restant dû après échéance]])</f>
        <v>122874.39</v>
      </c>
    </row>
    <row r="42" spans="1:23" x14ac:dyDescent="0.3">
      <c r="A42" s="76">
        <v>36</v>
      </c>
      <c r="B42" s="77">
        <v>242.61</v>
      </c>
      <c r="C42" s="77">
        <v>375.91</v>
      </c>
      <c r="D42" s="77">
        <v>0</v>
      </c>
      <c r="E42" s="77">
        <v>31.28</v>
      </c>
      <c r="F42" s="77">
        <v>649.79999999999995</v>
      </c>
      <c r="G42" s="77">
        <v>114538.12</v>
      </c>
      <c r="H42" s="78"/>
      <c r="I42" s="76">
        <v>36</v>
      </c>
      <c r="J42" s="77">
        <v>54.73</v>
      </c>
      <c r="K42" s="77">
        <v>0</v>
      </c>
      <c r="L42" s="77">
        <v>0</v>
      </c>
      <c r="M42" s="77">
        <v>2.21</v>
      </c>
      <c r="N42" s="77">
        <v>56.94</v>
      </c>
      <c r="O42" s="77">
        <v>8038.93</v>
      </c>
      <c r="Q42">
        <v>36</v>
      </c>
      <c r="R42" s="16">
        <f>SUM(Tableau1[[#This Row],[Amortiss. Capital]]+Tableau2[[#This Row],[Amortiss. Capital]])</f>
        <v>297.34000000000003</v>
      </c>
      <c r="S42" s="16">
        <f>SUM(Tableau1[[#This Row],[Intérêt Normaux]]+Tableau2[[#This Row],[Intérêt Normaux]])</f>
        <v>375.91</v>
      </c>
      <c r="T42" s="16">
        <f>SUM(Tableau1[[#This Row],[Intérêts différés]]+Tableau2[[#This Row],[Intérêts différés]])</f>
        <v>0</v>
      </c>
      <c r="U42" s="16">
        <f>SUM(Tableau1[[#This Row],[Assurances]]+Tableau2[[#This Row],[Assurances]])</f>
        <v>33.49</v>
      </c>
      <c r="V42" s="16">
        <f>SUM(Tableau1[[#This Row],[Total à payer]]+Tableau2[[#This Row],[Total à payer]])</f>
        <v>706.74</v>
      </c>
      <c r="W42" s="16">
        <f>SUM(Tableau1[[#This Row],[Montant restant dû après échéance]]+Tableau2[[#This Row],[Montant restant dû après échéance]])</f>
        <v>122577.04999999999</v>
      </c>
    </row>
    <row r="43" spans="1:23" x14ac:dyDescent="0.3">
      <c r="A43" s="76">
        <v>37</v>
      </c>
      <c r="B43" s="77">
        <v>243.48</v>
      </c>
      <c r="C43" s="77">
        <v>375.11</v>
      </c>
      <c r="D43" s="77">
        <v>0</v>
      </c>
      <c r="E43" s="77">
        <v>31.21</v>
      </c>
      <c r="F43" s="77">
        <v>649.79999999999995</v>
      </c>
      <c r="G43" s="77">
        <v>114294.64</v>
      </c>
      <c r="H43" s="78"/>
      <c r="I43" s="76">
        <v>37</v>
      </c>
      <c r="J43" s="77">
        <v>54.75</v>
      </c>
      <c r="K43" s="77">
        <v>0</v>
      </c>
      <c r="L43" s="77">
        <v>0</v>
      </c>
      <c r="M43" s="77">
        <v>2.19</v>
      </c>
      <c r="N43" s="77">
        <v>56.94</v>
      </c>
      <c r="O43" s="77">
        <v>7984.18</v>
      </c>
      <c r="Q43">
        <v>37</v>
      </c>
      <c r="R43" s="16">
        <f>SUM(Tableau1[[#This Row],[Amortiss. Capital]]+Tableau2[[#This Row],[Amortiss. Capital]])</f>
        <v>298.23</v>
      </c>
      <c r="S43" s="16">
        <f>SUM(Tableau1[[#This Row],[Intérêt Normaux]]+Tableau2[[#This Row],[Intérêt Normaux]])</f>
        <v>375.11</v>
      </c>
      <c r="T43" s="16">
        <f>SUM(Tableau1[[#This Row],[Intérêts différés]]+Tableau2[[#This Row],[Intérêts différés]])</f>
        <v>0</v>
      </c>
      <c r="U43" s="16">
        <f>SUM(Tableau1[[#This Row],[Assurances]]+Tableau2[[#This Row],[Assurances]])</f>
        <v>33.4</v>
      </c>
      <c r="V43" s="16">
        <f>SUM(Tableau1[[#This Row],[Total à payer]]+Tableau2[[#This Row],[Total à payer]])</f>
        <v>706.74</v>
      </c>
      <c r="W43" s="16">
        <f>SUM(Tableau1[[#This Row],[Montant restant dû après échéance]]+Tableau2[[#This Row],[Montant restant dû après échéance]])</f>
        <v>122278.82</v>
      </c>
    </row>
    <row r="44" spans="1:23" x14ac:dyDescent="0.3">
      <c r="A44" s="76">
        <v>38</v>
      </c>
      <c r="B44" s="77">
        <v>244.34</v>
      </c>
      <c r="C44" s="77">
        <v>374.31</v>
      </c>
      <c r="D44" s="77">
        <v>0</v>
      </c>
      <c r="E44" s="77">
        <v>31.15</v>
      </c>
      <c r="F44" s="77">
        <v>649.79999999999995</v>
      </c>
      <c r="G44" s="77">
        <v>114050.3</v>
      </c>
      <c r="H44" s="78"/>
      <c r="I44" s="76">
        <v>38</v>
      </c>
      <c r="J44" s="77">
        <v>54.76</v>
      </c>
      <c r="K44" s="77">
        <v>0</v>
      </c>
      <c r="L44" s="77">
        <v>0</v>
      </c>
      <c r="M44" s="77">
        <v>2.1800000000000002</v>
      </c>
      <c r="N44" s="77">
        <v>56.94</v>
      </c>
      <c r="O44" s="77">
        <v>7929.42</v>
      </c>
      <c r="Q44">
        <v>38</v>
      </c>
      <c r="R44" s="16">
        <f>SUM(Tableau1[[#This Row],[Amortiss. Capital]]+Tableau2[[#This Row],[Amortiss. Capital]])</f>
        <v>299.10000000000002</v>
      </c>
      <c r="S44" s="16">
        <f>SUM(Tableau1[[#This Row],[Intérêt Normaux]]+Tableau2[[#This Row],[Intérêt Normaux]])</f>
        <v>374.31</v>
      </c>
      <c r="T44" s="16">
        <f>SUM(Tableau1[[#This Row],[Intérêts différés]]+Tableau2[[#This Row],[Intérêts différés]])</f>
        <v>0</v>
      </c>
      <c r="U44" s="16">
        <f>SUM(Tableau1[[#This Row],[Assurances]]+Tableau2[[#This Row],[Assurances]])</f>
        <v>33.33</v>
      </c>
      <c r="V44" s="16">
        <f>SUM(Tableau1[[#This Row],[Total à payer]]+Tableau2[[#This Row],[Total à payer]])</f>
        <v>706.74</v>
      </c>
      <c r="W44" s="16">
        <f>SUM(Tableau1[[#This Row],[Montant restant dû après échéance]]+Tableau2[[#This Row],[Montant restant dû après échéance]])</f>
        <v>121979.72</v>
      </c>
    </row>
    <row r="45" spans="1:23" x14ac:dyDescent="0.3">
      <c r="A45" s="76">
        <v>39</v>
      </c>
      <c r="B45" s="77">
        <v>245.21</v>
      </c>
      <c r="C45" s="77">
        <v>373.51</v>
      </c>
      <c r="D45" s="77">
        <v>0</v>
      </c>
      <c r="E45" s="77">
        <v>31.08</v>
      </c>
      <c r="F45" s="77">
        <v>649.79999999999995</v>
      </c>
      <c r="G45" s="77">
        <v>113805.09</v>
      </c>
      <c r="H45" s="78"/>
      <c r="I45" s="76">
        <v>39</v>
      </c>
      <c r="J45" s="77">
        <v>54.78</v>
      </c>
      <c r="K45" s="77">
        <v>0</v>
      </c>
      <c r="L45" s="77">
        <v>0</v>
      </c>
      <c r="M45" s="77">
        <v>2.16</v>
      </c>
      <c r="N45" s="77">
        <v>56.94</v>
      </c>
      <c r="O45" s="77">
        <v>7874.64</v>
      </c>
      <c r="Q45">
        <v>39</v>
      </c>
      <c r="R45" s="16">
        <f>SUM(Tableau1[[#This Row],[Amortiss. Capital]]+Tableau2[[#This Row],[Amortiss. Capital]])</f>
        <v>299.99</v>
      </c>
      <c r="S45" s="16">
        <f>SUM(Tableau1[[#This Row],[Intérêt Normaux]]+Tableau2[[#This Row],[Intérêt Normaux]])</f>
        <v>373.51</v>
      </c>
      <c r="T45" s="16">
        <f>SUM(Tableau1[[#This Row],[Intérêts différés]]+Tableau2[[#This Row],[Intérêts différés]])</f>
        <v>0</v>
      </c>
      <c r="U45" s="16">
        <f>SUM(Tableau1[[#This Row],[Assurances]]+Tableau2[[#This Row],[Assurances]])</f>
        <v>33.239999999999995</v>
      </c>
      <c r="V45" s="16">
        <f>SUM(Tableau1[[#This Row],[Total à payer]]+Tableau2[[#This Row],[Total à payer]])</f>
        <v>706.74</v>
      </c>
      <c r="W45" s="16">
        <f>SUM(Tableau1[[#This Row],[Montant restant dû après échéance]]+Tableau2[[#This Row],[Montant restant dû après échéance]])</f>
        <v>121679.73</v>
      </c>
    </row>
    <row r="46" spans="1:23" x14ac:dyDescent="0.3">
      <c r="A46" s="76">
        <v>40</v>
      </c>
      <c r="B46" s="77">
        <v>246.08</v>
      </c>
      <c r="C46" s="77">
        <v>372.71</v>
      </c>
      <c r="D46" s="77">
        <v>0</v>
      </c>
      <c r="E46" s="77">
        <v>31.01</v>
      </c>
      <c r="F46" s="77">
        <v>649.79999999999995</v>
      </c>
      <c r="G46" s="77">
        <v>113559.01</v>
      </c>
      <c r="H46" s="78"/>
      <c r="I46" s="76">
        <v>40</v>
      </c>
      <c r="J46" s="77">
        <v>54.79</v>
      </c>
      <c r="K46" s="77">
        <v>0</v>
      </c>
      <c r="L46" s="77">
        <v>0</v>
      </c>
      <c r="M46" s="77">
        <v>2.15</v>
      </c>
      <c r="N46" s="77">
        <v>56.94</v>
      </c>
      <c r="O46" s="77">
        <v>7819.85</v>
      </c>
      <c r="Q46">
        <v>40</v>
      </c>
      <c r="R46" s="16">
        <f>SUM(Tableau1[[#This Row],[Amortiss. Capital]]+Tableau2[[#This Row],[Amortiss. Capital]])</f>
        <v>300.87</v>
      </c>
      <c r="S46" s="16">
        <f>SUM(Tableau1[[#This Row],[Intérêt Normaux]]+Tableau2[[#This Row],[Intérêt Normaux]])</f>
        <v>372.71</v>
      </c>
      <c r="T46" s="16">
        <f>SUM(Tableau1[[#This Row],[Intérêts différés]]+Tableau2[[#This Row],[Intérêts différés]])</f>
        <v>0</v>
      </c>
      <c r="U46" s="16">
        <f>SUM(Tableau1[[#This Row],[Assurances]]+Tableau2[[#This Row],[Assurances]])</f>
        <v>33.160000000000004</v>
      </c>
      <c r="V46" s="16">
        <f>SUM(Tableau1[[#This Row],[Total à payer]]+Tableau2[[#This Row],[Total à payer]])</f>
        <v>706.74</v>
      </c>
      <c r="W46" s="16">
        <f>SUM(Tableau1[[#This Row],[Montant restant dû après échéance]]+Tableau2[[#This Row],[Montant restant dû après échéance]])</f>
        <v>121378.86</v>
      </c>
    </row>
    <row r="47" spans="1:23" x14ac:dyDescent="0.3">
      <c r="A47" s="76">
        <v>41</v>
      </c>
      <c r="B47" s="77">
        <v>246.95</v>
      </c>
      <c r="C47" s="77">
        <v>371.91</v>
      </c>
      <c r="D47" s="77">
        <v>0</v>
      </c>
      <c r="E47" s="77">
        <v>30.94</v>
      </c>
      <c r="F47" s="77">
        <v>649.79999999999995</v>
      </c>
      <c r="G47" s="77">
        <v>113312.06</v>
      </c>
      <c r="H47" s="78"/>
      <c r="I47" s="76">
        <v>41</v>
      </c>
      <c r="J47" s="77">
        <v>54.81</v>
      </c>
      <c r="K47" s="77">
        <v>0</v>
      </c>
      <c r="L47" s="77">
        <v>0</v>
      </c>
      <c r="M47" s="77">
        <v>2.13</v>
      </c>
      <c r="N47" s="77">
        <v>56.94</v>
      </c>
      <c r="O47" s="77">
        <v>7765.04</v>
      </c>
      <c r="Q47">
        <v>41</v>
      </c>
      <c r="R47" s="16">
        <f>SUM(Tableau1[[#This Row],[Amortiss. Capital]]+Tableau2[[#This Row],[Amortiss. Capital]])</f>
        <v>301.76</v>
      </c>
      <c r="S47" s="16">
        <f>SUM(Tableau1[[#This Row],[Intérêt Normaux]]+Tableau2[[#This Row],[Intérêt Normaux]])</f>
        <v>371.91</v>
      </c>
      <c r="T47" s="16">
        <f>SUM(Tableau1[[#This Row],[Intérêts différés]]+Tableau2[[#This Row],[Intérêts différés]])</f>
        <v>0</v>
      </c>
      <c r="U47" s="16">
        <f>SUM(Tableau1[[#This Row],[Assurances]]+Tableau2[[#This Row],[Assurances]])</f>
        <v>33.07</v>
      </c>
      <c r="V47" s="16">
        <f>SUM(Tableau1[[#This Row],[Total à payer]]+Tableau2[[#This Row],[Total à payer]])</f>
        <v>706.74</v>
      </c>
      <c r="W47" s="16">
        <f>SUM(Tableau1[[#This Row],[Montant restant dû après échéance]]+Tableau2[[#This Row],[Montant restant dû après échéance]])</f>
        <v>121077.09999999999</v>
      </c>
    </row>
    <row r="48" spans="1:23" x14ac:dyDescent="0.3">
      <c r="A48" s="76">
        <v>42</v>
      </c>
      <c r="B48" s="77">
        <v>247.82</v>
      </c>
      <c r="C48" s="77">
        <v>371.1</v>
      </c>
      <c r="D48" s="77">
        <v>0</v>
      </c>
      <c r="E48" s="77">
        <v>30.88</v>
      </c>
      <c r="F48" s="77">
        <v>649.79999999999995</v>
      </c>
      <c r="G48" s="77">
        <v>113064.24</v>
      </c>
      <c r="H48" s="78"/>
      <c r="I48" s="76">
        <v>42</v>
      </c>
      <c r="J48" s="77">
        <v>54.82</v>
      </c>
      <c r="K48" s="77">
        <v>0</v>
      </c>
      <c r="L48" s="77">
        <v>0</v>
      </c>
      <c r="M48" s="77">
        <v>2.12</v>
      </c>
      <c r="N48" s="77">
        <v>56.94</v>
      </c>
      <c r="O48" s="77">
        <v>7710.22</v>
      </c>
      <c r="Q48">
        <v>42</v>
      </c>
      <c r="R48" s="16">
        <f>SUM(Tableau1[[#This Row],[Amortiss. Capital]]+Tableau2[[#This Row],[Amortiss. Capital]])</f>
        <v>302.64</v>
      </c>
      <c r="S48" s="16">
        <f>SUM(Tableau1[[#This Row],[Intérêt Normaux]]+Tableau2[[#This Row],[Intérêt Normaux]])</f>
        <v>371.1</v>
      </c>
      <c r="T48" s="16">
        <f>SUM(Tableau1[[#This Row],[Intérêts différés]]+Tableau2[[#This Row],[Intérêts différés]])</f>
        <v>0</v>
      </c>
      <c r="U48" s="16">
        <f>SUM(Tableau1[[#This Row],[Assurances]]+Tableau2[[#This Row],[Assurances]])</f>
        <v>33</v>
      </c>
      <c r="V48" s="16">
        <f>SUM(Tableau1[[#This Row],[Total à payer]]+Tableau2[[#This Row],[Total à payer]])</f>
        <v>706.74</v>
      </c>
      <c r="W48" s="16">
        <f>SUM(Tableau1[[#This Row],[Montant restant dû après échéance]]+Tableau2[[#This Row],[Montant restant dû après échéance]])</f>
        <v>120774.46</v>
      </c>
    </row>
    <row r="49" spans="1:23" x14ac:dyDescent="0.3">
      <c r="A49" s="76">
        <v>43</v>
      </c>
      <c r="B49" s="77">
        <v>248.7</v>
      </c>
      <c r="C49" s="77">
        <v>370.29</v>
      </c>
      <c r="D49" s="77">
        <v>0</v>
      </c>
      <c r="E49" s="77">
        <v>30.81</v>
      </c>
      <c r="F49" s="77">
        <v>649.79999999999995</v>
      </c>
      <c r="G49" s="77">
        <v>112815.54</v>
      </c>
      <c r="H49" s="78"/>
      <c r="I49" s="76">
        <v>43</v>
      </c>
      <c r="J49" s="77">
        <v>54.84</v>
      </c>
      <c r="K49" s="77">
        <v>0</v>
      </c>
      <c r="L49" s="77">
        <v>0</v>
      </c>
      <c r="M49" s="77">
        <v>2.1</v>
      </c>
      <c r="N49" s="77">
        <v>56.94</v>
      </c>
      <c r="O49" s="77">
        <v>7655.38</v>
      </c>
      <c r="Q49">
        <v>43</v>
      </c>
      <c r="R49" s="16">
        <f>SUM(Tableau1[[#This Row],[Amortiss. Capital]]+Tableau2[[#This Row],[Amortiss. Capital]])</f>
        <v>303.53999999999996</v>
      </c>
      <c r="S49" s="16">
        <f>SUM(Tableau1[[#This Row],[Intérêt Normaux]]+Tableau2[[#This Row],[Intérêt Normaux]])</f>
        <v>370.29</v>
      </c>
      <c r="T49" s="16">
        <f>SUM(Tableau1[[#This Row],[Intérêts différés]]+Tableau2[[#This Row],[Intérêts différés]])</f>
        <v>0</v>
      </c>
      <c r="U49" s="16">
        <f>SUM(Tableau1[[#This Row],[Assurances]]+Tableau2[[#This Row],[Assurances]])</f>
        <v>32.909999999999997</v>
      </c>
      <c r="V49" s="16">
        <f>SUM(Tableau1[[#This Row],[Total à payer]]+Tableau2[[#This Row],[Total à payer]])</f>
        <v>706.74</v>
      </c>
      <c r="W49" s="16">
        <f>SUM(Tableau1[[#This Row],[Montant restant dû après échéance]]+Tableau2[[#This Row],[Montant restant dû après échéance]])</f>
        <v>120470.92</v>
      </c>
    </row>
    <row r="50" spans="1:23" x14ac:dyDescent="0.3">
      <c r="A50" s="76">
        <v>44</v>
      </c>
      <c r="B50" s="77">
        <v>249.59</v>
      </c>
      <c r="C50" s="77">
        <v>369.47</v>
      </c>
      <c r="D50" s="77">
        <v>0</v>
      </c>
      <c r="E50" s="77">
        <v>30.74</v>
      </c>
      <c r="F50" s="77">
        <v>649.79999999999995</v>
      </c>
      <c r="G50" s="77">
        <v>112565.95</v>
      </c>
      <c r="H50" s="78"/>
      <c r="I50" s="76">
        <v>44</v>
      </c>
      <c r="J50" s="77">
        <v>54.85</v>
      </c>
      <c r="K50" s="77">
        <v>0</v>
      </c>
      <c r="L50" s="77">
        <v>0</v>
      </c>
      <c r="M50" s="77">
        <v>2.09</v>
      </c>
      <c r="N50" s="77">
        <v>56.94</v>
      </c>
      <c r="O50" s="77">
        <v>7600.53</v>
      </c>
      <c r="Q50">
        <v>44</v>
      </c>
      <c r="R50" s="16">
        <f>SUM(Tableau1[[#This Row],[Amortiss. Capital]]+Tableau2[[#This Row],[Amortiss. Capital]])</f>
        <v>304.44</v>
      </c>
      <c r="S50" s="16">
        <f>SUM(Tableau1[[#This Row],[Intérêt Normaux]]+Tableau2[[#This Row],[Intérêt Normaux]])</f>
        <v>369.47</v>
      </c>
      <c r="T50" s="16">
        <f>SUM(Tableau1[[#This Row],[Intérêts différés]]+Tableau2[[#This Row],[Intérêts différés]])</f>
        <v>0</v>
      </c>
      <c r="U50" s="16">
        <f>SUM(Tableau1[[#This Row],[Assurances]]+Tableau2[[#This Row],[Assurances]])</f>
        <v>32.83</v>
      </c>
      <c r="V50" s="16">
        <f>SUM(Tableau1[[#This Row],[Total à payer]]+Tableau2[[#This Row],[Total à payer]])</f>
        <v>706.74</v>
      </c>
      <c r="W50" s="16">
        <f>SUM(Tableau1[[#This Row],[Montant restant dû après échéance]]+Tableau2[[#This Row],[Montant restant dû après échéance]])</f>
        <v>120166.48</v>
      </c>
    </row>
    <row r="51" spans="1:23" x14ac:dyDescent="0.3">
      <c r="A51" s="76">
        <v>45</v>
      </c>
      <c r="B51" s="77">
        <v>250.48</v>
      </c>
      <c r="C51" s="77">
        <v>368.65</v>
      </c>
      <c r="D51" s="77">
        <v>0</v>
      </c>
      <c r="E51" s="77">
        <v>30.67</v>
      </c>
      <c r="F51" s="77">
        <v>649.79999999999995</v>
      </c>
      <c r="G51" s="77">
        <v>112315.47</v>
      </c>
      <c r="H51" s="78"/>
      <c r="I51" s="76">
        <v>45</v>
      </c>
      <c r="J51" s="77">
        <v>54.87</v>
      </c>
      <c r="K51" s="77">
        <v>0</v>
      </c>
      <c r="L51" s="77">
        <v>0</v>
      </c>
      <c r="M51" s="77">
        <v>2.0699999999999998</v>
      </c>
      <c r="N51" s="77">
        <v>56.94</v>
      </c>
      <c r="O51" s="77">
        <v>7545.66</v>
      </c>
      <c r="Q51">
        <v>45</v>
      </c>
      <c r="R51" s="16">
        <f>SUM(Tableau1[[#This Row],[Amortiss. Capital]]+Tableau2[[#This Row],[Amortiss. Capital]])</f>
        <v>305.34999999999997</v>
      </c>
      <c r="S51" s="16">
        <f>SUM(Tableau1[[#This Row],[Intérêt Normaux]]+Tableau2[[#This Row],[Intérêt Normaux]])</f>
        <v>368.65</v>
      </c>
      <c r="T51" s="16">
        <f>SUM(Tableau1[[#This Row],[Intérêts différés]]+Tableau2[[#This Row],[Intérêts différés]])</f>
        <v>0</v>
      </c>
      <c r="U51" s="16">
        <f>SUM(Tableau1[[#This Row],[Assurances]]+Tableau2[[#This Row],[Assurances]])</f>
        <v>32.74</v>
      </c>
      <c r="V51" s="16">
        <f>SUM(Tableau1[[#This Row],[Total à payer]]+Tableau2[[#This Row],[Total à payer]])</f>
        <v>706.74</v>
      </c>
      <c r="W51" s="16">
        <f>SUM(Tableau1[[#This Row],[Montant restant dû après échéance]]+Tableau2[[#This Row],[Montant restant dû après échéance]])</f>
        <v>119861.13</v>
      </c>
    </row>
    <row r="52" spans="1:23" x14ac:dyDescent="0.3">
      <c r="A52" s="76">
        <v>46</v>
      </c>
      <c r="B52" s="77">
        <v>251.36</v>
      </c>
      <c r="C52" s="77">
        <v>367.83</v>
      </c>
      <c r="D52" s="77">
        <v>0</v>
      </c>
      <c r="E52" s="77">
        <v>30.61</v>
      </c>
      <c r="F52" s="77">
        <v>649.79999999999995</v>
      </c>
      <c r="G52" s="77">
        <v>112064.11</v>
      </c>
      <c r="H52" s="78"/>
      <c r="I52" s="76">
        <v>46</v>
      </c>
      <c r="J52" s="77">
        <v>54.88</v>
      </c>
      <c r="K52" s="77">
        <v>0</v>
      </c>
      <c r="L52" s="77">
        <v>0</v>
      </c>
      <c r="M52" s="77">
        <v>2.06</v>
      </c>
      <c r="N52" s="77">
        <v>56.94</v>
      </c>
      <c r="O52" s="77">
        <v>7490.78</v>
      </c>
      <c r="Q52">
        <v>46</v>
      </c>
      <c r="R52" s="16">
        <f>SUM(Tableau1[[#This Row],[Amortiss. Capital]]+Tableau2[[#This Row],[Amortiss. Capital]])</f>
        <v>306.24</v>
      </c>
      <c r="S52" s="16">
        <f>SUM(Tableau1[[#This Row],[Intérêt Normaux]]+Tableau2[[#This Row],[Intérêt Normaux]])</f>
        <v>367.83</v>
      </c>
      <c r="T52" s="16">
        <f>SUM(Tableau1[[#This Row],[Intérêts différés]]+Tableau2[[#This Row],[Intérêts différés]])</f>
        <v>0</v>
      </c>
      <c r="U52" s="16">
        <f>SUM(Tableau1[[#This Row],[Assurances]]+Tableau2[[#This Row],[Assurances]])</f>
        <v>32.67</v>
      </c>
      <c r="V52" s="16">
        <f>SUM(Tableau1[[#This Row],[Total à payer]]+Tableau2[[#This Row],[Total à payer]])</f>
        <v>706.74</v>
      </c>
      <c r="W52" s="16">
        <f>SUM(Tableau1[[#This Row],[Montant restant dû après échéance]]+Tableau2[[#This Row],[Montant restant dû après échéance]])</f>
        <v>119554.89</v>
      </c>
    </row>
    <row r="53" spans="1:23" x14ac:dyDescent="0.3">
      <c r="A53" s="76">
        <v>47</v>
      </c>
      <c r="B53" s="77">
        <v>252.25</v>
      </c>
      <c r="C53" s="77">
        <v>367.01</v>
      </c>
      <c r="D53" s="77">
        <v>0</v>
      </c>
      <c r="E53" s="77">
        <v>30.54</v>
      </c>
      <c r="F53" s="77">
        <v>649.79999999999995</v>
      </c>
      <c r="G53" s="77">
        <v>111811.86</v>
      </c>
      <c r="H53" s="78"/>
      <c r="I53" s="76">
        <v>47</v>
      </c>
      <c r="J53" s="77">
        <v>54.9</v>
      </c>
      <c r="K53" s="77">
        <v>0</v>
      </c>
      <c r="L53" s="77">
        <v>0</v>
      </c>
      <c r="M53" s="77">
        <v>2.04</v>
      </c>
      <c r="N53" s="77">
        <v>56.94</v>
      </c>
      <c r="O53" s="77">
        <v>7435.88</v>
      </c>
      <c r="Q53">
        <v>47</v>
      </c>
      <c r="R53" s="16">
        <f>SUM(Tableau1[[#This Row],[Amortiss. Capital]]+Tableau2[[#This Row],[Amortiss. Capital]])</f>
        <v>307.14999999999998</v>
      </c>
      <c r="S53" s="16">
        <f>SUM(Tableau1[[#This Row],[Intérêt Normaux]]+Tableau2[[#This Row],[Intérêt Normaux]])</f>
        <v>367.01</v>
      </c>
      <c r="T53" s="16">
        <f>SUM(Tableau1[[#This Row],[Intérêts différés]]+Tableau2[[#This Row],[Intérêts différés]])</f>
        <v>0</v>
      </c>
      <c r="U53" s="16">
        <f>SUM(Tableau1[[#This Row],[Assurances]]+Tableau2[[#This Row],[Assurances]])</f>
        <v>32.58</v>
      </c>
      <c r="V53" s="16">
        <f>SUM(Tableau1[[#This Row],[Total à payer]]+Tableau2[[#This Row],[Total à payer]])</f>
        <v>706.74</v>
      </c>
      <c r="W53" s="16">
        <f>SUM(Tableau1[[#This Row],[Montant restant dû après échéance]]+Tableau2[[#This Row],[Montant restant dû après échéance]])</f>
        <v>119247.74</v>
      </c>
    </row>
    <row r="54" spans="1:23" x14ac:dyDescent="0.3">
      <c r="A54" s="76">
        <v>48</v>
      </c>
      <c r="B54" s="77">
        <v>253.15</v>
      </c>
      <c r="C54" s="77">
        <v>366.18</v>
      </c>
      <c r="D54" s="77">
        <v>0</v>
      </c>
      <c r="E54" s="77">
        <v>30.47</v>
      </c>
      <c r="F54" s="77">
        <v>649.79999999999995</v>
      </c>
      <c r="G54" s="77">
        <v>111558.71</v>
      </c>
      <c r="H54" s="78"/>
      <c r="I54" s="76">
        <v>48</v>
      </c>
      <c r="J54" s="77">
        <v>54.91</v>
      </c>
      <c r="K54" s="77">
        <v>0</v>
      </c>
      <c r="L54" s="77">
        <v>0</v>
      </c>
      <c r="M54" s="77">
        <v>2.0299999999999998</v>
      </c>
      <c r="N54" s="77">
        <v>56.94</v>
      </c>
      <c r="O54" s="77">
        <v>7380.97</v>
      </c>
      <c r="Q54">
        <v>48</v>
      </c>
      <c r="R54" s="16">
        <f>SUM(Tableau1[[#This Row],[Amortiss. Capital]]+Tableau2[[#This Row],[Amortiss. Capital]])</f>
        <v>308.06</v>
      </c>
      <c r="S54" s="16">
        <f>SUM(Tableau1[[#This Row],[Intérêt Normaux]]+Tableau2[[#This Row],[Intérêt Normaux]])</f>
        <v>366.18</v>
      </c>
      <c r="T54" s="16">
        <f>SUM(Tableau1[[#This Row],[Intérêts différés]]+Tableau2[[#This Row],[Intérêts différés]])</f>
        <v>0</v>
      </c>
      <c r="U54" s="16">
        <f>SUM(Tableau1[[#This Row],[Assurances]]+Tableau2[[#This Row],[Assurances]])</f>
        <v>32.5</v>
      </c>
      <c r="V54" s="16">
        <f>SUM(Tableau1[[#This Row],[Total à payer]]+Tableau2[[#This Row],[Total à payer]])</f>
        <v>706.74</v>
      </c>
      <c r="W54" s="16">
        <f>SUM(Tableau1[[#This Row],[Montant restant dû après échéance]]+Tableau2[[#This Row],[Montant restant dû après échéance]])</f>
        <v>118939.68000000001</v>
      </c>
    </row>
    <row r="55" spans="1:23" x14ac:dyDescent="0.3">
      <c r="A55" s="76">
        <v>49</v>
      </c>
      <c r="B55" s="77">
        <v>254.05</v>
      </c>
      <c r="C55" s="77">
        <v>365.35</v>
      </c>
      <c r="D55" s="77">
        <v>0</v>
      </c>
      <c r="E55" s="77">
        <v>30.4</v>
      </c>
      <c r="F55" s="77">
        <v>649.79999999999995</v>
      </c>
      <c r="G55" s="77">
        <v>111304.66</v>
      </c>
      <c r="H55" s="78"/>
      <c r="I55" s="76">
        <v>49</v>
      </c>
      <c r="J55" s="77">
        <v>54.93</v>
      </c>
      <c r="K55" s="77">
        <v>0</v>
      </c>
      <c r="L55" s="77">
        <v>0</v>
      </c>
      <c r="M55" s="77">
        <v>2.0099999999999998</v>
      </c>
      <c r="N55" s="77">
        <v>56.94</v>
      </c>
      <c r="O55" s="77">
        <v>7326.04</v>
      </c>
      <c r="Q55">
        <v>49</v>
      </c>
      <c r="R55" s="16">
        <f>SUM(Tableau1[[#This Row],[Amortiss. Capital]]+Tableau2[[#This Row],[Amortiss. Capital]])</f>
        <v>308.98</v>
      </c>
      <c r="S55" s="16">
        <f>SUM(Tableau1[[#This Row],[Intérêt Normaux]]+Tableau2[[#This Row],[Intérêt Normaux]])</f>
        <v>365.35</v>
      </c>
      <c r="T55" s="16">
        <f>SUM(Tableau1[[#This Row],[Intérêts différés]]+Tableau2[[#This Row],[Intérêts différés]])</f>
        <v>0</v>
      </c>
      <c r="U55" s="16">
        <f>SUM(Tableau1[[#This Row],[Assurances]]+Tableau2[[#This Row],[Assurances]])</f>
        <v>32.409999999999997</v>
      </c>
      <c r="V55" s="16">
        <f>SUM(Tableau1[[#This Row],[Total à payer]]+Tableau2[[#This Row],[Total à payer]])</f>
        <v>706.74</v>
      </c>
      <c r="W55" s="16">
        <f>SUM(Tableau1[[#This Row],[Montant restant dû après échéance]]+Tableau2[[#This Row],[Montant restant dû après échéance]])</f>
        <v>118630.7</v>
      </c>
    </row>
    <row r="56" spans="1:23" x14ac:dyDescent="0.3">
      <c r="A56" s="76">
        <v>50</v>
      </c>
      <c r="B56" s="77">
        <v>254.95</v>
      </c>
      <c r="C56" s="77">
        <v>364.52</v>
      </c>
      <c r="D56" s="77">
        <v>0</v>
      </c>
      <c r="E56" s="77">
        <v>30.33</v>
      </c>
      <c r="F56" s="77">
        <v>649.79999999999995</v>
      </c>
      <c r="G56" s="77">
        <v>111049.71</v>
      </c>
      <c r="H56" s="78"/>
      <c r="I56" s="76">
        <v>50</v>
      </c>
      <c r="J56" s="77">
        <v>54.94</v>
      </c>
      <c r="K56" s="77">
        <v>0</v>
      </c>
      <c r="L56" s="77">
        <v>0</v>
      </c>
      <c r="M56" s="77">
        <v>2</v>
      </c>
      <c r="N56" s="77">
        <v>56.94</v>
      </c>
      <c r="O56" s="77">
        <v>7271.1</v>
      </c>
      <c r="Q56">
        <v>50</v>
      </c>
      <c r="R56" s="16">
        <f>SUM(Tableau1[[#This Row],[Amortiss. Capital]]+Tableau2[[#This Row],[Amortiss. Capital]])</f>
        <v>309.89</v>
      </c>
      <c r="S56" s="16">
        <f>SUM(Tableau1[[#This Row],[Intérêt Normaux]]+Tableau2[[#This Row],[Intérêt Normaux]])</f>
        <v>364.52</v>
      </c>
      <c r="T56" s="16">
        <f>SUM(Tableau1[[#This Row],[Intérêts différés]]+Tableau2[[#This Row],[Intérêts différés]])</f>
        <v>0</v>
      </c>
      <c r="U56" s="16">
        <f>SUM(Tableau1[[#This Row],[Assurances]]+Tableau2[[#This Row],[Assurances]])</f>
        <v>32.33</v>
      </c>
      <c r="V56" s="16">
        <f>SUM(Tableau1[[#This Row],[Total à payer]]+Tableau2[[#This Row],[Total à payer]])</f>
        <v>706.74</v>
      </c>
      <c r="W56" s="16">
        <f>SUM(Tableau1[[#This Row],[Montant restant dû après échéance]]+Tableau2[[#This Row],[Montant restant dû après échéance]])</f>
        <v>118320.81000000001</v>
      </c>
    </row>
    <row r="57" spans="1:23" x14ac:dyDescent="0.3">
      <c r="A57" s="76">
        <v>51</v>
      </c>
      <c r="B57" s="77">
        <v>255.85</v>
      </c>
      <c r="C57" s="77">
        <v>363.69</v>
      </c>
      <c r="D57" s="77">
        <v>0</v>
      </c>
      <c r="E57" s="77">
        <v>30.26</v>
      </c>
      <c r="F57" s="77">
        <v>649.79999999999995</v>
      </c>
      <c r="G57" s="77">
        <v>110793.86</v>
      </c>
      <c r="H57" s="78"/>
      <c r="I57" s="76">
        <v>51</v>
      </c>
      <c r="J57" s="77">
        <v>54.96</v>
      </c>
      <c r="K57" s="77">
        <v>0</v>
      </c>
      <c r="L57" s="77">
        <v>0</v>
      </c>
      <c r="M57" s="77">
        <v>1.98</v>
      </c>
      <c r="N57" s="77">
        <v>56.94</v>
      </c>
      <c r="O57" s="77">
        <v>7216.14</v>
      </c>
      <c r="Q57">
        <v>51</v>
      </c>
      <c r="R57" s="16">
        <f>SUM(Tableau1[[#This Row],[Amortiss. Capital]]+Tableau2[[#This Row],[Amortiss. Capital]])</f>
        <v>310.81</v>
      </c>
      <c r="S57" s="16">
        <f>SUM(Tableau1[[#This Row],[Intérêt Normaux]]+Tableau2[[#This Row],[Intérêt Normaux]])</f>
        <v>363.69</v>
      </c>
      <c r="T57" s="16">
        <f>SUM(Tableau1[[#This Row],[Intérêts différés]]+Tableau2[[#This Row],[Intérêts différés]])</f>
        <v>0</v>
      </c>
      <c r="U57" s="16">
        <f>SUM(Tableau1[[#This Row],[Assurances]]+Tableau2[[#This Row],[Assurances]])</f>
        <v>32.24</v>
      </c>
      <c r="V57" s="16">
        <f>SUM(Tableau1[[#This Row],[Total à payer]]+Tableau2[[#This Row],[Total à payer]])</f>
        <v>706.74</v>
      </c>
      <c r="W57" s="16">
        <f>SUM(Tableau1[[#This Row],[Montant restant dû après échéance]]+Tableau2[[#This Row],[Montant restant dû après échéance]])</f>
        <v>118010</v>
      </c>
    </row>
    <row r="58" spans="1:23" x14ac:dyDescent="0.3">
      <c r="A58" s="76">
        <v>52</v>
      </c>
      <c r="B58" s="77">
        <v>256.76</v>
      </c>
      <c r="C58" s="77">
        <v>362.85</v>
      </c>
      <c r="D58" s="77">
        <v>0</v>
      </c>
      <c r="E58" s="77">
        <v>30.19</v>
      </c>
      <c r="F58" s="77">
        <v>649.79999999999995</v>
      </c>
      <c r="G58" s="77">
        <v>110537.1</v>
      </c>
      <c r="H58" s="78"/>
      <c r="I58" s="76">
        <v>52</v>
      </c>
      <c r="J58" s="77">
        <v>54.97</v>
      </c>
      <c r="K58" s="77">
        <v>0</v>
      </c>
      <c r="L58" s="77">
        <v>0</v>
      </c>
      <c r="M58" s="77">
        <v>1.97</v>
      </c>
      <c r="N58" s="77">
        <v>56.94</v>
      </c>
      <c r="O58" s="77">
        <v>7161.17</v>
      </c>
      <c r="Q58">
        <v>52</v>
      </c>
      <c r="R58" s="16">
        <f>SUM(Tableau1[[#This Row],[Amortiss. Capital]]+Tableau2[[#This Row],[Amortiss. Capital]])</f>
        <v>311.73</v>
      </c>
      <c r="S58" s="16">
        <f>SUM(Tableau1[[#This Row],[Intérêt Normaux]]+Tableau2[[#This Row],[Intérêt Normaux]])</f>
        <v>362.85</v>
      </c>
      <c r="T58" s="16">
        <f>SUM(Tableau1[[#This Row],[Intérêts différés]]+Tableau2[[#This Row],[Intérêts différés]])</f>
        <v>0</v>
      </c>
      <c r="U58" s="16">
        <f>SUM(Tableau1[[#This Row],[Assurances]]+Tableau2[[#This Row],[Assurances]])</f>
        <v>32.160000000000004</v>
      </c>
      <c r="V58" s="16">
        <f>SUM(Tableau1[[#This Row],[Total à payer]]+Tableau2[[#This Row],[Total à payer]])</f>
        <v>706.74</v>
      </c>
      <c r="W58" s="16">
        <f>SUM(Tableau1[[#This Row],[Montant restant dû après échéance]]+Tableau2[[#This Row],[Montant restant dû après échéance]])</f>
        <v>117698.27</v>
      </c>
    </row>
    <row r="59" spans="1:23" x14ac:dyDescent="0.3">
      <c r="A59" s="76">
        <v>53</v>
      </c>
      <c r="B59" s="77">
        <v>257.67</v>
      </c>
      <c r="C59" s="77">
        <v>362.01</v>
      </c>
      <c r="D59" s="77">
        <v>0</v>
      </c>
      <c r="E59" s="77">
        <v>30.12</v>
      </c>
      <c r="F59" s="77">
        <v>649.79999999999995</v>
      </c>
      <c r="G59" s="77">
        <v>110279.43</v>
      </c>
      <c r="H59" s="78"/>
      <c r="I59" s="76">
        <v>53</v>
      </c>
      <c r="J59" s="77">
        <v>54.99</v>
      </c>
      <c r="K59" s="77">
        <v>0</v>
      </c>
      <c r="L59" s="77">
        <v>0</v>
      </c>
      <c r="M59" s="77">
        <v>1.95</v>
      </c>
      <c r="N59" s="77">
        <v>56.94</v>
      </c>
      <c r="O59" s="77">
        <v>7106.18</v>
      </c>
      <c r="Q59">
        <v>53</v>
      </c>
      <c r="R59" s="16">
        <f>SUM(Tableau1[[#This Row],[Amortiss. Capital]]+Tableau2[[#This Row],[Amortiss. Capital]])</f>
        <v>312.66000000000003</v>
      </c>
      <c r="S59" s="16">
        <f>SUM(Tableau1[[#This Row],[Intérêt Normaux]]+Tableau2[[#This Row],[Intérêt Normaux]])</f>
        <v>362.01</v>
      </c>
      <c r="T59" s="16">
        <f>SUM(Tableau1[[#This Row],[Intérêts différés]]+Tableau2[[#This Row],[Intérêts différés]])</f>
        <v>0</v>
      </c>
      <c r="U59" s="16">
        <f>SUM(Tableau1[[#This Row],[Assurances]]+Tableau2[[#This Row],[Assurances]])</f>
        <v>32.07</v>
      </c>
      <c r="V59" s="16">
        <f>SUM(Tableau1[[#This Row],[Total à payer]]+Tableau2[[#This Row],[Total à payer]])</f>
        <v>706.74</v>
      </c>
      <c r="W59" s="16">
        <f>SUM(Tableau1[[#This Row],[Montant restant dû après échéance]]+Tableau2[[#This Row],[Montant restant dû après échéance]])</f>
        <v>117385.60999999999</v>
      </c>
    </row>
    <row r="60" spans="1:23" x14ac:dyDescent="0.3">
      <c r="A60" s="76">
        <v>54</v>
      </c>
      <c r="B60" s="77">
        <v>258.58</v>
      </c>
      <c r="C60" s="77">
        <v>361.17</v>
      </c>
      <c r="D60" s="77">
        <v>0</v>
      </c>
      <c r="E60" s="77">
        <v>30.05</v>
      </c>
      <c r="F60" s="77">
        <v>649.79999999999995</v>
      </c>
      <c r="G60" s="77">
        <v>110020.85</v>
      </c>
      <c r="H60" s="78"/>
      <c r="I60" s="76">
        <v>54</v>
      </c>
      <c r="J60" s="77">
        <v>55</v>
      </c>
      <c r="K60" s="77">
        <v>0</v>
      </c>
      <c r="L60" s="77">
        <v>0</v>
      </c>
      <c r="M60" s="77">
        <v>1.94</v>
      </c>
      <c r="N60" s="77">
        <v>56.94</v>
      </c>
      <c r="O60" s="77">
        <v>7051.18</v>
      </c>
      <c r="Q60">
        <v>54</v>
      </c>
      <c r="R60" s="16">
        <f>SUM(Tableau1[[#This Row],[Amortiss. Capital]]+Tableau2[[#This Row],[Amortiss. Capital]])</f>
        <v>313.58</v>
      </c>
      <c r="S60" s="16">
        <f>SUM(Tableau1[[#This Row],[Intérêt Normaux]]+Tableau2[[#This Row],[Intérêt Normaux]])</f>
        <v>361.17</v>
      </c>
      <c r="T60" s="16">
        <f>SUM(Tableau1[[#This Row],[Intérêts différés]]+Tableau2[[#This Row],[Intérêts différés]])</f>
        <v>0</v>
      </c>
      <c r="U60" s="16">
        <f>SUM(Tableau1[[#This Row],[Assurances]]+Tableau2[[#This Row],[Assurances]])</f>
        <v>31.990000000000002</v>
      </c>
      <c r="V60" s="16">
        <f>SUM(Tableau1[[#This Row],[Total à payer]]+Tableau2[[#This Row],[Total à payer]])</f>
        <v>706.74</v>
      </c>
      <c r="W60" s="16">
        <f>SUM(Tableau1[[#This Row],[Montant restant dû après échéance]]+Tableau2[[#This Row],[Montant restant dû après échéance]])</f>
        <v>117072.03</v>
      </c>
    </row>
    <row r="61" spans="1:23" x14ac:dyDescent="0.3">
      <c r="A61" s="76">
        <v>55</v>
      </c>
      <c r="B61" s="77">
        <v>259.5</v>
      </c>
      <c r="C61" s="77">
        <v>360.32</v>
      </c>
      <c r="D61" s="77">
        <v>0</v>
      </c>
      <c r="E61" s="77">
        <v>29.98</v>
      </c>
      <c r="F61" s="77">
        <v>649.79999999999995</v>
      </c>
      <c r="G61" s="77">
        <v>109761.35</v>
      </c>
      <c r="H61" s="78"/>
      <c r="I61" s="76">
        <v>55</v>
      </c>
      <c r="J61" s="77">
        <v>55.02</v>
      </c>
      <c r="K61" s="77">
        <v>0</v>
      </c>
      <c r="L61" s="77">
        <v>0</v>
      </c>
      <c r="M61" s="77">
        <v>1.92</v>
      </c>
      <c r="N61" s="77">
        <v>56.94</v>
      </c>
      <c r="O61" s="77">
        <v>6996.16</v>
      </c>
      <c r="Q61">
        <v>55</v>
      </c>
      <c r="R61" s="16">
        <f>SUM(Tableau1[[#This Row],[Amortiss. Capital]]+Tableau2[[#This Row],[Amortiss. Capital]])</f>
        <v>314.52</v>
      </c>
      <c r="S61" s="16">
        <f>SUM(Tableau1[[#This Row],[Intérêt Normaux]]+Tableau2[[#This Row],[Intérêt Normaux]])</f>
        <v>360.32</v>
      </c>
      <c r="T61" s="16">
        <f>SUM(Tableau1[[#This Row],[Intérêts différés]]+Tableau2[[#This Row],[Intérêts différés]])</f>
        <v>0</v>
      </c>
      <c r="U61" s="16">
        <f>SUM(Tableau1[[#This Row],[Assurances]]+Tableau2[[#This Row],[Assurances]])</f>
        <v>31.9</v>
      </c>
      <c r="V61" s="16">
        <f>SUM(Tableau1[[#This Row],[Total à payer]]+Tableau2[[#This Row],[Total à payer]])</f>
        <v>706.74</v>
      </c>
      <c r="W61" s="16">
        <f>SUM(Tableau1[[#This Row],[Montant restant dû après échéance]]+Tableau2[[#This Row],[Montant restant dû après échéance]])</f>
        <v>116757.51000000001</v>
      </c>
    </row>
    <row r="62" spans="1:23" x14ac:dyDescent="0.3">
      <c r="A62" s="76">
        <v>56</v>
      </c>
      <c r="B62" s="77">
        <v>260.42</v>
      </c>
      <c r="C62" s="77">
        <v>359.47</v>
      </c>
      <c r="D62" s="77">
        <v>0</v>
      </c>
      <c r="E62" s="77">
        <v>29.91</v>
      </c>
      <c r="F62" s="77">
        <v>649.79999999999995</v>
      </c>
      <c r="G62" s="77">
        <v>109500.93</v>
      </c>
      <c r="H62" s="78"/>
      <c r="I62" s="76">
        <v>56</v>
      </c>
      <c r="J62" s="77">
        <v>55.03</v>
      </c>
      <c r="K62" s="77">
        <v>0</v>
      </c>
      <c r="L62" s="77">
        <v>0</v>
      </c>
      <c r="M62" s="77">
        <v>1.91</v>
      </c>
      <c r="N62" s="77">
        <v>56.94</v>
      </c>
      <c r="O62" s="77">
        <v>6941.13</v>
      </c>
      <c r="Q62">
        <v>56</v>
      </c>
      <c r="R62" s="16">
        <f>SUM(Tableau1[[#This Row],[Amortiss. Capital]]+Tableau2[[#This Row],[Amortiss. Capital]])</f>
        <v>315.45000000000005</v>
      </c>
      <c r="S62" s="16">
        <f>SUM(Tableau1[[#This Row],[Intérêt Normaux]]+Tableau2[[#This Row],[Intérêt Normaux]])</f>
        <v>359.47</v>
      </c>
      <c r="T62" s="16">
        <f>SUM(Tableau1[[#This Row],[Intérêts différés]]+Tableau2[[#This Row],[Intérêts différés]])</f>
        <v>0</v>
      </c>
      <c r="U62" s="16">
        <f>SUM(Tableau1[[#This Row],[Assurances]]+Tableau2[[#This Row],[Assurances]])</f>
        <v>31.82</v>
      </c>
      <c r="V62" s="16">
        <f>SUM(Tableau1[[#This Row],[Total à payer]]+Tableau2[[#This Row],[Total à payer]])</f>
        <v>706.74</v>
      </c>
      <c r="W62" s="16">
        <f>SUM(Tableau1[[#This Row],[Montant restant dû après échéance]]+Tableau2[[#This Row],[Montant restant dû après échéance]])</f>
        <v>116442.06</v>
      </c>
    </row>
    <row r="63" spans="1:23" x14ac:dyDescent="0.3">
      <c r="A63" s="76">
        <v>57</v>
      </c>
      <c r="B63" s="77">
        <v>261.33999999999997</v>
      </c>
      <c r="C63" s="77">
        <v>358.62</v>
      </c>
      <c r="D63" s="77">
        <v>0</v>
      </c>
      <c r="E63" s="77">
        <v>29.84</v>
      </c>
      <c r="F63" s="77">
        <v>649.79999999999995</v>
      </c>
      <c r="G63" s="77">
        <v>109239.59</v>
      </c>
      <c r="H63" s="78"/>
      <c r="I63" s="76">
        <v>57</v>
      </c>
      <c r="J63" s="77">
        <v>55.05</v>
      </c>
      <c r="K63" s="77">
        <v>0</v>
      </c>
      <c r="L63" s="77">
        <v>0</v>
      </c>
      <c r="M63" s="77">
        <v>1.89</v>
      </c>
      <c r="N63" s="77">
        <v>56.94</v>
      </c>
      <c r="O63" s="77">
        <v>6886.08</v>
      </c>
      <c r="Q63">
        <v>57</v>
      </c>
      <c r="R63" s="16">
        <f>SUM(Tableau1[[#This Row],[Amortiss. Capital]]+Tableau2[[#This Row],[Amortiss. Capital]])</f>
        <v>316.39</v>
      </c>
      <c r="S63" s="16">
        <f>SUM(Tableau1[[#This Row],[Intérêt Normaux]]+Tableau2[[#This Row],[Intérêt Normaux]])</f>
        <v>358.62</v>
      </c>
      <c r="T63" s="16">
        <f>SUM(Tableau1[[#This Row],[Intérêts différés]]+Tableau2[[#This Row],[Intérêts différés]])</f>
        <v>0</v>
      </c>
      <c r="U63" s="16">
        <f>SUM(Tableau1[[#This Row],[Assurances]]+Tableau2[[#This Row],[Assurances]])</f>
        <v>31.73</v>
      </c>
      <c r="V63" s="16">
        <f>SUM(Tableau1[[#This Row],[Total à payer]]+Tableau2[[#This Row],[Total à payer]])</f>
        <v>706.74</v>
      </c>
      <c r="W63" s="16">
        <f>SUM(Tableau1[[#This Row],[Montant restant dû après échéance]]+Tableau2[[#This Row],[Montant restant dû après échéance]])</f>
        <v>116125.67</v>
      </c>
    </row>
    <row r="64" spans="1:23" x14ac:dyDescent="0.3">
      <c r="A64" s="76">
        <v>58</v>
      </c>
      <c r="B64" s="77">
        <v>262.27</v>
      </c>
      <c r="C64" s="77">
        <v>357.76</v>
      </c>
      <c r="D64" s="77">
        <v>0</v>
      </c>
      <c r="E64" s="77">
        <v>29.77</v>
      </c>
      <c r="F64" s="77">
        <v>649.79999999999995</v>
      </c>
      <c r="G64" s="77">
        <v>108977.32</v>
      </c>
      <c r="H64" s="78"/>
      <c r="I64" s="76">
        <v>58</v>
      </c>
      <c r="J64" s="77">
        <v>55.06</v>
      </c>
      <c r="K64" s="77">
        <v>0</v>
      </c>
      <c r="L64" s="77">
        <v>0</v>
      </c>
      <c r="M64" s="77">
        <v>1.88</v>
      </c>
      <c r="N64" s="77">
        <v>56.94</v>
      </c>
      <c r="O64" s="77">
        <v>6831.02</v>
      </c>
      <c r="Q64">
        <v>58</v>
      </c>
      <c r="R64" s="16">
        <f>SUM(Tableau1[[#This Row],[Amortiss. Capital]]+Tableau2[[#This Row],[Amortiss. Capital]])</f>
        <v>317.33</v>
      </c>
      <c r="S64" s="16">
        <f>SUM(Tableau1[[#This Row],[Intérêt Normaux]]+Tableau2[[#This Row],[Intérêt Normaux]])</f>
        <v>357.76</v>
      </c>
      <c r="T64" s="16">
        <f>SUM(Tableau1[[#This Row],[Intérêts différés]]+Tableau2[[#This Row],[Intérêts différés]])</f>
        <v>0</v>
      </c>
      <c r="U64" s="16">
        <f>SUM(Tableau1[[#This Row],[Assurances]]+Tableau2[[#This Row],[Assurances]])</f>
        <v>31.65</v>
      </c>
      <c r="V64" s="16">
        <f>SUM(Tableau1[[#This Row],[Total à payer]]+Tableau2[[#This Row],[Total à payer]])</f>
        <v>706.74</v>
      </c>
      <c r="W64" s="16">
        <f>SUM(Tableau1[[#This Row],[Montant restant dû après échéance]]+Tableau2[[#This Row],[Montant restant dû après échéance]])</f>
        <v>115808.34000000001</v>
      </c>
    </row>
    <row r="65" spans="1:23" x14ac:dyDescent="0.3">
      <c r="A65" s="76">
        <v>59</v>
      </c>
      <c r="B65" s="77">
        <v>263.2</v>
      </c>
      <c r="C65" s="77">
        <v>356.9</v>
      </c>
      <c r="D65" s="77">
        <v>0</v>
      </c>
      <c r="E65" s="77">
        <v>29.7</v>
      </c>
      <c r="F65" s="77">
        <v>649.79999999999995</v>
      </c>
      <c r="G65" s="77">
        <v>108714.12</v>
      </c>
      <c r="H65" s="78"/>
      <c r="I65" s="76">
        <v>59</v>
      </c>
      <c r="J65" s="77">
        <v>55.08</v>
      </c>
      <c r="K65" s="77">
        <v>0</v>
      </c>
      <c r="L65" s="77">
        <v>0</v>
      </c>
      <c r="M65" s="77">
        <v>1.86</v>
      </c>
      <c r="N65" s="77">
        <v>56.94</v>
      </c>
      <c r="O65" s="77">
        <v>6775.94</v>
      </c>
      <c r="Q65">
        <v>59</v>
      </c>
      <c r="R65" s="16">
        <f>SUM(Tableau1[[#This Row],[Amortiss. Capital]]+Tableau2[[#This Row],[Amortiss. Capital]])</f>
        <v>318.27999999999997</v>
      </c>
      <c r="S65" s="16">
        <f>SUM(Tableau1[[#This Row],[Intérêt Normaux]]+Tableau2[[#This Row],[Intérêt Normaux]])</f>
        <v>356.9</v>
      </c>
      <c r="T65" s="16">
        <f>SUM(Tableau1[[#This Row],[Intérêts différés]]+Tableau2[[#This Row],[Intérêts différés]])</f>
        <v>0</v>
      </c>
      <c r="U65" s="16">
        <f>SUM(Tableau1[[#This Row],[Assurances]]+Tableau2[[#This Row],[Assurances]])</f>
        <v>31.56</v>
      </c>
      <c r="V65" s="16">
        <f>SUM(Tableau1[[#This Row],[Total à payer]]+Tableau2[[#This Row],[Total à payer]])</f>
        <v>706.74</v>
      </c>
      <c r="W65" s="16">
        <f>SUM(Tableau1[[#This Row],[Montant restant dû après échéance]]+Tableau2[[#This Row],[Montant restant dû après échéance]])</f>
        <v>115490.06</v>
      </c>
    </row>
    <row r="66" spans="1:23" x14ac:dyDescent="0.3">
      <c r="A66" s="76">
        <v>60</v>
      </c>
      <c r="B66" s="77">
        <v>264.14</v>
      </c>
      <c r="C66" s="77">
        <v>356.04</v>
      </c>
      <c r="D66" s="77">
        <v>0</v>
      </c>
      <c r="E66" s="77">
        <v>29.62</v>
      </c>
      <c r="F66" s="77">
        <v>649.79999999999995</v>
      </c>
      <c r="G66" s="77">
        <v>108449.98</v>
      </c>
      <c r="H66" s="78"/>
      <c r="I66" s="76">
        <v>60</v>
      </c>
      <c r="J66" s="77">
        <v>55.09</v>
      </c>
      <c r="K66" s="77">
        <v>0</v>
      </c>
      <c r="L66" s="77">
        <v>0</v>
      </c>
      <c r="M66" s="77">
        <v>1.85</v>
      </c>
      <c r="N66" s="77">
        <v>56.94</v>
      </c>
      <c r="O66" s="77">
        <v>6720.85</v>
      </c>
      <c r="Q66">
        <v>60</v>
      </c>
      <c r="R66" s="16">
        <f>SUM(Tableau1[[#This Row],[Amortiss. Capital]]+Tableau2[[#This Row],[Amortiss. Capital]])</f>
        <v>319.23</v>
      </c>
      <c r="S66" s="16">
        <f>SUM(Tableau1[[#This Row],[Intérêt Normaux]]+Tableau2[[#This Row],[Intérêt Normaux]])</f>
        <v>356.04</v>
      </c>
      <c r="T66" s="16">
        <f>SUM(Tableau1[[#This Row],[Intérêts différés]]+Tableau2[[#This Row],[Intérêts différés]])</f>
        <v>0</v>
      </c>
      <c r="U66" s="16">
        <f>SUM(Tableau1[[#This Row],[Assurances]]+Tableau2[[#This Row],[Assurances]])</f>
        <v>31.470000000000002</v>
      </c>
      <c r="V66" s="16">
        <f>SUM(Tableau1[[#This Row],[Total à payer]]+Tableau2[[#This Row],[Total à payer]])</f>
        <v>706.74</v>
      </c>
      <c r="W66" s="16">
        <f>SUM(Tableau1[[#This Row],[Montant restant dû après échéance]]+Tableau2[[#This Row],[Montant restant dû après échéance]])</f>
        <v>115170.83</v>
      </c>
    </row>
    <row r="67" spans="1:23" x14ac:dyDescent="0.3">
      <c r="A67" s="76">
        <v>61</v>
      </c>
      <c r="B67" s="77">
        <v>265.08</v>
      </c>
      <c r="C67" s="77">
        <v>355.17</v>
      </c>
      <c r="D67" s="77">
        <v>0</v>
      </c>
      <c r="E67" s="77">
        <v>29.55</v>
      </c>
      <c r="F67" s="77">
        <v>649.79999999999995</v>
      </c>
      <c r="G67" s="77">
        <v>108184.9</v>
      </c>
      <c r="H67" s="78"/>
      <c r="I67" s="76">
        <v>61</v>
      </c>
      <c r="J67" s="77">
        <v>55.11</v>
      </c>
      <c r="K67" s="77">
        <v>0</v>
      </c>
      <c r="L67" s="77">
        <v>0</v>
      </c>
      <c r="M67" s="77">
        <v>1.83</v>
      </c>
      <c r="N67" s="77">
        <v>56.94</v>
      </c>
      <c r="O67" s="77">
        <v>6665.74</v>
      </c>
      <c r="Q67">
        <v>61</v>
      </c>
      <c r="R67" s="16">
        <f>SUM(Tableau1[[#This Row],[Amortiss. Capital]]+Tableau2[[#This Row],[Amortiss. Capital]])</f>
        <v>320.19</v>
      </c>
      <c r="S67" s="16">
        <f>SUM(Tableau1[[#This Row],[Intérêt Normaux]]+Tableau2[[#This Row],[Intérêt Normaux]])</f>
        <v>355.17</v>
      </c>
      <c r="T67" s="16">
        <f>SUM(Tableau1[[#This Row],[Intérêts différés]]+Tableau2[[#This Row],[Intérêts différés]])</f>
        <v>0</v>
      </c>
      <c r="U67" s="16">
        <f>SUM(Tableau1[[#This Row],[Assurances]]+Tableau2[[#This Row],[Assurances]])</f>
        <v>31.380000000000003</v>
      </c>
      <c r="V67" s="16">
        <f>SUM(Tableau1[[#This Row],[Total à payer]]+Tableau2[[#This Row],[Total à payer]])</f>
        <v>706.74</v>
      </c>
      <c r="W67" s="16">
        <f>SUM(Tableau1[[#This Row],[Montant restant dû après échéance]]+Tableau2[[#This Row],[Montant restant dû après échéance]])</f>
        <v>114850.64</v>
      </c>
    </row>
    <row r="68" spans="1:23" x14ac:dyDescent="0.3">
      <c r="A68" s="76">
        <v>62</v>
      </c>
      <c r="B68" s="77">
        <v>266.01</v>
      </c>
      <c r="C68" s="77">
        <v>354.31</v>
      </c>
      <c r="D68" s="77">
        <v>0</v>
      </c>
      <c r="E68" s="77">
        <v>29.48</v>
      </c>
      <c r="F68" s="77">
        <v>649.79999999999995</v>
      </c>
      <c r="G68" s="77">
        <v>107918.89</v>
      </c>
      <c r="H68" s="78"/>
      <c r="I68" s="76">
        <v>62</v>
      </c>
      <c r="J68" s="77">
        <v>55.12</v>
      </c>
      <c r="K68" s="77">
        <v>0</v>
      </c>
      <c r="L68" s="77">
        <v>0</v>
      </c>
      <c r="M68" s="77">
        <v>1.82</v>
      </c>
      <c r="N68" s="77">
        <v>56.94</v>
      </c>
      <c r="O68" s="77">
        <v>6610.62</v>
      </c>
      <c r="Q68">
        <v>62</v>
      </c>
      <c r="R68" s="16">
        <f>SUM(Tableau1[[#This Row],[Amortiss. Capital]]+Tableau2[[#This Row],[Amortiss. Capital]])</f>
        <v>321.13</v>
      </c>
      <c r="S68" s="16">
        <f>SUM(Tableau1[[#This Row],[Intérêt Normaux]]+Tableau2[[#This Row],[Intérêt Normaux]])</f>
        <v>354.31</v>
      </c>
      <c r="T68" s="16">
        <f>SUM(Tableau1[[#This Row],[Intérêts différés]]+Tableau2[[#This Row],[Intérêts différés]])</f>
        <v>0</v>
      </c>
      <c r="U68" s="16">
        <f>SUM(Tableau1[[#This Row],[Assurances]]+Tableau2[[#This Row],[Assurances]])</f>
        <v>31.3</v>
      </c>
      <c r="V68" s="16">
        <f>SUM(Tableau1[[#This Row],[Total à payer]]+Tableau2[[#This Row],[Total à payer]])</f>
        <v>706.74</v>
      </c>
      <c r="W68" s="16">
        <f>SUM(Tableau1[[#This Row],[Montant restant dû après échéance]]+Tableau2[[#This Row],[Montant restant dû après échéance]])</f>
        <v>114529.51</v>
      </c>
    </row>
    <row r="69" spans="1:23" x14ac:dyDescent="0.3">
      <c r="A69" s="76">
        <v>63</v>
      </c>
      <c r="B69" s="77">
        <v>266.95999999999998</v>
      </c>
      <c r="C69" s="77">
        <v>353.43</v>
      </c>
      <c r="D69" s="77">
        <v>0</v>
      </c>
      <c r="E69" s="77">
        <v>29.41</v>
      </c>
      <c r="F69" s="77">
        <v>649.79999999999995</v>
      </c>
      <c r="G69" s="77">
        <v>107651.93</v>
      </c>
      <c r="H69" s="78"/>
      <c r="I69" s="76">
        <v>63</v>
      </c>
      <c r="J69" s="77">
        <v>55.14</v>
      </c>
      <c r="K69" s="77">
        <v>0</v>
      </c>
      <c r="L69" s="77">
        <v>0</v>
      </c>
      <c r="M69" s="77">
        <v>1.8</v>
      </c>
      <c r="N69" s="77">
        <v>56.94</v>
      </c>
      <c r="O69" s="77">
        <v>6555.48</v>
      </c>
      <c r="Q69">
        <v>63</v>
      </c>
      <c r="R69" s="16">
        <f>SUM(Tableau1[[#This Row],[Amortiss. Capital]]+Tableau2[[#This Row],[Amortiss. Capital]])</f>
        <v>322.09999999999997</v>
      </c>
      <c r="S69" s="16">
        <f>SUM(Tableau1[[#This Row],[Intérêt Normaux]]+Tableau2[[#This Row],[Intérêt Normaux]])</f>
        <v>353.43</v>
      </c>
      <c r="T69" s="16">
        <f>SUM(Tableau1[[#This Row],[Intérêts différés]]+Tableau2[[#This Row],[Intérêts différés]])</f>
        <v>0</v>
      </c>
      <c r="U69" s="16">
        <f>SUM(Tableau1[[#This Row],[Assurances]]+Tableau2[[#This Row],[Assurances]])</f>
        <v>31.21</v>
      </c>
      <c r="V69" s="16">
        <f>SUM(Tableau1[[#This Row],[Total à payer]]+Tableau2[[#This Row],[Total à payer]])</f>
        <v>706.74</v>
      </c>
      <c r="W69" s="16">
        <f>SUM(Tableau1[[#This Row],[Montant restant dû après échéance]]+Tableau2[[#This Row],[Montant restant dû après échéance]])</f>
        <v>114207.40999999999</v>
      </c>
    </row>
    <row r="70" spans="1:23" x14ac:dyDescent="0.3">
      <c r="A70" s="76">
        <v>64</v>
      </c>
      <c r="B70" s="77">
        <v>267.89999999999998</v>
      </c>
      <c r="C70" s="77">
        <v>352.56</v>
      </c>
      <c r="D70" s="77">
        <v>0</v>
      </c>
      <c r="E70" s="77">
        <v>29.34</v>
      </c>
      <c r="F70" s="77">
        <v>649.79999999999995</v>
      </c>
      <c r="G70" s="77">
        <v>107384.03</v>
      </c>
      <c r="H70" s="78"/>
      <c r="I70" s="76">
        <v>64</v>
      </c>
      <c r="J70" s="77">
        <v>55.15</v>
      </c>
      <c r="K70" s="77">
        <v>0</v>
      </c>
      <c r="L70" s="77">
        <v>0</v>
      </c>
      <c r="M70" s="77">
        <v>1.79</v>
      </c>
      <c r="N70" s="77">
        <v>56.94</v>
      </c>
      <c r="O70" s="77">
        <v>6500.33</v>
      </c>
      <c r="Q70">
        <v>64</v>
      </c>
      <c r="R70" s="16">
        <f>SUM(Tableau1[[#This Row],[Amortiss. Capital]]+Tableau2[[#This Row],[Amortiss. Capital]])</f>
        <v>323.04999999999995</v>
      </c>
      <c r="S70" s="16">
        <f>SUM(Tableau1[[#This Row],[Intérêt Normaux]]+Tableau2[[#This Row],[Intérêt Normaux]])</f>
        <v>352.56</v>
      </c>
      <c r="T70" s="16">
        <f>SUM(Tableau1[[#This Row],[Intérêts différés]]+Tableau2[[#This Row],[Intérêts différés]])</f>
        <v>0</v>
      </c>
      <c r="U70" s="16">
        <f>SUM(Tableau1[[#This Row],[Assurances]]+Tableau2[[#This Row],[Assurances]])</f>
        <v>31.13</v>
      </c>
      <c r="V70" s="16">
        <f>SUM(Tableau1[[#This Row],[Total à payer]]+Tableau2[[#This Row],[Total à payer]])</f>
        <v>706.74</v>
      </c>
      <c r="W70" s="16">
        <f>SUM(Tableau1[[#This Row],[Montant restant dû après échéance]]+Tableau2[[#This Row],[Montant restant dû après échéance]])</f>
        <v>113884.36</v>
      </c>
    </row>
    <row r="71" spans="1:23" x14ac:dyDescent="0.3">
      <c r="A71" s="76">
        <v>65</v>
      </c>
      <c r="B71" s="77">
        <v>268.86</v>
      </c>
      <c r="C71" s="77">
        <v>351.68</v>
      </c>
      <c r="D71" s="77">
        <v>0</v>
      </c>
      <c r="E71" s="77">
        <v>29.26</v>
      </c>
      <c r="F71" s="77">
        <v>649.79999999999995</v>
      </c>
      <c r="G71" s="77">
        <v>107115.17</v>
      </c>
      <c r="H71" s="78"/>
      <c r="I71" s="76">
        <v>65</v>
      </c>
      <c r="J71" s="77">
        <v>55.17</v>
      </c>
      <c r="K71" s="77">
        <v>0</v>
      </c>
      <c r="L71" s="77">
        <v>0</v>
      </c>
      <c r="M71" s="77">
        <v>1.77</v>
      </c>
      <c r="N71" s="77">
        <v>56.94</v>
      </c>
      <c r="O71" s="77">
        <v>6445.16</v>
      </c>
      <c r="Q71">
        <v>65</v>
      </c>
      <c r="R71" s="16">
        <f>SUM(Tableau1[[#This Row],[Amortiss. Capital]]+Tableau2[[#This Row],[Amortiss. Capital]])</f>
        <v>324.03000000000003</v>
      </c>
      <c r="S71" s="16">
        <f>SUM(Tableau1[[#This Row],[Intérêt Normaux]]+Tableau2[[#This Row],[Intérêt Normaux]])</f>
        <v>351.68</v>
      </c>
      <c r="T71" s="16">
        <f>SUM(Tableau1[[#This Row],[Intérêts différés]]+Tableau2[[#This Row],[Intérêts différés]])</f>
        <v>0</v>
      </c>
      <c r="U71" s="16">
        <f>SUM(Tableau1[[#This Row],[Assurances]]+Tableau2[[#This Row],[Assurances]])</f>
        <v>31.03</v>
      </c>
      <c r="V71" s="16">
        <f>SUM(Tableau1[[#This Row],[Total à payer]]+Tableau2[[#This Row],[Total à payer]])</f>
        <v>706.74</v>
      </c>
      <c r="W71" s="16">
        <f>SUM(Tableau1[[#This Row],[Montant restant dû après échéance]]+Tableau2[[#This Row],[Montant restant dû après échéance]])</f>
        <v>113560.33</v>
      </c>
    </row>
    <row r="72" spans="1:23" x14ac:dyDescent="0.3">
      <c r="A72" s="76">
        <v>66</v>
      </c>
      <c r="B72" s="77">
        <v>269.81</v>
      </c>
      <c r="C72" s="77">
        <v>350.8</v>
      </c>
      <c r="D72" s="77">
        <v>0</v>
      </c>
      <c r="E72" s="77">
        <v>29.19</v>
      </c>
      <c r="F72" s="77">
        <v>649.79999999999995</v>
      </c>
      <c r="G72" s="77">
        <v>106845.36</v>
      </c>
      <c r="H72" s="78"/>
      <c r="I72" s="76">
        <v>66</v>
      </c>
      <c r="J72" s="77">
        <v>55.18</v>
      </c>
      <c r="K72" s="77">
        <v>0</v>
      </c>
      <c r="L72" s="77">
        <v>0</v>
      </c>
      <c r="M72" s="77">
        <v>1.76</v>
      </c>
      <c r="N72" s="77">
        <v>56.94</v>
      </c>
      <c r="O72" s="77">
        <v>6389.98</v>
      </c>
      <c r="Q72">
        <v>66</v>
      </c>
      <c r="R72" s="16">
        <f>SUM(Tableau1[[#This Row],[Amortiss. Capital]]+Tableau2[[#This Row],[Amortiss. Capital]])</f>
        <v>324.99</v>
      </c>
      <c r="S72" s="16">
        <f>SUM(Tableau1[[#This Row],[Intérêt Normaux]]+Tableau2[[#This Row],[Intérêt Normaux]])</f>
        <v>350.8</v>
      </c>
      <c r="T72" s="16">
        <f>SUM(Tableau1[[#This Row],[Intérêts différés]]+Tableau2[[#This Row],[Intérêts différés]])</f>
        <v>0</v>
      </c>
      <c r="U72" s="16">
        <f>SUM(Tableau1[[#This Row],[Assurances]]+Tableau2[[#This Row],[Assurances]])</f>
        <v>30.950000000000003</v>
      </c>
      <c r="V72" s="16">
        <f>SUM(Tableau1[[#This Row],[Total à payer]]+Tableau2[[#This Row],[Total à payer]])</f>
        <v>706.74</v>
      </c>
      <c r="W72" s="16">
        <f>SUM(Tableau1[[#This Row],[Montant restant dû après échéance]]+Tableau2[[#This Row],[Montant restant dû après échéance]])</f>
        <v>113235.34</v>
      </c>
    </row>
    <row r="73" spans="1:23" x14ac:dyDescent="0.3">
      <c r="A73" s="76">
        <v>67</v>
      </c>
      <c r="B73" s="77">
        <v>270.76</v>
      </c>
      <c r="C73" s="77">
        <v>349.92</v>
      </c>
      <c r="D73" s="77">
        <v>0</v>
      </c>
      <c r="E73" s="77">
        <v>29.12</v>
      </c>
      <c r="F73" s="77">
        <v>649.79999999999995</v>
      </c>
      <c r="G73" s="77">
        <v>106574.6</v>
      </c>
      <c r="H73" s="78"/>
      <c r="I73" s="76">
        <v>67</v>
      </c>
      <c r="J73" s="77">
        <v>55.2</v>
      </c>
      <c r="K73" s="77">
        <v>0</v>
      </c>
      <c r="L73" s="77">
        <v>0</v>
      </c>
      <c r="M73" s="77">
        <v>1.74</v>
      </c>
      <c r="N73" s="77">
        <v>56.94</v>
      </c>
      <c r="O73" s="77">
        <v>6334.78</v>
      </c>
      <c r="Q73">
        <v>67</v>
      </c>
      <c r="R73" s="16">
        <f>SUM(Tableau1[[#This Row],[Amortiss. Capital]]+Tableau2[[#This Row],[Amortiss. Capital]])</f>
        <v>325.95999999999998</v>
      </c>
      <c r="S73" s="16">
        <f>SUM(Tableau1[[#This Row],[Intérêt Normaux]]+Tableau2[[#This Row],[Intérêt Normaux]])</f>
        <v>349.92</v>
      </c>
      <c r="T73" s="16">
        <f>SUM(Tableau1[[#This Row],[Intérêts différés]]+Tableau2[[#This Row],[Intérêts différés]])</f>
        <v>0</v>
      </c>
      <c r="U73" s="16">
        <f>SUM(Tableau1[[#This Row],[Assurances]]+Tableau2[[#This Row],[Assurances]])</f>
        <v>30.86</v>
      </c>
      <c r="V73" s="16">
        <f>SUM(Tableau1[[#This Row],[Total à payer]]+Tableau2[[#This Row],[Total à payer]])</f>
        <v>706.74</v>
      </c>
      <c r="W73" s="16">
        <f>SUM(Tableau1[[#This Row],[Montant restant dû après échéance]]+Tableau2[[#This Row],[Montant restant dû après échéance]])</f>
        <v>112909.38</v>
      </c>
    </row>
    <row r="74" spans="1:23" x14ac:dyDescent="0.3">
      <c r="A74" s="76">
        <v>68</v>
      </c>
      <c r="B74" s="77">
        <v>271.73</v>
      </c>
      <c r="C74" s="77">
        <v>349.03</v>
      </c>
      <c r="D74" s="77">
        <v>0</v>
      </c>
      <c r="E74" s="77">
        <v>29.04</v>
      </c>
      <c r="F74" s="77">
        <v>649.79999999999995</v>
      </c>
      <c r="G74" s="77">
        <v>106302.87</v>
      </c>
      <c r="H74" s="78"/>
      <c r="I74" s="76">
        <v>68</v>
      </c>
      <c r="J74" s="77">
        <v>55.21</v>
      </c>
      <c r="K74" s="77">
        <v>0</v>
      </c>
      <c r="L74" s="77">
        <v>0</v>
      </c>
      <c r="M74" s="77">
        <v>1.73</v>
      </c>
      <c r="N74" s="77">
        <v>56.94</v>
      </c>
      <c r="O74" s="77">
        <v>6279.57</v>
      </c>
      <c r="Q74">
        <v>68</v>
      </c>
      <c r="R74" s="16">
        <f>SUM(Tableau1[[#This Row],[Amortiss. Capital]]+Tableau2[[#This Row],[Amortiss. Capital]])</f>
        <v>326.94</v>
      </c>
      <c r="S74" s="16">
        <f>SUM(Tableau1[[#This Row],[Intérêt Normaux]]+Tableau2[[#This Row],[Intérêt Normaux]])</f>
        <v>349.03</v>
      </c>
      <c r="T74" s="16">
        <f>SUM(Tableau1[[#This Row],[Intérêts différés]]+Tableau2[[#This Row],[Intérêts différés]])</f>
        <v>0</v>
      </c>
      <c r="U74" s="16">
        <f>SUM(Tableau1[[#This Row],[Assurances]]+Tableau2[[#This Row],[Assurances]])</f>
        <v>30.77</v>
      </c>
      <c r="V74" s="16">
        <f>SUM(Tableau1[[#This Row],[Total à payer]]+Tableau2[[#This Row],[Total à payer]])</f>
        <v>706.74</v>
      </c>
      <c r="W74" s="16">
        <f>SUM(Tableau1[[#This Row],[Montant restant dû après échéance]]+Tableau2[[#This Row],[Montant restant dû après échéance]])</f>
        <v>112582.44</v>
      </c>
    </row>
    <row r="75" spans="1:23" x14ac:dyDescent="0.3">
      <c r="A75" s="76">
        <v>69</v>
      </c>
      <c r="B75" s="77">
        <v>272.69</v>
      </c>
      <c r="C75" s="77">
        <v>348.14</v>
      </c>
      <c r="D75" s="77">
        <v>0</v>
      </c>
      <c r="E75" s="77">
        <v>28.97</v>
      </c>
      <c r="F75" s="77">
        <v>649.79999999999995</v>
      </c>
      <c r="G75" s="77">
        <v>106030.18</v>
      </c>
      <c r="H75" s="78"/>
      <c r="I75" s="76">
        <v>69</v>
      </c>
      <c r="J75" s="77">
        <v>55.23</v>
      </c>
      <c r="K75" s="77">
        <v>0</v>
      </c>
      <c r="L75" s="77">
        <v>0</v>
      </c>
      <c r="M75" s="77">
        <v>1.71</v>
      </c>
      <c r="N75" s="77">
        <v>56.94</v>
      </c>
      <c r="O75" s="77">
        <v>6224.34</v>
      </c>
      <c r="Q75">
        <v>69</v>
      </c>
      <c r="R75" s="16">
        <f>SUM(Tableau1[[#This Row],[Amortiss. Capital]]+Tableau2[[#This Row],[Amortiss. Capital]])</f>
        <v>327.92</v>
      </c>
      <c r="S75" s="16">
        <f>SUM(Tableau1[[#This Row],[Intérêt Normaux]]+Tableau2[[#This Row],[Intérêt Normaux]])</f>
        <v>348.14</v>
      </c>
      <c r="T75" s="16">
        <f>SUM(Tableau1[[#This Row],[Intérêts différés]]+Tableau2[[#This Row],[Intérêts différés]])</f>
        <v>0</v>
      </c>
      <c r="U75" s="16">
        <f>SUM(Tableau1[[#This Row],[Assurances]]+Tableau2[[#This Row],[Assurances]])</f>
        <v>30.68</v>
      </c>
      <c r="V75" s="16">
        <f>SUM(Tableau1[[#This Row],[Total à payer]]+Tableau2[[#This Row],[Total à payer]])</f>
        <v>706.74</v>
      </c>
      <c r="W75" s="16">
        <f>SUM(Tableau1[[#This Row],[Montant restant dû après échéance]]+Tableau2[[#This Row],[Montant restant dû après échéance]])</f>
        <v>112254.51999999999</v>
      </c>
    </row>
    <row r="76" spans="1:23" x14ac:dyDescent="0.3">
      <c r="A76" s="76">
        <v>70</v>
      </c>
      <c r="B76" s="77">
        <v>273.66000000000003</v>
      </c>
      <c r="C76" s="77">
        <v>347.25</v>
      </c>
      <c r="D76" s="77">
        <v>0</v>
      </c>
      <c r="E76" s="77">
        <v>28.89</v>
      </c>
      <c r="F76" s="77">
        <v>649.79999999999995</v>
      </c>
      <c r="G76" s="77">
        <v>105756.52</v>
      </c>
      <c r="H76" s="78"/>
      <c r="I76" s="76">
        <v>70</v>
      </c>
      <c r="J76" s="77">
        <v>55.24</v>
      </c>
      <c r="K76" s="77">
        <v>0</v>
      </c>
      <c r="L76" s="77">
        <v>0</v>
      </c>
      <c r="M76" s="77">
        <v>1.7</v>
      </c>
      <c r="N76" s="77">
        <v>56.94</v>
      </c>
      <c r="O76" s="77">
        <v>6169.1</v>
      </c>
      <c r="Q76">
        <v>70</v>
      </c>
      <c r="R76" s="16">
        <f>SUM(Tableau1[[#This Row],[Amortiss. Capital]]+Tableau2[[#This Row],[Amortiss. Capital]])</f>
        <v>328.90000000000003</v>
      </c>
      <c r="S76" s="16">
        <f>SUM(Tableau1[[#This Row],[Intérêt Normaux]]+Tableau2[[#This Row],[Intérêt Normaux]])</f>
        <v>347.25</v>
      </c>
      <c r="T76" s="16">
        <f>SUM(Tableau1[[#This Row],[Intérêts différés]]+Tableau2[[#This Row],[Intérêts différés]])</f>
        <v>0</v>
      </c>
      <c r="U76" s="16">
        <f>SUM(Tableau1[[#This Row],[Assurances]]+Tableau2[[#This Row],[Assurances]])</f>
        <v>30.59</v>
      </c>
      <c r="V76" s="16">
        <f>SUM(Tableau1[[#This Row],[Total à payer]]+Tableau2[[#This Row],[Total à payer]])</f>
        <v>706.74</v>
      </c>
      <c r="W76" s="16">
        <f>SUM(Tableau1[[#This Row],[Montant restant dû après échéance]]+Tableau2[[#This Row],[Montant restant dû après échéance]])</f>
        <v>111925.62000000001</v>
      </c>
    </row>
    <row r="77" spans="1:23" x14ac:dyDescent="0.3">
      <c r="A77" s="76">
        <v>71</v>
      </c>
      <c r="B77" s="77">
        <v>274.63</v>
      </c>
      <c r="C77" s="77">
        <v>346.35</v>
      </c>
      <c r="D77" s="77">
        <v>0</v>
      </c>
      <c r="E77" s="77">
        <v>28.82</v>
      </c>
      <c r="F77" s="77">
        <v>649.79999999999995</v>
      </c>
      <c r="G77" s="77">
        <v>105481.89</v>
      </c>
      <c r="H77" s="78"/>
      <c r="I77" s="76">
        <v>71</v>
      </c>
      <c r="J77" s="77">
        <v>55.26</v>
      </c>
      <c r="K77" s="77">
        <v>0</v>
      </c>
      <c r="L77" s="77">
        <v>0</v>
      </c>
      <c r="M77" s="77">
        <v>1.68</v>
      </c>
      <c r="N77" s="77">
        <v>56.94</v>
      </c>
      <c r="O77" s="77">
        <v>6113.84</v>
      </c>
      <c r="Q77">
        <v>71</v>
      </c>
      <c r="R77" s="16">
        <f>SUM(Tableau1[[#This Row],[Amortiss. Capital]]+Tableau2[[#This Row],[Amortiss. Capital]])</f>
        <v>329.89</v>
      </c>
      <c r="S77" s="16">
        <f>SUM(Tableau1[[#This Row],[Intérêt Normaux]]+Tableau2[[#This Row],[Intérêt Normaux]])</f>
        <v>346.35</v>
      </c>
      <c r="T77" s="16">
        <f>SUM(Tableau1[[#This Row],[Intérêts différés]]+Tableau2[[#This Row],[Intérêts différés]])</f>
        <v>0</v>
      </c>
      <c r="U77" s="16">
        <f>SUM(Tableau1[[#This Row],[Assurances]]+Tableau2[[#This Row],[Assurances]])</f>
        <v>30.5</v>
      </c>
      <c r="V77" s="16">
        <f>SUM(Tableau1[[#This Row],[Total à payer]]+Tableau2[[#This Row],[Total à payer]])</f>
        <v>706.74</v>
      </c>
      <c r="W77" s="16">
        <f>SUM(Tableau1[[#This Row],[Montant restant dû après échéance]]+Tableau2[[#This Row],[Montant restant dû après échéance]])</f>
        <v>111595.73</v>
      </c>
    </row>
    <row r="78" spans="1:23" x14ac:dyDescent="0.3">
      <c r="A78" s="76">
        <v>72</v>
      </c>
      <c r="B78" s="77">
        <v>275.61</v>
      </c>
      <c r="C78" s="77">
        <v>345.45</v>
      </c>
      <c r="D78" s="77">
        <v>0</v>
      </c>
      <c r="E78" s="77">
        <v>28.74</v>
      </c>
      <c r="F78" s="77">
        <v>649.79999999999995</v>
      </c>
      <c r="G78" s="77">
        <v>105206.28</v>
      </c>
      <c r="H78" s="78"/>
      <c r="I78" s="76">
        <v>72</v>
      </c>
      <c r="J78" s="77">
        <v>55.27</v>
      </c>
      <c r="K78" s="77">
        <v>0</v>
      </c>
      <c r="L78" s="77">
        <v>0</v>
      </c>
      <c r="M78" s="77">
        <v>1.67</v>
      </c>
      <c r="N78" s="77">
        <v>56.94</v>
      </c>
      <c r="O78" s="77">
        <v>6058.57</v>
      </c>
      <c r="Q78">
        <v>72</v>
      </c>
      <c r="R78" s="16">
        <f>SUM(Tableau1[[#This Row],[Amortiss. Capital]]+Tableau2[[#This Row],[Amortiss. Capital]])</f>
        <v>330.88</v>
      </c>
      <c r="S78" s="16">
        <f>SUM(Tableau1[[#This Row],[Intérêt Normaux]]+Tableau2[[#This Row],[Intérêt Normaux]])</f>
        <v>345.45</v>
      </c>
      <c r="T78" s="16">
        <f>SUM(Tableau1[[#This Row],[Intérêts différés]]+Tableau2[[#This Row],[Intérêts différés]])</f>
        <v>0</v>
      </c>
      <c r="U78" s="16">
        <f>SUM(Tableau1[[#This Row],[Assurances]]+Tableau2[[#This Row],[Assurances]])</f>
        <v>30.409999999999997</v>
      </c>
      <c r="V78" s="16">
        <f>SUM(Tableau1[[#This Row],[Total à payer]]+Tableau2[[#This Row],[Total à payer]])</f>
        <v>706.74</v>
      </c>
      <c r="W78" s="16">
        <f>SUM(Tableau1[[#This Row],[Montant restant dû après échéance]]+Tableau2[[#This Row],[Montant restant dû après échéance]])</f>
        <v>111264.85</v>
      </c>
    </row>
    <row r="79" spans="1:23" x14ac:dyDescent="0.3">
      <c r="A79" s="76">
        <v>73</v>
      </c>
      <c r="B79" s="77">
        <v>276.58</v>
      </c>
      <c r="C79" s="77">
        <v>344.55</v>
      </c>
      <c r="D79" s="77">
        <v>0</v>
      </c>
      <c r="E79" s="77">
        <v>28.67</v>
      </c>
      <c r="F79" s="77">
        <v>649.79999999999995</v>
      </c>
      <c r="G79" s="77">
        <v>104929.7</v>
      </c>
      <c r="H79" s="78"/>
      <c r="I79" s="76">
        <v>73</v>
      </c>
      <c r="J79" s="77">
        <v>55.29</v>
      </c>
      <c r="K79" s="77">
        <v>0</v>
      </c>
      <c r="L79" s="77">
        <v>0</v>
      </c>
      <c r="M79" s="77">
        <v>1.65</v>
      </c>
      <c r="N79" s="77">
        <v>56.94</v>
      </c>
      <c r="O79" s="77">
        <v>6003.28</v>
      </c>
      <c r="Q79">
        <v>73</v>
      </c>
      <c r="R79" s="16">
        <f>SUM(Tableau1[[#This Row],[Amortiss. Capital]]+Tableau2[[#This Row],[Amortiss. Capital]])</f>
        <v>331.87</v>
      </c>
      <c r="S79" s="16">
        <f>SUM(Tableau1[[#This Row],[Intérêt Normaux]]+Tableau2[[#This Row],[Intérêt Normaux]])</f>
        <v>344.55</v>
      </c>
      <c r="T79" s="16">
        <f>SUM(Tableau1[[#This Row],[Intérêts différés]]+Tableau2[[#This Row],[Intérêts différés]])</f>
        <v>0</v>
      </c>
      <c r="U79" s="16">
        <f>SUM(Tableau1[[#This Row],[Assurances]]+Tableau2[[#This Row],[Assurances]])</f>
        <v>30.32</v>
      </c>
      <c r="V79" s="16">
        <f>SUM(Tableau1[[#This Row],[Total à payer]]+Tableau2[[#This Row],[Total à payer]])</f>
        <v>706.74</v>
      </c>
      <c r="W79" s="16">
        <f>SUM(Tableau1[[#This Row],[Montant restant dû après échéance]]+Tableau2[[#This Row],[Montant restant dû après échéance]])</f>
        <v>110932.98</v>
      </c>
    </row>
    <row r="80" spans="1:23" x14ac:dyDescent="0.3">
      <c r="A80" s="76">
        <v>74</v>
      </c>
      <c r="B80" s="77">
        <v>277.57</v>
      </c>
      <c r="C80" s="77">
        <v>343.64</v>
      </c>
      <c r="D80" s="77">
        <v>0</v>
      </c>
      <c r="E80" s="77">
        <v>28.59</v>
      </c>
      <c r="F80" s="77">
        <v>649.79999999999995</v>
      </c>
      <c r="G80" s="77">
        <v>104652.13</v>
      </c>
      <c r="H80" s="78"/>
      <c r="I80" s="76">
        <v>74</v>
      </c>
      <c r="J80" s="77">
        <v>55.3</v>
      </c>
      <c r="K80" s="77">
        <v>0</v>
      </c>
      <c r="L80" s="77">
        <v>0</v>
      </c>
      <c r="M80" s="77">
        <v>1.64</v>
      </c>
      <c r="N80" s="77">
        <v>56.94</v>
      </c>
      <c r="O80" s="77">
        <v>5947.98</v>
      </c>
      <c r="Q80">
        <v>74</v>
      </c>
      <c r="R80" s="16">
        <f>SUM(Tableau1[[#This Row],[Amortiss. Capital]]+Tableau2[[#This Row],[Amortiss. Capital]])</f>
        <v>332.87</v>
      </c>
      <c r="S80" s="16">
        <f>SUM(Tableau1[[#This Row],[Intérêt Normaux]]+Tableau2[[#This Row],[Intérêt Normaux]])</f>
        <v>343.64</v>
      </c>
      <c r="T80" s="16">
        <f>SUM(Tableau1[[#This Row],[Intérêts différés]]+Tableau2[[#This Row],[Intérêts différés]])</f>
        <v>0</v>
      </c>
      <c r="U80" s="16">
        <f>SUM(Tableau1[[#This Row],[Assurances]]+Tableau2[[#This Row],[Assurances]])</f>
        <v>30.23</v>
      </c>
      <c r="V80" s="16">
        <f>SUM(Tableau1[[#This Row],[Total à payer]]+Tableau2[[#This Row],[Total à payer]])</f>
        <v>706.74</v>
      </c>
      <c r="W80" s="16">
        <f>SUM(Tableau1[[#This Row],[Montant restant dû après échéance]]+Tableau2[[#This Row],[Montant restant dû après échéance]])</f>
        <v>110600.11</v>
      </c>
    </row>
    <row r="81" spans="1:23" x14ac:dyDescent="0.3">
      <c r="A81" s="76">
        <v>75</v>
      </c>
      <c r="B81" s="77">
        <v>278.54000000000002</v>
      </c>
      <c r="C81" s="77">
        <v>342.74</v>
      </c>
      <c r="D81" s="77">
        <v>0</v>
      </c>
      <c r="E81" s="77">
        <v>28.52</v>
      </c>
      <c r="F81" s="77">
        <v>649.79999999999995</v>
      </c>
      <c r="G81" s="77">
        <v>104373.59</v>
      </c>
      <c r="H81" s="78"/>
      <c r="I81" s="76">
        <v>75</v>
      </c>
      <c r="J81" s="77">
        <v>55.32</v>
      </c>
      <c r="K81" s="77">
        <v>0</v>
      </c>
      <c r="L81" s="77">
        <v>0</v>
      </c>
      <c r="M81" s="77">
        <v>1.62</v>
      </c>
      <c r="N81" s="77">
        <v>56.94</v>
      </c>
      <c r="O81" s="77">
        <v>5892.66</v>
      </c>
      <c r="Q81">
        <v>75</v>
      </c>
      <c r="R81" s="16">
        <f>SUM(Tableau1[[#This Row],[Amortiss. Capital]]+Tableau2[[#This Row],[Amortiss. Capital]])</f>
        <v>333.86</v>
      </c>
      <c r="S81" s="16">
        <f>SUM(Tableau1[[#This Row],[Intérêt Normaux]]+Tableau2[[#This Row],[Intérêt Normaux]])</f>
        <v>342.74</v>
      </c>
      <c r="T81" s="16">
        <f>SUM(Tableau1[[#This Row],[Intérêts différés]]+Tableau2[[#This Row],[Intérêts différés]])</f>
        <v>0</v>
      </c>
      <c r="U81" s="16">
        <f>SUM(Tableau1[[#This Row],[Assurances]]+Tableau2[[#This Row],[Assurances]])</f>
        <v>30.14</v>
      </c>
      <c r="V81" s="16">
        <f>SUM(Tableau1[[#This Row],[Total à payer]]+Tableau2[[#This Row],[Total à payer]])</f>
        <v>706.74</v>
      </c>
      <c r="W81" s="16">
        <f>SUM(Tableau1[[#This Row],[Montant restant dû après échéance]]+Tableau2[[#This Row],[Montant restant dû après échéance]])</f>
        <v>110266.25</v>
      </c>
    </row>
    <row r="82" spans="1:23" x14ac:dyDescent="0.3">
      <c r="A82" s="76">
        <v>76</v>
      </c>
      <c r="B82" s="77">
        <v>279.54000000000002</v>
      </c>
      <c r="C82" s="77">
        <v>341.82</v>
      </c>
      <c r="D82" s="77">
        <v>0</v>
      </c>
      <c r="E82" s="77">
        <v>28.44</v>
      </c>
      <c r="F82" s="77">
        <v>649.79999999999995</v>
      </c>
      <c r="G82" s="77">
        <v>104094.05</v>
      </c>
      <c r="H82" s="78"/>
      <c r="I82" s="76">
        <v>76</v>
      </c>
      <c r="J82" s="77">
        <v>55.33</v>
      </c>
      <c r="K82" s="77">
        <v>0</v>
      </c>
      <c r="L82" s="77">
        <v>0</v>
      </c>
      <c r="M82" s="77">
        <v>1.61</v>
      </c>
      <c r="N82" s="77">
        <v>56.94</v>
      </c>
      <c r="O82" s="77">
        <v>5837.33</v>
      </c>
      <c r="Q82">
        <v>76</v>
      </c>
      <c r="R82" s="16">
        <f>SUM(Tableau1[[#This Row],[Amortiss. Capital]]+Tableau2[[#This Row],[Amortiss. Capital]])</f>
        <v>334.87</v>
      </c>
      <c r="S82" s="16">
        <f>SUM(Tableau1[[#This Row],[Intérêt Normaux]]+Tableau2[[#This Row],[Intérêt Normaux]])</f>
        <v>341.82</v>
      </c>
      <c r="T82" s="16">
        <f>SUM(Tableau1[[#This Row],[Intérêts différés]]+Tableau2[[#This Row],[Intérêts différés]])</f>
        <v>0</v>
      </c>
      <c r="U82" s="16">
        <f>SUM(Tableau1[[#This Row],[Assurances]]+Tableau2[[#This Row],[Assurances]])</f>
        <v>30.05</v>
      </c>
      <c r="V82" s="16">
        <f>SUM(Tableau1[[#This Row],[Total à payer]]+Tableau2[[#This Row],[Total à payer]])</f>
        <v>706.74</v>
      </c>
      <c r="W82" s="16">
        <f>SUM(Tableau1[[#This Row],[Montant restant dû après échéance]]+Tableau2[[#This Row],[Montant restant dû après échéance]])</f>
        <v>109931.38</v>
      </c>
    </row>
    <row r="83" spans="1:23" x14ac:dyDescent="0.3">
      <c r="A83" s="76">
        <v>77</v>
      </c>
      <c r="B83" s="77">
        <v>280.52</v>
      </c>
      <c r="C83" s="77">
        <v>340.91</v>
      </c>
      <c r="D83" s="77">
        <v>0</v>
      </c>
      <c r="E83" s="77">
        <v>28.37</v>
      </c>
      <c r="F83" s="77">
        <v>649.79999999999995</v>
      </c>
      <c r="G83" s="77">
        <v>103813.53</v>
      </c>
      <c r="H83" s="78"/>
      <c r="I83" s="76">
        <v>77</v>
      </c>
      <c r="J83" s="77">
        <v>55.35</v>
      </c>
      <c r="K83" s="77">
        <v>0</v>
      </c>
      <c r="L83" s="77">
        <v>0</v>
      </c>
      <c r="M83" s="77">
        <v>1.59</v>
      </c>
      <c r="N83" s="77">
        <v>56.94</v>
      </c>
      <c r="O83" s="77">
        <v>5781.98</v>
      </c>
      <c r="Q83">
        <v>77</v>
      </c>
      <c r="R83" s="16">
        <f>SUM(Tableau1[[#This Row],[Amortiss. Capital]]+Tableau2[[#This Row],[Amortiss. Capital]])</f>
        <v>335.87</v>
      </c>
      <c r="S83" s="16">
        <f>SUM(Tableau1[[#This Row],[Intérêt Normaux]]+Tableau2[[#This Row],[Intérêt Normaux]])</f>
        <v>340.91</v>
      </c>
      <c r="T83" s="16">
        <f>SUM(Tableau1[[#This Row],[Intérêts différés]]+Tableau2[[#This Row],[Intérêts différés]])</f>
        <v>0</v>
      </c>
      <c r="U83" s="16">
        <f>SUM(Tableau1[[#This Row],[Assurances]]+Tableau2[[#This Row],[Assurances]])</f>
        <v>29.96</v>
      </c>
      <c r="V83" s="16">
        <f>SUM(Tableau1[[#This Row],[Total à payer]]+Tableau2[[#This Row],[Total à payer]])</f>
        <v>706.74</v>
      </c>
      <c r="W83" s="16">
        <f>SUM(Tableau1[[#This Row],[Montant restant dû après échéance]]+Tableau2[[#This Row],[Montant restant dû après échéance]])</f>
        <v>109595.51</v>
      </c>
    </row>
    <row r="84" spans="1:23" x14ac:dyDescent="0.3">
      <c r="A84" s="76">
        <v>78</v>
      </c>
      <c r="B84" s="77">
        <v>281.52</v>
      </c>
      <c r="C84" s="77">
        <v>339.99</v>
      </c>
      <c r="D84" s="77">
        <v>0</v>
      </c>
      <c r="E84" s="77">
        <v>28.29</v>
      </c>
      <c r="F84" s="77">
        <v>649.79999999999995</v>
      </c>
      <c r="G84" s="77">
        <v>103532.01</v>
      </c>
      <c r="H84" s="78"/>
      <c r="I84" s="76">
        <v>78</v>
      </c>
      <c r="J84" s="77">
        <v>55.36</v>
      </c>
      <c r="K84" s="77">
        <v>0</v>
      </c>
      <c r="L84" s="77">
        <v>0</v>
      </c>
      <c r="M84" s="77">
        <v>1.58</v>
      </c>
      <c r="N84" s="77">
        <v>56.94</v>
      </c>
      <c r="O84" s="77">
        <v>5726.62</v>
      </c>
      <c r="Q84">
        <v>78</v>
      </c>
      <c r="R84" s="16">
        <f>SUM(Tableau1[[#This Row],[Amortiss. Capital]]+Tableau2[[#This Row],[Amortiss. Capital]])</f>
        <v>336.88</v>
      </c>
      <c r="S84" s="16">
        <f>SUM(Tableau1[[#This Row],[Intérêt Normaux]]+Tableau2[[#This Row],[Intérêt Normaux]])</f>
        <v>339.99</v>
      </c>
      <c r="T84" s="16">
        <f>SUM(Tableau1[[#This Row],[Intérêts différés]]+Tableau2[[#This Row],[Intérêts différés]])</f>
        <v>0</v>
      </c>
      <c r="U84" s="16">
        <f>SUM(Tableau1[[#This Row],[Assurances]]+Tableau2[[#This Row],[Assurances]])</f>
        <v>29.869999999999997</v>
      </c>
      <c r="V84" s="16">
        <f>SUM(Tableau1[[#This Row],[Total à payer]]+Tableau2[[#This Row],[Total à payer]])</f>
        <v>706.74</v>
      </c>
      <c r="W84" s="16">
        <f>SUM(Tableau1[[#This Row],[Montant restant dû après échéance]]+Tableau2[[#This Row],[Montant restant dû après échéance]])</f>
        <v>109258.62999999999</v>
      </c>
    </row>
    <row r="85" spans="1:23" x14ac:dyDescent="0.3">
      <c r="A85" s="76">
        <v>79</v>
      </c>
      <c r="B85" s="77">
        <v>282.52</v>
      </c>
      <c r="C85" s="77">
        <v>339.07</v>
      </c>
      <c r="D85" s="77">
        <v>0</v>
      </c>
      <c r="E85" s="77">
        <v>28.21</v>
      </c>
      <c r="F85" s="77">
        <v>649.79999999999995</v>
      </c>
      <c r="G85" s="77">
        <v>103249.49</v>
      </c>
      <c r="H85" s="78"/>
      <c r="I85" s="76">
        <v>79</v>
      </c>
      <c r="J85" s="77">
        <v>55.38</v>
      </c>
      <c r="K85" s="77">
        <v>0</v>
      </c>
      <c r="L85" s="77">
        <v>0</v>
      </c>
      <c r="M85" s="77">
        <v>1.56</v>
      </c>
      <c r="N85" s="77">
        <v>56.94</v>
      </c>
      <c r="O85" s="77">
        <v>5671.24</v>
      </c>
      <c r="Q85">
        <v>79</v>
      </c>
      <c r="R85" s="16">
        <f>SUM(Tableau1[[#This Row],[Amortiss. Capital]]+Tableau2[[#This Row],[Amortiss. Capital]])</f>
        <v>337.9</v>
      </c>
      <c r="S85" s="16">
        <f>SUM(Tableau1[[#This Row],[Intérêt Normaux]]+Tableau2[[#This Row],[Intérêt Normaux]])</f>
        <v>339.07</v>
      </c>
      <c r="T85" s="16">
        <f>SUM(Tableau1[[#This Row],[Intérêts différés]]+Tableau2[[#This Row],[Intérêts différés]])</f>
        <v>0</v>
      </c>
      <c r="U85" s="16">
        <f>SUM(Tableau1[[#This Row],[Assurances]]+Tableau2[[#This Row],[Assurances]])</f>
        <v>29.77</v>
      </c>
      <c r="V85" s="16">
        <f>SUM(Tableau1[[#This Row],[Total à payer]]+Tableau2[[#This Row],[Total à payer]])</f>
        <v>706.74</v>
      </c>
      <c r="W85" s="16">
        <f>SUM(Tableau1[[#This Row],[Montant restant dû après échéance]]+Tableau2[[#This Row],[Montant restant dû après échéance]])</f>
        <v>108920.73000000001</v>
      </c>
    </row>
    <row r="86" spans="1:23" x14ac:dyDescent="0.3">
      <c r="A86" s="76">
        <v>80</v>
      </c>
      <c r="B86" s="77">
        <v>283.52</v>
      </c>
      <c r="C86" s="77">
        <v>338.14</v>
      </c>
      <c r="D86" s="77">
        <v>0</v>
      </c>
      <c r="E86" s="77">
        <v>28.14</v>
      </c>
      <c r="F86" s="77">
        <v>649.79999999999995</v>
      </c>
      <c r="G86" s="77">
        <v>102965.97</v>
      </c>
      <c r="H86" s="78"/>
      <c r="I86" s="76">
        <v>80</v>
      </c>
      <c r="J86" s="77">
        <v>55.39</v>
      </c>
      <c r="K86" s="77">
        <v>0</v>
      </c>
      <c r="L86" s="77">
        <v>0</v>
      </c>
      <c r="M86" s="77">
        <v>1.55</v>
      </c>
      <c r="N86" s="77">
        <v>56.94</v>
      </c>
      <c r="O86" s="77">
        <v>5615.85</v>
      </c>
      <c r="Q86">
        <v>80</v>
      </c>
      <c r="R86" s="16">
        <f>SUM(Tableau1[[#This Row],[Amortiss. Capital]]+Tableau2[[#This Row],[Amortiss. Capital]])</f>
        <v>338.90999999999997</v>
      </c>
      <c r="S86" s="16">
        <f>SUM(Tableau1[[#This Row],[Intérêt Normaux]]+Tableau2[[#This Row],[Intérêt Normaux]])</f>
        <v>338.14</v>
      </c>
      <c r="T86" s="16">
        <f>SUM(Tableau1[[#This Row],[Intérêts différés]]+Tableau2[[#This Row],[Intérêts différés]])</f>
        <v>0</v>
      </c>
      <c r="U86" s="16">
        <f>SUM(Tableau1[[#This Row],[Assurances]]+Tableau2[[#This Row],[Assurances]])</f>
        <v>29.69</v>
      </c>
      <c r="V86" s="16">
        <f>SUM(Tableau1[[#This Row],[Total à payer]]+Tableau2[[#This Row],[Total à payer]])</f>
        <v>706.74</v>
      </c>
      <c r="W86" s="16">
        <f>SUM(Tableau1[[#This Row],[Montant restant dû après échéance]]+Tableau2[[#This Row],[Montant restant dû après échéance]])</f>
        <v>108581.82</v>
      </c>
    </row>
    <row r="87" spans="1:23" x14ac:dyDescent="0.3">
      <c r="A87" s="76">
        <v>81</v>
      </c>
      <c r="B87" s="77">
        <v>284.52999999999997</v>
      </c>
      <c r="C87" s="77">
        <v>337.21</v>
      </c>
      <c r="D87" s="77">
        <v>0</v>
      </c>
      <c r="E87" s="77">
        <v>28.06</v>
      </c>
      <c r="F87" s="77">
        <v>649.79999999999995</v>
      </c>
      <c r="G87" s="77">
        <v>102681.44</v>
      </c>
      <c r="H87" s="78"/>
      <c r="I87" s="76">
        <v>81</v>
      </c>
      <c r="J87" s="77">
        <v>55.41</v>
      </c>
      <c r="K87" s="77">
        <v>0</v>
      </c>
      <c r="L87" s="77">
        <v>0</v>
      </c>
      <c r="M87" s="77">
        <v>1.53</v>
      </c>
      <c r="N87" s="77">
        <v>56.94</v>
      </c>
      <c r="O87" s="77">
        <v>5560.44</v>
      </c>
      <c r="Q87">
        <v>81</v>
      </c>
      <c r="R87" s="16">
        <f>SUM(Tableau1[[#This Row],[Amortiss. Capital]]+Tableau2[[#This Row],[Amortiss. Capital]])</f>
        <v>339.93999999999994</v>
      </c>
      <c r="S87" s="16">
        <f>SUM(Tableau1[[#This Row],[Intérêt Normaux]]+Tableau2[[#This Row],[Intérêt Normaux]])</f>
        <v>337.21</v>
      </c>
      <c r="T87" s="16">
        <f>SUM(Tableau1[[#This Row],[Intérêts différés]]+Tableau2[[#This Row],[Intérêts différés]])</f>
        <v>0</v>
      </c>
      <c r="U87" s="16">
        <f>SUM(Tableau1[[#This Row],[Assurances]]+Tableau2[[#This Row],[Assurances]])</f>
        <v>29.59</v>
      </c>
      <c r="V87" s="16">
        <f>SUM(Tableau1[[#This Row],[Total à payer]]+Tableau2[[#This Row],[Total à payer]])</f>
        <v>706.74</v>
      </c>
      <c r="W87" s="16">
        <f>SUM(Tableau1[[#This Row],[Montant restant dû après échéance]]+Tableau2[[#This Row],[Montant restant dû après échéance]])</f>
        <v>108241.88</v>
      </c>
    </row>
    <row r="88" spans="1:23" x14ac:dyDescent="0.3">
      <c r="A88" s="76">
        <v>82</v>
      </c>
      <c r="B88" s="77">
        <v>285.54000000000002</v>
      </c>
      <c r="C88" s="77">
        <v>336.28</v>
      </c>
      <c r="D88" s="77">
        <v>0</v>
      </c>
      <c r="E88" s="77">
        <v>27.98</v>
      </c>
      <c r="F88" s="77">
        <v>649.79999999999995</v>
      </c>
      <c r="G88" s="77">
        <v>102395.9</v>
      </c>
      <c r="H88" s="78"/>
      <c r="I88" s="76">
        <v>82</v>
      </c>
      <c r="J88" s="77">
        <v>55.42</v>
      </c>
      <c r="K88" s="77">
        <v>0</v>
      </c>
      <c r="L88" s="77">
        <v>0</v>
      </c>
      <c r="M88" s="77">
        <v>1.52</v>
      </c>
      <c r="N88" s="77">
        <v>56.94</v>
      </c>
      <c r="O88" s="77">
        <v>5505.02</v>
      </c>
      <c r="Q88">
        <v>82</v>
      </c>
      <c r="R88" s="16">
        <f>SUM(Tableau1[[#This Row],[Amortiss. Capital]]+Tableau2[[#This Row],[Amortiss. Capital]])</f>
        <v>340.96000000000004</v>
      </c>
      <c r="S88" s="16">
        <f>SUM(Tableau1[[#This Row],[Intérêt Normaux]]+Tableau2[[#This Row],[Intérêt Normaux]])</f>
        <v>336.28</v>
      </c>
      <c r="T88" s="16">
        <f>SUM(Tableau1[[#This Row],[Intérêts différés]]+Tableau2[[#This Row],[Intérêts différés]])</f>
        <v>0</v>
      </c>
      <c r="U88" s="16">
        <f>SUM(Tableau1[[#This Row],[Assurances]]+Tableau2[[#This Row],[Assurances]])</f>
        <v>29.5</v>
      </c>
      <c r="V88" s="16">
        <f>SUM(Tableau1[[#This Row],[Total à payer]]+Tableau2[[#This Row],[Total à payer]])</f>
        <v>706.74</v>
      </c>
      <c r="W88" s="16">
        <f>SUM(Tableau1[[#This Row],[Montant restant dû après échéance]]+Tableau2[[#This Row],[Montant restant dû après échéance]])</f>
        <v>107900.92</v>
      </c>
    </row>
    <row r="89" spans="1:23" x14ac:dyDescent="0.3">
      <c r="A89" s="76">
        <v>83</v>
      </c>
      <c r="B89" s="77">
        <v>286.55</v>
      </c>
      <c r="C89" s="77">
        <v>335.35</v>
      </c>
      <c r="D89" s="77">
        <v>0</v>
      </c>
      <c r="E89" s="77">
        <v>27.9</v>
      </c>
      <c r="F89" s="77">
        <v>649.79999999999995</v>
      </c>
      <c r="G89" s="77">
        <v>102109.35</v>
      </c>
      <c r="H89" s="78"/>
      <c r="I89" s="76">
        <v>83</v>
      </c>
      <c r="J89" s="77">
        <v>55.44</v>
      </c>
      <c r="K89" s="77">
        <v>0</v>
      </c>
      <c r="L89" s="77">
        <v>0</v>
      </c>
      <c r="M89" s="77">
        <v>1.5</v>
      </c>
      <c r="N89" s="77">
        <v>56.94</v>
      </c>
      <c r="O89" s="77">
        <v>5449.58</v>
      </c>
      <c r="Q89">
        <v>83</v>
      </c>
      <c r="R89" s="16">
        <f>SUM(Tableau1[[#This Row],[Amortiss. Capital]]+Tableau2[[#This Row],[Amortiss. Capital]])</f>
        <v>341.99</v>
      </c>
      <c r="S89" s="16">
        <f>SUM(Tableau1[[#This Row],[Intérêt Normaux]]+Tableau2[[#This Row],[Intérêt Normaux]])</f>
        <v>335.35</v>
      </c>
      <c r="T89" s="16">
        <f>SUM(Tableau1[[#This Row],[Intérêts différés]]+Tableau2[[#This Row],[Intérêts différés]])</f>
        <v>0</v>
      </c>
      <c r="U89" s="16">
        <f>SUM(Tableau1[[#This Row],[Assurances]]+Tableau2[[#This Row],[Assurances]])</f>
        <v>29.4</v>
      </c>
      <c r="V89" s="16">
        <f>SUM(Tableau1[[#This Row],[Total à payer]]+Tableau2[[#This Row],[Total à payer]])</f>
        <v>706.74</v>
      </c>
      <c r="W89" s="16">
        <f>SUM(Tableau1[[#This Row],[Montant restant dû après échéance]]+Tableau2[[#This Row],[Montant restant dû après échéance]])</f>
        <v>107558.93000000001</v>
      </c>
    </row>
    <row r="90" spans="1:23" x14ac:dyDescent="0.3">
      <c r="A90" s="76">
        <v>84</v>
      </c>
      <c r="B90" s="77">
        <v>287.57</v>
      </c>
      <c r="C90" s="77">
        <v>334.41</v>
      </c>
      <c r="D90" s="77">
        <v>0</v>
      </c>
      <c r="E90" s="77">
        <v>27.82</v>
      </c>
      <c r="F90" s="77">
        <v>649.79999999999995</v>
      </c>
      <c r="G90" s="77">
        <v>101821.78</v>
      </c>
      <c r="H90" s="78"/>
      <c r="I90" s="76">
        <v>84</v>
      </c>
      <c r="J90" s="77">
        <v>55.45</v>
      </c>
      <c r="K90" s="77">
        <v>0</v>
      </c>
      <c r="L90" s="77">
        <v>0</v>
      </c>
      <c r="M90" s="77">
        <v>1.49</v>
      </c>
      <c r="N90" s="77">
        <v>56.94</v>
      </c>
      <c r="O90" s="77">
        <v>5394.13</v>
      </c>
      <c r="Q90">
        <v>84</v>
      </c>
      <c r="R90" s="16">
        <f>SUM(Tableau1[[#This Row],[Amortiss. Capital]]+Tableau2[[#This Row],[Amortiss. Capital]])</f>
        <v>343.02</v>
      </c>
      <c r="S90" s="16">
        <f>SUM(Tableau1[[#This Row],[Intérêt Normaux]]+Tableau2[[#This Row],[Intérêt Normaux]])</f>
        <v>334.41</v>
      </c>
      <c r="T90" s="16">
        <f>SUM(Tableau1[[#This Row],[Intérêts différés]]+Tableau2[[#This Row],[Intérêts différés]])</f>
        <v>0</v>
      </c>
      <c r="U90" s="16">
        <f>SUM(Tableau1[[#This Row],[Assurances]]+Tableau2[[#This Row],[Assurances]])</f>
        <v>29.31</v>
      </c>
      <c r="V90" s="16">
        <f>SUM(Tableau1[[#This Row],[Total à payer]]+Tableau2[[#This Row],[Total à payer]])</f>
        <v>706.74</v>
      </c>
      <c r="W90" s="16">
        <f>SUM(Tableau1[[#This Row],[Montant restant dû après échéance]]+Tableau2[[#This Row],[Montant restant dû après échéance]])</f>
        <v>107215.91</v>
      </c>
    </row>
    <row r="91" spans="1:23" x14ac:dyDescent="0.3">
      <c r="A91" s="76">
        <v>85</v>
      </c>
      <c r="B91" s="77">
        <v>288.58</v>
      </c>
      <c r="C91" s="77">
        <v>333.47</v>
      </c>
      <c r="D91" s="77">
        <v>0</v>
      </c>
      <c r="E91" s="77">
        <v>27.75</v>
      </c>
      <c r="F91" s="77">
        <v>649.79999999999995</v>
      </c>
      <c r="G91" s="77">
        <v>101533.2</v>
      </c>
      <c r="H91" s="78"/>
      <c r="I91" s="76">
        <v>85</v>
      </c>
      <c r="J91" s="77">
        <v>55.47</v>
      </c>
      <c r="K91" s="77">
        <v>0</v>
      </c>
      <c r="L91" s="77">
        <v>0</v>
      </c>
      <c r="M91" s="77">
        <v>1.47</v>
      </c>
      <c r="N91" s="77">
        <v>56.94</v>
      </c>
      <c r="O91" s="77">
        <v>5338.66</v>
      </c>
      <c r="Q91">
        <v>85</v>
      </c>
      <c r="R91" s="16">
        <f>SUM(Tableau1[[#This Row],[Amortiss. Capital]]+Tableau2[[#This Row],[Amortiss. Capital]])</f>
        <v>344.04999999999995</v>
      </c>
      <c r="S91" s="16">
        <f>SUM(Tableau1[[#This Row],[Intérêt Normaux]]+Tableau2[[#This Row],[Intérêt Normaux]])</f>
        <v>333.47</v>
      </c>
      <c r="T91" s="16">
        <f>SUM(Tableau1[[#This Row],[Intérêts différés]]+Tableau2[[#This Row],[Intérêts différés]])</f>
        <v>0</v>
      </c>
      <c r="U91" s="16">
        <f>SUM(Tableau1[[#This Row],[Assurances]]+Tableau2[[#This Row],[Assurances]])</f>
        <v>29.22</v>
      </c>
      <c r="V91" s="16">
        <f>SUM(Tableau1[[#This Row],[Total à payer]]+Tableau2[[#This Row],[Total à payer]])</f>
        <v>706.74</v>
      </c>
      <c r="W91" s="16">
        <f>SUM(Tableau1[[#This Row],[Montant restant dû après échéance]]+Tableau2[[#This Row],[Montant restant dû après échéance]])</f>
        <v>106871.86</v>
      </c>
    </row>
    <row r="92" spans="1:23" x14ac:dyDescent="0.3">
      <c r="A92" s="76">
        <v>86</v>
      </c>
      <c r="B92" s="77">
        <v>289.61</v>
      </c>
      <c r="C92" s="77">
        <v>332.52</v>
      </c>
      <c r="D92" s="77">
        <v>0</v>
      </c>
      <c r="E92" s="77">
        <v>27.67</v>
      </c>
      <c r="F92" s="77">
        <v>649.79999999999995</v>
      </c>
      <c r="G92" s="77">
        <v>101243.59</v>
      </c>
      <c r="H92" s="78"/>
      <c r="I92" s="76">
        <v>86</v>
      </c>
      <c r="J92" s="77">
        <v>55.49</v>
      </c>
      <c r="K92" s="77">
        <v>0</v>
      </c>
      <c r="L92" s="77">
        <v>0</v>
      </c>
      <c r="M92" s="77">
        <v>1.45</v>
      </c>
      <c r="N92" s="77">
        <v>56.94</v>
      </c>
      <c r="O92" s="77">
        <v>5283.17</v>
      </c>
      <c r="Q92">
        <v>86</v>
      </c>
      <c r="R92" s="16">
        <f>SUM(Tableau1[[#This Row],[Amortiss. Capital]]+Tableau2[[#This Row],[Amortiss. Capital]])</f>
        <v>345.1</v>
      </c>
      <c r="S92" s="16">
        <f>SUM(Tableau1[[#This Row],[Intérêt Normaux]]+Tableau2[[#This Row],[Intérêt Normaux]])</f>
        <v>332.52</v>
      </c>
      <c r="T92" s="16">
        <f>SUM(Tableau1[[#This Row],[Intérêts différés]]+Tableau2[[#This Row],[Intérêts différés]])</f>
        <v>0</v>
      </c>
      <c r="U92" s="16">
        <f>SUM(Tableau1[[#This Row],[Assurances]]+Tableau2[[#This Row],[Assurances]])</f>
        <v>29.12</v>
      </c>
      <c r="V92" s="16">
        <f>SUM(Tableau1[[#This Row],[Total à payer]]+Tableau2[[#This Row],[Total à payer]])</f>
        <v>706.74</v>
      </c>
      <c r="W92" s="16">
        <f>SUM(Tableau1[[#This Row],[Montant restant dû après échéance]]+Tableau2[[#This Row],[Montant restant dû après échéance]])</f>
        <v>106526.76</v>
      </c>
    </row>
    <row r="93" spans="1:23" x14ac:dyDescent="0.3">
      <c r="A93" s="76">
        <v>87</v>
      </c>
      <c r="B93" s="77">
        <v>290.64</v>
      </c>
      <c r="C93" s="77">
        <v>331.57</v>
      </c>
      <c r="D93" s="77">
        <v>0</v>
      </c>
      <c r="E93" s="77">
        <v>27.59</v>
      </c>
      <c r="F93" s="77">
        <v>649.79999999999995</v>
      </c>
      <c r="G93" s="77">
        <v>100952.95</v>
      </c>
      <c r="H93" s="78"/>
      <c r="I93" s="76">
        <v>87</v>
      </c>
      <c r="J93" s="77">
        <v>55.5</v>
      </c>
      <c r="K93" s="77">
        <v>0</v>
      </c>
      <c r="L93" s="77">
        <v>0</v>
      </c>
      <c r="M93" s="77">
        <v>1.44</v>
      </c>
      <c r="N93" s="77">
        <v>56.94</v>
      </c>
      <c r="O93" s="77">
        <v>5227.67</v>
      </c>
      <c r="Q93">
        <v>87</v>
      </c>
      <c r="R93" s="16">
        <f>SUM(Tableau1[[#This Row],[Amortiss. Capital]]+Tableau2[[#This Row],[Amortiss. Capital]])</f>
        <v>346.14</v>
      </c>
      <c r="S93" s="16">
        <f>SUM(Tableau1[[#This Row],[Intérêt Normaux]]+Tableau2[[#This Row],[Intérêt Normaux]])</f>
        <v>331.57</v>
      </c>
      <c r="T93" s="16">
        <f>SUM(Tableau1[[#This Row],[Intérêts différés]]+Tableau2[[#This Row],[Intérêts différés]])</f>
        <v>0</v>
      </c>
      <c r="U93" s="16">
        <f>SUM(Tableau1[[#This Row],[Assurances]]+Tableau2[[#This Row],[Assurances]])</f>
        <v>29.03</v>
      </c>
      <c r="V93" s="16">
        <f>SUM(Tableau1[[#This Row],[Total à payer]]+Tableau2[[#This Row],[Total à payer]])</f>
        <v>706.74</v>
      </c>
      <c r="W93" s="16">
        <f>SUM(Tableau1[[#This Row],[Montant restant dû après échéance]]+Tableau2[[#This Row],[Montant restant dû après échéance]])</f>
        <v>106180.62</v>
      </c>
    </row>
    <row r="94" spans="1:23" x14ac:dyDescent="0.3">
      <c r="A94" s="76">
        <v>88</v>
      </c>
      <c r="B94" s="77">
        <v>291.67</v>
      </c>
      <c r="C94" s="77">
        <v>330.62</v>
      </c>
      <c r="D94" s="77">
        <v>0</v>
      </c>
      <c r="E94" s="77">
        <v>27.51</v>
      </c>
      <c r="F94" s="77">
        <v>649.79999999999995</v>
      </c>
      <c r="G94" s="77">
        <v>100661.28</v>
      </c>
      <c r="H94" s="78"/>
      <c r="I94" s="76">
        <v>88</v>
      </c>
      <c r="J94" s="77">
        <v>55.52</v>
      </c>
      <c r="K94" s="77">
        <v>0</v>
      </c>
      <c r="L94" s="77">
        <v>0</v>
      </c>
      <c r="M94" s="77">
        <v>1.42</v>
      </c>
      <c r="N94" s="77">
        <v>56.94</v>
      </c>
      <c r="O94" s="77">
        <v>5172.1499999999996</v>
      </c>
      <c r="Q94">
        <v>88</v>
      </c>
      <c r="R94" s="16">
        <f>SUM(Tableau1[[#This Row],[Amortiss. Capital]]+Tableau2[[#This Row],[Amortiss. Capital]])</f>
        <v>347.19</v>
      </c>
      <c r="S94" s="16">
        <f>SUM(Tableau1[[#This Row],[Intérêt Normaux]]+Tableau2[[#This Row],[Intérêt Normaux]])</f>
        <v>330.62</v>
      </c>
      <c r="T94" s="16">
        <f>SUM(Tableau1[[#This Row],[Intérêts différés]]+Tableau2[[#This Row],[Intérêts différés]])</f>
        <v>0</v>
      </c>
      <c r="U94" s="16">
        <f>SUM(Tableau1[[#This Row],[Assurances]]+Tableau2[[#This Row],[Assurances]])</f>
        <v>28.93</v>
      </c>
      <c r="V94" s="16">
        <f>SUM(Tableau1[[#This Row],[Total à payer]]+Tableau2[[#This Row],[Total à payer]])</f>
        <v>706.74</v>
      </c>
      <c r="W94" s="16">
        <f>SUM(Tableau1[[#This Row],[Montant restant dû après échéance]]+Tableau2[[#This Row],[Montant restant dû après échéance]])</f>
        <v>105833.43</v>
      </c>
    </row>
    <row r="95" spans="1:23" x14ac:dyDescent="0.3">
      <c r="A95" s="76">
        <v>89</v>
      </c>
      <c r="B95" s="77">
        <v>292.7</v>
      </c>
      <c r="C95" s="77">
        <v>329.67</v>
      </c>
      <c r="D95" s="77">
        <v>0</v>
      </c>
      <c r="E95" s="77">
        <v>27.43</v>
      </c>
      <c r="F95" s="77">
        <v>649.79999999999995</v>
      </c>
      <c r="G95" s="77">
        <v>100368.58</v>
      </c>
      <c r="H95" s="78"/>
      <c r="I95" s="76">
        <v>89</v>
      </c>
      <c r="J95" s="77">
        <v>55.53</v>
      </c>
      <c r="K95" s="77">
        <v>0</v>
      </c>
      <c r="L95" s="77">
        <v>0</v>
      </c>
      <c r="M95" s="77">
        <v>1.41</v>
      </c>
      <c r="N95" s="77">
        <v>56.94</v>
      </c>
      <c r="O95" s="77">
        <v>5116.62</v>
      </c>
      <c r="Q95">
        <v>89</v>
      </c>
      <c r="R95" s="16">
        <f>SUM(Tableau1[[#This Row],[Amortiss. Capital]]+Tableau2[[#This Row],[Amortiss. Capital]])</f>
        <v>348.23</v>
      </c>
      <c r="S95" s="16">
        <f>SUM(Tableau1[[#This Row],[Intérêt Normaux]]+Tableau2[[#This Row],[Intérêt Normaux]])</f>
        <v>329.67</v>
      </c>
      <c r="T95" s="16">
        <f>SUM(Tableau1[[#This Row],[Intérêts différés]]+Tableau2[[#This Row],[Intérêts différés]])</f>
        <v>0</v>
      </c>
      <c r="U95" s="16">
        <f>SUM(Tableau1[[#This Row],[Assurances]]+Tableau2[[#This Row],[Assurances]])</f>
        <v>28.84</v>
      </c>
      <c r="V95" s="16">
        <f>SUM(Tableau1[[#This Row],[Total à payer]]+Tableau2[[#This Row],[Total à payer]])</f>
        <v>706.74</v>
      </c>
      <c r="W95" s="16">
        <f>SUM(Tableau1[[#This Row],[Montant restant dû après échéance]]+Tableau2[[#This Row],[Montant restant dû après échéance]])</f>
        <v>105485.2</v>
      </c>
    </row>
    <row r="96" spans="1:23" x14ac:dyDescent="0.3">
      <c r="A96" s="76">
        <v>90</v>
      </c>
      <c r="B96" s="77">
        <v>293.74</v>
      </c>
      <c r="C96" s="77">
        <v>328.71</v>
      </c>
      <c r="D96" s="77">
        <v>0</v>
      </c>
      <c r="E96" s="77">
        <v>27.35</v>
      </c>
      <c r="F96" s="77">
        <v>649.79999999999995</v>
      </c>
      <c r="G96" s="77">
        <v>100074.84</v>
      </c>
      <c r="H96" s="78"/>
      <c r="I96" s="76">
        <v>90</v>
      </c>
      <c r="J96" s="77">
        <v>55.55</v>
      </c>
      <c r="K96" s="77">
        <v>0</v>
      </c>
      <c r="L96" s="77">
        <v>0</v>
      </c>
      <c r="M96" s="77">
        <v>1.39</v>
      </c>
      <c r="N96" s="77">
        <v>56.94</v>
      </c>
      <c r="O96" s="77">
        <v>5061.07</v>
      </c>
      <c r="Q96">
        <v>90</v>
      </c>
      <c r="R96" s="16">
        <f>SUM(Tableau1[[#This Row],[Amortiss. Capital]]+Tableau2[[#This Row],[Amortiss. Capital]])</f>
        <v>349.29</v>
      </c>
      <c r="S96" s="16">
        <f>SUM(Tableau1[[#This Row],[Intérêt Normaux]]+Tableau2[[#This Row],[Intérêt Normaux]])</f>
        <v>328.71</v>
      </c>
      <c r="T96" s="16">
        <f>SUM(Tableau1[[#This Row],[Intérêts différés]]+Tableau2[[#This Row],[Intérêts différés]])</f>
        <v>0</v>
      </c>
      <c r="U96" s="16">
        <f>SUM(Tableau1[[#This Row],[Assurances]]+Tableau2[[#This Row],[Assurances]])</f>
        <v>28.740000000000002</v>
      </c>
      <c r="V96" s="16">
        <f>SUM(Tableau1[[#This Row],[Total à payer]]+Tableau2[[#This Row],[Total à payer]])</f>
        <v>706.74</v>
      </c>
      <c r="W96" s="16">
        <f>SUM(Tableau1[[#This Row],[Montant restant dû après échéance]]+Tableau2[[#This Row],[Montant restant dû après échéance]])</f>
        <v>105135.91</v>
      </c>
    </row>
    <row r="97" spans="1:23" x14ac:dyDescent="0.3">
      <c r="A97" s="76">
        <v>91</v>
      </c>
      <c r="B97" s="77">
        <v>294.77999999999997</v>
      </c>
      <c r="C97" s="77">
        <v>327.75</v>
      </c>
      <c r="D97" s="77">
        <v>0</v>
      </c>
      <c r="E97" s="77">
        <v>27.27</v>
      </c>
      <c r="F97" s="77">
        <v>649.79999999999995</v>
      </c>
      <c r="G97" s="77">
        <v>99780.06</v>
      </c>
      <c r="H97" s="78"/>
      <c r="I97" s="76">
        <v>91</v>
      </c>
      <c r="J97" s="77">
        <v>55.56</v>
      </c>
      <c r="K97" s="77">
        <v>0</v>
      </c>
      <c r="L97" s="77">
        <v>0</v>
      </c>
      <c r="M97" s="77">
        <v>1.38</v>
      </c>
      <c r="N97" s="77">
        <v>56.94</v>
      </c>
      <c r="O97" s="77">
        <v>5005.51</v>
      </c>
      <c r="Q97">
        <v>91</v>
      </c>
      <c r="R97" s="16">
        <f>SUM(Tableau1[[#This Row],[Amortiss. Capital]]+Tableau2[[#This Row],[Amortiss. Capital]])</f>
        <v>350.34</v>
      </c>
      <c r="S97" s="16">
        <f>SUM(Tableau1[[#This Row],[Intérêt Normaux]]+Tableau2[[#This Row],[Intérêt Normaux]])</f>
        <v>327.75</v>
      </c>
      <c r="T97" s="16">
        <f>SUM(Tableau1[[#This Row],[Intérêts différés]]+Tableau2[[#This Row],[Intérêts différés]])</f>
        <v>0</v>
      </c>
      <c r="U97" s="16">
        <f>SUM(Tableau1[[#This Row],[Assurances]]+Tableau2[[#This Row],[Assurances]])</f>
        <v>28.65</v>
      </c>
      <c r="V97" s="16">
        <f>SUM(Tableau1[[#This Row],[Total à payer]]+Tableau2[[#This Row],[Total à payer]])</f>
        <v>706.74</v>
      </c>
      <c r="W97" s="16">
        <f>SUM(Tableau1[[#This Row],[Montant restant dû après échéance]]+Tableau2[[#This Row],[Montant restant dû après échéance]])</f>
        <v>104785.56999999999</v>
      </c>
    </row>
    <row r="98" spans="1:23" x14ac:dyDescent="0.3">
      <c r="A98" s="76">
        <v>92</v>
      </c>
      <c r="B98" s="77">
        <v>295.83</v>
      </c>
      <c r="C98" s="77">
        <v>326.77999999999997</v>
      </c>
      <c r="D98" s="77">
        <v>0</v>
      </c>
      <c r="E98" s="77">
        <v>27.19</v>
      </c>
      <c r="F98" s="77">
        <v>649.79999999999995</v>
      </c>
      <c r="G98" s="77">
        <v>99484.23</v>
      </c>
      <c r="H98" s="78"/>
      <c r="I98" s="76">
        <v>92</v>
      </c>
      <c r="J98" s="77">
        <v>55.58</v>
      </c>
      <c r="K98" s="77">
        <v>0</v>
      </c>
      <c r="L98" s="77">
        <v>0</v>
      </c>
      <c r="M98" s="77">
        <v>1.36</v>
      </c>
      <c r="N98" s="77">
        <v>56.94</v>
      </c>
      <c r="O98" s="77">
        <v>4949.93</v>
      </c>
      <c r="Q98">
        <v>92</v>
      </c>
      <c r="R98" s="16">
        <f>SUM(Tableau1[[#This Row],[Amortiss. Capital]]+Tableau2[[#This Row],[Amortiss. Capital]])</f>
        <v>351.40999999999997</v>
      </c>
      <c r="S98" s="16">
        <f>SUM(Tableau1[[#This Row],[Intérêt Normaux]]+Tableau2[[#This Row],[Intérêt Normaux]])</f>
        <v>326.77999999999997</v>
      </c>
      <c r="T98" s="16">
        <f>SUM(Tableau1[[#This Row],[Intérêts différés]]+Tableau2[[#This Row],[Intérêts différés]])</f>
        <v>0</v>
      </c>
      <c r="U98" s="16">
        <f>SUM(Tableau1[[#This Row],[Assurances]]+Tableau2[[#This Row],[Assurances]])</f>
        <v>28.55</v>
      </c>
      <c r="V98" s="16">
        <f>SUM(Tableau1[[#This Row],[Total à payer]]+Tableau2[[#This Row],[Total à payer]])</f>
        <v>706.74</v>
      </c>
      <c r="W98" s="16">
        <f>SUM(Tableau1[[#This Row],[Montant restant dû après échéance]]+Tableau2[[#This Row],[Montant restant dû après échéance]])</f>
        <v>104434.16</v>
      </c>
    </row>
    <row r="99" spans="1:23" x14ac:dyDescent="0.3">
      <c r="A99" s="76">
        <v>93</v>
      </c>
      <c r="B99" s="77">
        <v>296.88</v>
      </c>
      <c r="C99" s="77">
        <v>325.81</v>
      </c>
      <c r="D99" s="77">
        <v>0</v>
      </c>
      <c r="E99" s="77">
        <v>27.11</v>
      </c>
      <c r="F99" s="77">
        <v>649.79999999999995</v>
      </c>
      <c r="G99" s="77">
        <v>99187.35</v>
      </c>
      <c r="H99" s="78"/>
      <c r="I99" s="76">
        <v>93</v>
      </c>
      <c r="J99" s="77">
        <v>55.59</v>
      </c>
      <c r="K99" s="77">
        <v>0</v>
      </c>
      <c r="L99" s="77">
        <v>0</v>
      </c>
      <c r="M99" s="77">
        <v>1.35</v>
      </c>
      <c r="N99" s="77">
        <v>56.94</v>
      </c>
      <c r="O99" s="77">
        <v>4894.34</v>
      </c>
      <c r="Q99">
        <v>93</v>
      </c>
      <c r="R99" s="16">
        <f>SUM(Tableau1[[#This Row],[Amortiss. Capital]]+Tableau2[[#This Row],[Amortiss. Capital]])</f>
        <v>352.47</v>
      </c>
      <c r="S99" s="16">
        <f>SUM(Tableau1[[#This Row],[Intérêt Normaux]]+Tableau2[[#This Row],[Intérêt Normaux]])</f>
        <v>325.81</v>
      </c>
      <c r="T99" s="16">
        <f>SUM(Tableau1[[#This Row],[Intérêts différés]]+Tableau2[[#This Row],[Intérêts différés]])</f>
        <v>0</v>
      </c>
      <c r="U99" s="16">
        <f>SUM(Tableau1[[#This Row],[Assurances]]+Tableau2[[#This Row],[Assurances]])</f>
        <v>28.46</v>
      </c>
      <c r="V99" s="16">
        <f>SUM(Tableau1[[#This Row],[Total à payer]]+Tableau2[[#This Row],[Total à payer]])</f>
        <v>706.74</v>
      </c>
      <c r="W99" s="16">
        <f>SUM(Tableau1[[#This Row],[Montant restant dû après échéance]]+Tableau2[[#This Row],[Montant restant dû après échéance]])</f>
        <v>104081.69</v>
      </c>
    </row>
    <row r="100" spans="1:23" x14ac:dyDescent="0.3">
      <c r="A100" s="76">
        <v>94</v>
      </c>
      <c r="B100" s="77">
        <v>297.93</v>
      </c>
      <c r="C100" s="77">
        <v>324.83999999999997</v>
      </c>
      <c r="D100" s="77">
        <v>0</v>
      </c>
      <c r="E100" s="77">
        <v>27.03</v>
      </c>
      <c r="F100" s="77">
        <v>649.79999999999995</v>
      </c>
      <c r="G100" s="77">
        <v>98889.42</v>
      </c>
      <c r="H100" s="78"/>
      <c r="I100" s="76">
        <v>94</v>
      </c>
      <c r="J100" s="77">
        <v>55.61</v>
      </c>
      <c r="K100" s="77">
        <v>0</v>
      </c>
      <c r="L100" s="77">
        <v>0</v>
      </c>
      <c r="M100" s="77">
        <v>1.33</v>
      </c>
      <c r="N100" s="77">
        <v>56.94</v>
      </c>
      <c r="O100" s="77">
        <v>4838.7299999999996</v>
      </c>
      <c r="Q100">
        <v>94</v>
      </c>
      <c r="R100" s="16">
        <f>SUM(Tableau1[[#This Row],[Amortiss. Capital]]+Tableau2[[#This Row],[Amortiss. Capital]])</f>
        <v>353.54</v>
      </c>
      <c r="S100" s="16">
        <f>SUM(Tableau1[[#This Row],[Intérêt Normaux]]+Tableau2[[#This Row],[Intérêt Normaux]])</f>
        <v>324.83999999999997</v>
      </c>
      <c r="T100" s="16">
        <f>SUM(Tableau1[[#This Row],[Intérêts différés]]+Tableau2[[#This Row],[Intérêts différés]])</f>
        <v>0</v>
      </c>
      <c r="U100" s="16">
        <f>SUM(Tableau1[[#This Row],[Assurances]]+Tableau2[[#This Row],[Assurances]])</f>
        <v>28.36</v>
      </c>
      <c r="V100" s="16">
        <f>SUM(Tableau1[[#This Row],[Total à payer]]+Tableau2[[#This Row],[Total à payer]])</f>
        <v>706.74</v>
      </c>
      <c r="W100" s="16">
        <f>SUM(Tableau1[[#This Row],[Montant restant dû après échéance]]+Tableau2[[#This Row],[Montant restant dû après échéance]])</f>
        <v>103728.15</v>
      </c>
    </row>
    <row r="101" spans="1:23" x14ac:dyDescent="0.3">
      <c r="A101" s="76">
        <v>95</v>
      </c>
      <c r="B101" s="77">
        <v>298.99</v>
      </c>
      <c r="C101" s="77">
        <v>323.86</v>
      </c>
      <c r="D101" s="77">
        <v>0</v>
      </c>
      <c r="E101" s="77">
        <v>26.95</v>
      </c>
      <c r="F101" s="77">
        <v>649.79999999999995</v>
      </c>
      <c r="G101" s="77">
        <v>98590.43</v>
      </c>
      <c r="H101" s="78"/>
      <c r="I101" s="76">
        <v>95</v>
      </c>
      <c r="J101" s="77">
        <v>55.62</v>
      </c>
      <c r="K101" s="77">
        <v>0</v>
      </c>
      <c r="L101" s="77">
        <v>0</v>
      </c>
      <c r="M101" s="77">
        <v>1.32</v>
      </c>
      <c r="N101" s="77">
        <v>56.94</v>
      </c>
      <c r="O101" s="77">
        <v>4783.1099999999997</v>
      </c>
      <c r="Q101">
        <v>95</v>
      </c>
      <c r="R101" s="16">
        <f>SUM(Tableau1[[#This Row],[Amortiss. Capital]]+Tableau2[[#This Row],[Amortiss. Capital]])</f>
        <v>354.61</v>
      </c>
      <c r="S101" s="16">
        <f>SUM(Tableau1[[#This Row],[Intérêt Normaux]]+Tableau2[[#This Row],[Intérêt Normaux]])</f>
        <v>323.86</v>
      </c>
      <c r="T101" s="16">
        <f>SUM(Tableau1[[#This Row],[Intérêts différés]]+Tableau2[[#This Row],[Intérêts différés]])</f>
        <v>0</v>
      </c>
      <c r="U101" s="16">
        <f>SUM(Tableau1[[#This Row],[Assurances]]+Tableau2[[#This Row],[Assurances]])</f>
        <v>28.27</v>
      </c>
      <c r="V101" s="16">
        <f>SUM(Tableau1[[#This Row],[Total à payer]]+Tableau2[[#This Row],[Total à payer]])</f>
        <v>706.74</v>
      </c>
      <c r="W101" s="16">
        <f>SUM(Tableau1[[#This Row],[Montant restant dû après échéance]]+Tableau2[[#This Row],[Montant restant dû après échéance]])</f>
        <v>103373.54</v>
      </c>
    </row>
    <row r="102" spans="1:23" x14ac:dyDescent="0.3">
      <c r="A102" s="76">
        <v>96</v>
      </c>
      <c r="B102" s="77">
        <v>300.05</v>
      </c>
      <c r="C102" s="77">
        <v>322.88</v>
      </c>
      <c r="D102" s="77">
        <v>0</v>
      </c>
      <c r="E102" s="77">
        <v>26.87</v>
      </c>
      <c r="F102" s="77">
        <v>649.79999999999995</v>
      </c>
      <c r="G102" s="77">
        <v>98290.38</v>
      </c>
      <c r="H102" s="78"/>
      <c r="I102" s="76">
        <v>96</v>
      </c>
      <c r="J102" s="77">
        <v>55.64</v>
      </c>
      <c r="K102" s="77">
        <v>0</v>
      </c>
      <c r="L102" s="77">
        <v>0</v>
      </c>
      <c r="M102" s="77">
        <v>1.3</v>
      </c>
      <c r="N102" s="77">
        <v>56.94</v>
      </c>
      <c r="O102" s="77">
        <v>4727.47</v>
      </c>
      <c r="Q102">
        <v>96</v>
      </c>
      <c r="R102" s="16">
        <f>SUM(Tableau1[[#This Row],[Amortiss. Capital]]+Tableau2[[#This Row],[Amortiss. Capital]])</f>
        <v>355.69</v>
      </c>
      <c r="S102" s="16">
        <f>SUM(Tableau1[[#This Row],[Intérêt Normaux]]+Tableau2[[#This Row],[Intérêt Normaux]])</f>
        <v>322.88</v>
      </c>
      <c r="T102" s="16">
        <f>SUM(Tableau1[[#This Row],[Intérêts différés]]+Tableau2[[#This Row],[Intérêts différés]])</f>
        <v>0</v>
      </c>
      <c r="U102" s="16">
        <f>SUM(Tableau1[[#This Row],[Assurances]]+Tableau2[[#This Row],[Assurances]])</f>
        <v>28.17</v>
      </c>
      <c r="V102" s="16">
        <f>SUM(Tableau1[[#This Row],[Total à payer]]+Tableau2[[#This Row],[Total à payer]])</f>
        <v>706.74</v>
      </c>
      <c r="W102" s="16">
        <f>SUM(Tableau1[[#This Row],[Montant restant dû après échéance]]+Tableau2[[#This Row],[Montant restant dû après échéance]])</f>
        <v>103017.85</v>
      </c>
    </row>
    <row r="103" spans="1:23" x14ac:dyDescent="0.3">
      <c r="A103" s="76">
        <v>97</v>
      </c>
      <c r="B103" s="77">
        <v>301.12</v>
      </c>
      <c r="C103" s="77">
        <v>321.89999999999998</v>
      </c>
      <c r="D103" s="77">
        <v>0</v>
      </c>
      <c r="E103" s="77">
        <v>26.78</v>
      </c>
      <c r="F103" s="77">
        <v>649.79999999999995</v>
      </c>
      <c r="G103" s="77">
        <v>97989.26</v>
      </c>
      <c r="H103" s="78"/>
      <c r="I103" s="76">
        <v>97</v>
      </c>
      <c r="J103" s="77">
        <v>55.65</v>
      </c>
      <c r="K103" s="77">
        <v>0</v>
      </c>
      <c r="L103" s="77">
        <v>0</v>
      </c>
      <c r="M103" s="77">
        <v>1.29</v>
      </c>
      <c r="N103" s="77">
        <v>56.94</v>
      </c>
      <c r="O103" s="77">
        <v>4671.82</v>
      </c>
      <c r="Q103">
        <v>97</v>
      </c>
      <c r="R103" s="16">
        <f>SUM(Tableau1[[#This Row],[Amortiss. Capital]]+Tableau2[[#This Row],[Amortiss. Capital]])</f>
        <v>356.77</v>
      </c>
      <c r="S103" s="16">
        <f>SUM(Tableau1[[#This Row],[Intérêt Normaux]]+Tableau2[[#This Row],[Intérêt Normaux]])</f>
        <v>321.89999999999998</v>
      </c>
      <c r="T103" s="16">
        <f>SUM(Tableau1[[#This Row],[Intérêts différés]]+Tableau2[[#This Row],[Intérêts différés]])</f>
        <v>0</v>
      </c>
      <c r="U103" s="16">
        <f>SUM(Tableau1[[#This Row],[Assurances]]+Tableau2[[#This Row],[Assurances]])</f>
        <v>28.07</v>
      </c>
      <c r="V103" s="16">
        <f>SUM(Tableau1[[#This Row],[Total à payer]]+Tableau2[[#This Row],[Total à payer]])</f>
        <v>706.74</v>
      </c>
      <c r="W103" s="16">
        <f>SUM(Tableau1[[#This Row],[Montant restant dû après échéance]]+Tableau2[[#This Row],[Montant restant dû après échéance]])</f>
        <v>102661.07999999999</v>
      </c>
    </row>
    <row r="104" spans="1:23" x14ac:dyDescent="0.3">
      <c r="A104" s="76">
        <v>98</v>
      </c>
      <c r="B104" s="77">
        <v>302.19</v>
      </c>
      <c r="C104" s="77">
        <v>320.91000000000003</v>
      </c>
      <c r="D104" s="77">
        <v>0</v>
      </c>
      <c r="E104" s="77">
        <v>26.7</v>
      </c>
      <c r="F104" s="77">
        <v>649.79999999999995</v>
      </c>
      <c r="G104" s="77">
        <v>97687.07</v>
      </c>
      <c r="H104" s="78"/>
      <c r="I104" s="76">
        <v>98</v>
      </c>
      <c r="J104" s="77">
        <v>55.67</v>
      </c>
      <c r="K104" s="77">
        <v>0</v>
      </c>
      <c r="L104" s="77">
        <v>0</v>
      </c>
      <c r="M104" s="77">
        <v>1.27</v>
      </c>
      <c r="N104" s="77">
        <v>56.94</v>
      </c>
      <c r="O104" s="77">
        <v>4616.1499999999996</v>
      </c>
      <c r="Q104">
        <v>98</v>
      </c>
      <c r="R104" s="16">
        <f>SUM(Tableau1[[#This Row],[Amortiss. Capital]]+Tableau2[[#This Row],[Amortiss. Capital]])</f>
        <v>357.86</v>
      </c>
      <c r="S104" s="16">
        <f>SUM(Tableau1[[#This Row],[Intérêt Normaux]]+Tableau2[[#This Row],[Intérêt Normaux]])</f>
        <v>320.91000000000003</v>
      </c>
      <c r="T104" s="16">
        <f>SUM(Tableau1[[#This Row],[Intérêts différés]]+Tableau2[[#This Row],[Intérêts différés]])</f>
        <v>0</v>
      </c>
      <c r="U104" s="16">
        <f>SUM(Tableau1[[#This Row],[Assurances]]+Tableau2[[#This Row],[Assurances]])</f>
        <v>27.97</v>
      </c>
      <c r="V104" s="16">
        <f>SUM(Tableau1[[#This Row],[Total à payer]]+Tableau2[[#This Row],[Total à payer]])</f>
        <v>706.74</v>
      </c>
      <c r="W104" s="16">
        <f>SUM(Tableau1[[#This Row],[Montant restant dû après échéance]]+Tableau2[[#This Row],[Montant restant dû après échéance]])</f>
        <v>102303.22</v>
      </c>
    </row>
    <row r="105" spans="1:23" x14ac:dyDescent="0.3">
      <c r="A105" s="76">
        <v>99</v>
      </c>
      <c r="B105" s="77">
        <v>303.25</v>
      </c>
      <c r="C105" s="77">
        <v>319.93</v>
      </c>
      <c r="D105" s="77">
        <v>0</v>
      </c>
      <c r="E105" s="77">
        <v>26.62</v>
      </c>
      <c r="F105" s="77">
        <v>649.79999999999995</v>
      </c>
      <c r="G105" s="77">
        <v>97383.82</v>
      </c>
      <c r="H105" s="78"/>
      <c r="I105" s="76">
        <v>99</v>
      </c>
      <c r="J105" s="77">
        <v>55.68</v>
      </c>
      <c r="K105" s="77">
        <v>0</v>
      </c>
      <c r="L105" s="77">
        <v>0</v>
      </c>
      <c r="M105" s="77">
        <v>1.26</v>
      </c>
      <c r="N105" s="77">
        <v>56.94</v>
      </c>
      <c r="O105" s="77">
        <v>4560.47</v>
      </c>
      <c r="Q105">
        <v>99</v>
      </c>
      <c r="R105" s="16">
        <f>SUM(Tableau1[[#This Row],[Amortiss. Capital]]+Tableau2[[#This Row],[Amortiss. Capital]])</f>
        <v>358.93</v>
      </c>
      <c r="S105" s="16">
        <f>SUM(Tableau1[[#This Row],[Intérêt Normaux]]+Tableau2[[#This Row],[Intérêt Normaux]])</f>
        <v>319.93</v>
      </c>
      <c r="T105" s="16">
        <f>SUM(Tableau1[[#This Row],[Intérêts différés]]+Tableau2[[#This Row],[Intérêts différés]])</f>
        <v>0</v>
      </c>
      <c r="U105" s="16">
        <f>SUM(Tableau1[[#This Row],[Assurances]]+Tableau2[[#This Row],[Assurances]])</f>
        <v>27.880000000000003</v>
      </c>
      <c r="V105" s="16">
        <f>SUM(Tableau1[[#This Row],[Total à payer]]+Tableau2[[#This Row],[Total à payer]])</f>
        <v>706.74</v>
      </c>
      <c r="W105" s="16">
        <f>SUM(Tableau1[[#This Row],[Montant restant dû après échéance]]+Tableau2[[#This Row],[Montant restant dû après échéance]])</f>
        <v>101944.29000000001</v>
      </c>
    </row>
    <row r="106" spans="1:23" x14ac:dyDescent="0.3">
      <c r="A106" s="76">
        <v>100</v>
      </c>
      <c r="B106" s="77">
        <v>304.33</v>
      </c>
      <c r="C106" s="77">
        <v>318.93</v>
      </c>
      <c r="D106" s="77">
        <v>0</v>
      </c>
      <c r="E106" s="77">
        <v>26.54</v>
      </c>
      <c r="F106" s="77">
        <v>649.79999999999995</v>
      </c>
      <c r="G106" s="77">
        <v>97079.49</v>
      </c>
      <c r="H106" s="78"/>
      <c r="I106" s="76">
        <v>100</v>
      </c>
      <c r="J106" s="77">
        <v>55.7</v>
      </c>
      <c r="K106" s="77">
        <v>0</v>
      </c>
      <c r="L106" s="77">
        <v>0</v>
      </c>
      <c r="M106" s="77">
        <v>1.24</v>
      </c>
      <c r="N106" s="77">
        <v>56.94</v>
      </c>
      <c r="O106" s="77">
        <v>4504.7700000000004</v>
      </c>
      <c r="Q106">
        <v>100</v>
      </c>
      <c r="R106" s="16">
        <f>SUM(Tableau1[[#This Row],[Amortiss. Capital]]+Tableau2[[#This Row],[Amortiss. Capital]])</f>
        <v>360.03</v>
      </c>
      <c r="S106" s="16">
        <f>SUM(Tableau1[[#This Row],[Intérêt Normaux]]+Tableau2[[#This Row],[Intérêt Normaux]])</f>
        <v>318.93</v>
      </c>
      <c r="T106" s="16">
        <f>SUM(Tableau1[[#This Row],[Intérêts différés]]+Tableau2[[#This Row],[Intérêts différés]])</f>
        <v>0</v>
      </c>
      <c r="U106" s="16">
        <f>SUM(Tableau1[[#This Row],[Assurances]]+Tableau2[[#This Row],[Assurances]])</f>
        <v>27.779999999999998</v>
      </c>
      <c r="V106" s="16">
        <f>SUM(Tableau1[[#This Row],[Total à payer]]+Tableau2[[#This Row],[Total à payer]])</f>
        <v>706.74</v>
      </c>
      <c r="W106" s="16">
        <f>SUM(Tableau1[[#This Row],[Montant restant dû après échéance]]+Tableau2[[#This Row],[Montant restant dû après échéance]])</f>
        <v>101584.26000000001</v>
      </c>
    </row>
    <row r="107" spans="1:23" x14ac:dyDescent="0.3">
      <c r="A107" s="76">
        <v>101</v>
      </c>
      <c r="B107" s="77">
        <v>305.41000000000003</v>
      </c>
      <c r="C107" s="77">
        <v>317.94</v>
      </c>
      <c r="D107" s="77">
        <v>0</v>
      </c>
      <c r="E107" s="77">
        <v>26.45</v>
      </c>
      <c r="F107" s="77">
        <v>649.79999999999995</v>
      </c>
      <c r="G107" s="77">
        <v>96774.080000000002</v>
      </c>
      <c r="H107" s="78"/>
      <c r="I107" s="76">
        <v>101</v>
      </c>
      <c r="J107" s="77">
        <v>55.71</v>
      </c>
      <c r="K107" s="77">
        <v>0</v>
      </c>
      <c r="L107" s="77">
        <v>0</v>
      </c>
      <c r="M107" s="77">
        <v>1.23</v>
      </c>
      <c r="N107" s="77">
        <v>56.94</v>
      </c>
      <c r="O107" s="77">
        <v>4449.0600000000004</v>
      </c>
      <c r="Q107">
        <v>101</v>
      </c>
      <c r="R107" s="16">
        <f>SUM(Tableau1[[#This Row],[Amortiss. Capital]]+Tableau2[[#This Row],[Amortiss. Capital]])</f>
        <v>361.12</v>
      </c>
      <c r="S107" s="16">
        <f>SUM(Tableau1[[#This Row],[Intérêt Normaux]]+Tableau2[[#This Row],[Intérêt Normaux]])</f>
        <v>317.94</v>
      </c>
      <c r="T107" s="16">
        <f>SUM(Tableau1[[#This Row],[Intérêts différés]]+Tableau2[[#This Row],[Intérêts différés]])</f>
        <v>0</v>
      </c>
      <c r="U107" s="16">
        <f>SUM(Tableau1[[#This Row],[Assurances]]+Tableau2[[#This Row],[Assurances]])</f>
        <v>27.68</v>
      </c>
      <c r="V107" s="16">
        <f>SUM(Tableau1[[#This Row],[Total à payer]]+Tableau2[[#This Row],[Total à payer]])</f>
        <v>706.74</v>
      </c>
      <c r="W107" s="16">
        <f>SUM(Tableau1[[#This Row],[Montant restant dû après échéance]]+Tableau2[[#This Row],[Montant restant dû après échéance]])</f>
        <v>101223.14</v>
      </c>
    </row>
    <row r="108" spans="1:23" x14ac:dyDescent="0.3">
      <c r="A108" s="76">
        <v>102</v>
      </c>
      <c r="B108" s="77">
        <v>306.49</v>
      </c>
      <c r="C108" s="77">
        <v>316.94</v>
      </c>
      <c r="D108" s="77">
        <v>0</v>
      </c>
      <c r="E108" s="77">
        <v>26.37</v>
      </c>
      <c r="F108" s="77">
        <v>649.79999999999995</v>
      </c>
      <c r="G108" s="77">
        <v>96467.59</v>
      </c>
      <c r="H108" s="78"/>
      <c r="I108" s="76">
        <v>102</v>
      </c>
      <c r="J108" s="77">
        <v>55.73</v>
      </c>
      <c r="K108" s="77">
        <v>0</v>
      </c>
      <c r="L108" s="77">
        <v>0</v>
      </c>
      <c r="M108" s="77">
        <v>1.21</v>
      </c>
      <c r="N108" s="77">
        <v>56.94</v>
      </c>
      <c r="O108" s="77">
        <v>4393.33</v>
      </c>
      <c r="Q108">
        <v>102</v>
      </c>
      <c r="R108" s="16">
        <f>SUM(Tableau1[[#This Row],[Amortiss. Capital]]+Tableau2[[#This Row],[Amortiss. Capital]])</f>
        <v>362.22</v>
      </c>
      <c r="S108" s="16">
        <f>SUM(Tableau1[[#This Row],[Intérêt Normaux]]+Tableau2[[#This Row],[Intérêt Normaux]])</f>
        <v>316.94</v>
      </c>
      <c r="T108" s="16">
        <f>SUM(Tableau1[[#This Row],[Intérêts différés]]+Tableau2[[#This Row],[Intérêts différés]])</f>
        <v>0</v>
      </c>
      <c r="U108" s="16">
        <f>SUM(Tableau1[[#This Row],[Assurances]]+Tableau2[[#This Row],[Assurances]])</f>
        <v>27.580000000000002</v>
      </c>
      <c r="V108" s="16">
        <f>SUM(Tableau1[[#This Row],[Total à payer]]+Tableau2[[#This Row],[Total à payer]])</f>
        <v>706.74</v>
      </c>
      <c r="W108" s="16">
        <f>SUM(Tableau1[[#This Row],[Montant restant dû après échéance]]+Tableau2[[#This Row],[Montant restant dû après échéance]])</f>
        <v>100860.92</v>
      </c>
    </row>
    <row r="109" spans="1:23" x14ac:dyDescent="0.3">
      <c r="A109" s="76">
        <v>103</v>
      </c>
      <c r="B109" s="77">
        <v>307.58</v>
      </c>
      <c r="C109" s="77">
        <v>315.93</v>
      </c>
      <c r="D109" s="77">
        <v>0</v>
      </c>
      <c r="E109" s="77">
        <v>26.29</v>
      </c>
      <c r="F109" s="77">
        <v>649.79999999999995</v>
      </c>
      <c r="G109" s="77">
        <v>96160.01</v>
      </c>
      <c r="H109" s="78"/>
      <c r="I109" s="76">
        <v>103</v>
      </c>
      <c r="J109" s="77">
        <v>55.74</v>
      </c>
      <c r="K109" s="77">
        <v>0</v>
      </c>
      <c r="L109" s="77">
        <v>0</v>
      </c>
      <c r="M109" s="77">
        <v>1.2</v>
      </c>
      <c r="N109" s="77">
        <v>56.94</v>
      </c>
      <c r="O109" s="77">
        <v>4337.59</v>
      </c>
      <c r="Q109">
        <v>103</v>
      </c>
      <c r="R109" s="16">
        <f>SUM(Tableau1[[#This Row],[Amortiss. Capital]]+Tableau2[[#This Row],[Amortiss. Capital]])</f>
        <v>363.32</v>
      </c>
      <c r="S109" s="16">
        <f>SUM(Tableau1[[#This Row],[Intérêt Normaux]]+Tableau2[[#This Row],[Intérêt Normaux]])</f>
        <v>315.93</v>
      </c>
      <c r="T109" s="16">
        <f>SUM(Tableau1[[#This Row],[Intérêts différés]]+Tableau2[[#This Row],[Intérêts différés]])</f>
        <v>0</v>
      </c>
      <c r="U109" s="16">
        <f>SUM(Tableau1[[#This Row],[Assurances]]+Tableau2[[#This Row],[Assurances]])</f>
        <v>27.49</v>
      </c>
      <c r="V109" s="16">
        <f>SUM(Tableau1[[#This Row],[Total à payer]]+Tableau2[[#This Row],[Total à payer]])</f>
        <v>706.74</v>
      </c>
      <c r="W109" s="16">
        <f>SUM(Tableau1[[#This Row],[Montant restant dû après échéance]]+Tableau2[[#This Row],[Montant restant dû après échéance]])</f>
        <v>100497.59999999999</v>
      </c>
    </row>
    <row r="110" spans="1:23" x14ac:dyDescent="0.3">
      <c r="A110" s="76">
        <v>104</v>
      </c>
      <c r="B110" s="77">
        <v>308.68</v>
      </c>
      <c r="C110" s="77">
        <v>314.92</v>
      </c>
      <c r="D110" s="77">
        <v>0</v>
      </c>
      <c r="E110" s="77">
        <v>26.2</v>
      </c>
      <c r="F110" s="77">
        <v>649.79999999999995</v>
      </c>
      <c r="G110" s="77">
        <v>95851.33</v>
      </c>
      <c r="H110" s="78"/>
      <c r="I110" s="76">
        <v>104</v>
      </c>
      <c r="J110" s="77">
        <v>55.76</v>
      </c>
      <c r="K110" s="77">
        <v>0</v>
      </c>
      <c r="L110" s="77">
        <v>0</v>
      </c>
      <c r="M110" s="77">
        <v>1.18</v>
      </c>
      <c r="N110" s="77">
        <v>56.94</v>
      </c>
      <c r="O110" s="77">
        <v>4281.83</v>
      </c>
      <c r="Q110">
        <v>104</v>
      </c>
      <c r="R110" s="16">
        <f>SUM(Tableau1[[#This Row],[Amortiss. Capital]]+Tableau2[[#This Row],[Amortiss. Capital]])</f>
        <v>364.44</v>
      </c>
      <c r="S110" s="16">
        <f>SUM(Tableau1[[#This Row],[Intérêt Normaux]]+Tableau2[[#This Row],[Intérêt Normaux]])</f>
        <v>314.92</v>
      </c>
      <c r="T110" s="16">
        <f>SUM(Tableau1[[#This Row],[Intérêts différés]]+Tableau2[[#This Row],[Intérêts différés]])</f>
        <v>0</v>
      </c>
      <c r="U110" s="16">
        <f>SUM(Tableau1[[#This Row],[Assurances]]+Tableau2[[#This Row],[Assurances]])</f>
        <v>27.38</v>
      </c>
      <c r="V110" s="16">
        <f>SUM(Tableau1[[#This Row],[Total à payer]]+Tableau2[[#This Row],[Total à payer]])</f>
        <v>706.74</v>
      </c>
      <c r="W110" s="16">
        <f>SUM(Tableau1[[#This Row],[Montant restant dû après échéance]]+Tableau2[[#This Row],[Montant restant dû après échéance]])</f>
        <v>100133.16</v>
      </c>
    </row>
    <row r="111" spans="1:23" x14ac:dyDescent="0.3">
      <c r="A111" s="76">
        <v>105</v>
      </c>
      <c r="B111" s="77">
        <v>309.77</v>
      </c>
      <c r="C111" s="77">
        <v>313.91000000000003</v>
      </c>
      <c r="D111" s="77">
        <v>0</v>
      </c>
      <c r="E111" s="77">
        <v>26.12</v>
      </c>
      <c r="F111" s="77">
        <v>649.79999999999995</v>
      </c>
      <c r="G111" s="77">
        <v>95541.56</v>
      </c>
      <c r="H111" s="78"/>
      <c r="I111" s="76">
        <v>105</v>
      </c>
      <c r="J111" s="77">
        <v>55.77</v>
      </c>
      <c r="K111" s="77">
        <v>0</v>
      </c>
      <c r="L111" s="77">
        <v>0</v>
      </c>
      <c r="M111" s="77">
        <v>1.17</v>
      </c>
      <c r="N111" s="77">
        <v>56.94</v>
      </c>
      <c r="O111" s="77">
        <v>4226.0600000000004</v>
      </c>
      <c r="Q111">
        <v>105</v>
      </c>
      <c r="R111" s="16">
        <f>SUM(Tableau1[[#This Row],[Amortiss. Capital]]+Tableau2[[#This Row],[Amortiss. Capital]])</f>
        <v>365.53999999999996</v>
      </c>
      <c r="S111" s="16">
        <f>SUM(Tableau1[[#This Row],[Intérêt Normaux]]+Tableau2[[#This Row],[Intérêt Normaux]])</f>
        <v>313.91000000000003</v>
      </c>
      <c r="T111" s="16">
        <f>SUM(Tableau1[[#This Row],[Intérêts différés]]+Tableau2[[#This Row],[Intérêts différés]])</f>
        <v>0</v>
      </c>
      <c r="U111" s="16">
        <f>SUM(Tableau1[[#This Row],[Assurances]]+Tableau2[[#This Row],[Assurances]])</f>
        <v>27.29</v>
      </c>
      <c r="V111" s="16">
        <f>SUM(Tableau1[[#This Row],[Total à payer]]+Tableau2[[#This Row],[Total à payer]])</f>
        <v>706.74</v>
      </c>
      <c r="W111" s="16">
        <f>SUM(Tableau1[[#This Row],[Montant restant dû après échéance]]+Tableau2[[#This Row],[Montant restant dû après échéance]])</f>
        <v>99767.62</v>
      </c>
    </row>
    <row r="112" spans="1:23" x14ac:dyDescent="0.3">
      <c r="A112" s="76">
        <v>106</v>
      </c>
      <c r="B112" s="77">
        <v>310.86</v>
      </c>
      <c r="C112" s="77">
        <v>312.89999999999998</v>
      </c>
      <c r="D112" s="77">
        <v>0</v>
      </c>
      <c r="E112" s="77">
        <v>26.04</v>
      </c>
      <c r="F112" s="77">
        <v>649.79999999999995</v>
      </c>
      <c r="G112" s="77">
        <v>95230.7</v>
      </c>
      <c r="H112" s="78"/>
      <c r="I112" s="76">
        <v>106</v>
      </c>
      <c r="J112" s="77">
        <v>55.79</v>
      </c>
      <c r="K112" s="77">
        <v>0</v>
      </c>
      <c r="L112" s="77">
        <v>0</v>
      </c>
      <c r="M112" s="77">
        <v>1.1499999999999999</v>
      </c>
      <c r="N112" s="77">
        <v>56.94</v>
      </c>
      <c r="O112" s="77">
        <v>4170.2700000000004</v>
      </c>
      <c r="Q112">
        <v>106</v>
      </c>
      <c r="R112" s="16">
        <f>SUM(Tableau1[[#This Row],[Amortiss. Capital]]+Tableau2[[#This Row],[Amortiss. Capital]])</f>
        <v>366.65000000000003</v>
      </c>
      <c r="S112" s="16">
        <f>SUM(Tableau1[[#This Row],[Intérêt Normaux]]+Tableau2[[#This Row],[Intérêt Normaux]])</f>
        <v>312.89999999999998</v>
      </c>
      <c r="T112" s="16">
        <f>SUM(Tableau1[[#This Row],[Intérêts différés]]+Tableau2[[#This Row],[Intérêts différés]])</f>
        <v>0</v>
      </c>
      <c r="U112" s="16">
        <f>SUM(Tableau1[[#This Row],[Assurances]]+Tableau2[[#This Row],[Assurances]])</f>
        <v>27.189999999999998</v>
      </c>
      <c r="V112" s="16">
        <f>SUM(Tableau1[[#This Row],[Total à payer]]+Tableau2[[#This Row],[Total à payer]])</f>
        <v>706.74</v>
      </c>
      <c r="W112" s="16">
        <f>SUM(Tableau1[[#This Row],[Montant restant dû après échéance]]+Tableau2[[#This Row],[Montant restant dû après échéance]])</f>
        <v>99400.97</v>
      </c>
    </row>
    <row r="113" spans="1:23" x14ac:dyDescent="0.3">
      <c r="A113" s="76">
        <v>107</v>
      </c>
      <c r="B113" s="77">
        <v>311.97000000000003</v>
      </c>
      <c r="C113" s="77">
        <v>311.88</v>
      </c>
      <c r="D113" s="77">
        <v>0</v>
      </c>
      <c r="E113" s="77">
        <v>25.95</v>
      </c>
      <c r="F113" s="77">
        <v>649.79999999999995</v>
      </c>
      <c r="G113" s="77">
        <v>94918.73</v>
      </c>
      <c r="H113" s="78"/>
      <c r="I113" s="76">
        <v>107</v>
      </c>
      <c r="J113" s="77">
        <v>55.8</v>
      </c>
      <c r="K113" s="77">
        <v>0</v>
      </c>
      <c r="L113" s="77">
        <v>0</v>
      </c>
      <c r="M113" s="77">
        <v>1.1399999999999999</v>
      </c>
      <c r="N113" s="77">
        <v>56.94</v>
      </c>
      <c r="O113" s="77">
        <v>4114.47</v>
      </c>
      <c r="Q113">
        <v>107</v>
      </c>
      <c r="R113" s="16">
        <f>SUM(Tableau1[[#This Row],[Amortiss. Capital]]+Tableau2[[#This Row],[Amortiss. Capital]])</f>
        <v>367.77000000000004</v>
      </c>
      <c r="S113" s="16">
        <f>SUM(Tableau1[[#This Row],[Intérêt Normaux]]+Tableau2[[#This Row],[Intérêt Normaux]])</f>
        <v>311.88</v>
      </c>
      <c r="T113" s="16">
        <f>SUM(Tableau1[[#This Row],[Intérêts différés]]+Tableau2[[#This Row],[Intérêts différés]])</f>
        <v>0</v>
      </c>
      <c r="U113" s="16">
        <f>SUM(Tableau1[[#This Row],[Assurances]]+Tableau2[[#This Row],[Assurances]])</f>
        <v>27.09</v>
      </c>
      <c r="V113" s="16">
        <f>SUM(Tableau1[[#This Row],[Total à payer]]+Tableau2[[#This Row],[Total à payer]])</f>
        <v>706.74</v>
      </c>
      <c r="W113" s="16">
        <f>SUM(Tableau1[[#This Row],[Montant restant dû après échéance]]+Tableau2[[#This Row],[Montant restant dû après échéance]])</f>
        <v>99033.2</v>
      </c>
    </row>
    <row r="114" spans="1:23" x14ac:dyDescent="0.3">
      <c r="A114" s="76">
        <v>108</v>
      </c>
      <c r="B114" s="77">
        <v>313.07</v>
      </c>
      <c r="C114" s="77">
        <v>310.86</v>
      </c>
      <c r="D114" s="77">
        <v>0</v>
      </c>
      <c r="E114" s="77">
        <v>25.87</v>
      </c>
      <c r="F114" s="77">
        <v>649.79999999999995</v>
      </c>
      <c r="G114" s="77">
        <v>94605.66</v>
      </c>
      <c r="H114" s="78"/>
      <c r="I114" s="76">
        <v>108</v>
      </c>
      <c r="J114" s="77">
        <v>55.82</v>
      </c>
      <c r="K114" s="77">
        <v>0</v>
      </c>
      <c r="L114" s="77">
        <v>0</v>
      </c>
      <c r="M114" s="77">
        <v>1.1200000000000001</v>
      </c>
      <c r="N114" s="77">
        <v>56.94</v>
      </c>
      <c r="O114" s="77">
        <v>4058.65</v>
      </c>
      <c r="Q114">
        <v>108</v>
      </c>
      <c r="R114" s="16">
        <f>SUM(Tableau1[[#This Row],[Amortiss. Capital]]+Tableau2[[#This Row],[Amortiss. Capital]])</f>
        <v>368.89</v>
      </c>
      <c r="S114" s="16">
        <f>SUM(Tableau1[[#This Row],[Intérêt Normaux]]+Tableau2[[#This Row],[Intérêt Normaux]])</f>
        <v>310.86</v>
      </c>
      <c r="T114" s="16">
        <f>SUM(Tableau1[[#This Row],[Intérêts différés]]+Tableau2[[#This Row],[Intérêts différés]])</f>
        <v>0</v>
      </c>
      <c r="U114" s="16">
        <f>SUM(Tableau1[[#This Row],[Assurances]]+Tableau2[[#This Row],[Assurances]])</f>
        <v>26.990000000000002</v>
      </c>
      <c r="V114" s="16">
        <f>SUM(Tableau1[[#This Row],[Total à payer]]+Tableau2[[#This Row],[Total à payer]])</f>
        <v>706.74</v>
      </c>
      <c r="W114" s="16">
        <f>SUM(Tableau1[[#This Row],[Montant restant dû après échéance]]+Tableau2[[#This Row],[Montant restant dû après échéance]])</f>
        <v>98664.31</v>
      </c>
    </row>
    <row r="115" spans="1:23" x14ac:dyDescent="0.3">
      <c r="A115" s="76">
        <v>109</v>
      </c>
      <c r="B115" s="77">
        <v>314.19</v>
      </c>
      <c r="C115" s="77">
        <v>309.83</v>
      </c>
      <c r="D115" s="77">
        <v>0</v>
      </c>
      <c r="E115" s="77">
        <v>25.78</v>
      </c>
      <c r="F115" s="77">
        <v>649.79999999999995</v>
      </c>
      <c r="G115" s="77">
        <v>94291.47</v>
      </c>
      <c r="H115" s="78"/>
      <c r="I115" s="76">
        <v>109</v>
      </c>
      <c r="J115" s="77">
        <v>55.83</v>
      </c>
      <c r="K115" s="77">
        <v>0</v>
      </c>
      <c r="L115" s="77">
        <v>0</v>
      </c>
      <c r="M115" s="77">
        <v>1.1100000000000001</v>
      </c>
      <c r="N115" s="77">
        <v>56.94</v>
      </c>
      <c r="O115" s="77">
        <v>4002.82</v>
      </c>
      <c r="Q115">
        <v>109</v>
      </c>
      <c r="R115" s="16">
        <f>SUM(Tableau1[[#This Row],[Amortiss. Capital]]+Tableau2[[#This Row],[Amortiss. Capital]])</f>
        <v>370.02</v>
      </c>
      <c r="S115" s="16">
        <f>SUM(Tableau1[[#This Row],[Intérêt Normaux]]+Tableau2[[#This Row],[Intérêt Normaux]])</f>
        <v>309.83</v>
      </c>
      <c r="T115" s="16">
        <f>SUM(Tableau1[[#This Row],[Intérêts différés]]+Tableau2[[#This Row],[Intérêts différés]])</f>
        <v>0</v>
      </c>
      <c r="U115" s="16">
        <f>SUM(Tableau1[[#This Row],[Assurances]]+Tableau2[[#This Row],[Assurances]])</f>
        <v>26.89</v>
      </c>
      <c r="V115" s="16">
        <f>SUM(Tableau1[[#This Row],[Total à payer]]+Tableau2[[#This Row],[Total à payer]])</f>
        <v>706.74</v>
      </c>
      <c r="W115" s="16">
        <f>SUM(Tableau1[[#This Row],[Montant restant dû après échéance]]+Tableau2[[#This Row],[Montant restant dû après échéance]])</f>
        <v>98294.290000000008</v>
      </c>
    </row>
    <row r="116" spans="1:23" x14ac:dyDescent="0.3">
      <c r="A116" s="76">
        <v>110</v>
      </c>
      <c r="B116" s="77">
        <v>315.31</v>
      </c>
      <c r="C116" s="77">
        <v>308.8</v>
      </c>
      <c r="D116" s="77">
        <v>0</v>
      </c>
      <c r="E116" s="77">
        <v>25.69</v>
      </c>
      <c r="F116" s="77">
        <v>649.79999999999995</v>
      </c>
      <c r="G116" s="77">
        <v>93976.16</v>
      </c>
      <c r="H116" s="78"/>
      <c r="I116" s="76">
        <v>110</v>
      </c>
      <c r="J116" s="77">
        <v>55.85</v>
      </c>
      <c r="K116" s="77">
        <v>0</v>
      </c>
      <c r="L116" s="77">
        <v>0</v>
      </c>
      <c r="M116" s="77">
        <v>1.0900000000000001</v>
      </c>
      <c r="N116" s="77">
        <v>56.94</v>
      </c>
      <c r="O116" s="77">
        <v>3946.97</v>
      </c>
      <c r="Q116">
        <v>110</v>
      </c>
      <c r="R116" s="16">
        <f>SUM(Tableau1[[#This Row],[Amortiss. Capital]]+Tableau2[[#This Row],[Amortiss. Capital]])</f>
        <v>371.16</v>
      </c>
      <c r="S116" s="16">
        <f>SUM(Tableau1[[#This Row],[Intérêt Normaux]]+Tableau2[[#This Row],[Intérêt Normaux]])</f>
        <v>308.8</v>
      </c>
      <c r="T116" s="16">
        <f>SUM(Tableau1[[#This Row],[Intérêts différés]]+Tableau2[[#This Row],[Intérêts différés]])</f>
        <v>0</v>
      </c>
      <c r="U116" s="16">
        <f>SUM(Tableau1[[#This Row],[Assurances]]+Tableau2[[#This Row],[Assurances]])</f>
        <v>26.78</v>
      </c>
      <c r="V116" s="16">
        <f>SUM(Tableau1[[#This Row],[Total à payer]]+Tableau2[[#This Row],[Total à payer]])</f>
        <v>706.74</v>
      </c>
      <c r="W116" s="16">
        <f>SUM(Tableau1[[#This Row],[Montant restant dû après échéance]]+Tableau2[[#This Row],[Montant restant dû après échéance]])</f>
        <v>97923.13</v>
      </c>
    </row>
    <row r="117" spans="1:23" x14ac:dyDescent="0.3">
      <c r="A117" s="76">
        <v>111</v>
      </c>
      <c r="B117" s="77">
        <v>316.42</v>
      </c>
      <c r="C117" s="77">
        <v>307.77</v>
      </c>
      <c r="D117" s="77">
        <v>0</v>
      </c>
      <c r="E117" s="77">
        <v>25.61</v>
      </c>
      <c r="F117" s="77">
        <v>649.79999999999995</v>
      </c>
      <c r="G117" s="77">
        <v>93659.74</v>
      </c>
      <c r="H117" s="78"/>
      <c r="I117" s="76">
        <v>111</v>
      </c>
      <c r="J117" s="77">
        <v>55.86</v>
      </c>
      <c r="K117" s="77">
        <v>0</v>
      </c>
      <c r="L117" s="77">
        <v>0</v>
      </c>
      <c r="M117" s="77">
        <v>1.08</v>
      </c>
      <c r="N117" s="77">
        <v>56.94</v>
      </c>
      <c r="O117" s="77">
        <v>3891.11</v>
      </c>
      <c r="Q117">
        <v>111</v>
      </c>
      <c r="R117" s="16">
        <f>SUM(Tableau1[[#This Row],[Amortiss. Capital]]+Tableau2[[#This Row],[Amortiss. Capital]])</f>
        <v>372.28000000000003</v>
      </c>
      <c r="S117" s="16">
        <f>SUM(Tableau1[[#This Row],[Intérêt Normaux]]+Tableau2[[#This Row],[Intérêt Normaux]])</f>
        <v>307.77</v>
      </c>
      <c r="T117" s="16">
        <f>SUM(Tableau1[[#This Row],[Intérêts différés]]+Tableau2[[#This Row],[Intérêts différés]])</f>
        <v>0</v>
      </c>
      <c r="U117" s="16">
        <f>SUM(Tableau1[[#This Row],[Assurances]]+Tableau2[[#This Row],[Assurances]])</f>
        <v>26.689999999999998</v>
      </c>
      <c r="V117" s="16">
        <f>SUM(Tableau1[[#This Row],[Total à payer]]+Tableau2[[#This Row],[Total à payer]])</f>
        <v>706.74</v>
      </c>
      <c r="W117" s="16">
        <f>SUM(Tableau1[[#This Row],[Montant restant dû après échéance]]+Tableau2[[#This Row],[Montant restant dû après échéance]])</f>
        <v>97550.85</v>
      </c>
    </row>
    <row r="118" spans="1:23" x14ac:dyDescent="0.3">
      <c r="A118" s="76">
        <v>112</v>
      </c>
      <c r="B118" s="77">
        <v>317.54000000000002</v>
      </c>
      <c r="C118" s="77">
        <v>306.74</v>
      </c>
      <c r="D118" s="77">
        <v>0</v>
      </c>
      <c r="E118" s="77">
        <v>25.52</v>
      </c>
      <c r="F118" s="77">
        <v>649.79999999999995</v>
      </c>
      <c r="G118" s="77">
        <v>93342.2</v>
      </c>
      <c r="H118" s="78"/>
      <c r="I118" s="76">
        <v>112</v>
      </c>
      <c r="J118" s="77">
        <v>55.88</v>
      </c>
      <c r="K118" s="77">
        <v>0</v>
      </c>
      <c r="L118" s="77">
        <v>0</v>
      </c>
      <c r="M118" s="77">
        <v>1.06</v>
      </c>
      <c r="N118" s="77">
        <v>56.94</v>
      </c>
      <c r="O118" s="77">
        <v>3835.23</v>
      </c>
      <c r="Q118">
        <v>112</v>
      </c>
      <c r="R118" s="16">
        <f>SUM(Tableau1[[#This Row],[Amortiss. Capital]]+Tableau2[[#This Row],[Amortiss. Capital]])</f>
        <v>373.42</v>
      </c>
      <c r="S118" s="16">
        <f>SUM(Tableau1[[#This Row],[Intérêt Normaux]]+Tableau2[[#This Row],[Intérêt Normaux]])</f>
        <v>306.74</v>
      </c>
      <c r="T118" s="16">
        <f>SUM(Tableau1[[#This Row],[Intérêts différés]]+Tableau2[[#This Row],[Intérêts différés]])</f>
        <v>0</v>
      </c>
      <c r="U118" s="16">
        <f>SUM(Tableau1[[#This Row],[Assurances]]+Tableau2[[#This Row],[Assurances]])</f>
        <v>26.58</v>
      </c>
      <c r="V118" s="16">
        <f>SUM(Tableau1[[#This Row],[Total à payer]]+Tableau2[[#This Row],[Total à payer]])</f>
        <v>706.74</v>
      </c>
      <c r="W118" s="16">
        <f>SUM(Tableau1[[#This Row],[Montant restant dû après échéance]]+Tableau2[[#This Row],[Montant restant dû après échéance]])</f>
        <v>97177.43</v>
      </c>
    </row>
    <row r="119" spans="1:23" x14ac:dyDescent="0.3">
      <c r="A119" s="76">
        <v>113</v>
      </c>
      <c r="B119" s="77">
        <v>318.66000000000003</v>
      </c>
      <c r="C119" s="77">
        <v>305.7</v>
      </c>
      <c r="D119" s="77">
        <v>0</v>
      </c>
      <c r="E119" s="77">
        <v>25.44</v>
      </c>
      <c r="F119" s="77">
        <v>649.79999999999995</v>
      </c>
      <c r="G119" s="77">
        <v>93023.54</v>
      </c>
      <c r="H119" s="78"/>
      <c r="I119" s="76">
        <v>113</v>
      </c>
      <c r="J119" s="77">
        <v>55.89</v>
      </c>
      <c r="K119" s="77">
        <v>0</v>
      </c>
      <c r="L119" s="77">
        <v>0</v>
      </c>
      <c r="M119" s="77">
        <v>1.05</v>
      </c>
      <c r="N119" s="77">
        <v>56.94</v>
      </c>
      <c r="O119" s="77">
        <v>3779.34</v>
      </c>
      <c r="Q119">
        <v>113</v>
      </c>
      <c r="R119" s="16">
        <f>SUM(Tableau1[[#This Row],[Amortiss. Capital]]+Tableau2[[#This Row],[Amortiss. Capital]])</f>
        <v>374.55</v>
      </c>
      <c r="S119" s="16">
        <f>SUM(Tableau1[[#This Row],[Intérêt Normaux]]+Tableau2[[#This Row],[Intérêt Normaux]])</f>
        <v>305.7</v>
      </c>
      <c r="T119" s="16">
        <f>SUM(Tableau1[[#This Row],[Intérêts différés]]+Tableau2[[#This Row],[Intérêts différés]])</f>
        <v>0</v>
      </c>
      <c r="U119" s="16">
        <f>SUM(Tableau1[[#This Row],[Assurances]]+Tableau2[[#This Row],[Assurances]])</f>
        <v>26.490000000000002</v>
      </c>
      <c r="V119" s="16">
        <f>SUM(Tableau1[[#This Row],[Total à payer]]+Tableau2[[#This Row],[Total à payer]])</f>
        <v>706.74</v>
      </c>
      <c r="W119" s="16">
        <f>SUM(Tableau1[[#This Row],[Montant restant dû après échéance]]+Tableau2[[#This Row],[Montant restant dû après échéance]])</f>
        <v>96802.87999999999</v>
      </c>
    </row>
    <row r="120" spans="1:23" x14ac:dyDescent="0.3">
      <c r="A120" s="76">
        <v>114</v>
      </c>
      <c r="B120" s="77">
        <v>319.8</v>
      </c>
      <c r="C120" s="77">
        <v>304.64999999999998</v>
      </c>
      <c r="D120" s="77">
        <v>0</v>
      </c>
      <c r="E120" s="77">
        <v>25.35</v>
      </c>
      <c r="F120" s="77">
        <v>649.79999999999995</v>
      </c>
      <c r="G120" s="77">
        <v>92703.74</v>
      </c>
      <c r="H120" s="78"/>
      <c r="I120" s="76">
        <v>114</v>
      </c>
      <c r="J120" s="77">
        <v>55.91</v>
      </c>
      <c r="K120" s="77">
        <v>0</v>
      </c>
      <c r="L120" s="77">
        <v>0</v>
      </c>
      <c r="M120" s="77">
        <v>1.03</v>
      </c>
      <c r="N120" s="77">
        <v>56.94</v>
      </c>
      <c r="O120" s="77">
        <v>3723.43</v>
      </c>
      <c r="Q120">
        <v>114</v>
      </c>
      <c r="R120" s="16">
        <f>SUM(Tableau1[[#This Row],[Amortiss. Capital]]+Tableau2[[#This Row],[Amortiss. Capital]])</f>
        <v>375.71000000000004</v>
      </c>
      <c r="S120" s="16">
        <f>SUM(Tableau1[[#This Row],[Intérêt Normaux]]+Tableau2[[#This Row],[Intérêt Normaux]])</f>
        <v>304.64999999999998</v>
      </c>
      <c r="T120" s="16">
        <f>SUM(Tableau1[[#This Row],[Intérêts différés]]+Tableau2[[#This Row],[Intérêts différés]])</f>
        <v>0</v>
      </c>
      <c r="U120" s="16">
        <f>SUM(Tableau1[[#This Row],[Assurances]]+Tableau2[[#This Row],[Assurances]])</f>
        <v>26.380000000000003</v>
      </c>
      <c r="V120" s="16">
        <f>SUM(Tableau1[[#This Row],[Total à payer]]+Tableau2[[#This Row],[Total à payer]])</f>
        <v>706.74</v>
      </c>
      <c r="W120" s="16">
        <f>SUM(Tableau1[[#This Row],[Montant restant dû après échéance]]+Tableau2[[#This Row],[Montant restant dû après échéance]])</f>
        <v>96427.17</v>
      </c>
    </row>
    <row r="121" spans="1:23" x14ac:dyDescent="0.3">
      <c r="A121" s="76">
        <v>115</v>
      </c>
      <c r="B121" s="77">
        <v>320.94</v>
      </c>
      <c r="C121" s="77">
        <v>303.60000000000002</v>
      </c>
      <c r="D121" s="77">
        <v>0</v>
      </c>
      <c r="E121" s="77">
        <v>25.26</v>
      </c>
      <c r="F121" s="77">
        <v>649.79999999999995</v>
      </c>
      <c r="G121" s="77">
        <v>92382.8</v>
      </c>
      <c r="H121" s="78"/>
      <c r="I121" s="76">
        <v>115</v>
      </c>
      <c r="J121" s="77">
        <v>55.93</v>
      </c>
      <c r="K121" s="77">
        <v>0</v>
      </c>
      <c r="L121" s="77">
        <v>0</v>
      </c>
      <c r="M121" s="77">
        <v>1.01</v>
      </c>
      <c r="N121" s="77">
        <v>56.94</v>
      </c>
      <c r="O121" s="77">
        <v>3667.5</v>
      </c>
      <c r="Q121">
        <v>115</v>
      </c>
      <c r="R121" s="16">
        <f>SUM(Tableau1[[#This Row],[Amortiss. Capital]]+Tableau2[[#This Row],[Amortiss. Capital]])</f>
        <v>376.87</v>
      </c>
      <c r="S121" s="16">
        <f>SUM(Tableau1[[#This Row],[Intérêt Normaux]]+Tableau2[[#This Row],[Intérêt Normaux]])</f>
        <v>303.60000000000002</v>
      </c>
      <c r="T121" s="16">
        <f>SUM(Tableau1[[#This Row],[Intérêts différés]]+Tableau2[[#This Row],[Intérêts différés]])</f>
        <v>0</v>
      </c>
      <c r="U121" s="16">
        <f>SUM(Tableau1[[#This Row],[Assurances]]+Tableau2[[#This Row],[Assurances]])</f>
        <v>26.270000000000003</v>
      </c>
      <c r="V121" s="16">
        <f>SUM(Tableau1[[#This Row],[Total à payer]]+Tableau2[[#This Row],[Total à payer]])</f>
        <v>706.74</v>
      </c>
      <c r="W121" s="16">
        <f>SUM(Tableau1[[#This Row],[Montant restant dû après échéance]]+Tableau2[[#This Row],[Montant restant dû après échéance]])</f>
        <v>96050.3</v>
      </c>
    </row>
    <row r="122" spans="1:23" x14ac:dyDescent="0.3">
      <c r="A122" s="76">
        <v>116</v>
      </c>
      <c r="B122" s="77">
        <v>322.08</v>
      </c>
      <c r="C122" s="77">
        <v>302.55</v>
      </c>
      <c r="D122" s="77">
        <v>0</v>
      </c>
      <c r="E122" s="77">
        <v>25.17</v>
      </c>
      <c r="F122" s="77">
        <v>649.79999999999995</v>
      </c>
      <c r="G122" s="77">
        <v>92060.72</v>
      </c>
      <c r="H122" s="78"/>
      <c r="I122" s="76">
        <v>116</v>
      </c>
      <c r="J122" s="77">
        <v>55.94</v>
      </c>
      <c r="K122" s="77">
        <v>0</v>
      </c>
      <c r="L122" s="77">
        <v>0</v>
      </c>
      <c r="M122" s="77">
        <v>1</v>
      </c>
      <c r="N122" s="77">
        <v>56.94</v>
      </c>
      <c r="O122" s="77">
        <v>3611.56</v>
      </c>
      <c r="Q122">
        <v>116</v>
      </c>
      <c r="R122" s="16">
        <f>SUM(Tableau1[[#This Row],[Amortiss. Capital]]+Tableau2[[#This Row],[Amortiss. Capital]])</f>
        <v>378.02</v>
      </c>
      <c r="S122" s="16">
        <f>SUM(Tableau1[[#This Row],[Intérêt Normaux]]+Tableau2[[#This Row],[Intérêt Normaux]])</f>
        <v>302.55</v>
      </c>
      <c r="T122" s="16">
        <f>SUM(Tableau1[[#This Row],[Intérêts différés]]+Tableau2[[#This Row],[Intérêts différés]])</f>
        <v>0</v>
      </c>
      <c r="U122" s="16">
        <f>SUM(Tableau1[[#This Row],[Assurances]]+Tableau2[[#This Row],[Assurances]])</f>
        <v>26.17</v>
      </c>
      <c r="V122" s="16">
        <f>SUM(Tableau1[[#This Row],[Total à payer]]+Tableau2[[#This Row],[Total à payer]])</f>
        <v>706.74</v>
      </c>
      <c r="W122" s="16">
        <f>SUM(Tableau1[[#This Row],[Montant restant dû après échéance]]+Tableau2[[#This Row],[Montant restant dû après échéance]])</f>
        <v>95672.28</v>
      </c>
    </row>
    <row r="123" spans="1:23" x14ac:dyDescent="0.3">
      <c r="A123" s="76">
        <v>117</v>
      </c>
      <c r="B123" s="77">
        <v>323.20999999999998</v>
      </c>
      <c r="C123" s="77">
        <v>301.5</v>
      </c>
      <c r="D123" s="77">
        <v>0</v>
      </c>
      <c r="E123" s="77">
        <v>25.09</v>
      </c>
      <c r="F123" s="77">
        <v>649.79999999999995</v>
      </c>
      <c r="G123" s="77">
        <v>91737.51</v>
      </c>
      <c r="H123" s="78"/>
      <c r="I123" s="76">
        <v>117</v>
      </c>
      <c r="J123" s="77">
        <v>55.96</v>
      </c>
      <c r="K123" s="77">
        <v>0</v>
      </c>
      <c r="L123" s="77">
        <v>0</v>
      </c>
      <c r="M123" s="77">
        <v>0.98</v>
      </c>
      <c r="N123" s="77">
        <v>56.94</v>
      </c>
      <c r="O123" s="77">
        <v>3555.6</v>
      </c>
      <c r="Q123">
        <v>117</v>
      </c>
      <c r="R123" s="16">
        <f>SUM(Tableau1[[#This Row],[Amortiss. Capital]]+Tableau2[[#This Row],[Amortiss. Capital]])</f>
        <v>379.16999999999996</v>
      </c>
      <c r="S123" s="16">
        <f>SUM(Tableau1[[#This Row],[Intérêt Normaux]]+Tableau2[[#This Row],[Intérêt Normaux]])</f>
        <v>301.5</v>
      </c>
      <c r="T123" s="16">
        <f>SUM(Tableau1[[#This Row],[Intérêts différés]]+Tableau2[[#This Row],[Intérêts différés]])</f>
        <v>0</v>
      </c>
      <c r="U123" s="16">
        <f>SUM(Tableau1[[#This Row],[Assurances]]+Tableau2[[#This Row],[Assurances]])</f>
        <v>26.07</v>
      </c>
      <c r="V123" s="16">
        <f>SUM(Tableau1[[#This Row],[Total à payer]]+Tableau2[[#This Row],[Total à payer]])</f>
        <v>706.74</v>
      </c>
      <c r="W123" s="16">
        <f>SUM(Tableau1[[#This Row],[Montant restant dû après échéance]]+Tableau2[[#This Row],[Montant restant dû après échéance]])</f>
        <v>95293.11</v>
      </c>
    </row>
    <row r="124" spans="1:23" x14ac:dyDescent="0.3">
      <c r="A124" s="76">
        <v>118</v>
      </c>
      <c r="B124" s="77">
        <v>324.36</v>
      </c>
      <c r="C124" s="77">
        <v>300.44</v>
      </c>
      <c r="D124" s="77">
        <v>0</v>
      </c>
      <c r="E124" s="77">
        <v>25</v>
      </c>
      <c r="F124" s="77">
        <v>649.79999999999995</v>
      </c>
      <c r="G124" s="77">
        <v>91413.15</v>
      </c>
      <c r="H124" s="78"/>
      <c r="I124" s="76">
        <v>118</v>
      </c>
      <c r="J124" s="77">
        <v>55.97</v>
      </c>
      <c r="K124" s="77">
        <v>0</v>
      </c>
      <c r="L124" s="77">
        <v>0</v>
      </c>
      <c r="M124" s="77">
        <v>0.97</v>
      </c>
      <c r="N124" s="77">
        <v>56.94</v>
      </c>
      <c r="O124" s="77">
        <v>3499.63</v>
      </c>
      <c r="Q124">
        <v>118</v>
      </c>
      <c r="R124" s="16">
        <f>SUM(Tableau1[[#This Row],[Amortiss. Capital]]+Tableau2[[#This Row],[Amortiss. Capital]])</f>
        <v>380.33000000000004</v>
      </c>
      <c r="S124" s="16">
        <f>SUM(Tableau1[[#This Row],[Intérêt Normaux]]+Tableau2[[#This Row],[Intérêt Normaux]])</f>
        <v>300.44</v>
      </c>
      <c r="T124" s="16">
        <f>SUM(Tableau1[[#This Row],[Intérêts différés]]+Tableau2[[#This Row],[Intérêts différés]])</f>
        <v>0</v>
      </c>
      <c r="U124" s="16">
        <f>SUM(Tableau1[[#This Row],[Assurances]]+Tableau2[[#This Row],[Assurances]])</f>
        <v>25.97</v>
      </c>
      <c r="V124" s="16">
        <f>SUM(Tableau1[[#This Row],[Total à payer]]+Tableau2[[#This Row],[Total à payer]])</f>
        <v>706.74</v>
      </c>
      <c r="W124" s="16">
        <f>SUM(Tableau1[[#This Row],[Montant restant dû après échéance]]+Tableau2[[#This Row],[Montant restant dû après échéance]])</f>
        <v>94912.78</v>
      </c>
    </row>
    <row r="125" spans="1:23" x14ac:dyDescent="0.3">
      <c r="A125" s="76">
        <v>119</v>
      </c>
      <c r="B125" s="77">
        <v>325.51</v>
      </c>
      <c r="C125" s="77">
        <v>299.38</v>
      </c>
      <c r="D125" s="77">
        <v>0</v>
      </c>
      <c r="E125" s="77">
        <v>24.91</v>
      </c>
      <c r="F125" s="77">
        <v>649.79999999999995</v>
      </c>
      <c r="G125" s="77">
        <v>91087.64</v>
      </c>
      <c r="H125" s="78"/>
      <c r="I125" s="76">
        <v>119</v>
      </c>
      <c r="J125" s="77">
        <v>55.99</v>
      </c>
      <c r="K125" s="77">
        <v>0</v>
      </c>
      <c r="L125" s="77">
        <v>0</v>
      </c>
      <c r="M125" s="77">
        <v>0.95</v>
      </c>
      <c r="N125" s="77">
        <v>56.94</v>
      </c>
      <c r="O125" s="77">
        <v>3443.64</v>
      </c>
      <c r="Q125">
        <v>119</v>
      </c>
      <c r="R125" s="16">
        <f>SUM(Tableau1[[#This Row],[Amortiss. Capital]]+Tableau2[[#This Row],[Amortiss. Capital]])</f>
        <v>381.5</v>
      </c>
      <c r="S125" s="16">
        <f>SUM(Tableau1[[#This Row],[Intérêt Normaux]]+Tableau2[[#This Row],[Intérêt Normaux]])</f>
        <v>299.38</v>
      </c>
      <c r="T125" s="16">
        <f>SUM(Tableau1[[#This Row],[Intérêts différés]]+Tableau2[[#This Row],[Intérêts différés]])</f>
        <v>0</v>
      </c>
      <c r="U125" s="16">
        <f>SUM(Tableau1[[#This Row],[Assurances]]+Tableau2[[#This Row],[Assurances]])</f>
        <v>25.86</v>
      </c>
      <c r="V125" s="16">
        <f>SUM(Tableau1[[#This Row],[Total à payer]]+Tableau2[[#This Row],[Total à payer]])</f>
        <v>706.74</v>
      </c>
      <c r="W125" s="16">
        <f>SUM(Tableau1[[#This Row],[Montant restant dû après échéance]]+Tableau2[[#This Row],[Montant restant dû après échéance]])</f>
        <v>94531.28</v>
      </c>
    </row>
    <row r="126" spans="1:23" x14ac:dyDescent="0.3">
      <c r="A126" s="76">
        <v>120</v>
      </c>
      <c r="B126" s="77">
        <v>326.67</v>
      </c>
      <c r="C126" s="77">
        <v>298.31</v>
      </c>
      <c r="D126" s="77">
        <v>0</v>
      </c>
      <c r="E126" s="77">
        <v>24.82</v>
      </c>
      <c r="F126" s="77">
        <v>649.79999999999995</v>
      </c>
      <c r="G126" s="77">
        <v>90760.97</v>
      </c>
      <c r="H126" s="78"/>
      <c r="I126" s="76">
        <v>120</v>
      </c>
      <c r="J126" s="77">
        <v>56</v>
      </c>
      <c r="K126" s="77">
        <v>0</v>
      </c>
      <c r="L126" s="77">
        <v>0</v>
      </c>
      <c r="M126" s="77">
        <v>0.94</v>
      </c>
      <c r="N126" s="77">
        <v>56.94</v>
      </c>
      <c r="O126" s="77">
        <v>3387.64</v>
      </c>
      <c r="Q126">
        <v>120</v>
      </c>
      <c r="R126" s="16">
        <f>SUM(Tableau1[[#This Row],[Amortiss. Capital]]+Tableau2[[#This Row],[Amortiss. Capital]])</f>
        <v>382.67</v>
      </c>
      <c r="S126" s="16">
        <f>SUM(Tableau1[[#This Row],[Intérêt Normaux]]+Tableau2[[#This Row],[Intérêt Normaux]])</f>
        <v>298.31</v>
      </c>
      <c r="T126" s="16">
        <f>SUM(Tableau1[[#This Row],[Intérêts différés]]+Tableau2[[#This Row],[Intérêts différés]])</f>
        <v>0</v>
      </c>
      <c r="U126" s="16">
        <f>SUM(Tableau1[[#This Row],[Assurances]]+Tableau2[[#This Row],[Assurances]])</f>
        <v>25.76</v>
      </c>
      <c r="V126" s="16">
        <f>SUM(Tableau1[[#This Row],[Total à payer]]+Tableau2[[#This Row],[Total à payer]])</f>
        <v>706.74</v>
      </c>
      <c r="W126" s="16">
        <f>SUM(Tableau1[[#This Row],[Montant restant dû après échéance]]+Tableau2[[#This Row],[Montant restant dû après échéance]])</f>
        <v>94148.61</v>
      </c>
    </row>
    <row r="127" spans="1:23" x14ac:dyDescent="0.3">
      <c r="A127" s="76">
        <v>121</v>
      </c>
      <c r="B127" s="77">
        <v>327.83</v>
      </c>
      <c r="C127" s="77">
        <v>297.24</v>
      </c>
      <c r="D127" s="77">
        <v>0</v>
      </c>
      <c r="E127" s="77">
        <v>24.73</v>
      </c>
      <c r="F127" s="77">
        <v>649.79999999999995</v>
      </c>
      <c r="G127" s="77">
        <v>90433.14</v>
      </c>
      <c r="H127" s="78"/>
      <c r="I127" s="76">
        <v>121</v>
      </c>
      <c r="J127" s="77">
        <v>56.02</v>
      </c>
      <c r="K127" s="77">
        <v>0</v>
      </c>
      <c r="L127" s="77">
        <v>0</v>
      </c>
      <c r="M127" s="77">
        <v>0.92</v>
      </c>
      <c r="N127" s="77">
        <v>56.94</v>
      </c>
      <c r="O127" s="77">
        <v>3331.62</v>
      </c>
      <c r="Q127">
        <v>121</v>
      </c>
      <c r="R127" s="16">
        <f>SUM(Tableau1[[#This Row],[Amortiss. Capital]]+Tableau2[[#This Row],[Amortiss. Capital]])</f>
        <v>383.84999999999997</v>
      </c>
      <c r="S127" s="16">
        <f>SUM(Tableau1[[#This Row],[Intérêt Normaux]]+Tableau2[[#This Row],[Intérêt Normaux]])</f>
        <v>297.24</v>
      </c>
      <c r="T127" s="16">
        <f>SUM(Tableau1[[#This Row],[Intérêts différés]]+Tableau2[[#This Row],[Intérêts différés]])</f>
        <v>0</v>
      </c>
      <c r="U127" s="16">
        <f>SUM(Tableau1[[#This Row],[Assurances]]+Tableau2[[#This Row],[Assurances]])</f>
        <v>25.650000000000002</v>
      </c>
      <c r="V127" s="16">
        <f>SUM(Tableau1[[#This Row],[Total à payer]]+Tableau2[[#This Row],[Total à payer]])</f>
        <v>706.74</v>
      </c>
      <c r="W127" s="16">
        <f>SUM(Tableau1[[#This Row],[Montant restant dû après échéance]]+Tableau2[[#This Row],[Montant restant dû après échéance]])</f>
        <v>93764.76</v>
      </c>
    </row>
    <row r="128" spans="1:23" x14ac:dyDescent="0.3">
      <c r="A128" s="76">
        <v>122</v>
      </c>
      <c r="B128" s="77">
        <v>328.99</v>
      </c>
      <c r="C128" s="77">
        <v>296.17</v>
      </c>
      <c r="D128" s="77">
        <v>0</v>
      </c>
      <c r="E128" s="77">
        <v>24.64</v>
      </c>
      <c r="F128" s="77">
        <v>649.79999999999995</v>
      </c>
      <c r="G128" s="77">
        <v>90104.15</v>
      </c>
      <c r="H128" s="78"/>
      <c r="I128" s="76">
        <v>122</v>
      </c>
      <c r="J128" s="77">
        <v>56.03</v>
      </c>
      <c r="K128" s="77">
        <v>0</v>
      </c>
      <c r="L128" s="77">
        <v>0</v>
      </c>
      <c r="M128" s="77">
        <v>0.91</v>
      </c>
      <c r="N128" s="77">
        <v>56.94</v>
      </c>
      <c r="O128" s="77">
        <v>3275.59</v>
      </c>
      <c r="Q128">
        <v>122</v>
      </c>
      <c r="R128" s="16">
        <f>SUM(Tableau1[[#This Row],[Amortiss. Capital]]+Tableau2[[#This Row],[Amortiss. Capital]])</f>
        <v>385.02</v>
      </c>
      <c r="S128" s="16">
        <f>SUM(Tableau1[[#This Row],[Intérêt Normaux]]+Tableau2[[#This Row],[Intérêt Normaux]])</f>
        <v>296.17</v>
      </c>
      <c r="T128" s="16">
        <f>SUM(Tableau1[[#This Row],[Intérêts différés]]+Tableau2[[#This Row],[Intérêts différés]])</f>
        <v>0</v>
      </c>
      <c r="U128" s="16">
        <f>SUM(Tableau1[[#This Row],[Assurances]]+Tableau2[[#This Row],[Assurances]])</f>
        <v>25.55</v>
      </c>
      <c r="V128" s="16">
        <f>SUM(Tableau1[[#This Row],[Total à payer]]+Tableau2[[#This Row],[Total à payer]])</f>
        <v>706.74</v>
      </c>
      <c r="W128" s="16">
        <f>SUM(Tableau1[[#This Row],[Montant restant dû après échéance]]+Tableau2[[#This Row],[Montant restant dû après échéance]])</f>
        <v>93379.739999999991</v>
      </c>
    </row>
    <row r="129" spans="1:23" x14ac:dyDescent="0.3">
      <c r="A129" s="76">
        <v>123</v>
      </c>
      <c r="B129" s="77">
        <v>330.16</v>
      </c>
      <c r="C129" s="77">
        <v>295.08999999999997</v>
      </c>
      <c r="D129" s="77">
        <v>0</v>
      </c>
      <c r="E129" s="77">
        <v>24.55</v>
      </c>
      <c r="F129" s="77">
        <v>649.79999999999995</v>
      </c>
      <c r="G129" s="77">
        <v>89773.99</v>
      </c>
      <c r="H129" s="78"/>
      <c r="I129" s="76">
        <v>123</v>
      </c>
      <c r="J129" s="77">
        <v>56.05</v>
      </c>
      <c r="K129" s="77">
        <v>0</v>
      </c>
      <c r="L129" s="77">
        <v>0</v>
      </c>
      <c r="M129" s="77">
        <v>0.89</v>
      </c>
      <c r="N129" s="77">
        <v>56.94</v>
      </c>
      <c r="O129" s="77">
        <v>3219.54</v>
      </c>
      <c r="Q129">
        <v>123</v>
      </c>
      <c r="R129" s="16">
        <f>SUM(Tableau1[[#This Row],[Amortiss. Capital]]+Tableau2[[#This Row],[Amortiss. Capital]])</f>
        <v>386.21000000000004</v>
      </c>
      <c r="S129" s="16">
        <f>SUM(Tableau1[[#This Row],[Intérêt Normaux]]+Tableau2[[#This Row],[Intérêt Normaux]])</f>
        <v>295.08999999999997</v>
      </c>
      <c r="T129" s="16">
        <f>SUM(Tableau1[[#This Row],[Intérêts différés]]+Tableau2[[#This Row],[Intérêts différés]])</f>
        <v>0</v>
      </c>
      <c r="U129" s="16">
        <f>SUM(Tableau1[[#This Row],[Assurances]]+Tableau2[[#This Row],[Assurances]])</f>
        <v>25.44</v>
      </c>
      <c r="V129" s="16">
        <f>SUM(Tableau1[[#This Row],[Total à payer]]+Tableau2[[#This Row],[Total à payer]])</f>
        <v>706.74</v>
      </c>
      <c r="W129" s="16">
        <f>SUM(Tableau1[[#This Row],[Montant restant dû après échéance]]+Tableau2[[#This Row],[Montant restant dû après échéance]])</f>
        <v>92993.53</v>
      </c>
    </row>
    <row r="130" spans="1:23" x14ac:dyDescent="0.3">
      <c r="A130" s="76">
        <v>124</v>
      </c>
      <c r="B130" s="77">
        <v>331.33</v>
      </c>
      <c r="C130" s="77">
        <v>294.01</v>
      </c>
      <c r="D130" s="77">
        <v>0</v>
      </c>
      <c r="E130" s="77">
        <v>24.46</v>
      </c>
      <c r="F130" s="77">
        <v>649.79999999999995</v>
      </c>
      <c r="G130" s="77">
        <v>89442.66</v>
      </c>
      <c r="H130" s="78"/>
      <c r="I130" s="76">
        <v>124</v>
      </c>
      <c r="J130" s="77">
        <v>56.06</v>
      </c>
      <c r="K130" s="77">
        <v>0</v>
      </c>
      <c r="L130" s="77">
        <v>0</v>
      </c>
      <c r="M130" s="77">
        <v>0.88</v>
      </c>
      <c r="N130" s="77">
        <v>56.94</v>
      </c>
      <c r="O130" s="77">
        <v>3163.48</v>
      </c>
      <c r="Q130">
        <v>124</v>
      </c>
      <c r="R130" s="16">
        <f>SUM(Tableau1[[#This Row],[Amortiss. Capital]]+Tableau2[[#This Row],[Amortiss. Capital]])</f>
        <v>387.39</v>
      </c>
      <c r="S130" s="16">
        <f>SUM(Tableau1[[#This Row],[Intérêt Normaux]]+Tableau2[[#This Row],[Intérêt Normaux]])</f>
        <v>294.01</v>
      </c>
      <c r="T130" s="16">
        <f>SUM(Tableau1[[#This Row],[Intérêts différés]]+Tableau2[[#This Row],[Intérêts différés]])</f>
        <v>0</v>
      </c>
      <c r="U130" s="16">
        <f>SUM(Tableau1[[#This Row],[Assurances]]+Tableau2[[#This Row],[Assurances]])</f>
        <v>25.34</v>
      </c>
      <c r="V130" s="16">
        <f>SUM(Tableau1[[#This Row],[Total à payer]]+Tableau2[[#This Row],[Total à payer]])</f>
        <v>706.74</v>
      </c>
      <c r="W130" s="16">
        <f>SUM(Tableau1[[#This Row],[Montant restant dû après échéance]]+Tableau2[[#This Row],[Montant restant dû après échéance]])</f>
        <v>92606.14</v>
      </c>
    </row>
    <row r="131" spans="1:23" x14ac:dyDescent="0.3">
      <c r="A131" s="76">
        <v>125</v>
      </c>
      <c r="B131" s="77">
        <v>332.51</v>
      </c>
      <c r="C131" s="77">
        <v>292.92</v>
      </c>
      <c r="D131" s="77">
        <v>0</v>
      </c>
      <c r="E131" s="77">
        <v>24.37</v>
      </c>
      <c r="F131" s="77">
        <v>649.79999999999995</v>
      </c>
      <c r="G131" s="77">
        <v>89110.15</v>
      </c>
      <c r="H131" s="78"/>
      <c r="I131" s="76">
        <v>125</v>
      </c>
      <c r="J131" s="77">
        <v>56.08</v>
      </c>
      <c r="K131" s="77">
        <v>0</v>
      </c>
      <c r="L131" s="77">
        <v>0</v>
      </c>
      <c r="M131" s="77">
        <v>0.86</v>
      </c>
      <c r="N131" s="77">
        <v>56.94</v>
      </c>
      <c r="O131" s="77">
        <v>3107.4</v>
      </c>
      <c r="Q131">
        <v>125</v>
      </c>
      <c r="R131" s="16">
        <f>SUM(Tableau1[[#This Row],[Amortiss. Capital]]+Tableau2[[#This Row],[Amortiss. Capital]])</f>
        <v>388.59</v>
      </c>
      <c r="S131" s="16">
        <f>SUM(Tableau1[[#This Row],[Intérêt Normaux]]+Tableau2[[#This Row],[Intérêt Normaux]])</f>
        <v>292.92</v>
      </c>
      <c r="T131" s="16">
        <f>SUM(Tableau1[[#This Row],[Intérêts différés]]+Tableau2[[#This Row],[Intérêts différés]])</f>
        <v>0</v>
      </c>
      <c r="U131" s="16">
        <f>SUM(Tableau1[[#This Row],[Assurances]]+Tableau2[[#This Row],[Assurances]])</f>
        <v>25.23</v>
      </c>
      <c r="V131" s="16">
        <f>SUM(Tableau1[[#This Row],[Total à payer]]+Tableau2[[#This Row],[Total à payer]])</f>
        <v>706.74</v>
      </c>
      <c r="W131" s="16">
        <f>SUM(Tableau1[[#This Row],[Montant restant dû après échéance]]+Tableau2[[#This Row],[Montant restant dû après échéance]])</f>
        <v>92217.549999999988</v>
      </c>
    </row>
    <row r="132" spans="1:23" x14ac:dyDescent="0.3">
      <c r="A132" s="76">
        <v>126</v>
      </c>
      <c r="B132" s="77">
        <v>333.68</v>
      </c>
      <c r="C132" s="77">
        <v>291.83999999999997</v>
      </c>
      <c r="D132" s="77">
        <v>0</v>
      </c>
      <c r="E132" s="77">
        <v>24.28</v>
      </c>
      <c r="F132" s="77">
        <v>649.79999999999995</v>
      </c>
      <c r="G132" s="77">
        <v>88776.47</v>
      </c>
      <c r="H132" s="78"/>
      <c r="I132" s="76">
        <v>126</v>
      </c>
      <c r="J132" s="77">
        <v>56.09</v>
      </c>
      <c r="K132" s="77">
        <v>0</v>
      </c>
      <c r="L132" s="77">
        <v>0</v>
      </c>
      <c r="M132" s="77">
        <v>0.85</v>
      </c>
      <c r="N132" s="77">
        <v>56.94</v>
      </c>
      <c r="O132" s="77">
        <v>3051.31</v>
      </c>
      <c r="Q132">
        <v>126</v>
      </c>
      <c r="R132" s="16">
        <f>SUM(Tableau1[[#This Row],[Amortiss. Capital]]+Tableau2[[#This Row],[Amortiss. Capital]])</f>
        <v>389.77</v>
      </c>
      <c r="S132" s="16">
        <f>SUM(Tableau1[[#This Row],[Intérêt Normaux]]+Tableau2[[#This Row],[Intérêt Normaux]])</f>
        <v>291.83999999999997</v>
      </c>
      <c r="T132" s="16">
        <f>SUM(Tableau1[[#This Row],[Intérêts différés]]+Tableau2[[#This Row],[Intérêts différés]])</f>
        <v>0</v>
      </c>
      <c r="U132" s="16">
        <f>SUM(Tableau1[[#This Row],[Assurances]]+Tableau2[[#This Row],[Assurances]])</f>
        <v>25.130000000000003</v>
      </c>
      <c r="V132" s="16">
        <f>SUM(Tableau1[[#This Row],[Total à payer]]+Tableau2[[#This Row],[Total à payer]])</f>
        <v>706.74</v>
      </c>
      <c r="W132" s="16">
        <f>SUM(Tableau1[[#This Row],[Montant restant dû après échéance]]+Tableau2[[#This Row],[Montant restant dû après échéance]])</f>
        <v>91827.78</v>
      </c>
    </row>
    <row r="133" spans="1:23" x14ac:dyDescent="0.3">
      <c r="A133" s="76">
        <v>127</v>
      </c>
      <c r="B133" s="77">
        <v>334.87</v>
      </c>
      <c r="C133" s="77">
        <v>290.74</v>
      </c>
      <c r="D133" s="77">
        <v>0</v>
      </c>
      <c r="E133" s="77">
        <v>24.19</v>
      </c>
      <c r="F133" s="77">
        <v>649.79999999999995</v>
      </c>
      <c r="G133" s="77">
        <v>88441.600000000006</v>
      </c>
      <c r="H133" s="78"/>
      <c r="I133" s="76">
        <v>127</v>
      </c>
      <c r="J133" s="77">
        <v>56.11</v>
      </c>
      <c r="K133" s="77">
        <v>0</v>
      </c>
      <c r="L133" s="77">
        <v>0</v>
      </c>
      <c r="M133" s="77">
        <v>0.83</v>
      </c>
      <c r="N133" s="77">
        <v>56.94</v>
      </c>
      <c r="O133" s="77">
        <v>2995.2</v>
      </c>
      <c r="Q133">
        <v>127</v>
      </c>
      <c r="R133" s="16">
        <f>SUM(Tableau1[[#This Row],[Amortiss. Capital]]+Tableau2[[#This Row],[Amortiss. Capital]])</f>
        <v>390.98</v>
      </c>
      <c r="S133" s="16">
        <f>SUM(Tableau1[[#This Row],[Intérêt Normaux]]+Tableau2[[#This Row],[Intérêt Normaux]])</f>
        <v>290.74</v>
      </c>
      <c r="T133" s="16">
        <f>SUM(Tableau1[[#This Row],[Intérêts différés]]+Tableau2[[#This Row],[Intérêts différés]])</f>
        <v>0</v>
      </c>
      <c r="U133" s="16">
        <f>SUM(Tableau1[[#This Row],[Assurances]]+Tableau2[[#This Row],[Assurances]])</f>
        <v>25.02</v>
      </c>
      <c r="V133" s="16">
        <f>SUM(Tableau1[[#This Row],[Total à payer]]+Tableau2[[#This Row],[Total à payer]])</f>
        <v>706.74</v>
      </c>
      <c r="W133" s="16">
        <f>SUM(Tableau1[[#This Row],[Montant restant dû après échéance]]+Tableau2[[#This Row],[Montant restant dû après échéance]])</f>
        <v>91436.800000000003</v>
      </c>
    </row>
    <row r="134" spans="1:23" x14ac:dyDescent="0.3">
      <c r="A134" s="76">
        <v>128</v>
      </c>
      <c r="B134" s="77">
        <v>336.05</v>
      </c>
      <c r="C134" s="77">
        <v>289.64999999999998</v>
      </c>
      <c r="D134" s="77">
        <v>0</v>
      </c>
      <c r="E134" s="77">
        <v>24.1</v>
      </c>
      <c r="F134" s="77">
        <v>649.79999999999995</v>
      </c>
      <c r="G134" s="77">
        <v>88105.55</v>
      </c>
      <c r="H134" s="78"/>
      <c r="I134" s="76">
        <v>128</v>
      </c>
      <c r="J134" s="77">
        <v>56.12</v>
      </c>
      <c r="K134" s="77">
        <v>0</v>
      </c>
      <c r="L134" s="77">
        <v>0</v>
      </c>
      <c r="M134" s="77">
        <v>0.82</v>
      </c>
      <c r="N134" s="77">
        <v>56.94</v>
      </c>
      <c r="O134" s="77">
        <v>2939.08</v>
      </c>
      <c r="Q134">
        <v>128</v>
      </c>
      <c r="R134" s="16">
        <f>SUM(Tableau1[[#This Row],[Amortiss. Capital]]+Tableau2[[#This Row],[Amortiss. Capital]])</f>
        <v>392.17</v>
      </c>
      <c r="S134" s="16">
        <f>SUM(Tableau1[[#This Row],[Intérêt Normaux]]+Tableau2[[#This Row],[Intérêt Normaux]])</f>
        <v>289.64999999999998</v>
      </c>
      <c r="T134" s="16">
        <f>SUM(Tableau1[[#This Row],[Intérêts différés]]+Tableau2[[#This Row],[Intérêts différés]])</f>
        <v>0</v>
      </c>
      <c r="U134" s="16">
        <f>SUM(Tableau1[[#This Row],[Assurances]]+Tableau2[[#This Row],[Assurances]])</f>
        <v>24.92</v>
      </c>
      <c r="V134" s="16">
        <f>SUM(Tableau1[[#This Row],[Total à payer]]+Tableau2[[#This Row],[Total à payer]])</f>
        <v>706.74</v>
      </c>
      <c r="W134" s="16">
        <f>SUM(Tableau1[[#This Row],[Montant restant dû après échéance]]+Tableau2[[#This Row],[Montant restant dû après échéance]])</f>
        <v>91044.63</v>
      </c>
    </row>
    <row r="135" spans="1:23" x14ac:dyDescent="0.3">
      <c r="A135" s="76">
        <v>129</v>
      </c>
      <c r="B135" s="77">
        <v>337.24</v>
      </c>
      <c r="C135" s="77">
        <v>288.55</v>
      </c>
      <c r="D135" s="77">
        <v>0</v>
      </c>
      <c r="E135" s="77">
        <v>24.01</v>
      </c>
      <c r="F135" s="77">
        <v>649.79999999999995</v>
      </c>
      <c r="G135" s="77">
        <v>87768.31</v>
      </c>
      <c r="H135" s="78"/>
      <c r="I135" s="76">
        <v>129</v>
      </c>
      <c r="J135" s="77">
        <v>56.14</v>
      </c>
      <c r="K135" s="77">
        <v>0</v>
      </c>
      <c r="L135" s="77">
        <v>0</v>
      </c>
      <c r="M135" s="77">
        <v>0.8</v>
      </c>
      <c r="N135" s="77">
        <v>56.94</v>
      </c>
      <c r="O135" s="77">
        <v>2882.94</v>
      </c>
      <c r="Q135">
        <v>129</v>
      </c>
      <c r="R135" s="16">
        <f>SUM(Tableau1[[#This Row],[Amortiss. Capital]]+Tableau2[[#This Row],[Amortiss. Capital]])</f>
        <v>393.38</v>
      </c>
      <c r="S135" s="16">
        <f>SUM(Tableau1[[#This Row],[Intérêt Normaux]]+Tableau2[[#This Row],[Intérêt Normaux]])</f>
        <v>288.55</v>
      </c>
      <c r="T135" s="16">
        <f>SUM(Tableau1[[#This Row],[Intérêts différés]]+Tableau2[[#This Row],[Intérêts différés]])</f>
        <v>0</v>
      </c>
      <c r="U135" s="16">
        <f>SUM(Tableau1[[#This Row],[Assurances]]+Tableau2[[#This Row],[Assurances]])</f>
        <v>24.810000000000002</v>
      </c>
      <c r="V135" s="16">
        <f>SUM(Tableau1[[#This Row],[Total à payer]]+Tableau2[[#This Row],[Total à payer]])</f>
        <v>706.74</v>
      </c>
      <c r="W135" s="16">
        <f>SUM(Tableau1[[#This Row],[Montant restant dû après échéance]]+Tableau2[[#This Row],[Montant restant dû après échéance]])</f>
        <v>90651.25</v>
      </c>
    </row>
    <row r="136" spans="1:23" x14ac:dyDescent="0.3">
      <c r="A136" s="76">
        <v>130</v>
      </c>
      <c r="B136" s="77">
        <v>338.44</v>
      </c>
      <c r="C136" s="77">
        <v>287.44</v>
      </c>
      <c r="D136" s="77">
        <v>0</v>
      </c>
      <c r="E136" s="77">
        <v>23.92</v>
      </c>
      <c r="F136" s="77">
        <v>649.79999999999995</v>
      </c>
      <c r="G136" s="77">
        <v>87429.87</v>
      </c>
      <c r="H136" s="78"/>
      <c r="I136" s="76">
        <v>130</v>
      </c>
      <c r="J136" s="77">
        <v>56.15</v>
      </c>
      <c r="K136" s="77">
        <v>0</v>
      </c>
      <c r="L136" s="77">
        <v>0</v>
      </c>
      <c r="M136" s="77">
        <v>0.79</v>
      </c>
      <c r="N136" s="77">
        <v>56.94</v>
      </c>
      <c r="O136" s="77">
        <v>2826.79</v>
      </c>
      <c r="Q136">
        <v>130</v>
      </c>
      <c r="R136" s="16">
        <f>SUM(Tableau1[[#This Row],[Amortiss. Capital]]+Tableau2[[#This Row],[Amortiss. Capital]])</f>
        <v>394.59</v>
      </c>
      <c r="S136" s="16">
        <f>SUM(Tableau1[[#This Row],[Intérêt Normaux]]+Tableau2[[#This Row],[Intérêt Normaux]])</f>
        <v>287.44</v>
      </c>
      <c r="T136" s="16">
        <f>SUM(Tableau1[[#This Row],[Intérêts différés]]+Tableau2[[#This Row],[Intérêts différés]])</f>
        <v>0</v>
      </c>
      <c r="U136" s="16">
        <f>SUM(Tableau1[[#This Row],[Assurances]]+Tableau2[[#This Row],[Assurances]])</f>
        <v>24.71</v>
      </c>
      <c r="V136" s="16">
        <f>SUM(Tableau1[[#This Row],[Total à payer]]+Tableau2[[#This Row],[Total à payer]])</f>
        <v>706.74</v>
      </c>
      <c r="W136" s="16">
        <f>SUM(Tableau1[[#This Row],[Montant restant dû après échéance]]+Tableau2[[#This Row],[Montant restant dû après échéance]])</f>
        <v>90256.659999999989</v>
      </c>
    </row>
    <row r="137" spans="1:23" x14ac:dyDescent="0.3">
      <c r="A137" s="76">
        <v>131</v>
      </c>
      <c r="B137" s="77">
        <v>339.65</v>
      </c>
      <c r="C137" s="77">
        <v>286.33</v>
      </c>
      <c r="D137" s="77">
        <v>0</v>
      </c>
      <c r="E137" s="77">
        <v>23.82</v>
      </c>
      <c r="F137" s="77">
        <v>649.79999999999995</v>
      </c>
      <c r="G137" s="77">
        <v>87090.22</v>
      </c>
      <c r="H137" s="78"/>
      <c r="I137" s="76">
        <v>131</v>
      </c>
      <c r="J137" s="77">
        <v>56.17</v>
      </c>
      <c r="K137" s="77">
        <v>0</v>
      </c>
      <c r="L137" s="77">
        <v>0</v>
      </c>
      <c r="M137" s="77">
        <v>0.77</v>
      </c>
      <c r="N137" s="77">
        <v>56.94</v>
      </c>
      <c r="O137" s="77">
        <v>2770.62</v>
      </c>
      <c r="Q137">
        <v>131</v>
      </c>
      <c r="R137" s="16">
        <f>SUM(Tableau1[[#This Row],[Amortiss. Capital]]+Tableau2[[#This Row],[Amortiss. Capital]])</f>
        <v>395.82</v>
      </c>
      <c r="S137" s="16">
        <f>SUM(Tableau1[[#This Row],[Intérêt Normaux]]+Tableau2[[#This Row],[Intérêt Normaux]])</f>
        <v>286.33</v>
      </c>
      <c r="T137" s="16">
        <f>SUM(Tableau1[[#This Row],[Intérêts différés]]+Tableau2[[#This Row],[Intérêts différés]])</f>
        <v>0</v>
      </c>
      <c r="U137" s="16">
        <f>SUM(Tableau1[[#This Row],[Assurances]]+Tableau2[[#This Row],[Assurances]])</f>
        <v>24.59</v>
      </c>
      <c r="V137" s="16">
        <f>SUM(Tableau1[[#This Row],[Total à payer]]+Tableau2[[#This Row],[Total à payer]])</f>
        <v>706.74</v>
      </c>
      <c r="W137" s="16">
        <f>SUM(Tableau1[[#This Row],[Montant restant dû après échéance]]+Tableau2[[#This Row],[Montant restant dû après échéance]])</f>
        <v>89860.84</v>
      </c>
    </row>
    <row r="138" spans="1:23" x14ac:dyDescent="0.3">
      <c r="A138" s="76">
        <v>132</v>
      </c>
      <c r="B138" s="77">
        <v>340.85</v>
      </c>
      <c r="C138" s="77">
        <v>285.22000000000003</v>
      </c>
      <c r="D138" s="77">
        <v>0</v>
      </c>
      <c r="E138" s="77">
        <v>23.73</v>
      </c>
      <c r="F138" s="77">
        <v>649.79999999999995</v>
      </c>
      <c r="G138" s="77">
        <v>86749.37</v>
      </c>
      <c r="H138" s="78"/>
      <c r="I138" s="76">
        <v>132</v>
      </c>
      <c r="J138" s="77">
        <v>56.19</v>
      </c>
      <c r="K138" s="77">
        <v>0</v>
      </c>
      <c r="L138" s="77">
        <v>0</v>
      </c>
      <c r="M138" s="77">
        <v>0.75</v>
      </c>
      <c r="N138" s="77">
        <v>56.94</v>
      </c>
      <c r="O138" s="77">
        <v>2714.43</v>
      </c>
      <c r="Q138">
        <v>132</v>
      </c>
      <c r="R138" s="16">
        <f>SUM(Tableau1[[#This Row],[Amortiss. Capital]]+Tableau2[[#This Row],[Amortiss. Capital]])</f>
        <v>397.04</v>
      </c>
      <c r="S138" s="16">
        <f>SUM(Tableau1[[#This Row],[Intérêt Normaux]]+Tableau2[[#This Row],[Intérêt Normaux]])</f>
        <v>285.22000000000003</v>
      </c>
      <c r="T138" s="16">
        <f>SUM(Tableau1[[#This Row],[Intérêts différés]]+Tableau2[[#This Row],[Intérêts différés]])</f>
        <v>0</v>
      </c>
      <c r="U138" s="16">
        <f>SUM(Tableau1[[#This Row],[Assurances]]+Tableau2[[#This Row],[Assurances]])</f>
        <v>24.48</v>
      </c>
      <c r="V138" s="16">
        <f>SUM(Tableau1[[#This Row],[Total à payer]]+Tableau2[[#This Row],[Total à payer]])</f>
        <v>706.74</v>
      </c>
      <c r="W138" s="16">
        <f>SUM(Tableau1[[#This Row],[Montant restant dû après échéance]]+Tableau2[[#This Row],[Montant restant dû après échéance]])</f>
        <v>89463.799999999988</v>
      </c>
    </row>
    <row r="139" spans="1:23" x14ac:dyDescent="0.3">
      <c r="A139" s="76">
        <v>133</v>
      </c>
      <c r="B139" s="77">
        <v>342.06</v>
      </c>
      <c r="C139" s="77">
        <v>284.10000000000002</v>
      </c>
      <c r="D139" s="77">
        <v>0</v>
      </c>
      <c r="E139" s="77">
        <v>23.64</v>
      </c>
      <c r="F139" s="77">
        <v>649.79999999999995</v>
      </c>
      <c r="G139" s="77">
        <v>86407.31</v>
      </c>
      <c r="H139" s="78"/>
      <c r="I139" s="76">
        <v>133</v>
      </c>
      <c r="J139" s="77">
        <v>56.2</v>
      </c>
      <c r="K139" s="77">
        <v>0</v>
      </c>
      <c r="L139" s="77">
        <v>0</v>
      </c>
      <c r="M139" s="77">
        <v>0.74</v>
      </c>
      <c r="N139" s="77">
        <v>56.94</v>
      </c>
      <c r="O139" s="77">
        <v>2658.23</v>
      </c>
      <c r="Q139">
        <v>133</v>
      </c>
      <c r="R139" s="16">
        <f>SUM(Tableau1[[#This Row],[Amortiss. Capital]]+Tableau2[[#This Row],[Amortiss. Capital]])</f>
        <v>398.26</v>
      </c>
      <c r="S139" s="16">
        <f>SUM(Tableau1[[#This Row],[Intérêt Normaux]]+Tableau2[[#This Row],[Intérêt Normaux]])</f>
        <v>284.10000000000002</v>
      </c>
      <c r="T139" s="16">
        <f>SUM(Tableau1[[#This Row],[Intérêts différés]]+Tableau2[[#This Row],[Intérêts différés]])</f>
        <v>0</v>
      </c>
      <c r="U139" s="16">
        <f>SUM(Tableau1[[#This Row],[Assurances]]+Tableau2[[#This Row],[Assurances]])</f>
        <v>24.38</v>
      </c>
      <c r="V139" s="16">
        <f>SUM(Tableau1[[#This Row],[Total à payer]]+Tableau2[[#This Row],[Total à payer]])</f>
        <v>706.74</v>
      </c>
      <c r="W139" s="16">
        <f>SUM(Tableau1[[#This Row],[Montant restant dû après échéance]]+Tableau2[[#This Row],[Montant restant dû après échéance]])</f>
        <v>89065.54</v>
      </c>
    </row>
    <row r="140" spans="1:23" x14ac:dyDescent="0.3">
      <c r="A140" s="76">
        <v>134</v>
      </c>
      <c r="B140" s="77">
        <v>343.27</v>
      </c>
      <c r="C140" s="77">
        <v>282.98</v>
      </c>
      <c r="D140" s="77">
        <v>0</v>
      </c>
      <c r="E140" s="77">
        <v>23.55</v>
      </c>
      <c r="F140" s="77">
        <v>649.79999999999995</v>
      </c>
      <c r="G140" s="77">
        <v>86064.04</v>
      </c>
      <c r="H140" s="78"/>
      <c r="I140" s="76">
        <v>134</v>
      </c>
      <c r="J140" s="77">
        <v>56.22</v>
      </c>
      <c r="K140" s="77">
        <v>0</v>
      </c>
      <c r="L140" s="77">
        <v>0</v>
      </c>
      <c r="M140" s="77">
        <v>0.72</v>
      </c>
      <c r="N140" s="77">
        <v>56.94</v>
      </c>
      <c r="O140" s="77">
        <v>2602.0100000000002</v>
      </c>
      <c r="Q140">
        <v>134</v>
      </c>
      <c r="R140" s="16">
        <f>SUM(Tableau1[[#This Row],[Amortiss. Capital]]+Tableau2[[#This Row],[Amortiss. Capital]])</f>
        <v>399.49</v>
      </c>
      <c r="S140" s="16">
        <f>SUM(Tableau1[[#This Row],[Intérêt Normaux]]+Tableau2[[#This Row],[Intérêt Normaux]])</f>
        <v>282.98</v>
      </c>
      <c r="T140" s="16">
        <f>SUM(Tableau1[[#This Row],[Intérêts différés]]+Tableau2[[#This Row],[Intérêts différés]])</f>
        <v>0</v>
      </c>
      <c r="U140" s="16">
        <f>SUM(Tableau1[[#This Row],[Assurances]]+Tableau2[[#This Row],[Assurances]])</f>
        <v>24.27</v>
      </c>
      <c r="V140" s="16">
        <f>SUM(Tableau1[[#This Row],[Total à payer]]+Tableau2[[#This Row],[Total à payer]])</f>
        <v>706.74</v>
      </c>
      <c r="W140" s="16">
        <f>SUM(Tableau1[[#This Row],[Montant restant dû après échéance]]+Tableau2[[#This Row],[Montant restant dû après échéance]])</f>
        <v>88666.049999999988</v>
      </c>
    </row>
    <row r="141" spans="1:23" x14ac:dyDescent="0.3">
      <c r="A141" s="76">
        <v>135</v>
      </c>
      <c r="B141" s="77">
        <v>344.49</v>
      </c>
      <c r="C141" s="77">
        <v>281.86</v>
      </c>
      <c r="D141" s="77">
        <v>0</v>
      </c>
      <c r="E141" s="77">
        <v>23.45</v>
      </c>
      <c r="F141" s="77">
        <v>649.79999999999995</v>
      </c>
      <c r="G141" s="77">
        <v>85719.55</v>
      </c>
      <c r="H141" s="78"/>
      <c r="I141" s="76">
        <v>135</v>
      </c>
      <c r="J141" s="77">
        <v>56.23</v>
      </c>
      <c r="K141" s="77">
        <v>0</v>
      </c>
      <c r="L141" s="77">
        <v>0</v>
      </c>
      <c r="M141" s="77">
        <v>0.71</v>
      </c>
      <c r="N141" s="77">
        <v>56.94</v>
      </c>
      <c r="O141" s="77">
        <v>2545.7800000000002</v>
      </c>
      <c r="Q141">
        <v>135</v>
      </c>
      <c r="R141" s="16">
        <f>SUM(Tableau1[[#This Row],[Amortiss. Capital]]+Tableau2[[#This Row],[Amortiss. Capital]])</f>
        <v>400.72</v>
      </c>
      <c r="S141" s="16">
        <f>SUM(Tableau1[[#This Row],[Intérêt Normaux]]+Tableau2[[#This Row],[Intérêt Normaux]])</f>
        <v>281.86</v>
      </c>
      <c r="T141" s="16">
        <f>SUM(Tableau1[[#This Row],[Intérêts différés]]+Tableau2[[#This Row],[Intérêts différés]])</f>
        <v>0</v>
      </c>
      <c r="U141" s="16">
        <f>SUM(Tableau1[[#This Row],[Assurances]]+Tableau2[[#This Row],[Assurances]])</f>
        <v>24.16</v>
      </c>
      <c r="V141" s="16">
        <f>SUM(Tableau1[[#This Row],[Total à payer]]+Tableau2[[#This Row],[Total à payer]])</f>
        <v>706.74</v>
      </c>
      <c r="W141" s="16">
        <f>SUM(Tableau1[[#This Row],[Montant restant dû après échéance]]+Tableau2[[#This Row],[Montant restant dû après échéance]])</f>
        <v>88265.33</v>
      </c>
    </row>
    <row r="142" spans="1:23" x14ac:dyDescent="0.3">
      <c r="A142" s="76">
        <v>136</v>
      </c>
      <c r="B142" s="77">
        <v>345.71</v>
      </c>
      <c r="C142" s="77">
        <v>280.73</v>
      </c>
      <c r="D142" s="77">
        <v>0</v>
      </c>
      <c r="E142" s="77">
        <v>23.36</v>
      </c>
      <c r="F142" s="77">
        <v>649.79999999999995</v>
      </c>
      <c r="G142" s="77">
        <v>85373.84</v>
      </c>
      <c r="H142" s="78"/>
      <c r="I142" s="76">
        <v>136</v>
      </c>
      <c r="J142" s="77">
        <v>56.25</v>
      </c>
      <c r="K142" s="77">
        <v>0</v>
      </c>
      <c r="L142" s="77">
        <v>0</v>
      </c>
      <c r="M142" s="77">
        <v>0.69</v>
      </c>
      <c r="N142" s="77">
        <v>56.94</v>
      </c>
      <c r="O142" s="77">
        <v>2489.5300000000002</v>
      </c>
      <c r="Q142">
        <v>136</v>
      </c>
      <c r="R142" s="16">
        <f>SUM(Tableau1[[#This Row],[Amortiss. Capital]]+Tableau2[[#This Row],[Amortiss. Capital]])</f>
        <v>401.96</v>
      </c>
      <c r="S142" s="16">
        <f>SUM(Tableau1[[#This Row],[Intérêt Normaux]]+Tableau2[[#This Row],[Intérêt Normaux]])</f>
        <v>280.73</v>
      </c>
      <c r="T142" s="16">
        <f>SUM(Tableau1[[#This Row],[Intérêts différés]]+Tableau2[[#This Row],[Intérêts différés]])</f>
        <v>0</v>
      </c>
      <c r="U142" s="16">
        <f>SUM(Tableau1[[#This Row],[Assurances]]+Tableau2[[#This Row],[Assurances]])</f>
        <v>24.05</v>
      </c>
      <c r="V142" s="16">
        <f>SUM(Tableau1[[#This Row],[Total à payer]]+Tableau2[[#This Row],[Total à payer]])</f>
        <v>706.74</v>
      </c>
      <c r="W142" s="16">
        <f>SUM(Tableau1[[#This Row],[Montant restant dû après échéance]]+Tableau2[[#This Row],[Montant restant dû après échéance]])</f>
        <v>87863.37</v>
      </c>
    </row>
    <row r="143" spans="1:23" x14ac:dyDescent="0.3">
      <c r="A143" s="76">
        <v>137</v>
      </c>
      <c r="B143" s="77">
        <v>346.94</v>
      </c>
      <c r="C143" s="77">
        <v>279.60000000000002</v>
      </c>
      <c r="D143" s="77">
        <v>0</v>
      </c>
      <c r="E143" s="77">
        <v>23.26</v>
      </c>
      <c r="F143" s="77">
        <v>649.79999999999995</v>
      </c>
      <c r="G143" s="77">
        <v>85026.9</v>
      </c>
      <c r="H143" s="78"/>
      <c r="I143" s="76">
        <v>137</v>
      </c>
      <c r="J143" s="77">
        <v>56.26</v>
      </c>
      <c r="K143" s="77">
        <v>0</v>
      </c>
      <c r="L143" s="77">
        <v>0</v>
      </c>
      <c r="M143" s="77">
        <v>0.68</v>
      </c>
      <c r="N143" s="77">
        <v>56.94</v>
      </c>
      <c r="O143" s="77">
        <v>2433.27</v>
      </c>
      <c r="Q143">
        <v>137</v>
      </c>
      <c r="R143" s="16">
        <f>SUM(Tableau1[[#This Row],[Amortiss. Capital]]+Tableau2[[#This Row],[Amortiss. Capital]])</f>
        <v>403.2</v>
      </c>
      <c r="S143" s="16">
        <f>SUM(Tableau1[[#This Row],[Intérêt Normaux]]+Tableau2[[#This Row],[Intérêt Normaux]])</f>
        <v>279.60000000000002</v>
      </c>
      <c r="T143" s="16">
        <f>SUM(Tableau1[[#This Row],[Intérêts différés]]+Tableau2[[#This Row],[Intérêts différés]])</f>
        <v>0</v>
      </c>
      <c r="U143" s="16">
        <f>SUM(Tableau1[[#This Row],[Assurances]]+Tableau2[[#This Row],[Assurances]])</f>
        <v>23.94</v>
      </c>
      <c r="V143" s="16">
        <f>SUM(Tableau1[[#This Row],[Total à payer]]+Tableau2[[#This Row],[Total à payer]])</f>
        <v>706.74</v>
      </c>
      <c r="W143" s="16">
        <f>SUM(Tableau1[[#This Row],[Montant restant dû après échéance]]+Tableau2[[#This Row],[Montant restant dû après échéance]])</f>
        <v>87460.17</v>
      </c>
    </row>
    <row r="144" spans="1:23" x14ac:dyDescent="0.3">
      <c r="A144" s="76">
        <v>138</v>
      </c>
      <c r="B144" s="77">
        <v>348.17</v>
      </c>
      <c r="C144" s="77">
        <v>278.45999999999998</v>
      </c>
      <c r="D144" s="77">
        <v>0</v>
      </c>
      <c r="E144" s="77">
        <v>23.17</v>
      </c>
      <c r="F144" s="77">
        <v>649.79999999999995</v>
      </c>
      <c r="G144" s="77">
        <v>84678.73</v>
      </c>
      <c r="H144" s="78"/>
      <c r="I144" s="76">
        <v>138</v>
      </c>
      <c r="J144" s="77">
        <v>56.28</v>
      </c>
      <c r="K144" s="77">
        <v>0</v>
      </c>
      <c r="L144" s="77">
        <v>0</v>
      </c>
      <c r="M144" s="77">
        <v>0.66</v>
      </c>
      <c r="N144" s="77">
        <v>56.94</v>
      </c>
      <c r="O144" s="77">
        <v>2376.9899999999998</v>
      </c>
      <c r="Q144">
        <v>138</v>
      </c>
      <c r="R144" s="16">
        <f>SUM(Tableau1[[#This Row],[Amortiss. Capital]]+Tableau2[[#This Row],[Amortiss. Capital]])</f>
        <v>404.45000000000005</v>
      </c>
      <c r="S144" s="16">
        <f>SUM(Tableau1[[#This Row],[Intérêt Normaux]]+Tableau2[[#This Row],[Intérêt Normaux]])</f>
        <v>278.45999999999998</v>
      </c>
      <c r="T144" s="16">
        <f>SUM(Tableau1[[#This Row],[Intérêts différés]]+Tableau2[[#This Row],[Intérêts différés]])</f>
        <v>0</v>
      </c>
      <c r="U144" s="16">
        <f>SUM(Tableau1[[#This Row],[Assurances]]+Tableau2[[#This Row],[Assurances]])</f>
        <v>23.830000000000002</v>
      </c>
      <c r="V144" s="16">
        <f>SUM(Tableau1[[#This Row],[Total à payer]]+Tableau2[[#This Row],[Total à payer]])</f>
        <v>706.74</v>
      </c>
      <c r="W144" s="16">
        <f>SUM(Tableau1[[#This Row],[Montant restant dû après échéance]]+Tableau2[[#This Row],[Montant restant dû après échéance]])</f>
        <v>87055.72</v>
      </c>
    </row>
    <row r="145" spans="1:23" x14ac:dyDescent="0.3">
      <c r="A145" s="76">
        <v>139</v>
      </c>
      <c r="B145" s="77">
        <v>349.41</v>
      </c>
      <c r="C145" s="77">
        <v>277.32</v>
      </c>
      <c r="D145" s="77">
        <v>0</v>
      </c>
      <c r="E145" s="77">
        <v>23.07</v>
      </c>
      <c r="F145" s="77">
        <v>649.79999999999995</v>
      </c>
      <c r="G145" s="77">
        <v>84329.32</v>
      </c>
      <c r="H145" s="78"/>
      <c r="I145" s="76">
        <v>139</v>
      </c>
      <c r="J145" s="77">
        <v>56.29</v>
      </c>
      <c r="K145" s="77">
        <v>0</v>
      </c>
      <c r="L145" s="77">
        <v>0</v>
      </c>
      <c r="M145" s="77">
        <v>0.65</v>
      </c>
      <c r="N145" s="77">
        <v>56.94</v>
      </c>
      <c r="O145" s="77">
        <v>2320.6999999999998</v>
      </c>
      <c r="Q145">
        <v>139</v>
      </c>
      <c r="R145" s="16">
        <f>SUM(Tableau1[[#This Row],[Amortiss. Capital]]+Tableau2[[#This Row],[Amortiss. Capital]])</f>
        <v>405.70000000000005</v>
      </c>
      <c r="S145" s="16">
        <f>SUM(Tableau1[[#This Row],[Intérêt Normaux]]+Tableau2[[#This Row],[Intérêt Normaux]])</f>
        <v>277.32</v>
      </c>
      <c r="T145" s="16">
        <f>SUM(Tableau1[[#This Row],[Intérêts différés]]+Tableau2[[#This Row],[Intérêts différés]])</f>
        <v>0</v>
      </c>
      <c r="U145" s="16">
        <f>SUM(Tableau1[[#This Row],[Assurances]]+Tableau2[[#This Row],[Assurances]])</f>
        <v>23.72</v>
      </c>
      <c r="V145" s="16">
        <f>SUM(Tableau1[[#This Row],[Total à payer]]+Tableau2[[#This Row],[Total à payer]])</f>
        <v>706.74</v>
      </c>
      <c r="W145" s="16">
        <f>SUM(Tableau1[[#This Row],[Montant restant dû après échéance]]+Tableau2[[#This Row],[Montant restant dû après échéance]])</f>
        <v>86650.02</v>
      </c>
    </row>
    <row r="146" spans="1:23" x14ac:dyDescent="0.3">
      <c r="A146" s="76">
        <v>140</v>
      </c>
      <c r="B146" s="77">
        <v>350.64</v>
      </c>
      <c r="C146" s="77">
        <v>276.18</v>
      </c>
      <c r="D146" s="77">
        <v>0</v>
      </c>
      <c r="E146" s="77">
        <v>22.98</v>
      </c>
      <c r="F146" s="77">
        <v>649.79999999999995</v>
      </c>
      <c r="G146" s="77">
        <v>83978.68</v>
      </c>
      <c r="H146" s="78"/>
      <c r="I146" s="76">
        <v>140</v>
      </c>
      <c r="J146" s="77">
        <v>56.31</v>
      </c>
      <c r="K146" s="77">
        <v>0</v>
      </c>
      <c r="L146" s="77">
        <v>0</v>
      </c>
      <c r="M146" s="77">
        <v>0.63</v>
      </c>
      <c r="N146" s="77">
        <v>56.94</v>
      </c>
      <c r="O146" s="77">
        <v>2264.39</v>
      </c>
      <c r="Q146">
        <v>140</v>
      </c>
      <c r="R146" s="16">
        <f>SUM(Tableau1[[#This Row],[Amortiss. Capital]]+Tableau2[[#This Row],[Amortiss. Capital]])</f>
        <v>406.95</v>
      </c>
      <c r="S146" s="16">
        <f>SUM(Tableau1[[#This Row],[Intérêt Normaux]]+Tableau2[[#This Row],[Intérêt Normaux]])</f>
        <v>276.18</v>
      </c>
      <c r="T146" s="16">
        <f>SUM(Tableau1[[#This Row],[Intérêts différés]]+Tableau2[[#This Row],[Intérêts différés]])</f>
        <v>0</v>
      </c>
      <c r="U146" s="16">
        <f>SUM(Tableau1[[#This Row],[Assurances]]+Tableau2[[#This Row],[Assurances]])</f>
        <v>23.61</v>
      </c>
      <c r="V146" s="16">
        <f>SUM(Tableau1[[#This Row],[Total à payer]]+Tableau2[[#This Row],[Total à payer]])</f>
        <v>706.74</v>
      </c>
      <c r="W146" s="16">
        <f>SUM(Tableau1[[#This Row],[Montant restant dû après échéance]]+Tableau2[[#This Row],[Montant restant dû après échéance]])</f>
        <v>86243.069999999992</v>
      </c>
    </row>
    <row r="147" spans="1:23" x14ac:dyDescent="0.3">
      <c r="A147" s="76">
        <v>141</v>
      </c>
      <c r="B147" s="77">
        <v>351.89</v>
      </c>
      <c r="C147" s="77">
        <v>275.02999999999997</v>
      </c>
      <c r="D147" s="77">
        <v>0</v>
      </c>
      <c r="E147" s="77">
        <v>22.88</v>
      </c>
      <c r="F147" s="77">
        <v>649.79999999999995</v>
      </c>
      <c r="G147" s="77">
        <v>83626.789999999994</v>
      </c>
      <c r="H147" s="78"/>
      <c r="I147" s="76">
        <v>141</v>
      </c>
      <c r="J147" s="77">
        <v>56.32</v>
      </c>
      <c r="K147" s="77">
        <v>0</v>
      </c>
      <c r="L147" s="77">
        <v>0</v>
      </c>
      <c r="M147" s="77">
        <v>0.62</v>
      </c>
      <c r="N147" s="77">
        <v>56.94</v>
      </c>
      <c r="O147" s="77">
        <v>2208.0700000000002</v>
      </c>
      <c r="Q147">
        <v>141</v>
      </c>
      <c r="R147" s="16">
        <f>SUM(Tableau1[[#This Row],[Amortiss. Capital]]+Tableau2[[#This Row],[Amortiss. Capital]])</f>
        <v>408.21</v>
      </c>
      <c r="S147" s="16">
        <f>SUM(Tableau1[[#This Row],[Intérêt Normaux]]+Tableau2[[#This Row],[Intérêt Normaux]])</f>
        <v>275.02999999999997</v>
      </c>
      <c r="T147" s="16">
        <f>SUM(Tableau1[[#This Row],[Intérêts différés]]+Tableau2[[#This Row],[Intérêts différés]])</f>
        <v>0</v>
      </c>
      <c r="U147" s="16">
        <f>SUM(Tableau1[[#This Row],[Assurances]]+Tableau2[[#This Row],[Assurances]])</f>
        <v>23.5</v>
      </c>
      <c r="V147" s="16">
        <f>SUM(Tableau1[[#This Row],[Total à payer]]+Tableau2[[#This Row],[Total à payer]])</f>
        <v>706.74</v>
      </c>
      <c r="W147" s="16">
        <f>SUM(Tableau1[[#This Row],[Montant restant dû après échéance]]+Tableau2[[#This Row],[Montant restant dû après échéance]])</f>
        <v>85834.86</v>
      </c>
    </row>
    <row r="148" spans="1:23" x14ac:dyDescent="0.3">
      <c r="A148" s="76">
        <v>142</v>
      </c>
      <c r="B148" s="77">
        <v>353.13</v>
      </c>
      <c r="C148" s="77">
        <v>273.88</v>
      </c>
      <c r="D148" s="77">
        <v>0</v>
      </c>
      <c r="E148" s="77">
        <v>22.79</v>
      </c>
      <c r="F148" s="77">
        <v>649.79999999999995</v>
      </c>
      <c r="G148" s="77">
        <v>83273.66</v>
      </c>
      <c r="H148" s="78"/>
      <c r="I148" s="76">
        <v>142</v>
      </c>
      <c r="J148" s="77">
        <v>56.34</v>
      </c>
      <c r="K148" s="77">
        <v>0</v>
      </c>
      <c r="L148" s="77">
        <v>0</v>
      </c>
      <c r="M148" s="77">
        <v>0.6</v>
      </c>
      <c r="N148" s="77">
        <v>56.94</v>
      </c>
      <c r="O148" s="77">
        <v>2151.73</v>
      </c>
      <c r="Q148">
        <v>142</v>
      </c>
      <c r="R148" s="16">
        <f>SUM(Tableau1[[#This Row],[Amortiss. Capital]]+Tableau2[[#This Row],[Amortiss. Capital]])</f>
        <v>409.47</v>
      </c>
      <c r="S148" s="16">
        <f>SUM(Tableau1[[#This Row],[Intérêt Normaux]]+Tableau2[[#This Row],[Intérêt Normaux]])</f>
        <v>273.88</v>
      </c>
      <c r="T148" s="16">
        <f>SUM(Tableau1[[#This Row],[Intérêts différés]]+Tableau2[[#This Row],[Intérêts différés]])</f>
        <v>0</v>
      </c>
      <c r="U148" s="16">
        <f>SUM(Tableau1[[#This Row],[Assurances]]+Tableau2[[#This Row],[Assurances]])</f>
        <v>23.39</v>
      </c>
      <c r="V148" s="16">
        <f>SUM(Tableau1[[#This Row],[Total à payer]]+Tableau2[[#This Row],[Total à payer]])</f>
        <v>706.74</v>
      </c>
      <c r="W148" s="16">
        <f>SUM(Tableau1[[#This Row],[Montant restant dû après échéance]]+Tableau2[[#This Row],[Montant restant dû après échéance]])</f>
        <v>85425.39</v>
      </c>
    </row>
    <row r="149" spans="1:23" x14ac:dyDescent="0.3">
      <c r="A149" s="76">
        <v>143</v>
      </c>
      <c r="B149" s="77">
        <v>354.39</v>
      </c>
      <c r="C149" s="77">
        <v>272.72000000000003</v>
      </c>
      <c r="D149" s="77">
        <v>0</v>
      </c>
      <c r="E149" s="77">
        <v>22.69</v>
      </c>
      <c r="F149" s="77">
        <v>649.79999999999995</v>
      </c>
      <c r="G149" s="77">
        <v>82919.27</v>
      </c>
      <c r="H149" s="78"/>
      <c r="I149" s="76">
        <v>143</v>
      </c>
      <c r="J149" s="77">
        <v>56.35</v>
      </c>
      <c r="K149" s="77">
        <v>0</v>
      </c>
      <c r="L149" s="77">
        <v>0</v>
      </c>
      <c r="M149" s="77">
        <v>0.59</v>
      </c>
      <c r="N149" s="77">
        <v>56.94</v>
      </c>
      <c r="O149" s="77">
        <v>2095.38</v>
      </c>
      <c r="Q149">
        <v>143</v>
      </c>
      <c r="R149" s="16">
        <f>SUM(Tableau1[[#This Row],[Amortiss. Capital]]+Tableau2[[#This Row],[Amortiss. Capital]])</f>
        <v>410.74</v>
      </c>
      <c r="S149" s="16">
        <f>SUM(Tableau1[[#This Row],[Intérêt Normaux]]+Tableau2[[#This Row],[Intérêt Normaux]])</f>
        <v>272.72000000000003</v>
      </c>
      <c r="T149" s="16">
        <f>SUM(Tableau1[[#This Row],[Intérêts différés]]+Tableau2[[#This Row],[Intérêts différés]])</f>
        <v>0</v>
      </c>
      <c r="U149" s="16">
        <f>SUM(Tableau1[[#This Row],[Assurances]]+Tableau2[[#This Row],[Assurances]])</f>
        <v>23.28</v>
      </c>
      <c r="V149" s="16">
        <f>SUM(Tableau1[[#This Row],[Total à payer]]+Tableau2[[#This Row],[Total à payer]])</f>
        <v>706.74</v>
      </c>
      <c r="W149" s="16">
        <f>SUM(Tableau1[[#This Row],[Montant restant dû après échéance]]+Tableau2[[#This Row],[Montant restant dû après échéance]])</f>
        <v>85014.650000000009</v>
      </c>
    </row>
    <row r="150" spans="1:23" x14ac:dyDescent="0.3">
      <c r="A150" s="76">
        <v>144</v>
      </c>
      <c r="B150" s="77">
        <v>355.64</v>
      </c>
      <c r="C150" s="77">
        <v>271.56</v>
      </c>
      <c r="D150" s="77">
        <v>0</v>
      </c>
      <c r="E150" s="77">
        <v>22.6</v>
      </c>
      <c r="F150" s="77">
        <v>649.79999999999995</v>
      </c>
      <c r="G150" s="77">
        <v>82563.63</v>
      </c>
      <c r="H150" s="78"/>
      <c r="I150" s="76">
        <v>144</v>
      </c>
      <c r="J150" s="77">
        <v>56.37</v>
      </c>
      <c r="K150" s="77">
        <v>0</v>
      </c>
      <c r="L150" s="77">
        <v>0</v>
      </c>
      <c r="M150" s="77">
        <v>0.56999999999999995</v>
      </c>
      <c r="N150" s="77">
        <v>56.94</v>
      </c>
      <c r="O150" s="77">
        <v>2039.01</v>
      </c>
      <c r="Q150">
        <v>144</v>
      </c>
      <c r="R150" s="16">
        <f>SUM(Tableau1[[#This Row],[Amortiss. Capital]]+Tableau2[[#This Row],[Amortiss. Capital]])</f>
        <v>412.01</v>
      </c>
      <c r="S150" s="16">
        <f>SUM(Tableau1[[#This Row],[Intérêt Normaux]]+Tableau2[[#This Row],[Intérêt Normaux]])</f>
        <v>271.56</v>
      </c>
      <c r="T150" s="16">
        <f>SUM(Tableau1[[#This Row],[Intérêts différés]]+Tableau2[[#This Row],[Intérêts différés]])</f>
        <v>0</v>
      </c>
      <c r="U150" s="16">
        <f>SUM(Tableau1[[#This Row],[Assurances]]+Tableau2[[#This Row],[Assurances]])</f>
        <v>23.17</v>
      </c>
      <c r="V150" s="16">
        <f>SUM(Tableau1[[#This Row],[Total à payer]]+Tableau2[[#This Row],[Total à payer]])</f>
        <v>706.74</v>
      </c>
      <c r="W150" s="16">
        <f>SUM(Tableau1[[#This Row],[Montant restant dû après échéance]]+Tableau2[[#This Row],[Montant restant dû après échéance]])</f>
        <v>84602.64</v>
      </c>
    </row>
    <row r="151" spans="1:23" x14ac:dyDescent="0.3">
      <c r="A151" s="76">
        <v>145</v>
      </c>
      <c r="B151" s="77">
        <v>356.9</v>
      </c>
      <c r="C151" s="77">
        <v>270.39999999999998</v>
      </c>
      <c r="D151" s="77">
        <v>0</v>
      </c>
      <c r="E151" s="77">
        <v>22.5</v>
      </c>
      <c r="F151" s="77">
        <v>649.79999999999995</v>
      </c>
      <c r="G151" s="77">
        <v>82206.73</v>
      </c>
      <c r="H151" s="78"/>
      <c r="I151" s="76">
        <v>145</v>
      </c>
      <c r="J151" s="77">
        <v>56.38</v>
      </c>
      <c r="K151" s="77">
        <v>0</v>
      </c>
      <c r="L151" s="77">
        <v>0</v>
      </c>
      <c r="M151" s="77">
        <v>0.56000000000000005</v>
      </c>
      <c r="N151" s="77">
        <v>56.94</v>
      </c>
      <c r="O151" s="77">
        <v>1982.63</v>
      </c>
      <c r="Q151">
        <v>145</v>
      </c>
      <c r="R151" s="16">
        <f>SUM(Tableau1[[#This Row],[Amortiss. Capital]]+Tableau2[[#This Row],[Amortiss. Capital]])</f>
        <v>413.28</v>
      </c>
      <c r="S151" s="16">
        <f>SUM(Tableau1[[#This Row],[Intérêt Normaux]]+Tableau2[[#This Row],[Intérêt Normaux]])</f>
        <v>270.39999999999998</v>
      </c>
      <c r="T151" s="16">
        <f>SUM(Tableau1[[#This Row],[Intérêts différés]]+Tableau2[[#This Row],[Intérêts différés]])</f>
        <v>0</v>
      </c>
      <c r="U151" s="16">
        <f>SUM(Tableau1[[#This Row],[Assurances]]+Tableau2[[#This Row],[Assurances]])</f>
        <v>23.06</v>
      </c>
      <c r="V151" s="16">
        <f>SUM(Tableau1[[#This Row],[Total à payer]]+Tableau2[[#This Row],[Total à payer]])</f>
        <v>706.74</v>
      </c>
      <c r="W151" s="16">
        <f>SUM(Tableau1[[#This Row],[Montant restant dû après échéance]]+Tableau2[[#This Row],[Montant restant dû après échéance]])</f>
        <v>84189.36</v>
      </c>
    </row>
    <row r="152" spans="1:23" x14ac:dyDescent="0.3">
      <c r="A152" s="76">
        <v>146</v>
      </c>
      <c r="B152" s="77">
        <v>358.17</v>
      </c>
      <c r="C152" s="77">
        <v>269.23</v>
      </c>
      <c r="D152" s="77">
        <v>0</v>
      </c>
      <c r="E152" s="77">
        <v>22.4</v>
      </c>
      <c r="F152" s="77">
        <v>649.79999999999995</v>
      </c>
      <c r="G152" s="77">
        <v>81848.56</v>
      </c>
      <c r="H152" s="78"/>
      <c r="I152" s="76">
        <v>146</v>
      </c>
      <c r="J152" s="77">
        <v>56.4</v>
      </c>
      <c r="K152" s="77">
        <v>0</v>
      </c>
      <c r="L152" s="77">
        <v>0</v>
      </c>
      <c r="M152" s="77">
        <v>0.54</v>
      </c>
      <c r="N152" s="77">
        <v>56.94</v>
      </c>
      <c r="O152" s="77">
        <v>1926.23</v>
      </c>
      <c r="Q152">
        <v>146</v>
      </c>
      <c r="R152" s="16">
        <f>SUM(Tableau1[[#This Row],[Amortiss. Capital]]+Tableau2[[#This Row],[Amortiss. Capital]])</f>
        <v>414.57</v>
      </c>
      <c r="S152" s="16">
        <f>SUM(Tableau1[[#This Row],[Intérêt Normaux]]+Tableau2[[#This Row],[Intérêt Normaux]])</f>
        <v>269.23</v>
      </c>
      <c r="T152" s="16">
        <f>SUM(Tableau1[[#This Row],[Intérêts différés]]+Tableau2[[#This Row],[Intérêts différés]])</f>
        <v>0</v>
      </c>
      <c r="U152" s="16">
        <f>SUM(Tableau1[[#This Row],[Assurances]]+Tableau2[[#This Row],[Assurances]])</f>
        <v>22.939999999999998</v>
      </c>
      <c r="V152" s="16">
        <f>SUM(Tableau1[[#This Row],[Total à payer]]+Tableau2[[#This Row],[Total à payer]])</f>
        <v>706.74</v>
      </c>
      <c r="W152" s="16">
        <f>SUM(Tableau1[[#This Row],[Montant restant dû après échéance]]+Tableau2[[#This Row],[Montant restant dû après échéance]])</f>
        <v>83774.789999999994</v>
      </c>
    </row>
    <row r="153" spans="1:23" x14ac:dyDescent="0.3">
      <c r="A153" s="76">
        <v>147</v>
      </c>
      <c r="B153" s="77">
        <v>359.45</v>
      </c>
      <c r="C153" s="77">
        <v>268.05</v>
      </c>
      <c r="D153" s="77">
        <v>0</v>
      </c>
      <c r="E153" s="77">
        <v>22.3</v>
      </c>
      <c r="F153" s="77">
        <v>649.79999999999995</v>
      </c>
      <c r="G153" s="77">
        <v>81489.11</v>
      </c>
      <c r="H153" s="78"/>
      <c r="I153" s="76">
        <v>147</v>
      </c>
      <c r="J153" s="77">
        <v>56.42</v>
      </c>
      <c r="K153" s="77">
        <v>0</v>
      </c>
      <c r="L153" s="77">
        <v>0</v>
      </c>
      <c r="M153" s="77">
        <v>0.52</v>
      </c>
      <c r="N153" s="77">
        <v>56.94</v>
      </c>
      <c r="O153" s="77">
        <v>1869.81</v>
      </c>
      <c r="Q153">
        <v>147</v>
      </c>
      <c r="R153" s="16">
        <f>SUM(Tableau1[[#This Row],[Amortiss. Capital]]+Tableau2[[#This Row],[Amortiss. Capital]])</f>
        <v>415.87</v>
      </c>
      <c r="S153" s="16">
        <f>SUM(Tableau1[[#This Row],[Intérêt Normaux]]+Tableau2[[#This Row],[Intérêt Normaux]])</f>
        <v>268.05</v>
      </c>
      <c r="T153" s="16">
        <f>SUM(Tableau1[[#This Row],[Intérêts différés]]+Tableau2[[#This Row],[Intérêts différés]])</f>
        <v>0</v>
      </c>
      <c r="U153" s="16">
        <f>SUM(Tableau1[[#This Row],[Assurances]]+Tableau2[[#This Row],[Assurances]])</f>
        <v>22.82</v>
      </c>
      <c r="V153" s="16">
        <f>SUM(Tableau1[[#This Row],[Total à payer]]+Tableau2[[#This Row],[Total à payer]])</f>
        <v>706.74</v>
      </c>
      <c r="W153" s="16">
        <f>SUM(Tableau1[[#This Row],[Montant restant dû après échéance]]+Tableau2[[#This Row],[Montant restant dû après échéance]])</f>
        <v>83358.92</v>
      </c>
    </row>
    <row r="154" spans="1:23" x14ac:dyDescent="0.3">
      <c r="A154" s="76">
        <v>148</v>
      </c>
      <c r="B154" s="77">
        <v>360.71</v>
      </c>
      <c r="C154" s="77">
        <v>266.88</v>
      </c>
      <c r="D154" s="77">
        <v>0</v>
      </c>
      <c r="E154" s="77">
        <v>22.21</v>
      </c>
      <c r="F154" s="77">
        <v>649.79999999999995</v>
      </c>
      <c r="G154" s="77">
        <v>81128.399999999994</v>
      </c>
      <c r="H154" s="78"/>
      <c r="I154" s="76">
        <v>148</v>
      </c>
      <c r="J154" s="77">
        <v>56.43</v>
      </c>
      <c r="K154" s="77">
        <v>0</v>
      </c>
      <c r="L154" s="77">
        <v>0</v>
      </c>
      <c r="M154" s="77">
        <v>0.51</v>
      </c>
      <c r="N154" s="77">
        <v>56.94</v>
      </c>
      <c r="O154" s="77">
        <v>1813.38</v>
      </c>
      <c r="Q154">
        <v>148</v>
      </c>
      <c r="R154" s="16">
        <f>SUM(Tableau1[[#This Row],[Amortiss. Capital]]+Tableau2[[#This Row],[Amortiss. Capital]])</f>
        <v>417.14</v>
      </c>
      <c r="S154" s="16">
        <f>SUM(Tableau1[[#This Row],[Intérêt Normaux]]+Tableau2[[#This Row],[Intérêt Normaux]])</f>
        <v>266.88</v>
      </c>
      <c r="T154" s="16">
        <f>SUM(Tableau1[[#This Row],[Intérêts différés]]+Tableau2[[#This Row],[Intérêts différés]])</f>
        <v>0</v>
      </c>
      <c r="U154" s="16">
        <f>SUM(Tableau1[[#This Row],[Assurances]]+Tableau2[[#This Row],[Assurances]])</f>
        <v>22.720000000000002</v>
      </c>
      <c r="V154" s="16">
        <f>SUM(Tableau1[[#This Row],[Total à payer]]+Tableau2[[#This Row],[Total à payer]])</f>
        <v>706.74</v>
      </c>
      <c r="W154" s="16">
        <f>SUM(Tableau1[[#This Row],[Montant restant dû après échéance]]+Tableau2[[#This Row],[Montant restant dû après échéance]])</f>
        <v>82941.78</v>
      </c>
    </row>
    <row r="155" spans="1:23" x14ac:dyDescent="0.3">
      <c r="A155" s="76">
        <v>149</v>
      </c>
      <c r="B155" s="77">
        <v>361.99</v>
      </c>
      <c r="C155" s="77">
        <v>265.7</v>
      </c>
      <c r="D155" s="77">
        <v>0</v>
      </c>
      <c r="E155" s="77">
        <v>22.11</v>
      </c>
      <c r="F155" s="77">
        <v>649.79999999999995</v>
      </c>
      <c r="G155" s="77">
        <v>80766.41</v>
      </c>
      <c r="H155" s="78"/>
      <c r="I155" s="76">
        <v>149</v>
      </c>
      <c r="J155" s="77">
        <v>56.45</v>
      </c>
      <c r="K155" s="77">
        <v>0</v>
      </c>
      <c r="L155" s="77">
        <v>0</v>
      </c>
      <c r="M155" s="77">
        <v>0.49</v>
      </c>
      <c r="N155" s="77">
        <v>56.94</v>
      </c>
      <c r="O155" s="77">
        <v>1756.93</v>
      </c>
      <c r="Q155">
        <v>149</v>
      </c>
      <c r="R155" s="16">
        <f>SUM(Tableau1[[#This Row],[Amortiss. Capital]]+Tableau2[[#This Row],[Amortiss. Capital]])</f>
        <v>418.44</v>
      </c>
      <c r="S155" s="16">
        <f>SUM(Tableau1[[#This Row],[Intérêt Normaux]]+Tableau2[[#This Row],[Intérêt Normaux]])</f>
        <v>265.7</v>
      </c>
      <c r="T155" s="16">
        <f>SUM(Tableau1[[#This Row],[Intérêts différés]]+Tableau2[[#This Row],[Intérêts différés]])</f>
        <v>0</v>
      </c>
      <c r="U155" s="16">
        <f>SUM(Tableau1[[#This Row],[Assurances]]+Tableau2[[#This Row],[Assurances]])</f>
        <v>22.599999999999998</v>
      </c>
      <c r="V155" s="16">
        <f>SUM(Tableau1[[#This Row],[Total à payer]]+Tableau2[[#This Row],[Total à payer]])</f>
        <v>706.74</v>
      </c>
      <c r="W155" s="16">
        <f>SUM(Tableau1[[#This Row],[Montant restant dû après échéance]]+Tableau2[[#This Row],[Montant restant dû après échéance]])</f>
        <v>82523.34</v>
      </c>
    </row>
    <row r="156" spans="1:23" x14ac:dyDescent="0.3">
      <c r="A156" s="76">
        <v>150</v>
      </c>
      <c r="B156" s="77">
        <v>363.28</v>
      </c>
      <c r="C156" s="77">
        <v>264.51</v>
      </c>
      <c r="D156" s="77">
        <v>0</v>
      </c>
      <c r="E156" s="77">
        <v>22.01</v>
      </c>
      <c r="F156" s="77">
        <v>649.79999999999995</v>
      </c>
      <c r="G156" s="77">
        <v>80403.13</v>
      </c>
      <c r="H156" s="78"/>
      <c r="I156" s="76">
        <v>150</v>
      </c>
      <c r="J156" s="77">
        <v>56.46</v>
      </c>
      <c r="K156" s="77">
        <v>0</v>
      </c>
      <c r="L156" s="77">
        <v>0</v>
      </c>
      <c r="M156" s="77">
        <v>0.48</v>
      </c>
      <c r="N156" s="77">
        <v>56.94</v>
      </c>
      <c r="O156" s="77">
        <v>1700.47</v>
      </c>
      <c r="Q156">
        <v>150</v>
      </c>
      <c r="R156" s="16">
        <f>SUM(Tableau1[[#This Row],[Amortiss. Capital]]+Tableau2[[#This Row],[Amortiss. Capital]])</f>
        <v>419.73999999999995</v>
      </c>
      <c r="S156" s="16">
        <f>SUM(Tableau1[[#This Row],[Intérêt Normaux]]+Tableau2[[#This Row],[Intérêt Normaux]])</f>
        <v>264.51</v>
      </c>
      <c r="T156" s="16">
        <f>SUM(Tableau1[[#This Row],[Intérêts différés]]+Tableau2[[#This Row],[Intérêts différés]])</f>
        <v>0</v>
      </c>
      <c r="U156" s="16">
        <f>SUM(Tableau1[[#This Row],[Assurances]]+Tableau2[[#This Row],[Assurances]])</f>
        <v>22.490000000000002</v>
      </c>
      <c r="V156" s="16">
        <f>SUM(Tableau1[[#This Row],[Total à payer]]+Tableau2[[#This Row],[Total à payer]])</f>
        <v>706.74</v>
      </c>
      <c r="W156" s="16">
        <f>SUM(Tableau1[[#This Row],[Montant restant dû après échéance]]+Tableau2[[#This Row],[Montant restant dû après échéance]])</f>
        <v>82103.600000000006</v>
      </c>
    </row>
    <row r="157" spans="1:23" x14ac:dyDescent="0.3">
      <c r="A157" s="76">
        <v>151</v>
      </c>
      <c r="B157" s="77">
        <v>364.57</v>
      </c>
      <c r="C157" s="77">
        <v>263.32</v>
      </c>
      <c r="D157" s="77">
        <v>0</v>
      </c>
      <c r="E157" s="77">
        <v>21.91</v>
      </c>
      <c r="F157" s="77">
        <v>649.79999999999995</v>
      </c>
      <c r="G157" s="77">
        <v>80038.559999999998</v>
      </c>
      <c r="H157" s="78"/>
      <c r="I157" s="76">
        <v>151</v>
      </c>
      <c r="J157" s="77">
        <v>56.48</v>
      </c>
      <c r="K157" s="77">
        <v>0</v>
      </c>
      <c r="L157" s="77">
        <v>0</v>
      </c>
      <c r="M157" s="77">
        <v>0.46</v>
      </c>
      <c r="N157" s="77">
        <v>56.94</v>
      </c>
      <c r="O157" s="77">
        <v>1643.99</v>
      </c>
      <c r="Q157">
        <v>151</v>
      </c>
      <c r="R157" s="16">
        <f>SUM(Tableau1[[#This Row],[Amortiss. Capital]]+Tableau2[[#This Row],[Amortiss. Capital]])</f>
        <v>421.05</v>
      </c>
      <c r="S157" s="16">
        <f>SUM(Tableau1[[#This Row],[Intérêt Normaux]]+Tableau2[[#This Row],[Intérêt Normaux]])</f>
        <v>263.32</v>
      </c>
      <c r="T157" s="16">
        <f>SUM(Tableau1[[#This Row],[Intérêts différés]]+Tableau2[[#This Row],[Intérêts différés]])</f>
        <v>0</v>
      </c>
      <c r="U157" s="16">
        <f>SUM(Tableau1[[#This Row],[Assurances]]+Tableau2[[#This Row],[Assurances]])</f>
        <v>22.37</v>
      </c>
      <c r="V157" s="16">
        <f>SUM(Tableau1[[#This Row],[Total à payer]]+Tableau2[[#This Row],[Total à payer]])</f>
        <v>706.74</v>
      </c>
      <c r="W157" s="16">
        <f>SUM(Tableau1[[#This Row],[Montant restant dû après échéance]]+Tableau2[[#This Row],[Montant restant dû après échéance]])</f>
        <v>81682.55</v>
      </c>
    </row>
    <row r="158" spans="1:23" x14ac:dyDescent="0.3">
      <c r="A158" s="76">
        <v>152</v>
      </c>
      <c r="B158" s="77">
        <v>365.86</v>
      </c>
      <c r="C158" s="77">
        <v>262.13</v>
      </c>
      <c r="D158" s="77">
        <v>0</v>
      </c>
      <c r="E158" s="77">
        <v>21.81</v>
      </c>
      <c r="F158" s="77">
        <v>649.79999999999995</v>
      </c>
      <c r="G158" s="77">
        <v>79672.7</v>
      </c>
      <c r="H158" s="78"/>
      <c r="I158" s="76">
        <v>152</v>
      </c>
      <c r="J158" s="77">
        <v>56.49</v>
      </c>
      <c r="K158" s="77">
        <v>0</v>
      </c>
      <c r="L158" s="77">
        <v>0</v>
      </c>
      <c r="M158" s="77">
        <v>0.45</v>
      </c>
      <c r="N158" s="77">
        <v>56.94</v>
      </c>
      <c r="O158" s="77">
        <v>1587.5</v>
      </c>
      <c r="Q158">
        <v>152</v>
      </c>
      <c r="R158" s="16">
        <f>SUM(Tableau1[[#This Row],[Amortiss. Capital]]+Tableau2[[#This Row],[Amortiss. Capital]])</f>
        <v>422.35</v>
      </c>
      <c r="S158" s="16">
        <f>SUM(Tableau1[[#This Row],[Intérêt Normaux]]+Tableau2[[#This Row],[Intérêt Normaux]])</f>
        <v>262.13</v>
      </c>
      <c r="T158" s="16">
        <f>SUM(Tableau1[[#This Row],[Intérêts différés]]+Tableau2[[#This Row],[Intérêts différés]])</f>
        <v>0</v>
      </c>
      <c r="U158" s="16">
        <f>SUM(Tableau1[[#This Row],[Assurances]]+Tableau2[[#This Row],[Assurances]])</f>
        <v>22.259999999999998</v>
      </c>
      <c r="V158" s="16">
        <f>SUM(Tableau1[[#This Row],[Total à payer]]+Tableau2[[#This Row],[Total à payer]])</f>
        <v>706.74</v>
      </c>
      <c r="W158" s="16">
        <f>SUM(Tableau1[[#This Row],[Montant restant dû après échéance]]+Tableau2[[#This Row],[Montant restant dû après échéance]])</f>
        <v>81260.2</v>
      </c>
    </row>
    <row r="159" spans="1:23" x14ac:dyDescent="0.3">
      <c r="A159" s="76">
        <v>153</v>
      </c>
      <c r="B159" s="77">
        <v>367.16</v>
      </c>
      <c r="C159" s="77">
        <v>260.93</v>
      </c>
      <c r="D159" s="77">
        <v>0</v>
      </c>
      <c r="E159" s="77">
        <v>21.71</v>
      </c>
      <c r="F159" s="77">
        <v>649.79999999999995</v>
      </c>
      <c r="G159" s="77">
        <v>79305.539999999994</v>
      </c>
      <c r="H159" s="78"/>
      <c r="I159" s="76">
        <v>153</v>
      </c>
      <c r="J159" s="77">
        <v>56.51</v>
      </c>
      <c r="K159" s="77">
        <v>0</v>
      </c>
      <c r="L159" s="77">
        <v>0</v>
      </c>
      <c r="M159" s="77">
        <v>0.43</v>
      </c>
      <c r="N159" s="77">
        <v>56.94</v>
      </c>
      <c r="O159" s="77">
        <v>1530.99</v>
      </c>
      <c r="Q159">
        <v>153</v>
      </c>
      <c r="R159" s="16">
        <f>SUM(Tableau1[[#This Row],[Amortiss. Capital]]+Tableau2[[#This Row],[Amortiss. Capital]])</f>
        <v>423.67</v>
      </c>
      <c r="S159" s="16">
        <f>SUM(Tableau1[[#This Row],[Intérêt Normaux]]+Tableau2[[#This Row],[Intérêt Normaux]])</f>
        <v>260.93</v>
      </c>
      <c r="T159" s="16">
        <f>SUM(Tableau1[[#This Row],[Intérêts différés]]+Tableau2[[#This Row],[Intérêts différés]])</f>
        <v>0</v>
      </c>
      <c r="U159" s="16">
        <f>SUM(Tableau1[[#This Row],[Assurances]]+Tableau2[[#This Row],[Assurances]])</f>
        <v>22.14</v>
      </c>
      <c r="V159" s="16">
        <f>SUM(Tableau1[[#This Row],[Total à payer]]+Tableau2[[#This Row],[Total à payer]])</f>
        <v>706.74</v>
      </c>
      <c r="W159" s="16">
        <f>SUM(Tableau1[[#This Row],[Montant restant dû après échéance]]+Tableau2[[#This Row],[Montant restant dû après échéance]])</f>
        <v>80836.53</v>
      </c>
    </row>
    <row r="160" spans="1:23" x14ac:dyDescent="0.3">
      <c r="A160" s="76">
        <v>154</v>
      </c>
      <c r="B160" s="77">
        <v>368.46</v>
      </c>
      <c r="C160" s="77">
        <v>259.73</v>
      </c>
      <c r="D160" s="77">
        <v>0</v>
      </c>
      <c r="E160" s="77">
        <v>21.61</v>
      </c>
      <c r="F160" s="77">
        <v>649.79999999999995</v>
      </c>
      <c r="G160" s="77">
        <v>78937.08</v>
      </c>
      <c r="H160" s="78"/>
      <c r="I160" s="76">
        <v>154</v>
      </c>
      <c r="J160" s="77">
        <v>56.52</v>
      </c>
      <c r="K160" s="77">
        <v>0</v>
      </c>
      <c r="L160" s="77">
        <v>0</v>
      </c>
      <c r="M160" s="77">
        <v>0.42</v>
      </c>
      <c r="N160" s="77">
        <v>56.94</v>
      </c>
      <c r="O160" s="77">
        <v>1474.47</v>
      </c>
      <c r="Q160">
        <v>154</v>
      </c>
      <c r="R160" s="16">
        <f>SUM(Tableau1[[#This Row],[Amortiss. Capital]]+Tableau2[[#This Row],[Amortiss. Capital]])</f>
        <v>424.97999999999996</v>
      </c>
      <c r="S160" s="16">
        <f>SUM(Tableau1[[#This Row],[Intérêt Normaux]]+Tableau2[[#This Row],[Intérêt Normaux]])</f>
        <v>259.73</v>
      </c>
      <c r="T160" s="16">
        <f>SUM(Tableau1[[#This Row],[Intérêts différés]]+Tableau2[[#This Row],[Intérêts différés]])</f>
        <v>0</v>
      </c>
      <c r="U160" s="16">
        <f>SUM(Tableau1[[#This Row],[Assurances]]+Tableau2[[#This Row],[Assurances]])</f>
        <v>22.03</v>
      </c>
      <c r="V160" s="16">
        <f>SUM(Tableau1[[#This Row],[Total à payer]]+Tableau2[[#This Row],[Total à payer]])</f>
        <v>706.74</v>
      </c>
      <c r="W160" s="16">
        <f>SUM(Tableau1[[#This Row],[Montant restant dû après échéance]]+Tableau2[[#This Row],[Montant restant dû après échéance]])</f>
        <v>80411.55</v>
      </c>
    </row>
    <row r="161" spans="1:23" x14ac:dyDescent="0.3">
      <c r="A161" s="76">
        <v>155</v>
      </c>
      <c r="B161" s="77">
        <v>369.77</v>
      </c>
      <c r="C161" s="77">
        <v>258.52</v>
      </c>
      <c r="D161" s="77">
        <v>0</v>
      </c>
      <c r="E161" s="77">
        <v>21.51</v>
      </c>
      <c r="F161" s="77">
        <v>649.79999999999995</v>
      </c>
      <c r="G161" s="77">
        <v>78567.31</v>
      </c>
      <c r="H161" s="78"/>
      <c r="I161" s="76">
        <v>155</v>
      </c>
      <c r="J161" s="77">
        <v>56.54</v>
      </c>
      <c r="K161" s="77">
        <v>0</v>
      </c>
      <c r="L161" s="77">
        <v>0</v>
      </c>
      <c r="M161" s="77">
        <v>0.4</v>
      </c>
      <c r="N161" s="77">
        <v>56.94</v>
      </c>
      <c r="O161" s="77">
        <v>1417.93</v>
      </c>
      <c r="Q161">
        <v>155</v>
      </c>
      <c r="R161" s="16">
        <f>SUM(Tableau1[[#This Row],[Amortiss. Capital]]+Tableau2[[#This Row],[Amortiss. Capital]])</f>
        <v>426.31</v>
      </c>
      <c r="S161" s="16">
        <f>SUM(Tableau1[[#This Row],[Intérêt Normaux]]+Tableau2[[#This Row],[Intérêt Normaux]])</f>
        <v>258.52</v>
      </c>
      <c r="T161" s="16">
        <f>SUM(Tableau1[[#This Row],[Intérêts différés]]+Tableau2[[#This Row],[Intérêts différés]])</f>
        <v>0</v>
      </c>
      <c r="U161" s="16">
        <f>SUM(Tableau1[[#This Row],[Assurances]]+Tableau2[[#This Row],[Assurances]])</f>
        <v>21.91</v>
      </c>
      <c r="V161" s="16">
        <f>SUM(Tableau1[[#This Row],[Total à payer]]+Tableau2[[#This Row],[Total à payer]])</f>
        <v>706.74</v>
      </c>
      <c r="W161" s="16">
        <f>SUM(Tableau1[[#This Row],[Montant restant dû après échéance]]+Tableau2[[#This Row],[Montant restant dû après échéance]])</f>
        <v>79985.239999999991</v>
      </c>
    </row>
    <row r="162" spans="1:23" x14ac:dyDescent="0.3">
      <c r="A162" s="76">
        <v>156</v>
      </c>
      <c r="B162" s="77">
        <v>371.08</v>
      </c>
      <c r="C162" s="77">
        <v>257.31</v>
      </c>
      <c r="D162" s="77">
        <v>0</v>
      </c>
      <c r="E162" s="77">
        <v>21.41</v>
      </c>
      <c r="F162" s="77">
        <v>649.79999999999995</v>
      </c>
      <c r="G162" s="77">
        <v>78196.23</v>
      </c>
      <c r="H162" s="78"/>
      <c r="I162" s="76">
        <v>156</v>
      </c>
      <c r="J162" s="77">
        <v>56.55</v>
      </c>
      <c r="K162" s="77">
        <v>0</v>
      </c>
      <c r="L162" s="77">
        <v>0</v>
      </c>
      <c r="M162" s="77">
        <v>0.39</v>
      </c>
      <c r="N162" s="77">
        <v>56.94</v>
      </c>
      <c r="O162" s="77">
        <v>1361.38</v>
      </c>
      <c r="Q162">
        <v>156</v>
      </c>
      <c r="R162" s="16">
        <f>SUM(Tableau1[[#This Row],[Amortiss. Capital]]+Tableau2[[#This Row],[Amortiss. Capital]])</f>
        <v>427.63</v>
      </c>
      <c r="S162" s="16">
        <f>SUM(Tableau1[[#This Row],[Intérêt Normaux]]+Tableau2[[#This Row],[Intérêt Normaux]])</f>
        <v>257.31</v>
      </c>
      <c r="T162" s="16">
        <f>SUM(Tableau1[[#This Row],[Intérêts différés]]+Tableau2[[#This Row],[Intérêts différés]])</f>
        <v>0</v>
      </c>
      <c r="U162" s="16">
        <f>SUM(Tableau1[[#This Row],[Assurances]]+Tableau2[[#This Row],[Assurances]])</f>
        <v>21.8</v>
      </c>
      <c r="V162" s="16">
        <f>SUM(Tableau1[[#This Row],[Total à payer]]+Tableau2[[#This Row],[Total à payer]])</f>
        <v>706.74</v>
      </c>
      <c r="W162" s="16">
        <f>SUM(Tableau1[[#This Row],[Montant restant dû après échéance]]+Tableau2[[#This Row],[Montant restant dû après échéance]])</f>
        <v>79557.61</v>
      </c>
    </row>
    <row r="163" spans="1:23" x14ac:dyDescent="0.3">
      <c r="A163" s="76">
        <v>157</v>
      </c>
      <c r="B163" s="77">
        <v>372.4</v>
      </c>
      <c r="C163" s="77">
        <v>256.08999999999997</v>
      </c>
      <c r="D163" s="77">
        <v>0</v>
      </c>
      <c r="E163" s="77">
        <v>21.31</v>
      </c>
      <c r="F163" s="77">
        <v>649.79999999999995</v>
      </c>
      <c r="G163" s="77">
        <v>77823.83</v>
      </c>
      <c r="H163" s="78"/>
      <c r="I163" s="76">
        <v>157</v>
      </c>
      <c r="J163" s="77">
        <v>56.57</v>
      </c>
      <c r="K163" s="77">
        <v>0</v>
      </c>
      <c r="L163" s="77">
        <v>0</v>
      </c>
      <c r="M163" s="77">
        <v>0.37</v>
      </c>
      <c r="N163" s="77">
        <v>56.94</v>
      </c>
      <c r="O163" s="77">
        <v>1304.81</v>
      </c>
      <c r="Q163">
        <v>157</v>
      </c>
      <c r="R163" s="16">
        <f>SUM(Tableau1[[#This Row],[Amortiss. Capital]]+Tableau2[[#This Row],[Amortiss. Capital]])</f>
        <v>428.96999999999997</v>
      </c>
      <c r="S163" s="16">
        <f>SUM(Tableau1[[#This Row],[Intérêt Normaux]]+Tableau2[[#This Row],[Intérêt Normaux]])</f>
        <v>256.08999999999997</v>
      </c>
      <c r="T163" s="16">
        <f>SUM(Tableau1[[#This Row],[Intérêts différés]]+Tableau2[[#This Row],[Intérêts différés]])</f>
        <v>0</v>
      </c>
      <c r="U163" s="16">
        <f>SUM(Tableau1[[#This Row],[Assurances]]+Tableau2[[#This Row],[Assurances]])</f>
        <v>21.68</v>
      </c>
      <c r="V163" s="16">
        <f>SUM(Tableau1[[#This Row],[Total à payer]]+Tableau2[[#This Row],[Total à payer]])</f>
        <v>706.74</v>
      </c>
      <c r="W163" s="16">
        <f>SUM(Tableau1[[#This Row],[Montant restant dû après échéance]]+Tableau2[[#This Row],[Montant restant dû après échéance]])</f>
        <v>79128.639999999999</v>
      </c>
    </row>
    <row r="164" spans="1:23" x14ac:dyDescent="0.3">
      <c r="A164" s="76">
        <v>158</v>
      </c>
      <c r="B164" s="77">
        <v>373.72</v>
      </c>
      <c r="C164" s="77">
        <v>254.87</v>
      </c>
      <c r="D164" s="77">
        <v>0</v>
      </c>
      <c r="E164" s="77">
        <v>21.21</v>
      </c>
      <c r="F164" s="77">
        <v>649.79999999999995</v>
      </c>
      <c r="G164" s="77">
        <v>77450.11</v>
      </c>
      <c r="H164" s="78"/>
      <c r="I164" s="76">
        <v>158</v>
      </c>
      <c r="J164" s="77">
        <v>56.58</v>
      </c>
      <c r="K164" s="77">
        <v>0</v>
      </c>
      <c r="L164" s="77">
        <v>0</v>
      </c>
      <c r="M164" s="77">
        <v>0.36</v>
      </c>
      <c r="N164" s="77">
        <v>56.94</v>
      </c>
      <c r="O164" s="77">
        <v>1248.23</v>
      </c>
      <c r="Q164">
        <v>158</v>
      </c>
      <c r="R164" s="16">
        <f>SUM(Tableau1[[#This Row],[Amortiss. Capital]]+Tableau2[[#This Row],[Amortiss. Capital]])</f>
        <v>430.3</v>
      </c>
      <c r="S164" s="16">
        <f>SUM(Tableau1[[#This Row],[Intérêt Normaux]]+Tableau2[[#This Row],[Intérêt Normaux]])</f>
        <v>254.87</v>
      </c>
      <c r="T164" s="16">
        <f>SUM(Tableau1[[#This Row],[Intérêts différés]]+Tableau2[[#This Row],[Intérêts différés]])</f>
        <v>0</v>
      </c>
      <c r="U164" s="16">
        <f>SUM(Tableau1[[#This Row],[Assurances]]+Tableau2[[#This Row],[Assurances]])</f>
        <v>21.57</v>
      </c>
      <c r="V164" s="16">
        <f>SUM(Tableau1[[#This Row],[Total à payer]]+Tableau2[[#This Row],[Total à payer]])</f>
        <v>706.74</v>
      </c>
      <c r="W164" s="16">
        <f>SUM(Tableau1[[#This Row],[Montant restant dû après échéance]]+Tableau2[[#This Row],[Montant restant dû après échéance]])</f>
        <v>78698.34</v>
      </c>
    </row>
    <row r="165" spans="1:23" x14ac:dyDescent="0.3">
      <c r="A165" s="76">
        <v>159</v>
      </c>
      <c r="B165" s="77">
        <v>375.04</v>
      </c>
      <c r="C165" s="77">
        <v>253.65</v>
      </c>
      <c r="D165" s="77">
        <v>0</v>
      </c>
      <c r="E165" s="77">
        <v>21.11</v>
      </c>
      <c r="F165" s="77">
        <v>649.79999999999995</v>
      </c>
      <c r="G165" s="77">
        <v>77075.070000000007</v>
      </c>
      <c r="H165" s="78"/>
      <c r="I165" s="76">
        <v>159</v>
      </c>
      <c r="J165" s="77">
        <v>56.6</v>
      </c>
      <c r="K165" s="77">
        <v>0</v>
      </c>
      <c r="L165" s="77">
        <v>0</v>
      </c>
      <c r="M165" s="77">
        <v>0.34</v>
      </c>
      <c r="N165" s="77">
        <v>56.94</v>
      </c>
      <c r="O165" s="77">
        <v>1191.6300000000001</v>
      </c>
      <c r="Q165">
        <v>159</v>
      </c>
      <c r="R165" s="16">
        <f>SUM(Tableau1[[#This Row],[Amortiss. Capital]]+Tableau2[[#This Row],[Amortiss. Capital]])</f>
        <v>431.64000000000004</v>
      </c>
      <c r="S165" s="16">
        <f>SUM(Tableau1[[#This Row],[Intérêt Normaux]]+Tableau2[[#This Row],[Intérêt Normaux]])</f>
        <v>253.65</v>
      </c>
      <c r="T165" s="16">
        <f>SUM(Tableau1[[#This Row],[Intérêts différés]]+Tableau2[[#This Row],[Intérêts différés]])</f>
        <v>0</v>
      </c>
      <c r="U165" s="16">
        <f>SUM(Tableau1[[#This Row],[Assurances]]+Tableau2[[#This Row],[Assurances]])</f>
        <v>21.45</v>
      </c>
      <c r="V165" s="16">
        <f>SUM(Tableau1[[#This Row],[Total à payer]]+Tableau2[[#This Row],[Total à payer]])</f>
        <v>706.74</v>
      </c>
      <c r="W165" s="16">
        <f>SUM(Tableau1[[#This Row],[Montant restant dû après échéance]]+Tableau2[[#This Row],[Montant restant dû après échéance]])</f>
        <v>78266.700000000012</v>
      </c>
    </row>
    <row r="166" spans="1:23" x14ac:dyDescent="0.3">
      <c r="A166" s="76">
        <v>160</v>
      </c>
      <c r="B166" s="77">
        <v>376.38</v>
      </c>
      <c r="C166" s="77">
        <v>252.42</v>
      </c>
      <c r="D166" s="77">
        <v>0</v>
      </c>
      <c r="E166" s="77">
        <v>21</v>
      </c>
      <c r="F166" s="77">
        <v>649.79999999999995</v>
      </c>
      <c r="G166" s="77">
        <v>76698.69</v>
      </c>
      <c r="H166" s="78"/>
      <c r="I166" s="76">
        <v>160</v>
      </c>
      <c r="J166" s="77">
        <v>56.62</v>
      </c>
      <c r="K166" s="77">
        <v>0</v>
      </c>
      <c r="L166" s="77">
        <v>0</v>
      </c>
      <c r="M166" s="77">
        <v>0.32</v>
      </c>
      <c r="N166" s="77">
        <v>56.94</v>
      </c>
      <c r="O166" s="77">
        <v>1135.01</v>
      </c>
      <c r="Q166">
        <v>160</v>
      </c>
      <c r="R166" s="16">
        <f>SUM(Tableau1[[#This Row],[Amortiss. Capital]]+Tableau2[[#This Row],[Amortiss. Capital]])</f>
        <v>433</v>
      </c>
      <c r="S166" s="16">
        <f>SUM(Tableau1[[#This Row],[Intérêt Normaux]]+Tableau2[[#This Row],[Intérêt Normaux]])</f>
        <v>252.42</v>
      </c>
      <c r="T166" s="16">
        <f>SUM(Tableau1[[#This Row],[Intérêts différés]]+Tableau2[[#This Row],[Intérêts différés]])</f>
        <v>0</v>
      </c>
      <c r="U166" s="16">
        <f>SUM(Tableau1[[#This Row],[Assurances]]+Tableau2[[#This Row],[Assurances]])</f>
        <v>21.32</v>
      </c>
      <c r="V166" s="16">
        <f>SUM(Tableau1[[#This Row],[Total à payer]]+Tableau2[[#This Row],[Total à payer]])</f>
        <v>706.74</v>
      </c>
      <c r="W166" s="16">
        <f>SUM(Tableau1[[#This Row],[Montant restant dû après échéance]]+Tableau2[[#This Row],[Montant restant dû après échéance]])</f>
        <v>77833.7</v>
      </c>
    </row>
    <row r="167" spans="1:23" x14ac:dyDescent="0.3">
      <c r="A167" s="76">
        <v>161</v>
      </c>
      <c r="B167" s="77">
        <v>377.71</v>
      </c>
      <c r="C167" s="77">
        <v>251.19</v>
      </c>
      <c r="D167" s="77">
        <v>0</v>
      </c>
      <c r="E167" s="77">
        <v>20.9</v>
      </c>
      <c r="F167" s="77">
        <v>649.79999999999995</v>
      </c>
      <c r="G167" s="77">
        <v>76320.98</v>
      </c>
      <c r="H167" s="78"/>
      <c r="I167" s="76">
        <v>161</v>
      </c>
      <c r="J167" s="77">
        <v>56.63</v>
      </c>
      <c r="K167" s="77">
        <v>0</v>
      </c>
      <c r="L167" s="77">
        <v>0</v>
      </c>
      <c r="M167" s="77">
        <v>0.31</v>
      </c>
      <c r="N167" s="77">
        <v>56.94</v>
      </c>
      <c r="O167" s="77">
        <v>1078.3800000000001</v>
      </c>
      <c r="Q167">
        <v>161</v>
      </c>
      <c r="R167" s="16">
        <f>SUM(Tableau1[[#This Row],[Amortiss. Capital]]+Tableau2[[#This Row],[Amortiss. Capital]])</f>
        <v>434.34</v>
      </c>
      <c r="S167" s="16">
        <f>SUM(Tableau1[[#This Row],[Intérêt Normaux]]+Tableau2[[#This Row],[Intérêt Normaux]])</f>
        <v>251.19</v>
      </c>
      <c r="T167" s="16">
        <f>SUM(Tableau1[[#This Row],[Intérêts différés]]+Tableau2[[#This Row],[Intérêts différés]])</f>
        <v>0</v>
      </c>
      <c r="U167" s="16">
        <f>SUM(Tableau1[[#This Row],[Assurances]]+Tableau2[[#This Row],[Assurances]])</f>
        <v>21.209999999999997</v>
      </c>
      <c r="V167" s="16">
        <f>SUM(Tableau1[[#This Row],[Total à payer]]+Tableau2[[#This Row],[Total à payer]])</f>
        <v>706.74</v>
      </c>
      <c r="W167" s="16">
        <f>SUM(Tableau1[[#This Row],[Montant restant dû après échéance]]+Tableau2[[#This Row],[Montant restant dû après échéance]])</f>
        <v>77399.360000000001</v>
      </c>
    </row>
    <row r="168" spans="1:23" x14ac:dyDescent="0.3">
      <c r="A168" s="76">
        <v>162</v>
      </c>
      <c r="B168" s="77">
        <v>379.05</v>
      </c>
      <c r="C168" s="77">
        <v>249.95</v>
      </c>
      <c r="D168" s="77">
        <v>0</v>
      </c>
      <c r="E168" s="77">
        <v>20.8</v>
      </c>
      <c r="F168" s="77">
        <v>649.79999999999995</v>
      </c>
      <c r="G168" s="77">
        <v>75941.929999999993</v>
      </c>
      <c r="H168" s="78"/>
      <c r="I168" s="76">
        <v>162</v>
      </c>
      <c r="J168" s="77">
        <v>56.65</v>
      </c>
      <c r="K168" s="77">
        <v>0</v>
      </c>
      <c r="L168" s="77">
        <v>0</v>
      </c>
      <c r="M168" s="77">
        <v>0.28999999999999998</v>
      </c>
      <c r="N168" s="77">
        <v>56.94</v>
      </c>
      <c r="O168" s="77">
        <v>1021.73</v>
      </c>
      <c r="Q168">
        <v>162</v>
      </c>
      <c r="R168" s="16">
        <f>SUM(Tableau1[[#This Row],[Amortiss. Capital]]+Tableau2[[#This Row],[Amortiss. Capital]])</f>
        <v>435.7</v>
      </c>
      <c r="S168" s="16">
        <f>SUM(Tableau1[[#This Row],[Intérêt Normaux]]+Tableau2[[#This Row],[Intérêt Normaux]])</f>
        <v>249.95</v>
      </c>
      <c r="T168" s="16">
        <f>SUM(Tableau1[[#This Row],[Intérêts différés]]+Tableau2[[#This Row],[Intérêts différés]])</f>
        <v>0</v>
      </c>
      <c r="U168" s="16">
        <f>SUM(Tableau1[[#This Row],[Assurances]]+Tableau2[[#This Row],[Assurances]])</f>
        <v>21.09</v>
      </c>
      <c r="V168" s="16">
        <f>SUM(Tableau1[[#This Row],[Total à payer]]+Tableau2[[#This Row],[Total à payer]])</f>
        <v>706.74</v>
      </c>
      <c r="W168" s="16">
        <f>SUM(Tableau1[[#This Row],[Montant restant dû après échéance]]+Tableau2[[#This Row],[Montant restant dû après échéance]])</f>
        <v>76963.659999999989</v>
      </c>
    </row>
    <row r="169" spans="1:23" x14ac:dyDescent="0.3">
      <c r="A169" s="76">
        <v>163</v>
      </c>
      <c r="B169" s="77">
        <v>380.4</v>
      </c>
      <c r="C169" s="77">
        <v>248.71</v>
      </c>
      <c r="D169" s="77">
        <v>0</v>
      </c>
      <c r="E169" s="77">
        <v>20.69</v>
      </c>
      <c r="F169" s="77">
        <v>649.79999999999995</v>
      </c>
      <c r="G169" s="77">
        <v>75561.53</v>
      </c>
      <c r="H169" s="78"/>
      <c r="I169" s="76">
        <v>163</v>
      </c>
      <c r="J169" s="77">
        <v>56.66</v>
      </c>
      <c r="K169" s="77">
        <v>0</v>
      </c>
      <c r="L169" s="77">
        <v>0</v>
      </c>
      <c r="M169" s="77">
        <v>0.28000000000000003</v>
      </c>
      <c r="N169" s="77">
        <v>56.94</v>
      </c>
      <c r="O169" s="77">
        <v>965.07</v>
      </c>
      <c r="Q169">
        <v>163</v>
      </c>
      <c r="R169" s="16">
        <f>SUM(Tableau1[[#This Row],[Amortiss. Capital]]+Tableau2[[#This Row],[Amortiss. Capital]])</f>
        <v>437.05999999999995</v>
      </c>
      <c r="S169" s="16">
        <f>SUM(Tableau1[[#This Row],[Intérêt Normaux]]+Tableau2[[#This Row],[Intérêt Normaux]])</f>
        <v>248.71</v>
      </c>
      <c r="T169" s="16">
        <f>SUM(Tableau1[[#This Row],[Intérêts différés]]+Tableau2[[#This Row],[Intérêts différés]])</f>
        <v>0</v>
      </c>
      <c r="U169" s="16">
        <f>SUM(Tableau1[[#This Row],[Assurances]]+Tableau2[[#This Row],[Assurances]])</f>
        <v>20.970000000000002</v>
      </c>
      <c r="V169" s="16">
        <f>SUM(Tableau1[[#This Row],[Total à payer]]+Tableau2[[#This Row],[Total à payer]])</f>
        <v>706.74</v>
      </c>
      <c r="W169" s="16">
        <f>SUM(Tableau1[[#This Row],[Montant restant dû après échéance]]+Tableau2[[#This Row],[Montant restant dû après échéance]])</f>
        <v>76526.600000000006</v>
      </c>
    </row>
    <row r="170" spans="1:23" x14ac:dyDescent="0.3">
      <c r="A170" s="76">
        <v>164</v>
      </c>
      <c r="B170" s="77">
        <v>381.75</v>
      </c>
      <c r="C170" s="77">
        <v>247.46</v>
      </c>
      <c r="D170" s="77">
        <v>0</v>
      </c>
      <c r="E170" s="77">
        <v>20.59</v>
      </c>
      <c r="F170" s="77">
        <v>649.79999999999995</v>
      </c>
      <c r="G170" s="77">
        <v>75179.78</v>
      </c>
      <c r="H170" s="78"/>
      <c r="I170" s="76">
        <v>164</v>
      </c>
      <c r="J170" s="77">
        <v>56.68</v>
      </c>
      <c r="K170" s="77">
        <v>0</v>
      </c>
      <c r="L170" s="77">
        <v>0</v>
      </c>
      <c r="M170" s="77">
        <v>0.26</v>
      </c>
      <c r="N170" s="77">
        <v>56.94</v>
      </c>
      <c r="O170" s="77">
        <v>908.39</v>
      </c>
      <c r="Q170">
        <v>164</v>
      </c>
      <c r="R170" s="16">
        <f>SUM(Tableau1[[#This Row],[Amortiss. Capital]]+Tableau2[[#This Row],[Amortiss. Capital]])</f>
        <v>438.43</v>
      </c>
      <c r="S170" s="16">
        <f>SUM(Tableau1[[#This Row],[Intérêt Normaux]]+Tableau2[[#This Row],[Intérêt Normaux]])</f>
        <v>247.46</v>
      </c>
      <c r="T170" s="16">
        <f>SUM(Tableau1[[#This Row],[Intérêts différés]]+Tableau2[[#This Row],[Intérêts différés]])</f>
        <v>0</v>
      </c>
      <c r="U170" s="16">
        <f>SUM(Tableau1[[#This Row],[Assurances]]+Tableau2[[#This Row],[Assurances]])</f>
        <v>20.85</v>
      </c>
      <c r="V170" s="16">
        <f>SUM(Tableau1[[#This Row],[Total à payer]]+Tableau2[[#This Row],[Total à payer]])</f>
        <v>706.74</v>
      </c>
      <c r="W170" s="16">
        <f>SUM(Tableau1[[#This Row],[Montant restant dû après échéance]]+Tableau2[[#This Row],[Montant restant dû après échéance]])</f>
        <v>76088.17</v>
      </c>
    </row>
    <row r="171" spans="1:23" x14ac:dyDescent="0.3">
      <c r="A171" s="76">
        <v>165</v>
      </c>
      <c r="B171" s="77">
        <v>383.1</v>
      </c>
      <c r="C171" s="77">
        <v>246.21</v>
      </c>
      <c r="D171" s="77">
        <v>0</v>
      </c>
      <c r="E171" s="77">
        <v>20.49</v>
      </c>
      <c r="F171" s="77">
        <v>649.79999999999995</v>
      </c>
      <c r="G171" s="77">
        <v>74796.679999999993</v>
      </c>
      <c r="H171" s="78"/>
      <c r="I171" s="76">
        <v>165</v>
      </c>
      <c r="J171" s="77">
        <v>56.69</v>
      </c>
      <c r="K171" s="77">
        <v>0</v>
      </c>
      <c r="L171" s="77">
        <v>0</v>
      </c>
      <c r="M171" s="77">
        <v>0.25</v>
      </c>
      <c r="N171" s="77">
        <v>56.94</v>
      </c>
      <c r="O171" s="77">
        <v>851.7</v>
      </c>
      <c r="Q171">
        <v>165</v>
      </c>
      <c r="R171" s="16">
        <f>SUM(Tableau1[[#This Row],[Amortiss. Capital]]+Tableau2[[#This Row],[Amortiss. Capital]])</f>
        <v>439.79</v>
      </c>
      <c r="S171" s="16">
        <f>SUM(Tableau1[[#This Row],[Intérêt Normaux]]+Tableau2[[#This Row],[Intérêt Normaux]])</f>
        <v>246.21</v>
      </c>
      <c r="T171" s="16">
        <f>SUM(Tableau1[[#This Row],[Intérêts différés]]+Tableau2[[#This Row],[Intérêts différés]])</f>
        <v>0</v>
      </c>
      <c r="U171" s="16">
        <f>SUM(Tableau1[[#This Row],[Assurances]]+Tableau2[[#This Row],[Assurances]])</f>
        <v>20.74</v>
      </c>
      <c r="V171" s="16">
        <f>SUM(Tableau1[[#This Row],[Total à payer]]+Tableau2[[#This Row],[Total à payer]])</f>
        <v>706.74</v>
      </c>
      <c r="W171" s="16">
        <f>SUM(Tableau1[[#This Row],[Montant restant dû après échéance]]+Tableau2[[#This Row],[Montant restant dû après échéance]])</f>
        <v>75648.37999999999</v>
      </c>
    </row>
    <row r="172" spans="1:23" x14ac:dyDescent="0.3">
      <c r="A172" s="76">
        <v>166</v>
      </c>
      <c r="B172" s="77">
        <v>384.46</v>
      </c>
      <c r="C172" s="77">
        <v>244.96</v>
      </c>
      <c r="D172" s="77">
        <v>0</v>
      </c>
      <c r="E172" s="77">
        <v>20.38</v>
      </c>
      <c r="F172" s="77">
        <v>649.79999999999995</v>
      </c>
      <c r="G172" s="77">
        <v>74412.22</v>
      </c>
      <c r="H172" s="78"/>
      <c r="I172" s="76">
        <v>166</v>
      </c>
      <c r="J172" s="77">
        <v>56.71</v>
      </c>
      <c r="K172" s="77">
        <v>0</v>
      </c>
      <c r="L172" s="77">
        <v>0</v>
      </c>
      <c r="M172" s="77">
        <v>0.23</v>
      </c>
      <c r="N172" s="77">
        <v>56.94</v>
      </c>
      <c r="O172" s="77">
        <v>794.99</v>
      </c>
      <c r="Q172">
        <v>166</v>
      </c>
      <c r="R172" s="16">
        <f>SUM(Tableau1[[#This Row],[Amortiss. Capital]]+Tableau2[[#This Row],[Amortiss. Capital]])</f>
        <v>441.16999999999996</v>
      </c>
      <c r="S172" s="16">
        <f>SUM(Tableau1[[#This Row],[Intérêt Normaux]]+Tableau2[[#This Row],[Intérêt Normaux]])</f>
        <v>244.96</v>
      </c>
      <c r="T172" s="16">
        <f>SUM(Tableau1[[#This Row],[Intérêts différés]]+Tableau2[[#This Row],[Intérêts différés]])</f>
        <v>0</v>
      </c>
      <c r="U172" s="16">
        <f>SUM(Tableau1[[#This Row],[Assurances]]+Tableau2[[#This Row],[Assurances]])</f>
        <v>20.61</v>
      </c>
      <c r="V172" s="16">
        <f>SUM(Tableau1[[#This Row],[Total à payer]]+Tableau2[[#This Row],[Total à payer]])</f>
        <v>706.74</v>
      </c>
      <c r="W172" s="16">
        <f>SUM(Tableau1[[#This Row],[Montant restant dû après échéance]]+Tableau2[[#This Row],[Montant restant dû après échéance]])</f>
        <v>75207.210000000006</v>
      </c>
    </row>
    <row r="173" spans="1:23" x14ac:dyDescent="0.3">
      <c r="A173" s="76">
        <v>167</v>
      </c>
      <c r="B173" s="77">
        <v>385.82</v>
      </c>
      <c r="C173" s="77">
        <v>243.7</v>
      </c>
      <c r="D173" s="77">
        <v>0</v>
      </c>
      <c r="E173" s="77">
        <v>20.28</v>
      </c>
      <c r="F173" s="77">
        <v>649.79999999999995</v>
      </c>
      <c r="G173" s="77">
        <v>74026.399999999994</v>
      </c>
      <c r="H173" s="78"/>
      <c r="I173" s="76">
        <v>167</v>
      </c>
      <c r="J173" s="77">
        <v>56.72</v>
      </c>
      <c r="K173" s="77">
        <v>0</v>
      </c>
      <c r="L173" s="77">
        <v>0</v>
      </c>
      <c r="M173" s="77">
        <v>0.22</v>
      </c>
      <c r="N173" s="77">
        <v>56.94</v>
      </c>
      <c r="O173" s="77">
        <v>738.27</v>
      </c>
      <c r="Q173">
        <v>167</v>
      </c>
      <c r="R173" s="16">
        <f>SUM(Tableau1[[#This Row],[Amortiss. Capital]]+Tableau2[[#This Row],[Amortiss. Capital]])</f>
        <v>442.53999999999996</v>
      </c>
      <c r="S173" s="16">
        <f>SUM(Tableau1[[#This Row],[Intérêt Normaux]]+Tableau2[[#This Row],[Intérêt Normaux]])</f>
        <v>243.7</v>
      </c>
      <c r="T173" s="16">
        <f>SUM(Tableau1[[#This Row],[Intérêts différés]]+Tableau2[[#This Row],[Intérêts différés]])</f>
        <v>0</v>
      </c>
      <c r="U173" s="16">
        <f>SUM(Tableau1[[#This Row],[Assurances]]+Tableau2[[#This Row],[Assurances]])</f>
        <v>20.5</v>
      </c>
      <c r="V173" s="16">
        <f>SUM(Tableau1[[#This Row],[Total à payer]]+Tableau2[[#This Row],[Total à payer]])</f>
        <v>706.74</v>
      </c>
      <c r="W173" s="16">
        <f>SUM(Tableau1[[#This Row],[Montant restant dû après échéance]]+Tableau2[[#This Row],[Montant restant dû après échéance]])</f>
        <v>74764.67</v>
      </c>
    </row>
    <row r="174" spans="1:23" x14ac:dyDescent="0.3">
      <c r="A174" s="76">
        <v>168</v>
      </c>
      <c r="B174" s="77">
        <v>387.19</v>
      </c>
      <c r="C174" s="77">
        <v>242.44</v>
      </c>
      <c r="D174" s="77">
        <v>0</v>
      </c>
      <c r="E174" s="77">
        <v>20.170000000000002</v>
      </c>
      <c r="F174" s="77">
        <v>649.79999999999995</v>
      </c>
      <c r="G174" s="77">
        <v>73639.210000000006</v>
      </c>
      <c r="H174" s="78"/>
      <c r="I174" s="76">
        <v>168</v>
      </c>
      <c r="J174" s="77">
        <v>56.74</v>
      </c>
      <c r="K174" s="77">
        <v>0</v>
      </c>
      <c r="L174" s="77">
        <v>0</v>
      </c>
      <c r="M174" s="77">
        <v>0.2</v>
      </c>
      <c r="N174" s="77">
        <v>56.94</v>
      </c>
      <c r="O174" s="77">
        <v>681.53</v>
      </c>
      <c r="Q174">
        <v>168</v>
      </c>
      <c r="R174" s="16">
        <f>SUM(Tableau1[[#This Row],[Amortiss. Capital]]+Tableau2[[#This Row],[Amortiss. Capital]])</f>
        <v>443.93</v>
      </c>
      <c r="S174" s="16">
        <f>SUM(Tableau1[[#This Row],[Intérêt Normaux]]+Tableau2[[#This Row],[Intérêt Normaux]])</f>
        <v>242.44</v>
      </c>
      <c r="T174" s="16">
        <f>SUM(Tableau1[[#This Row],[Intérêts différés]]+Tableau2[[#This Row],[Intérêts différés]])</f>
        <v>0</v>
      </c>
      <c r="U174" s="16">
        <f>SUM(Tableau1[[#This Row],[Assurances]]+Tableau2[[#This Row],[Assurances]])</f>
        <v>20.37</v>
      </c>
      <c r="V174" s="16">
        <f>SUM(Tableau1[[#This Row],[Total à payer]]+Tableau2[[#This Row],[Total à payer]])</f>
        <v>706.74</v>
      </c>
      <c r="W174" s="16">
        <f>SUM(Tableau1[[#This Row],[Montant restant dû après échéance]]+Tableau2[[#This Row],[Montant restant dû après échéance]])</f>
        <v>74320.740000000005</v>
      </c>
    </row>
    <row r="175" spans="1:23" x14ac:dyDescent="0.3">
      <c r="A175" s="76">
        <v>169</v>
      </c>
      <c r="B175" s="77">
        <v>388.56</v>
      </c>
      <c r="C175" s="77">
        <v>241.17</v>
      </c>
      <c r="D175" s="77">
        <v>0</v>
      </c>
      <c r="E175" s="77">
        <v>20.07</v>
      </c>
      <c r="F175" s="77">
        <v>649.79999999999995</v>
      </c>
      <c r="G175" s="77">
        <v>73250.649999999994</v>
      </c>
      <c r="H175" s="78"/>
      <c r="I175" s="76">
        <v>169</v>
      </c>
      <c r="J175" s="77">
        <v>56.75</v>
      </c>
      <c r="K175" s="77">
        <v>0</v>
      </c>
      <c r="L175" s="77">
        <v>0</v>
      </c>
      <c r="M175" s="77">
        <v>0.19</v>
      </c>
      <c r="N175" s="77">
        <v>56.94</v>
      </c>
      <c r="O175" s="77">
        <v>624.78</v>
      </c>
      <c r="Q175">
        <v>169</v>
      </c>
      <c r="R175" s="16">
        <f>SUM(Tableau1[[#This Row],[Amortiss. Capital]]+Tableau2[[#This Row],[Amortiss. Capital]])</f>
        <v>445.31</v>
      </c>
      <c r="S175" s="16">
        <f>SUM(Tableau1[[#This Row],[Intérêt Normaux]]+Tableau2[[#This Row],[Intérêt Normaux]])</f>
        <v>241.17</v>
      </c>
      <c r="T175" s="16">
        <f>SUM(Tableau1[[#This Row],[Intérêts différés]]+Tableau2[[#This Row],[Intérêts différés]])</f>
        <v>0</v>
      </c>
      <c r="U175" s="16">
        <f>SUM(Tableau1[[#This Row],[Assurances]]+Tableau2[[#This Row],[Assurances]])</f>
        <v>20.260000000000002</v>
      </c>
      <c r="V175" s="16">
        <f>SUM(Tableau1[[#This Row],[Total à payer]]+Tableau2[[#This Row],[Total à payer]])</f>
        <v>706.74</v>
      </c>
      <c r="W175" s="16">
        <f>SUM(Tableau1[[#This Row],[Montant restant dû après échéance]]+Tableau2[[#This Row],[Montant restant dû après échéance]])</f>
        <v>73875.429999999993</v>
      </c>
    </row>
    <row r="176" spans="1:23" x14ac:dyDescent="0.3">
      <c r="A176" s="76">
        <v>170</v>
      </c>
      <c r="B176" s="77">
        <v>389.94</v>
      </c>
      <c r="C176" s="77">
        <v>239.9</v>
      </c>
      <c r="D176" s="77">
        <v>0</v>
      </c>
      <c r="E176" s="77">
        <v>19.96</v>
      </c>
      <c r="F176" s="77">
        <v>649.79999999999995</v>
      </c>
      <c r="G176" s="77">
        <v>72860.710000000006</v>
      </c>
      <c r="H176" s="78"/>
      <c r="I176" s="76">
        <v>170</v>
      </c>
      <c r="J176" s="77">
        <v>56.77</v>
      </c>
      <c r="K176" s="77">
        <v>0</v>
      </c>
      <c r="L176" s="77">
        <v>0</v>
      </c>
      <c r="M176" s="77">
        <v>0.17</v>
      </c>
      <c r="N176" s="77">
        <v>56.94</v>
      </c>
      <c r="O176" s="77">
        <v>568.01</v>
      </c>
      <c r="Q176">
        <v>170</v>
      </c>
      <c r="R176" s="16">
        <f>SUM(Tableau1[[#This Row],[Amortiss. Capital]]+Tableau2[[#This Row],[Amortiss. Capital]])</f>
        <v>446.71</v>
      </c>
      <c r="S176" s="16">
        <f>SUM(Tableau1[[#This Row],[Intérêt Normaux]]+Tableau2[[#This Row],[Intérêt Normaux]])</f>
        <v>239.9</v>
      </c>
      <c r="T176" s="16">
        <f>SUM(Tableau1[[#This Row],[Intérêts différés]]+Tableau2[[#This Row],[Intérêts différés]])</f>
        <v>0</v>
      </c>
      <c r="U176" s="16">
        <f>SUM(Tableau1[[#This Row],[Assurances]]+Tableau2[[#This Row],[Assurances]])</f>
        <v>20.130000000000003</v>
      </c>
      <c r="V176" s="16">
        <f>SUM(Tableau1[[#This Row],[Total à payer]]+Tableau2[[#This Row],[Total à payer]])</f>
        <v>706.74</v>
      </c>
      <c r="W176" s="16">
        <f>SUM(Tableau1[[#This Row],[Montant restant dû après échéance]]+Tableau2[[#This Row],[Montant restant dû après échéance]])</f>
        <v>73428.72</v>
      </c>
    </row>
    <row r="177" spans="1:23" x14ac:dyDescent="0.3">
      <c r="A177" s="76">
        <v>171</v>
      </c>
      <c r="B177" s="77">
        <v>391.33</v>
      </c>
      <c r="C177" s="77">
        <v>238.62</v>
      </c>
      <c r="D177" s="77">
        <v>0</v>
      </c>
      <c r="E177" s="77">
        <v>19.850000000000001</v>
      </c>
      <c r="F177" s="77">
        <v>649.79999999999995</v>
      </c>
      <c r="G177" s="77">
        <v>72469.38</v>
      </c>
      <c r="H177" s="78"/>
      <c r="I177" s="76">
        <v>171</v>
      </c>
      <c r="J177" s="77">
        <v>56.79</v>
      </c>
      <c r="K177" s="77">
        <v>0</v>
      </c>
      <c r="L177" s="77">
        <v>0</v>
      </c>
      <c r="M177" s="77">
        <v>0.15</v>
      </c>
      <c r="N177" s="77">
        <v>56.94</v>
      </c>
      <c r="O177" s="77">
        <v>511.22</v>
      </c>
      <c r="Q177">
        <v>171</v>
      </c>
      <c r="R177" s="16">
        <f>SUM(Tableau1[[#This Row],[Amortiss. Capital]]+Tableau2[[#This Row],[Amortiss. Capital]])</f>
        <v>448.12</v>
      </c>
      <c r="S177" s="16">
        <f>SUM(Tableau1[[#This Row],[Intérêt Normaux]]+Tableau2[[#This Row],[Intérêt Normaux]])</f>
        <v>238.62</v>
      </c>
      <c r="T177" s="16">
        <f>SUM(Tableau1[[#This Row],[Intérêts différés]]+Tableau2[[#This Row],[Intérêts différés]])</f>
        <v>0</v>
      </c>
      <c r="U177" s="16">
        <f>SUM(Tableau1[[#This Row],[Assurances]]+Tableau2[[#This Row],[Assurances]])</f>
        <v>20</v>
      </c>
      <c r="V177" s="16">
        <f>SUM(Tableau1[[#This Row],[Total à payer]]+Tableau2[[#This Row],[Total à payer]])</f>
        <v>706.74</v>
      </c>
      <c r="W177" s="16">
        <f>SUM(Tableau1[[#This Row],[Montant restant dû après échéance]]+Tableau2[[#This Row],[Montant restant dû après échéance]])</f>
        <v>72980.600000000006</v>
      </c>
    </row>
    <row r="178" spans="1:23" x14ac:dyDescent="0.3">
      <c r="A178" s="76">
        <v>172</v>
      </c>
      <c r="B178" s="77">
        <v>392.71</v>
      </c>
      <c r="C178" s="77">
        <v>237.34</v>
      </c>
      <c r="D178" s="77">
        <v>0</v>
      </c>
      <c r="E178" s="77">
        <v>19.75</v>
      </c>
      <c r="F178" s="77">
        <v>649.79999999999995</v>
      </c>
      <c r="G178" s="77">
        <v>72076.67</v>
      </c>
      <c r="H178" s="78"/>
      <c r="I178" s="76">
        <v>172</v>
      </c>
      <c r="J178" s="77">
        <v>56.8</v>
      </c>
      <c r="K178" s="77">
        <v>0</v>
      </c>
      <c r="L178" s="77">
        <v>0</v>
      </c>
      <c r="M178" s="77">
        <v>0.14000000000000001</v>
      </c>
      <c r="N178" s="77">
        <v>56.94</v>
      </c>
      <c r="O178" s="77">
        <v>454.42</v>
      </c>
      <c r="Q178">
        <v>172</v>
      </c>
      <c r="R178" s="16">
        <f>SUM(Tableau1[[#This Row],[Amortiss. Capital]]+Tableau2[[#This Row],[Amortiss. Capital]])</f>
        <v>449.51</v>
      </c>
      <c r="S178" s="16">
        <f>SUM(Tableau1[[#This Row],[Intérêt Normaux]]+Tableau2[[#This Row],[Intérêt Normaux]])</f>
        <v>237.34</v>
      </c>
      <c r="T178" s="16">
        <f>SUM(Tableau1[[#This Row],[Intérêts différés]]+Tableau2[[#This Row],[Intérêts différés]])</f>
        <v>0</v>
      </c>
      <c r="U178" s="16">
        <f>SUM(Tableau1[[#This Row],[Assurances]]+Tableau2[[#This Row],[Assurances]])</f>
        <v>19.89</v>
      </c>
      <c r="V178" s="16">
        <f>SUM(Tableau1[[#This Row],[Total à payer]]+Tableau2[[#This Row],[Total à payer]])</f>
        <v>706.74</v>
      </c>
      <c r="W178" s="16">
        <f>SUM(Tableau1[[#This Row],[Montant restant dû après échéance]]+Tableau2[[#This Row],[Montant restant dû après échéance]])</f>
        <v>72531.09</v>
      </c>
    </row>
    <row r="179" spans="1:23" x14ac:dyDescent="0.3">
      <c r="A179" s="76">
        <v>173</v>
      </c>
      <c r="B179" s="77">
        <v>394.11</v>
      </c>
      <c r="C179" s="77">
        <v>236.05</v>
      </c>
      <c r="D179" s="77">
        <v>0</v>
      </c>
      <c r="E179" s="77">
        <v>19.64</v>
      </c>
      <c r="F179" s="77">
        <v>649.79999999999995</v>
      </c>
      <c r="G179" s="77">
        <v>71682.559999999998</v>
      </c>
      <c r="H179" s="78"/>
      <c r="I179" s="76">
        <v>173</v>
      </c>
      <c r="J179" s="77">
        <v>56.82</v>
      </c>
      <c r="K179" s="77">
        <v>0</v>
      </c>
      <c r="L179" s="77">
        <v>0</v>
      </c>
      <c r="M179" s="77">
        <v>0.12</v>
      </c>
      <c r="N179" s="77">
        <v>56.94</v>
      </c>
      <c r="O179" s="77">
        <v>397.6</v>
      </c>
      <c r="Q179">
        <v>173</v>
      </c>
      <c r="R179" s="16">
        <f>SUM(Tableau1[[#This Row],[Amortiss. Capital]]+Tableau2[[#This Row],[Amortiss. Capital]])</f>
        <v>450.93</v>
      </c>
      <c r="S179" s="16">
        <f>SUM(Tableau1[[#This Row],[Intérêt Normaux]]+Tableau2[[#This Row],[Intérêt Normaux]])</f>
        <v>236.05</v>
      </c>
      <c r="T179" s="16">
        <f>SUM(Tableau1[[#This Row],[Intérêts différés]]+Tableau2[[#This Row],[Intérêts différés]])</f>
        <v>0</v>
      </c>
      <c r="U179" s="16">
        <f>SUM(Tableau1[[#This Row],[Assurances]]+Tableau2[[#This Row],[Assurances]])</f>
        <v>19.760000000000002</v>
      </c>
      <c r="V179" s="16">
        <f>SUM(Tableau1[[#This Row],[Total à payer]]+Tableau2[[#This Row],[Total à payer]])</f>
        <v>706.74</v>
      </c>
      <c r="W179" s="16">
        <f>SUM(Tableau1[[#This Row],[Montant restant dû après échéance]]+Tableau2[[#This Row],[Montant restant dû après échéance]])</f>
        <v>72080.160000000003</v>
      </c>
    </row>
    <row r="180" spans="1:23" x14ac:dyDescent="0.3">
      <c r="A180" s="76">
        <v>174</v>
      </c>
      <c r="B180" s="77">
        <v>395.51</v>
      </c>
      <c r="C180" s="77">
        <v>234.76</v>
      </c>
      <c r="D180" s="77">
        <v>0</v>
      </c>
      <c r="E180" s="77">
        <v>19.53</v>
      </c>
      <c r="F180" s="77">
        <v>649.79999999999995</v>
      </c>
      <c r="G180" s="77">
        <v>71287.05</v>
      </c>
      <c r="H180" s="78"/>
      <c r="I180" s="76">
        <v>174</v>
      </c>
      <c r="J180" s="77">
        <v>56.83</v>
      </c>
      <c r="K180" s="77">
        <v>0</v>
      </c>
      <c r="L180" s="77">
        <v>0</v>
      </c>
      <c r="M180" s="77">
        <v>0.11</v>
      </c>
      <c r="N180" s="77">
        <v>56.94</v>
      </c>
      <c r="O180" s="77">
        <v>340.77</v>
      </c>
      <c r="Q180">
        <v>174</v>
      </c>
      <c r="R180" s="16">
        <f>SUM(Tableau1[[#This Row],[Amortiss. Capital]]+Tableau2[[#This Row],[Amortiss. Capital]])</f>
        <v>452.34</v>
      </c>
      <c r="S180" s="16">
        <f>SUM(Tableau1[[#This Row],[Intérêt Normaux]]+Tableau2[[#This Row],[Intérêt Normaux]])</f>
        <v>234.76</v>
      </c>
      <c r="T180" s="16">
        <f>SUM(Tableau1[[#This Row],[Intérêts différés]]+Tableau2[[#This Row],[Intérêts différés]])</f>
        <v>0</v>
      </c>
      <c r="U180" s="16">
        <f>SUM(Tableau1[[#This Row],[Assurances]]+Tableau2[[#This Row],[Assurances]])</f>
        <v>19.64</v>
      </c>
      <c r="V180" s="16">
        <f>SUM(Tableau1[[#This Row],[Total à payer]]+Tableau2[[#This Row],[Total à payer]])</f>
        <v>706.74</v>
      </c>
      <c r="W180" s="16">
        <f>SUM(Tableau1[[#This Row],[Montant restant dû après échéance]]+Tableau2[[#This Row],[Montant restant dû après échéance]])</f>
        <v>71627.820000000007</v>
      </c>
    </row>
    <row r="181" spans="1:23" x14ac:dyDescent="0.3">
      <c r="A181" s="76">
        <v>175</v>
      </c>
      <c r="B181" s="77">
        <v>396.9</v>
      </c>
      <c r="C181" s="77">
        <v>233.47</v>
      </c>
      <c r="D181" s="77">
        <v>0</v>
      </c>
      <c r="E181" s="77">
        <v>19.43</v>
      </c>
      <c r="F181" s="77">
        <v>649.79999999999995</v>
      </c>
      <c r="G181" s="77">
        <v>70890.149999999994</v>
      </c>
      <c r="H181" s="78"/>
      <c r="I181" s="76">
        <v>175</v>
      </c>
      <c r="J181" s="77">
        <v>56.85</v>
      </c>
      <c r="K181" s="77">
        <v>0</v>
      </c>
      <c r="L181" s="77">
        <v>0</v>
      </c>
      <c r="M181" s="77">
        <v>0.09</v>
      </c>
      <c r="N181" s="77">
        <v>56.94</v>
      </c>
      <c r="O181" s="77">
        <v>283.92</v>
      </c>
      <c r="Q181">
        <v>175</v>
      </c>
      <c r="R181" s="16">
        <f>SUM(Tableau1[[#This Row],[Amortiss. Capital]]+Tableau2[[#This Row],[Amortiss. Capital]])</f>
        <v>453.75</v>
      </c>
      <c r="S181" s="16">
        <f>SUM(Tableau1[[#This Row],[Intérêt Normaux]]+Tableau2[[#This Row],[Intérêt Normaux]])</f>
        <v>233.47</v>
      </c>
      <c r="T181" s="16">
        <f>SUM(Tableau1[[#This Row],[Intérêts différés]]+Tableau2[[#This Row],[Intérêts différés]])</f>
        <v>0</v>
      </c>
      <c r="U181" s="16">
        <f>SUM(Tableau1[[#This Row],[Assurances]]+Tableau2[[#This Row],[Assurances]])</f>
        <v>19.52</v>
      </c>
      <c r="V181" s="16">
        <f>SUM(Tableau1[[#This Row],[Total à payer]]+Tableau2[[#This Row],[Total à payer]])</f>
        <v>706.74</v>
      </c>
      <c r="W181" s="16">
        <f>SUM(Tableau1[[#This Row],[Montant restant dû après échéance]]+Tableau2[[#This Row],[Montant restant dû après échéance]])</f>
        <v>71174.069999999992</v>
      </c>
    </row>
    <row r="182" spans="1:23" x14ac:dyDescent="0.3">
      <c r="A182" s="76">
        <v>176</v>
      </c>
      <c r="B182" s="77">
        <v>398.31</v>
      </c>
      <c r="C182" s="77">
        <v>232.17</v>
      </c>
      <c r="D182" s="77">
        <v>0</v>
      </c>
      <c r="E182" s="77">
        <v>19.32</v>
      </c>
      <c r="F182" s="77">
        <v>649.79999999999995</v>
      </c>
      <c r="G182" s="77">
        <v>70491.839999999997</v>
      </c>
      <c r="H182" s="78"/>
      <c r="I182" s="76">
        <v>176</v>
      </c>
      <c r="J182" s="77">
        <v>56.86</v>
      </c>
      <c r="K182" s="77">
        <v>0</v>
      </c>
      <c r="L182" s="77">
        <v>0</v>
      </c>
      <c r="M182" s="77">
        <v>0.08</v>
      </c>
      <c r="N182" s="77">
        <v>56.94</v>
      </c>
      <c r="O182" s="77">
        <v>227.06</v>
      </c>
      <c r="Q182">
        <v>176</v>
      </c>
      <c r="R182" s="16">
        <f>SUM(Tableau1[[#This Row],[Amortiss. Capital]]+Tableau2[[#This Row],[Amortiss. Capital]])</f>
        <v>455.17</v>
      </c>
      <c r="S182" s="16">
        <f>SUM(Tableau1[[#This Row],[Intérêt Normaux]]+Tableau2[[#This Row],[Intérêt Normaux]])</f>
        <v>232.17</v>
      </c>
      <c r="T182" s="16">
        <f>SUM(Tableau1[[#This Row],[Intérêts différés]]+Tableau2[[#This Row],[Intérêts différés]])</f>
        <v>0</v>
      </c>
      <c r="U182" s="16">
        <f>SUM(Tableau1[[#This Row],[Assurances]]+Tableau2[[#This Row],[Assurances]])</f>
        <v>19.399999999999999</v>
      </c>
      <c r="V182" s="16">
        <f>SUM(Tableau1[[#This Row],[Total à payer]]+Tableau2[[#This Row],[Total à payer]])</f>
        <v>706.74</v>
      </c>
      <c r="W182" s="16">
        <f>SUM(Tableau1[[#This Row],[Montant restant dû après échéance]]+Tableau2[[#This Row],[Montant restant dû après échéance]])</f>
        <v>70718.899999999994</v>
      </c>
    </row>
    <row r="183" spans="1:23" x14ac:dyDescent="0.3">
      <c r="A183" s="76">
        <v>177</v>
      </c>
      <c r="B183" s="77">
        <v>399.73</v>
      </c>
      <c r="C183" s="77">
        <v>230.86</v>
      </c>
      <c r="D183" s="77">
        <v>0</v>
      </c>
      <c r="E183" s="77">
        <v>19.21</v>
      </c>
      <c r="F183" s="77">
        <v>649.79999999999995</v>
      </c>
      <c r="G183" s="77">
        <v>70092.11</v>
      </c>
      <c r="H183" s="78"/>
      <c r="I183" s="76">
        <v>177</v>
      </c>
      <c r="J183" s="77">
        <v>56.88</v>
      </c>
      <c r="K183" s="77">
        <v>0</v>
      </c>
      <c r="L183" s="77">
        <v>0</v>
      </c>
      <c r="M183" s="77">
        <v>0.06</v>
      </c>
      <c r="N183" s="77">
        <v>56.94</v>
      </c>
      <c r="O183" s="77">
        <v>170.18</v>
      </c>
      <c r="Q183">
        <v>177</v>
      </c>
      <c r="R183" s="16">
        <f>SUM(Tableau1[[#This Row],[Amortiss. Capital]]+Tableau2[[#This Row],[Amortiss. Capital]])</f>
        <v>456.61</v>
      </c>
      <c r="S183" s="16">
        <f>SUM(Tableau1[[#This Row],[Intérêt Normaux]]+Tableau2[[#This Row],[Intérêt Normaux]])</f>
        <v>230.86</v>
      </c>
      <c r="T183" s="16">
        <f>SUM(Tableau1[[#This Row],[Intérêts différés]]+Tableau2[[#This Row],[Intérêts différés]])</f>
        <v>0</v>
      </c>
      <c r="U183" s="16">
        <f>SUM(Tableau1[[#This Row],[Assurances]]+Tableau2[[#This Row],[Assurances]])</f>
        <v>19.27</v>
      </c>
      <c r="V183" s="16">
        <f>SUM(Tableau1[[#This Row],[Total à payer]]+Tableau2[[#This Row],[Total à payer]])</f>
        <v>706.74</v>
      </c>
      <c r="W183" s="16">
        <f>SUM(Tableau1[[#This Row],[Montant restant dû après échéance]]+Tableau2[[#This Row],[Montant restant dû après échéance]])</f>
        <v>70262.289999999994</v>
      </c>
    </row>
    <row r="184" spans="1:23" x14ac:dyDescent="0.3">
      <c r="A184" s="76">
        <v>178</v>
      </c>
      <c r="B184" s="77">
        <v>401.15</v>
      </c>
      <c r="C184" s="77">
        <v>229.55</v>
      </c>
      <c r="D184" s="77">
        <v>0</v>
      </c>
      <c r="E184" s="77">
        <v>19.100000000000001</v>
      </c>
      <c r="F184" s="77">
        <v>649.79999999999995</v>
      </c>
      <c r="G184" s="77">
        <v>69690.960000000006</v>
      </c>
      <c r="H184" s="78"/>
      <c r="I184" s="76">
        <v>178</v>
      </c>
      <c r="J184" s="77">
        <v>56.89</v>
      </c>
      <c r="K184" s="77">
        <v>0</v>
      </c>
      <c r="L184" s="77">
        <v>0</v>
      </c>
      <c r="M184" s="77">
        <v>0.05</v>
      </c>
      <c r="N184" s="77">
        <v>56.94</v>
      </c>
      <c r="O184" s="77">
        <v>113.29</v>
      </c>
      <c r="Q184">
        <v>178</v>
      </c>
      <c r="R184" s="16">
        <f>SUM(Tableau1[[#This Row],[Amortiss. Capital]]+Tableau2[[#This Row],[Amortiss. Capital]])</f>
        <v>458.03999999999996</v>
      </c>
      <c r="S184" s="16">
        <f>SUM(Tableau1[[#This Row],[Intérêt Normaux]]+Tableau2[[#This Row],[Intérêt Normaux]])</f>
        <v>229.55</v>
      </c>
      <c r="T184" s="16">
        <f>SUM(Tableau1[[#This Row],[Intérêts différés]]+Tableau2[[#This Row],[Intérêts différés]])</f>
        <v>0</v>
      </c>
      <c r="U184" s="16">
        <f>SUM(Tableau1[[#This Row],[Assurances]]+Tableau2[[#This Row],[Assurances]])</f>
        <v>19.150000000000002</v>
      </c>
      <c r="V184" s="16">
        <f>SUM(Tableau1[[#This Row],[Total à payer]]+Tableau2[[#This Row],[Total à payer]])</f>
        <v>706.74</v>
      </c>
      <c r="W184" s="16">
        <f>SUM(Tableau1[[#This Row],[Montant restant dû après échéance]]+Tableau2[[#This Row],[Montant restant dû après échéance]])</f>
        <v>69804.25</v>
      </c>
    </row>
    <row r="185" spans="1:23" x14ac:dyDescent="0.3">
      <c r="A185" s="76">
        <v>179</v>
      </c>
      <c r="B185" s="77">
        <v>402.57</v>
      </c>
      <c r="C185" s="77">
        <v>228.24</v>
      </c>
      <c r="D185" s="77">
        <v>0</v>
      </c>
      <c r="E185" s="77">
        <v>18.989999999999998</v>
      </c>
      <c r="F185" s="77">
        <v>649.79999999999995</v>
      </c>
      <c r="G185" s="77">
        <v>69288.39</v>
      </c>
      <c r="H185" s="78"/>
      <c r="I185" s="76">
        <v>179</v>
      </c>
      <c r="J185" s="77">
        <v>56.91</v>
      </c>
      <c r="K185" s="77">
        <v>0</v>
      </c>
      <c r="L185" s="77">
        <v>0</v>
      </c>
      <c r="M185" s="77">
        <v>0.03</v>
      </c>
      <c r="N185" s="77">
        <v>56.94</v>
      </c>
      <c r="O185" s="77">
        <v>56.38</v>
      </c>
      <c r="Q185">
        <v>179</v>
      </c>
      <c r="R185" s="16">
        <f>SUM(Tableau1[[#This Row],[Amortiss. Capital]]+Tableau2[[#This Row],[Amortiss. Capital]])</f>
        <v>459.48</v>
      </c>
      <c r="S185" s="16">
        <f>SUM(Tableau1[[#This Row],[Intérêt Normaux]]+Tableau2[[#This Row],[Intérêt Normaux]])</f>
        <v>228.24</v>
      </c>
      <c r="T185" s="16">
        <f>SUM(Tableau1[[#This Row],[Intérêts différés]]+Tableau2[[#This Row],[Intérêts différés]])</f>
        <v>0</v>
      </c>
      <c r="U185" s="16">
        <f>SUM(Tableau1[[#This Row],[Assurances]]+Tableau2[[#This Row],[Assurances]])</f>
        <v>19.02</v>
      </c>
      <c r="V185" s="16">
        <f>SUM(Tableau1[[#This Row],[Total à payer]]+Tableau2[[#This Row],[Total à payer]])</f>
        <v>706.74</v>
      </c>
      <c r="W185" s="16">
        <f>SUM(Tableau1[[#This Row],[Montant restant dû après échéance]]+Tableau2[[#This Row],[Montant restant dû après échéance]])</f>
        <v>69344.77</v>
      </c>
    </row>
    <row r="186" spans="1:23" x14ac:dyDescent="0.3">
      <c r="A186" s="76">
        <v>180</v>
      </c>
      <c r="B186" s="77">
        <v>404</v>
      </c>
      <c r="C186" s="77">
        <v>226.92</v>
      </c>
      <c r="D186" s="77">
        <v>0</v>
      </c>
      <c r="E186" s="77">
        <v>18.88</v>
      </c>
      <c r="F186" s="77">
        <v>649.79999999999995</v>
      </c>
      <c r="G186" s="77">
        <v>68884.39</v>
      </c>
      <c r="H186" s="78"/>
      <c r="I186" s="76">
        <v>180</v>
      </c>
      <c r="J186" s="77">
        <v>56.38</v>
      </c>
      <c r="K186" s="77">
        <v>0</v>
      </c>
      <c r="L186" s="77">
        <v>0</v>
      </c>
      <c r="M186" s="77">
        <v>0.02</v>
      </c>
      <c r="N186" s="77">
        <v>56.4</v>
      </c>
      <c r="O186" s="77">
        <v>0</v>
      </c>
      <c r="Q186">
        <v>180</v>
      </c>
      <c r="R186" s="16">
        <f>SUM(Tableau1[[#This Row],[Amortiss. Capital]]+Tableau2[[#This Row],[Amortiss. Capital]])</f>
        <v>460.38</v>
      </c>
      <c r="S186" s="16">
        <f>SUM(Tableau1[[#This Row],[Intérêt Normaux]]+Tableau2[[#This Row],[Intérêt Normaux]])</f>
        <v>226.92</v>
      </c>
      <c r="T186" s="16">
        <f>SUM(Tableau1[[#This Row],[Intérêts différés]]+Tableau2[[#This Row],[Intérêts différés]])</f>
        <v>0</v>
      </c>
      <c r="U186" s="16">
        <f>SUM(Tableau1[[#This Row],[Assurances]]+Tableau2[[#This Row],[Assurances]])</f>
        <v>18.899999999999999</v>
      </c>
      <c r="V186" s="16">
        <f>SUM(Tableau1[[#This Row],[Total à payer]]+Tableau2[[#This Row],[Total à payer]])</f>
        <v>706.19999999999993</v>
      </c>
      <c r="W186" s="16">
        <f>SUM(Tableau1[[#This Row],[Montant restant dû après échéance]]+Tableau2[[#This Row],[Montant restant dû après échéance]])</f>
        <v>68884.39</v>
      </c>
    </row>
    <row r="187" spans="1:23" x14ac:dyDescent="0.3">
      <c r="A187" s="76">
        <v>181</v>
      </c>
      <c r="B187" s="77">
        <v>461.5</v>
      </c>
      <c r="C187" s="77">
        <v>225.6</v>
      </c>
      <c r="D187" s="77">
        <v>0</v>
      </c>
      <c r="E187" s="77">
        <v>18.77</v>
      </c>
      <c r="F187" s="77">
        <v>705.87</v>
      </c>
      <c r="G187" s="77">
        <v>68422.89</v>
      </c>
      <c r="Q187">
        <v>181</v>
      </c>
      <c r="R187" s="16">
        <f>Tableau1[[#This Row],[Amortiss. Capital]]</f>
        <v>461.5</v>
      </c>
      <c r="S187" s="16">
        <f>Tableau1[[#This Row],[Intérêt Normaux]]</f>
        <v>225.6</v>
      </c>
      <c r="T187" s="16">
        <f>Tableau1[[#This Row],[Intérêts différés]]</f>
        <v>0</v>
      </c>
      <c r="U187" s="16">
        <f>Tableau1[[#This Row],[Assurances]]</f>
        <v>18.77</v>
      </c>
      <c r="V187" s="16">
        <f>Tableau1[[#This Row],[Total à payer]]</f>
        <v>705.87</v>
      </c>
      <c r="W187" s="16">
        <f>Tableau1[[#This Row],[Montant restant dû après échéance]]</f>
        <v>68422.89</v>
      </c>
    </row>
    <row r="188" spans="1:23" x14ac:dyDescent="0.3">
      <c r="A188" s="76">
        <v>182</v>
      </c>
      <c r="B188" s="77">
        <v>463.14</v>
      </c>
      <c r="C188" s="77">
        <v>224.08</v>
      </c>
      <c r="D188" s="77">
        <v>0</v>
      </c>
      <c r="E188" s="77">
        <v>18.649999999999999</v>
      </c>
      <c r="F188" s="77">
        <v>705.87</v>
      </c>
      <c r="G188" s="77">
        <v>67959.75</v>
      </c>
      <c r="Q188">
        <v>182</v>
      </c>
      <c r="R188" s="16">
        <f>Tableau1[[#This Row],[Amortiss. Capital]]</f>
        <v>463.14</v>
      </c>
      <c r="S188" s="16">
        <f>Tableau1[[#This Row],[Intérêt Normaux]]</f>
        <v>224.08</v>
      </c>
      <c r="T188" s="16">
        <f>Tableau1[[#This Row],[Intérêts différés]]</f>
        <v>0</v>
      </c>
      <c r="U188" s="16">
        <f>Tableau1[[#This Row],[Assurances]]</f>
        <v>18.649999999999999</v>
      </c>
      <c r="V188" s="16">
        <f>Tableau1[[#This Row],[Total à payer]]</f>
        <v>705.87</v>
      </c>
      <c r="W188" s="16">
        <f>Tableau1[[#This Row],[Montant restant dû après échéance]]</f>
        <v>67959.75</v>
      </c>
    </row>
    <row r="189" spans="1:23" x14ac:dyDescent="0.3">
      <c r="A189" s="76">
        <v>183</v>
      </c>
      <c r="B189" s="77">
        <v>464.78</v>
      </c>
      <c r="C189" s="77">
        <v>222.57</v>
      </c>
      <c r="D189" s="77">
        <v>0</v>
      </c>
      <c r="E189" s="77">
        <v>18.52</v>
      </c>
      <c r="F189" s="77">
        <v>705.87</v>
      </c>
      <c r="G189" s="77">
        <v>67494.97</v>
      </c>
      <c r="Q189">
        <v>183</v>
      </c>
      <c r="R189" s="16">
        <f>Tableau1[[#This Row],[Amortiss. Capital]]</f>
        <v>464.78</v>
      </c>
      <c r="S189" s="16">
        <f>Tableau1[[#This Row],[Intérêt Normaux]]</f>
        <v>222.57</v>
      </c>
      <c r="T189" s="16">
        <f>Tableau1[[#This Row],[Intérêts différés]]</f>
        <v>0</v>
      </c>
      <c r="U189" s="16">
        <f>Tableau1[[#This Row],[Assurances]]</f>
        <v>18.52</v>
      </c>
      <c r="V189" s="16">
        <f>Tableau1[[#This Row],[Total à payer]]</f>
        <v>705.87</v>
      </c>
      <c r="W189" s="16">
        <f>Tableau1[[#This Row],[Montant restant dû après échéance]]</f>
        <v>67494.97</v>
      </c>
    </row>
    <row r="190" spans="1:23" x14ac:dyDescent="0.3">
      <c r="A190" s="76">
        <v>184</v>
      </c>
      <c r="B190" s="77">
        <v>466.43</v>
      </c>
      <c r="C190" s="77">
        <v>221.05</v>
      </c>
      <c r="D190" s="77">
        <v>0</v>
      </c>
      <c r="E190" s="77">
        <v>18.39</v>
      </c>
      <c r="F190" s="77">
        <v>705.87</v>
      </c>
      <c r="G190" s="77">
        <v>67028.539999999994</v>
      </c>
      <c r="Q190">
        <v>184</v>
      </c>
      <c r="R190" s="16">
        <f>Tableau1[[#This Row],[Amortiss. Capital]]</f>
        <v>466.43</v>
      </c>
      <c r="S190" s="16">
        <f>Tableau1[[#This Row],[Intérêt Normaux]]</f>
        <v>221.05</v>
      </c>
      <c r="T190" s="16">
        <f>Tableau1[[#This Row],[Intérêts différés]]</f>
        <v>0</v>
      </c>
      <c r="U190" s="16">
        <f>Tableau1[[#This Row],[Assurances]]</f>
        <v>18.39</v>
      </c>
      <c r="V190" s="16">
        <f>Tableau1[[#This Row],[Total à payer]]</f>
        <v>705.87</v>
      </c>
      <c r="W190" s="16">
        <f>Tableau1[[#This Row],[Montant restant dû après échéance]]</f>
        <v>67028.539999999994</v>
      </c>
    </row>
    <row r="191" spans="1:23" x14ac:dyDescent="0.3">
      <c r="A191" s="76">
        <v>185</v>
      </c>
      <c r="B191" s="77">
        <v>468.08</v>
      </c>
      <c r="C191" s="77">
        <v>219.52</v>
      </c>
      <c r="D191" s="77">
        <v>0</v>
      </c>
      <c r="E191" s="77">
        <v>18.27</v>
      </c>
      <c r="F191" s="77">
        <v>705.87</v>
      </c>
      <c r="G191" s="77">
        <v>66560.460000000006</v>
      </c>
      <c r="Q191">
        <v>185</v>
      </c>
      <c r="R191" s="16">
        <f>Tableau1[[#This Row],[Amortiss. Capital]]</f>
        <v>468.08</v>
      </c>
      <c r="S191" s="16">
        <f>Tableau1[[#This Row],[Intérêt Normaux]]</f>
        <v>219.52</v>
      </c>
      <c r="T191" s="16">
        <f>Tableau1[[#This Row],[Intérêts différés]]</f>
        <v>0</v>
      </c>
      <c r="U191" s="16">
        <f>Tableau1[[#This Row],[Assurances]]</f>
        <v>18.27</v>
      </c>
      <c r="V191" s="16">
        <f>Tableau1[[#This Row],[Total à payer]]</f>
        <v>705.87</v>
      </c>
      <c r="W191" s="16">
        <f>Tableau1[[#This Row],[Montant restant dû après échéance]]</f>
        <v>66560.460000000006</v>
      </c>
    </row>
    <row r="192" spans="1:23" x14ac:dyDescent="0.3">
      <c r="A192" s="76">
        <v>186</v>
      </c>
      <c r="B192" s="77">
        <v>469.74</v>
      </c>
      <c r="C192" s="77">
        <v>217.99</v>
      </c>
      <c r="D192" s="77">
        <v>0</v>
      </c>
      <c r="E192" s="77">
        <v>18.14</v>
      </c>
      <c r="F192" s="77">
        <v>705.87</v>
      </c>
      <c r="G192" s="77">
        <v>66090.720000000001</v>
      </c>
      <c r="Q192">
        <v>186</v>
      </c>
      <c r="R192" s="16">
        <f>Tableau1[[#This Row],[Amortiss. Capital]]</f>
        <v>469.74</v>
      </c>
      <c r="S192" s="16">
        <f>Tableau1[[#This Row],[Intérêt Normaux]]</f>
        <v>217.99</v>
      </c>
      <c r="T192" s="16">
        <f>Tableau1[[#This Row],[Intérêts différés]]</f>
        <v>0</v>
      </c>
      <c r="U192" s="16">
        <f>Tableau1[[#This Row],[Assurances]]</f>
        <v>18.14</v>
      </c>
      <c r="V192" s="16">
        <f>Tableau1[[#This Row],[Total à payer]]</f>
        <v>705.87</v>
      </c>
      <c r="W192" s="16">
        <f>Tableau1[[#This Row],[Montant restant dû après échéance]]</f>
        <v>66090.720000000001</v>
      </c>
    </row>
    <row r="193" spans="1:23" x14ac:dyDescent="0.3">
      <c r="A193" s="76">
        <v>187</v>
      </c>
      <c r="B193" s="77">
        <v>471.41</v>
      </c>
      <c r="C193" s="77">
        <v>216.45</v>
      </c>
      <c r="D193" s="77">
        <v>0</v>
      </c>
      <c r="E193" s="77">
        <v>18.010000000000002</v>
      </c>
      <c r="F193" s="77">
        <v>705.87</v>
      </c>
      <c r="G193" s="77">
        <v>65619.31</v>
      </c>
      <c r="Q193">
        <v>187</v>
      </c>
      <c r="R193" s="16">
        <f>Tableau1[[#This Row],[Amortiss. Capital]]</f>
        <v>471.41</v>
      </c>
      <c r="S193" s="16">
        <f>Tableau1[[#This Row],[Intérêt Normaux]]</f>
        <v>216.45</v>
      </c>
      <c r="T193" s="16">
        <f>Tableau1[[#This Row],[Intérêts différés]]</f>
        <v>0</v>
      </c>
      <c r="U193" s="16">
        <f>Tableau1[[#This Row],[Assurances]]</f>
        <v>18.010000000000002</v>
      </c>
      <c r="V193" s="16">
        <f>Tableau1[[#This Row],[Total à payer]]</f>
        <v>705.87</v>
      </c>
      <c r="W193" s="16">
        <f>Tableau1[[#This Row],[Montant restant dû après échéance]]</f>
        <v>65619.31</v>
      </c>
    </row>
    <row r="194" spans="1:23" x14ac:dyDescent="0.3">
      <c r="A194" s="76">
        <v>188</v>
      </c>
      <c r="B194" s="77">
        <v>473.09</v>
      </c>
      <c r="C194" s="77">
        <v>214.9</v>
      </c>
      <c r="D194" s="77">
        <v>0</v>
      </c>
      <c r="E194" s="77">
        <v>17.88</v>
      </c>
      <c r="F194" s="77">
        <v>705.87</v>
      </c>
      <c r="G194" s="77">
        <v>65146.22</v>
      </c>
      <c r="Q194">
        <v>188</v>
      </c>
      <c r="R194" s="16">
        <f>Tableau1[[#This Row],[Amortiss. Capital]]</f>
        <v>473.09</v>
      </c>
      <c r="S194" s="16">
        <f>Tableau1[[#This Row],[Intérêt Normaux]]</f>
        <v>214.9</v>
      </c>
      <c r="T194" s="16">
        <f>Tableau1[[#This Row],[Intérêts différés]]</f>
        <v>0</v>
      </c>
      <c r="U194" s="16">
        <f>Tableau1[[#This Row],[Assurances]]</f>
        <v>17.88</v>
      </c>
      <c r="V194" s="16">
        <f>Tableau1[[#This Row],[Total à payer]]</f>
        <v>705.87</v>
      </c>
      <c r="W194" s="16">
        <f>Tableau1[[#This Row],[Montant restant dû après échéance]]</f>
        <v>65146.22</v>
      </c>
    </row>
    <row r="195" spans="1:23" x14ac:dyDescent="0.3">
      <c r="A195" s="76">
        <v>189</v>
      </c>
      <c r="B195" s="77">
        <v>474.77</v>
      </c>
      <c r="C195" s="77">
        <v>213.35</v>
      </c>
      <c r="D195" s="77">
        <v>0</v>
      </c>
      <c r="E195" s="77">
        <v>17.75</v>
      </c>
      <c r="F195" s="77">
        <v>705.87</v>
      </c>
      <c r="G195" s="77">
        <v>64671.45</v>
      </c>
      <c r="Q195">
        <v>189</v>
      </c>
      <c r="R195" s="16">
        <f>Tableau1[[#This Row],[Amortiss. Capital]]</f>
        <v>474.77</v>
      </c>
      <c r="S195" s="16">
        <f>Tableau1[[#This Row],[Intérêt Normaux]]</f>
        <v>213.35</v>
      </c>
      <c r="T195" s="16">
        <f>Tableau1[[#This Row],[Intérêts différés]]</f>
        <v>0</v>
      </c>
      <c r="U195" s="16">
        <f>Tableau1[[#This Row],[Assurances]]</f>
        <v>17.75</v>
      </c>
      <c r="V195" s="16">
        <f>Tableau1[[#This Row],[Total à payer]]</f>
        <v>705.87</v>
      </c>
      <c r="W195" s="16">
        <f>Tableau1[[#This Row],[Montant restant dû après échéance]]</f>
        <v>64671.45</v>
      </c>
    </row>
    <row r="196" spans="1:23" x14ac:dyDescent="0.3">
      <c r="A196" s="76">
        <v>190</v>
      </c>
      <c r="B196" s="77">
        <v>476.45</v>
      </c>
      <c r="C196" s="77">
        <v>211.8</v>
      </c>
      <c r="D196" s="77">
        <v>0</v>
      </c>
      <c r="E196" s="77">
        <v>17.62</v>
      </c>
      <c r="F196" s="77">
        <v>705.87</v>
      </c>
      <c r="G196" s="77">
        <v>64195</v>
      </c>
      <c r="Q196">
        <v>190</v>
      </c>
      <c r="R196" s="16">
        <f>Tableau1[[#This Row],[Amortiss. Capital]]</f>
        <v>476.45</v>
      </c>
      <c r="S196" s="16">
        <f>Tableau1[[#This Row],[Intérêt Normaux]]</f>
        <v>211.8</v>
      </c>
      <c r="T196" s="16">
        <f>Tableau1[[#This Row],[Intérêts différés]]</f>
        <v>0</v>
      </c>
      <c r="U196" s="16">
        <f>Tableau1[[#This Row],[Assurances]]</f>
        <v>17.62</v>
      </c>
      <c r="V196" s="16">
        <f>Tableau1[[#This Row],[Total à payer]]</f>
        <v>705.87</v>
      </c>
      <c r="W196" s="16">
        <f>Tableau1[[#This Row],[Montant restant dû après échéance]]</f>
        <v>64195</v>
      </c>
    </row>
    <row r="197" spans="1:23" x14ac:dyDescent="0.3">
      <c r="A197" s="76">
        <v>191</v>
      </c>
      <c r="B197" s="77">
        <v>478.14</v>
      </c>
      <c r="C197" s="77">
        <v>210.24</v>
      </c>
      <c r="D197" s="77">
        <v>0</v>
      </c>
      <c r="E197" s="77">
        <v>17.489999999999998</v>
      </c>
      <c r="F197" s="77">
        <v>705.87</v>
      </c>
      <c r="G197" s="77">
        <v>63716.86</v>
      </c>
      <c r="Q197">
        <v>191</v>
      </c>
      <c r="R197" s="16">
        <f>Tableau1[[#This Row],[Amortiss. Capital]]</f>
        <v>478.14</v>
      </c>
      <c r="S197" s="16">
        <f>Tableau1[[#This Row],[Intérêt Normaux]]</f>
        <v>210.24</v>
      </c>
      <c r="T197" s="16">
        <f>Tableau1[[#This Row],[Intérêts différés]]</f>
        <v>0</v>
      </c>
      <c r="U197" s="16">
        <f>Tableau1[[#This Row],[Assurances]]</f>
        <v>17.489999999999998</v>
      </c>
      <c r="V197" s="16">
        <f>Tableau1[[#This Row],[Total à payer]]</f>
        <v>705.87</v>
      </c>
      <c r="W197" s="16">
        <f>Tableau1[[#This Row],[Montant restant dû après échéance]]</f>
        <v>63716.86</v>
      </c>
    </row>
    <row r="198" spans="1:23" x14ac:dyDescent="0.3">
      <c r="A198" s="76">
        <v>192</v>
      </c>
      <c r="B198" s="77">
        <v>479.84</v>
      </c>
      <c r="C198" s="77">
        <v>208.67</v>
      </c>
      <c r="D198" s="77">
        <v>0</v>
      </c>
      <c r="E198" s="77">
        <v>17.36</v>
      </c>
      <c r="F198" s="77">
        <v>705.87</v>
      </c>
      <c r="G198" s="77">
        <v>63237.02</v>
      </c>
      <c r="Q198">
        <v>192</v>
      </c>
      <c r="R198" s="16">
        <f>Tableau1[[#This Row],[Amortiss. Capital]]</f>
        <v>479.84</v>
      </c>
      <c r="S198" s="16">
        <f>Tableau1[[#This Row],[Intérêt Normaux]]</f>
        <v>208.67</v>
      </c>
      <c r="T198" s="16">
        <f>Tableau1[[#This Row],[Intérêts différés]]</f>
        <v>0</v>
      </c>
      <c r="U198" s="16">
        <f>Tableau1[[#This Row],[Assurances]]</f>
        <v>17.36</v>
      </c>
      <c r="V198" s="16">
        <f>Tableau1[[#This Row],[Total à payer]]</f>
        <v>705.87</v>
      </c>
      <c r="W198" s="16">
        <f>Tableau1[[#This Row],[Montant restant dû après échéance]]</f>
        <v>63237.02</v>
      </c>
    </row>
    <row r="199" spans="1:23" x14ac:dyDescent="0.3">
      <c r="A199" s="76">
        <v>193</v>
      </c>
      <c r="B199" s="77">
        <v>481.54</v>
      </c>
      <c r="C199" s="77">
        <v>207.1</v>
      </c>
      <c r="D199" s="77">
        <v>0</v>
      </c>
      <c r="E199" s="77">
        <v>17.23</v>
      </c>
      <c r="F199" s="77">
        <v>705.87</v>
      </c>
      <c r="G199" s="77">
        <v>62755.48</v>
      </c>
      <c r="Q199">
        <v>193</v>
      </c>
      <c r="R199" s="16">
        <f>Tableau1[[#This Row],[Amortiss. Capital]]</f>
        <v>481.54</v>
      </c>
      <c r="S199" s="16">
        <f>Tableau1[[#This Row],[Intérêt Normaux]]</f>
        <v>207.1</v>
      </c>
      <c r="T199" s="16">
        <f>Tableau1[[#This Row],[Intérêts différés]]</f>
        <v>0</v>
      </c>
      <c r="U199" s="16">
        <f>Tableau1[[#This Row],[Assurances]]</f>
        <v>17.23</v>
      </c>
      <c r="V199" s="16">
        <f>Tableau1[[#This Row],[Total à payer]]</f>
        <v>705.87</v>
      </c>
      <c r="W199" s="16">
        <f>Tableau1[[#This Row],[Montant restant dû après échéance]]</f>
        <v>62755.48</v>
      </c>
    </row>
    <row r="200" spans="1:23" x14ac:dyDescent="0.3">
      <c r="A200" s="76">
        <v>194</v>
      </c>
      <c r="B200" s="77">
        <v>483.25</v>
      </c>
      <c r="C200" s="77">
        <v>205.52</v>
      </c>
      <c r="D200" s="77">
        <v>0</v>
      </c>
      <c r="E200" s="77">
        <v>17.100000000000001</v>
      </c>
      <c r="F200" s="77">
        <v>705.87</v>
      </c>
      <c r="G200" s="77">
        <v>62272.23</v>
      </c>
      <c r="Q200">
        <v>194</v>
      </c>
      <c r="R200" s="16">
        <f>Tableau1[[#This Row],[Amortiss. Capital]]</f>
        <v>483.25</v>
      </c>
      <c r="S200" s="16">
        <f>Tableau1[[#This Row],[Intérêt Normaux]]</f>
        <v>205.52</v>
      </c>
      <c r="T200" s="16">
        <f>Tableau1[[#This Row],[Intérêts différés]]</f>
        <v>0</v>
      </c>
      <c r="U200" s="16">
        <f>Tableau1[[#This Row],[Assurances]]</f>
        <v>17.100000000000001</v>
      </c>
      <c r="V200" s="16">
        <f>Tableau1[[#This Row],[Total à payer]]</f>
        <v>705.87</v>
      </c>
      <c r="W200" s="16">
        <f>Tableau1[[#This Row],[Montant restant dû après échéance]]</f>
        <v>62272.23</v>
      </c>
    </row>
    <row r="201" spans="1:23" x14ac:dyDescent="0.3">
      <c r="A201" s="76">
        <v>195</v>
      </c>
      <c r="B201" s="77">
        <v>484.96</v>
      </c>
      <c r="C201" s="77">
        <v>203.94</v>
      </c>
      <c r="D201" s="77">
        <v>0</v>
      </c>
      <c r="E201" s="77">
        <v>16.97</v>
      </c>
      <c r="F201" s="77">
        <v>705.87</v>
      </c>
      <c r="G201" s="77">
        <v>61787.27</v>
      </c>
      <c r="Q201">
        <v>195</v>
      </c>
      <c r="R201" s="16">
        <f>Tableau1[[#This Row],[Amortiss. Capital]]</f>
        <v>484.96</v>
      </c>
      <c r="S201" s="16">
        <f>Tableau1[[#This Row],[Intérêt Normaux]]</f>
        <v>203.94</v>
      </c>
      <c r="T201" s="16">
        <f>Tableau1[[#This Row],[Intérêts différés]]</f>
        <v>0</v>
      </c>
      <c r="U201" s="16">
        <f>Tableau1[[#This Row],[Assurances]]</f>
        <v>16.97</v>
      </c>
      <c r="V201" s="16">
        <f>Tableau1[[#This Row],[Total à payer]]</f>
        <v>705.87</v>
      </c>
      <c r="W201" s="16">
        <f>Tableau1[[#This Row],[Montant restant dû après échéance]]</f>
        <v>61787.27</v>
      </c>
    </row>
    <row r="202" spans="1:23" x14ac:dyDescent="0.3">
      <c r="A202" s="76">
        <v>196</v>
      </c>
      <c r="B202" s="77">
        <v>486.68</v>
      </c>
      <c r="C202" s="77">
        <v>202.35</v>
      </c>
      <c r="D202" s="77">
        <v>0</v>
      </c>
      <c r="E202" s="77">
        <v>16.84</v>
      </c>
      <c r="F202" s="77">
        <v>705.87</v>
      </c>
      <c r="G202" s="77">
        <v>61300.59</v>
      </c>
      <c r="Q202">
        <v>196</v>
      </c>
      <c r="R202" s="16">
        <f>Tableau1[[#This Row],[Amortiss. Capital]]</f>
        <v>486.68</v>
      </c>
      <c r="S202" s="16">
        <f>Tableau1[[#This Row],[Intérêt Normaux]]</f>
        <v>202.35</v>
      </c>
      <c r="T202" s="16">
        <f>Tableau1[[#This Row],[Intérêts différés]]</f>
        <v>0</v>
      </c>
      <c r="U202" s="16">
        <f>Tableau1[[#This Row],[Assurances]]</f>
        <v>16.84</v>
      </c>
      <c r="V202" s="16">
        <f>Tableau1[[#This Row],[Total à payer]]</f>
        <v>705.87</v>
      </c>
      <c r="W202" s="16">
        <f>Tableau1[[#This Row],[Montant restant dû après échéance]]</f>
        <v>61300.59</v>
      </c>
    </row>
    <row r="203" spans="1:23" x14ac:dyDescent="0.3">
      <c r="A203" s="76">
        <v>197</v>
      </c>
      <c r="B203" s="77">
        <v>488.41</v>
      </c>
      <c r="C203" s="77">
        <v>200.76</v>
      </c>
      <c r="D203" s="77">
        <v>0</v>
      </c>
      <c r="E203" s="77">
        <v>16.7</v>
      </c>
      <c r="F203" s="77">
        <v>705.87</v>
      </c>
      <c r="G203" s="77">
        <v>60812.18</v>
      </c>
      <c r="Q203">
        <v>197</v>
      </c>
      <c r="R203" s="16">
        <f>Tableau1[[#This Row],[Amortiss. Capital]]</f>
        <v>488.41</v>
      </c>
      <c r="S203" s="16">
        <f>Tableau1[[#This Row],[Intérêt Normaux]]</f>
        <v>200.76</v>
      </c>
      <c r="T203" s="16">
        <f>Tableau1[[#This Row],[Intérêts différés]]</f>
        <v>0</v>
      </c>
      <c r="U203" s="16">
        <f>Tableau1[[#This Row],[Assurances]]</f>
        <v>16.7</v>
      </c>
      <c r="V203" s="16">
        <f>Tableau1[[#This Row],[Total à payer]]</f>
        <v>705.87</v>
      </c>
      <c r="W203" s="16">
        <f>Tableau1[[#This Row],[Montant restant dû après échéance]]</f>
        <v>60812.18</v>
      </c>
    </row>
    <row r="204" spans="1:23" x14ac:dyDescent="0.3">
      <c r="A204" s="76">
        <v>198</v>
      </c>
      <c r="B204" s="77">
        <v>490.14</v>
      </c>
      <c r="C204" s="77">
        <v>199.16</v>
      </c>
      <c r="D204" s="77">
        <v>0</v>
      </c>
      <c r="E204" s="77">
        <v>16.57</v>
      </c>
      <c r="F204" s="77">
        <v>705.87</v>
      </c>
      <c r="G204" s="77">
        <v>60322.04</v>
      </c>
      <c r="Q204">
        <v>198</v>
      </c>
      <c r="R204" s="16">
        <f>Tableau1[[#This Row],[Amortiss. Capital]]</f>
        <v>490.14</v>
      </c>
      <c r="S204" s="16">
        <f>Tableau1[[#This Row],[Intérêt Normaux]]</f>
        <v>199.16</v>
      </c>
      <c r="T204" s="16">
        <f>Tableau1[[#This Row],[Intérêts différés]]</f>
        <v>0</v>
      </c>
      <c r="U204" s="16">
        <f>Tableau1[[#This Row],[Assurances]]</f>
        <v>16.57</v>
      </c>
      <c r="V204" s="16">
        <f>Tableau1[[#This Row],[Total à payer]]</f>
        <v>705.87</v>
      </c>
      <c r="W204" s="16">
        <f>Tableau1[[#This Row],[Montant restant dû après échéance]]</f>
        <v>60322.04</v>
      </c>
    </row>
    <row r="205" spans="1:23" x14ac:dyDescent="0.3">
      <c r="A205" s="76">
        <v>199</v>
      </c>
      <c r="B205" s="77">
        <v>491.88</v>
      </c>
      <c r="C205" s="77">
        <v>197.55</v>
      </c>
      <c r="D205" s="77">
        <v>0</v>
      </c>
      <c r="E205" s="77">
        <v>16.440000000000001</v>
      </c>
      <c r="F205" s="77">
        <v>705.87</v>
      </c>
      <c r="G205" s="77">
        <v>59830.16</v>
      </c>
      <c r="Q205">
        <v>199</v>
      </c>
      <c r="R205" s="16">
        <f>Tableau1[[#This Row],[Amortiss. Capital]]</f>
        <v>491.88</v>
      </c>
      <c r="S205" s="16">
        <f>Tableau1[[#This Row],[Intérêt Normaux]]</f>
        <v>197.55</v>
      </c>
      <c r="T205" s="16">
        <f>Tableau1[[#This Row],[Intérêts différés]]</f>
        <v>0</v>
      </c>
      <c r="U205" s="16">
        <f>Tableau1[[#This Row],[Assurances]]</f>
        <v>16.440000000000001</v>
      </c>
      <c r="V205" s="16">
        <f>Tableau1[[#This Row],[Total à payer]]</f>
        <v>705.87</v>
      </c>
      <c r="W205" s="16">
        <f>Tableau1[[#This Row],[Montant restant dû après échéance]]</f>
        <v>59830.16</v>
      </c>
    </row>
    <row r="206" spans="1:23" x14ac:dyDescent="0.3">
      <c r="A206" s="76">
        <v>200</v>
      </c>
      <c r="B206" s="77">
        <v>493.63</v>
      </c>
      <c r="C206" s="77">
        <v>195.94</v>
      </c>
      <c r="D206" s="77">
        <v>0</v>
      </c>
      <c r="E206" s="77">
        <v>16.3</v>
      </c>
      <c r="F206" s="77">
        <v>705.87</v>
      </c>
      <c r="G206" s="77">
        <v>59336.53</v>
      </c>
      <c r="Q206">
        <v>200</v>
      </c>
      <c r="R206" s="16">
        <f>Tableau1[[#This Row],[Amortiss. Capital]]</f>
        <v>493.63</v>
      </c>
      <c r="S206" s="16">
        <f>Tableau1[[#This Row],[Intérêt Normaux]]</f>
        <v>195.94</v>
      </c>
      <c r="T206" s="16">
        <f>Tableau1[[#This Row],[Intérêts différés]]</f>
        <v>0</v>
      </c>
      <c r="U206" s="16">
        <f>Tableau1[[#This Row],[Assurances]]</f>
        <v>16.3</v>
      </c>
      <c r="V206" s="16">
        <f>Tableau1[[#This Row],[Total à payer]]</f>
        <v>705.87</v>
      </c>
      <c r="W206" s="16">
        <f>Tableau1[[#This Row],[Montant restant dû après échéance]]</f>
        <v>59336.53</v>
      </c>
    </row>
    <row r="207" spans="1:23" x14ac:dyDescent="0.3">
      <c r="A207" s="76">
        <v>201</v>
      </c>
      <c r="B207" s="77">
        <v>495.37</v>
      </c>
      <c r="C207" s="77">
        <v>194.33</v>
      </c>
      <c r="D207" s="77">
        <v>0</v>
      </c>
      <c r="E207" s="77">
        <v>16.170000000000002</v>
      </c>
      <c r="F207" s="77">
        <v>705.87</v>
      </c>
      <c r="G207" s="77">
        <v>58841.16</v>
      </c>
      <c r="Q207">
        <v>201</v>
      </c>
      <c r="R207" s="16">
        <f>Tableau1[[#This Row],[Amortiss. Capital]]</f>
        <v>495.37</v>
      </c>
      <c r="S207" s="16">
        <f>Tableau1[[#This Row],[Intérêt Normaux]]</f>
        <v>194.33</v>
      </c>
      <c r="T207" s="16">
        <f>Tableau1[[#This Row],[Intérêts différés]]</f>
        <v>0</v>
      </c>
      <c r="U207" s="16">
        <f>Tableau1[[#This Row],[Assurances]]</f>
        <v>16.170000000000002</v>
      </c>
      <c r="V207" s="16">
        <f>Tableau1[[#This Row],[Total à payer]]</f>
        <v>705.87</v>
      </c>
      <c r="W207" s="16">
        <f>Tableau1[[#This Row],[Montant restant dû après échéance]]</f>
        <v>58841.16</v>
      </c>
    </row>
    <row r="208" spans="1:23" x14ac:dyDescent="0.3">
      <c r="A208" s="76">
        <v>202</v>
      </c>
      <c r="B208" s="77">
        <v>497.14</v>
      </c>
      <c r="C208" s="77">
        <v>192.7</v>
      </c>
      <c r="D208" s="77">
        <v>0</v>
      </c>
      <c r="E208" s="77">
        <v>16.03</v>
      </c>
      <c r="F208" s="77">
        <v>705.87</v>
      </c>
      <c r="G208" s="77">
        <v>58344.02</v>
      </c>
      <c r="Q208">
        <v>202</v>
      </c>
      <c r="R208" s="16">
        <f>Tableau1[[#This Row],[Amortiss. Capital]]</f>
        <v>497.14</v>
      </c>
      <c r="S208" s="16">
        <f>Tableau1[[#This Row],[Intérêt Normaux]]</f>
        <v>192.7</v>
      </c>
      <c r="T208" s="16">
        <f>Tableau1[[#This Row],[Intérêts différés]]</f>
        <v>0</v>
      </c>
      <c r="U208" s="16">
        <f>Tableau1[[#This Row],[Assurances]]</f>
        <v>16.03</v>
      </c>
      <c r="V208" s="16">
        <f>Tableau1[[#This Row],[Total à payer]]</f>
        <v>705.87</v>
      </c>
      <c r="W208" s="16">
        <f>Tableau1[[#This Row],[Montant restant dû après échéance]]</f>
        <v>58344.02</v>
      </c>
    </row>
    <row r="209" spans="1:23" x14ac:dyDescent="0.3">
      <c r="A209" s="76">
        <v>203</v>
      </c>
      <c r="B209" s="77">
        <v>498.89</v>
      </c>
      <c r="C209" s="77">
        <v>191.08</v>
      </c>
      <c r="D209" s="77">
        <v>0</v>
      </c>
      <c r="E209" s="77">
        <v>15.9</v>
      </c>
      <c r="F209" s="77">
        <v>705.87</v>
      </c>
      <c r="G209" s="77">
        <v>57845.13</v>
      </c>
      <c r="Q209">
        <v>203</v>
      </c>
      <c r="R209" s="16">
        <f>Tableau1[[#This Row],[Amortiss. Capital]]</f>
        <v>498.89</v>
      </c>
      <c r="S209" s="16">
        <f>Tableau1[[#This Row],[Intérêt Normaux]]</f>
        <v>191.08</v>
      </c>
      <c r="T209" s="16">
        <f>Tableau1[[#This Row],[Intérêts différés]]</f>
        <v>0</v>
      </c>
      <c r="U209" s="16">
        <f>Tableau1[[#This Row],[Assurances]]</f>
        <v>15.9</v>
      </c>
      <c r="V209" s="16">
        <f>Tableau1[[#This Row],[Total à payer]]</f>
        <v>705.87</v>
      </c>
      <c r="W209" s="16">
        <f>Tableau1[[#This Row],[Montant restant dû après échéance]]</f>
        <v>57845.13</v>
      </c>
    </row>
    <row r="210" spans="1:23" x14ac:dyDescent="0.3">
      <c r="A210" s="76">
        <v>204</v>
      </c>
      <c r="B210" s="77">
        <v>500.67</v>
      </c>
      <c r="C210" s="77">
        <v>189.44</v>
      </c>
      <c r="D210" s="77">
        <v>0</v>
      </c>
      <c r="E210" s="77">
        <v>15.76</v>
      </c>
      <c r="F210" s="77">
        <v>705.87</v>
      </c>
      <c r="G210" s="77">
        <v>57344.46</v>
      </c>
      <c r="Q210">
        <v>204</v>
      </c>
      <c r="R210" s="16">
        <f>Tableau1[[#This Row],[Amortiss. Capital]]</f>
        <v>500.67</v>
      </c>
      <c r="S210" s="16">
        <f>Tableau1[[#This Row],[Intérêt Normaux]]</f>
        <v>189.44</v>
      </c>
      <c r="T210" s="16">
        <f>Tableau1[[#This Row],[Intérêts différés]]</f>
        <v>0</v>
      </c>
      <c r="U210" s="16">
        <f>Tableau1[[#This Row],[Assurances]]</f>
        <v>15.76</v>
      </c>
      <c r="V210" s="16">
        <f>Tableau1[[#This Row],[Total à payer]]</f>
        <v>705.87</v>
      </c>
      <c r="W210" s="16">
        <f>Tableau1[[#This Row],[Montant restant dû après échéance]]</f>
        <v>57344.46</v>
      </c>
    </row>
    <row r="211" spans="1:23" x14ac:dyDescent="0.3">
      <c r="A211" s="76">
        <v>205</v>
      </c>
      <c r="B211" s="77">
        <v>502.44</v>
      </c>
      <c r="C211" s="77">
        <v>187.8</v>
      </c>
      <c r="D211" s="77">
        <v>0</v>
      </c>
      <c r="E211" s="77">
        <v>15.63</v>
      </c>
      <c r="F211" s="77">
        <v>705.87</v>
      </c>
      <c r="G211" s="77">
        <v>56842.02</v>
      </c>
      <c r="Q211">
        <v>205</v>
      </c>
      <c r="R211" s="16">
        <f>Tableau1[[#This Row],[Amortiss. Capital]]</f>
        <v>502.44</v>
      </c>
      <c r="S211" s="16">
        <f>Tableau1[[#This Row],[Intérêt Normaux]]</f>
        <v>187.8</v>
      </c>
      <c r="T211" s="16">
        <f>Tableau1[[#This Row],[Intérêts différés]]</f>
        <v>0</v>
      </c>
      <c r="U211" s="16">
        <f>Tableau1[[#This Row],[Assurances]]</f>
        <v>15.63</v>
      </c>
      <c r="V211" s="16">
        <f>Tableau1[[#This Row],[Total à payer]]</f>
        <v>705.87</v>
      </c>
      <c r="W211" s="16">
        <f>Tableau1[[#This Row],[Montant restant dû après échéance]]</f>
        <v>56842.02</v>
      </c>
    </row>
    <row r="212" spans="1:23" x14ac:dyDescent="0.3">
      <c r="A212" s="76">
        <v>206</v>
      </c>
      <c r="B212" s="77">
        <v>504.22</v>
      </c>
      <c r="C212" s="77">
        <v>186.16</v>
      </c>
      <c r="D212" s="77">
        <v>0</v>
      </c>
      <c r="E212" s="77">
        <v>15.49</v>
      </c>
      <c r="F212" s="77">
        <v>705.87</v>
      </c>
      <c r="G212" s="77">
        <v>56337.8</v>
      </c>
      <c r="Q212">
        <v>206</v>
      </c>
      <c r="R212" s="16">
        <f>Tableau1[[#This Row],[Amortiss. Capital]]</f>
        <v>504.22</v>
      </c>
      <c r="S212" s="16">
        <f>Tableau1[[#This Row],[Intérêt Normaux]]</f>
        <v>186.16</v>
      </c>
      <c r="T212" s="16">
        <f>Tableau1[[#This Row],[Intérêts différés]]</f>
        <v>0</v>
      </c>
      <c r="U212" s="16">
        <f>Tableau1[[#This Row],[Assurances]]</f>
        <v>15.49</v>
      </c>
      <c r="V212" s="16">
        <f>Tableau1[[#This Row],[Total à payer]]</f>
        <v>705.87</v>
      </c>
      <c r="W212" s="16">
        <f>Tableau1[[#This Row],[Montant restant dû après échéance]]</f>
        <v>56337.8</v>
      </c>
    </row>
    <row r="213" spans="1:23" x14ac:dyDescent="0.3">
      <c r="A213" s="76">
        <v>207</v>
      </c>
      <c r="B213" s="77">
        <v>506.01</v>
      </c>
      <c r="C213" s="77">
        <v>184.51</v>
      </c>
      <c r="D213" s="77">
        <v>0</v>
      </c>
      <c r="E213" s="77">
        <v>15.35</v>
      </c>
      <c r="F213" s="77">
        <v>705.87</v>
      </c>
      <c r="G213" s="77">
        <v>55831.79</v>
      </c>
      <c r="Q213">
        <v>207</v>
      </c>
      <c r="R213" s="16">
        <f>Tableau1[[#This Row],[Amortiss. Capital]]</f>
        <v>506.01</v>
      </c>
      <c r="S213" s="16">
        <f>Tableau1[[#This Row],[Intérêt Normaux]]</f>
        <v>184.51</v>
      </c>
      <c r="T213" s="16">
        <f>Tableau1[[#This Row],[Intérêts différés]]</f>
        <v>0</v>
      </c>
      <c r="U213" s="16">
        <f>Tableau1[[#This Row],[Assurances]]</f>
        <v>15.35</v>
      </c>
      <c r="V213" s="16">
        <f>Tableau1[[#This Row],[Total à payer]]</f>
        <v>705.87</v>
      </c>
      <c r="W213" s="16">
        <f>Tableau1[[#This Row],[Montant restant dû après échéance]]</f>
        <v>55831.79</v>
      </c>
    </row>
    <row r="214" spans="1:23" x14ac:dyDescent="0.3">
      <c r="A214" s="76">
        <v>208</v>
      </c>
      <c r="B214" s="77">
        <v>507.81</v>
      </c>
      <c r="C214" s="77">
        <v>182.85</v>
      </c>
      <c r="D214" s="77">
        <v>0</v>
      </c>
      <c r="E214" s="77">
        <v>15.21</v>
      </c>
      <c r="F214" s="77">
        <v>705.87</v>
      </c>
      <c r="G214" s="77">
        <v>55323.98</v>
      </c>
      <c r="Q214">
        <v>208</v>
      </c>
      <c r="R214" s="16">
        <f>Tableau1[[#This Row],[Amortiss. Capital]]</f>
        <v>507.81</v>
      </c>
      <c r="S214" s="16">
        <f>Tableau1[[#This Row],[Intérêt Normaux]]</f>
        <v>182.85</v>
      </c>
      <c r="T214" s="16">
        <f>Tableau1[[#This Row],[Intérêts différés]]</f>
        <v>0</v>
      </c>
      <c r="U214" s="16">
        <f>Tableau1[[#This Row],[Assurances]]</f>
        <v>15.21</v>
      </c>
      <c r="V214" s="16">
        <f>Tableau1[[#This Row],[Total à payer]]</f>
        <v>705.87</v>
      </c>
      <c r="W214" s="16">
        <f>Tableau1[[#This Row],[Montant restant dû après échéance]]</f>
        <v>55323.98</v>
      </c>
    </row>
    <row r="215" spans="1:23" x14ac:dyDescent="0.3">
      <c r="A215" s="76">
        <v>209</v>
      </c>
      <c r="B215" s="77">
        <v>509.6</v>
      </c>
      <c r="C215" s="77">
        <v>181.19</v>
      </c>
      <c r="D215" s="77">
        <v>0</v>
      </c>
      <c r="E215" s="77">
        <v>15.08</v>
      </c>
      <c r="F215" s="77">
        <v>705.87</v>
      </c>
      <c r="G215" s="77">
        <v>54814.38</v>
      </c>
      <c r="Q215">
        <v>209</v>
      </c>
      <c r="R215" s="16">
        <f>Tableau1[[#This Row],[Amortiss. Capital]]</f>
        <v>509.6</v>
      </c>
      <c r="S215" s="16">
        <f>Tableau1[[#This Row],[Intérêt Normaux]]</f>
        <v>181.19</v>
      </c>
      <c r="T215" s="16">
        <f>Tableau1[[#This Row],[Intérêts différés]]</f>
        <v>0</v>
      </c>
      <c r="U215" s="16">
        <f>Tableau1[[#This Row],[Assurances]]</f>
        <v>15.08</v>
      </c>
      <c r="V215" s="16">
        <f>Tableau1[[#This Row],[Total à payer]]</f>
        <v>705.87</v>
      </c>
      <c r="W215" s="16">
        <f>Tableau1[[#This Row],[Montant restant dû après échéance]]</f>
        <v>54814.38</v>
      </c>
    </row>
    <row r="216" spans="1:23" x14ac:dyDescent="0.3">
      <c r="A216" s="76">
        <v>210</v>
      </c>
      <c r="B216" s="77">
        <v>511.41</v>
      </c>
      <c r="C216" s="77">
        <v>179.52</v>
      </c>
      <c r="D216" s="77">
        <v>0</v>
      </c>
      <c r="E216" s="77">
        <v>14.94</v>
      </c>
      <c r="F216" s="77">
        <v>705.87</v>
      </c>
      <c r="G216" s="77">
        <v>54302.97</v>
      </c>
      <c r="Q216">
        <v>210</v>
      </c>
      <c r="R216" s="16">
        <f>Tableau1[[#This Row],[Amortiss. Capital]]</f>
        <v>511.41</v>
      </c>
      <c r="S216" s="16">
        <f>Tableau1[[#This Row],[Intérêt Normaux]]</f>
        <v>179.52</v>
      </c>
      <c r="T216" s="16">
        <f>Tableau1[[#This Row],[Intérêts différés]]</f>
        <v>0</v>
      </c>
      <c r="U216" s="16">
        <f>Tableau1[[#This Row],[Assurances]]</f>
        <v>14.94</v>
      </c>
      <c r="V216" s="16">
        <f>Tableau1[[#This Row],[Total à payer]]</f>
        <v>705.87</v>
      </c>
      <c r="W216" s="16">
        <f>Tableau1[[#This Row],[Montant restant dû après échéance]]</f>
        <v>54302.97</v>
      </c>
    </row>
    <row r="217" spans="1:23" x14ac:dyDescent="0.3">
      <c r="A217" s="76">
        <v>211</v>
      </c>
      <c r="B217" s="77">
        <v>513.23</v>
      </c>
      <c r="C217" s="77">
        <v>177.84</v>
      </c>
      <c r="D217" s="77">
        <v>0</v>
      </c>
      <c r="E217" s="77">
        <v>14.8</v>
      </c>
      <c r="F217" s="77">
        <v>705.87</v>
      </c>
      <c r="G217" s="77">
        <v>53789.74</v>
      </c>
      <c r="Q217">
        <v>211</v>
      </c>
      <c r="R217" s="16">
        <f>Tableau1[[#This Row],[Amortiss. Capital]]</f>
        <v>513.23</v>
      </c>
      <c r="S217" s="16">
        <f>Tableau1[[#This Row],[Intérêt Normaux]]</f>
        <v>177.84</v>
      </c>
      <c r="T217" s="16">
        <f>Tableau1[[#This Row],[Intérêts différés]]</f>
        <v>0</v>
      </c>
      <c r="U217" s="16">
        <f>Tableau1[[#This Row],[Assurances]]</f>
        <v>14.8</v>
      </c>
      <c r="V217" s="16">
        <f>Tableau1[[#This Row],[Total à payer]]</f>
        <v>705.87</v>
      </c>
      <c r="W217" s="16">
        <f>Tableau1[[#This Row],[Montant restant dû après échéance]]</f>
        <v>53789.74</v>
      </c>
    </row>
    <row r="218" spans="1:23" x14ac:dyDescent="0.3">
      <c r="A218" s="76">
        <v>212</v>
      </c>
      <c r="B218" s="77">
        <v>515.04999999999995</v>
      </c>
      <c r="C218" s="77">
        <v>176.16</v>
      </c>
      <c r="D218" s="77">
        <v>0</v>
      </c>
      <c r="E218" s="77">
        <v>14.66</v>
      </c>
      <c r="F218" s="77">
        <v>705.87</v>
      </c>
      <c r="G218" s="77">
        <v>53274.69</v>
      </c>
      <c r="Q218">
        <v>212</v>
      </c>
      <c r="R218" s="16">
        <f>Tableau1[[#This Row],[Amortiss. Capital]]</f>
        <v>515.04999999999995</v>
      </c>
      <c r="S218" s="16">
        <f>Tableau1[[#This Row],[Intérêt Normaux]]</f>
        <v>176.16</v>
      </c>
      <c r="T218" s="16">
        <f>Tableau1[[#This Row],[Intérêts différés]]</f>
        <v>0</v>
      </c>
      <c r="U218" s="16">
        <f>Tableau1[[#This Row],[Assurances]]</f>
        <v>14.66</v>
      </c>
      <c r="V218" s="16">
        <f>Tableau1[[#This Row],[Total à payer]]</f>
        <v>705.87</v>
      </c>
      <c r="W218" s="16">
        <f>Tableau1[[#This Row],[Montant restant dû après échéance]]</f>
        <v>53274.69</v>
      </c>
    </row>
    <row r="219" spans="1:23" x14ac:dyDescent="0.3">
      <c r="A219" s="76">
        <v>213</v>
      </c>
      <c r="B219" s="77">
        <v>516.88</v>
      </c>
      <c r="C219" s="77">
        <v>174.47</v>
      </c>
      <c r="D219" s="77">
        <v>0</v>
      </c>
      <c r="E219" s="77">
        <v>14.52</v>
      </c>
      <c r="F219" s="77">
        <v>705.87</v>
      </c>
      <c r="G219" s="77">
        <v>52757.81</v>
      </c>
      <c r="Q219">
        <v>213</v>
      </c>
      <c r="R219" s="16">
        <f>Tableau1[[#This Row],[Amortiss. Capital]]</f>
        <v>516.88</v>
      </c>
      <c r="S219" s="16">
        <f>Tableau1[[#This Row],[Intérêt Normaux]]</f>
        <v>174.47</v>
      </c>
      <c r="T219" s="16">
        <f>Tableau1[[#This Row],[Intérêts différés]]</f>
        <v>0</v>
      </c>
      <c r="U219" s="16">
        <f>Tableau1[[#This Row],[Assurances]]</f>
        <v>14.52</v>
      </c>
      <c r="V219" s="16">
        <f>Tableau1[[#This Row],[Total à payer]]</f>
        <v>705.87</v>
      </c>
      <c r="W219" s="16">
        <f>Tableau1[[#This Row],[Montant restant dû après échéance]]</f>
        <v>52757.81</v>
      </c>
    </row>
    <row r="220" spans="1:23" x14ac:dyDescent="0.3">
      <c r="A220" s="76">
        <v>214</v>
      </c>
      <c r="B220" s="77">
        <v>518.71</v>
      </c>
      <c r="C220" s="77">
        <v>172.78</v>
      </c>
      <c r="D220" s="77">
        <v>0</v>
      </c>
      <c r="E220" s="77">
        <v>14.38</v>
      </c>
      <c r="F220" s="77">
        <v>705.87</v>
      </c>
      <c r="G220" s="77">
        <v>52239.1</v>
      </c>
      <c r="Q220">
        <v>214</v>
      </c>
      <c r="R220" s="16">
        <f>Tableau1[[#This Row],[Amortiss. Capital]]</f>
        <v>518.71</v>
      </c>
      <c r="S220" s="16">
        <f>Tableau1[[#This Row],[Intérêt Normaux]]</f>
        <v>172.78</v>
      </c>
      <c r="T220" s="16">
        <f>Tableau1[[#This Row],[Intérêts différés]]</f>
        <v>0</v>
      </c>
      <c r="U220" s="16">
        <f>Tableau1[[#This Row],[Assurances]]</f>
        <v>14.38</v>
      </c>
      <c r="V220" s="16">
        <f>Tableau1[[#This Row],[Total à payer]]</f>
        <v>705.87</v>
      </c>
      <c r="W220" s="16">
        <f>Tableau1[[#This Row],[Montant restant dû après échéance]]</f>
        <v>52239.1</v>
      </c>
    </row>
    <row r="221" spans="1:23" x14ac:dyDescent="0.3">
      <c r="A221" s="76">
        <v>215</v>
      </c>
      <c r="B221" s="77">
        <v>520.54999999999995</v>
      </c>
      <c r="C221" s="77">
        <v>171.08</v>
      </c>
      <c r="D221" s="77">
        <v>0</v>
      </c>
      <c r="E221" s="77">
        <v>14.24</v>
      </c>
      <c r="F221" s="77">
        <v>705.87</v>
      </c>
      <c r="G221" s="77">
        <v>51718.55</v>
      </c>
      <c r="Q221">
        <v>215</v>
      </c>
      <c r="R221" s="16">
        <f>Tableau1[[#This Row],[Amortiss. Capital]]</f>
        <v>520.54999999999995</v>
      </c>
      <c r="S221" s="16">
        <f>Tableau1[[#This Row],[Intérêt Normaux]]</f>
        <v>171.08</v>
      </c>
      <c r="T221" s="16">
        <f>Tableau1[[#This Row],[Intérêts différés]]</f>
        <v>0</v>
      </c>
      <c r="U221" s="16">
        <f>Tableau1[[#This Row],[Assurances]]</f>
        <v>14.24</v>
      </c>
      <c r="V221" s="16">
        <f>Tableau1[[#This Row],[Total à payer]]</f>
        <v>705.87</v>
      </c>
      <c r="W221" s="16">
        <f>Tableau1[[#This Row],[Montant restant dû après échéance]]</f>
        <v>51718.55</v>
      </c>
    </row>
    <row r="222" spans="1:23" x14ac:dyDescent="0.3">
      <c r="A222" s="76">
        <v>216</v>
      </c>
      <c r="B222" s="77">
        <v>522.4</v>
      </c>
      <c r="C222" s="77">
        <v>169.38</v>
      </c>
      <c r="D222" s="77">
        <v>0</v>
      </c>
      <c r="E222" s="77">
        <v>14.09</v>
      </c>
      <c r="F222" s="77">
        <v>705.87</v>
      </c>
      <c r="G222" s="77">
        <v>51196.15</v>
      </c>
      <c r="Q222">
        <v>216</v>
      </c>
      <c r="R222" s="16">
        <f>Tableau1[[#This Row],[Amortiss. Capital]]</f>
        <v>522.4</v>
      </c>
      <c r="S222" s="16">
        <f>Tableau1[[#This Row],[Intérêt Normaux]]</f>
        <v>169.38</v>
      </c>
      <c r="T222" s="16">
        <f>Tableau1[[#This Row],[Intérêts différés]]</f>
        <v>0</v>
      </c>
      <c r="U222" s="16">
        <f>Tableau1[[#This Row],[Assurances]]</f>
        <v>14.09</v>
      </c>
      <c r="V222" s="16">
        <f>Tableau1[[#This Row],[Total à payer]]</f>
        <v>705.87</v>
      </c>
      <c r="W222" s="16">
        <f>Tableau1[[#This Row],[Montant restant dû après échéance]]</f>
        <v>51196.15</v>
      </c>
    </row>
    <row r="223" spans="1:23" x14ac:dyDescent="0.3">
      <c r="A223" s="76">
        <v>217</v>
      </c>
      <c r="B223" s="77">
        <v>524.25</v>
      </c>
      <c r="C223" s="77">
        <v>167.67</v>
      </c>
      <c r="D223" s="77">
        <v>0</v>
      </c>
      <c r="E223" s="77">
        <v>13.95</v>
      </c>
      <c r="F223" s="77">
        <v>705.87</v>
      </c>
      <c r="G223" s="77">
        <v>50671.9</v>
      </c>
      <c r="Q223">
        <v>217</v>
      </c>
      <c r="R223" s="16">
        <f>Tableau1[[#This Row],[Amortiss. Capital]]</f>
        <v>524.25</v>
      </c>
      <c r="S223" s="16">
        <f>Tableau1[[#This Row],[Intérêt Normaux]]</f>
        <v>167.67</v>
      </c>
      <c r="T223" s="16">
        <f>Tableau1[[#This Row],[Intérêts différés]]</f>
        <v>0</v>
      </c>
      <c r="U223" s="16">
        <f>Tableau1[[#This Row],[Assurances]]</f>
        <v>13.95</v>
      </c>
      <c r="V223" s="16">
        <f>Tableau1[[#This Row],[Total à payer]]</f>
        <v>705.87</v>
      </c>
      <c r="W223" s="16">
        <f>Tableau1[[#This Row],[Montant restant dû après échéance]]</f>
        <v>50671.9</v>
      </c>
    </row>
    <row r="224" spans="1:23" x14ac:dyDescent="0.3">
      <c r="A224" s="76">
        <v>218</v>
      </c>
      <c r="B224" s="77">
        <v>526.11</v>
      </c>
      <c r="C224" s="77">
        <v>165.95</v>
      </c>
      <c r="D224" s="77">
        <v>0</v>
      </c>
      <c r="E224" s="77">
        <v>13.81</v>
      </c>
      <c r="F224" s="77">
        <v>705.87</v>
      </c>
      <c r="G224" s="77">
        <v>50145.79</v>
      </c>
      <c r="Q224">
        <v>218</v>
      </c>
      <c r="R224" s="16">
        <f>Tableau1[[#This Row],[Amortiss. Capital]]</f>
        <v>526.11</v>
      </c>
      <c r="S224" s="16">
        <f>Tableau1[[#This Row],[Intérêt Normaux]]</f>
        <v>165.95</v>
      </c>
      <c r="T224" s="16">
        <f>Tableau1[[#This Row],[Intérêts différés]]</f>
        <v>0</v>
      </c>
      <c r="U224" s="16">
        <f>Tableau1[[#This Row],[Assurances]]</f>
        <v>13.81</v>
      </c>
      <c r="V224" s="16">
        <f>Tableau1[[#This Row],[Total à payer]]</f>
        <v>705.87</v>
      </c>
      <c r="W224" s="16">
        <f>Tableau1[[#This Row],[Montant restant dû après échéance]]</f>
        <v>50145.79</v>
      </c>
    </row>
    <row r="225" spans="1:23" x14ac:dyDescent="0.3">
      <c r="A225" s="76">
        <v>219</v>
      </c>
      <c r="B225" s="77">
        <v>527.98</v>
      </c>
      <c r="C225" s="77">
        <v>164.23</v>
      </c>
      <c r="D225" s="77">
        <v>0</v>
      </c>
      <c r="E225" s="77">
        <v>13.66</v>
      </c>
      <c r="F225" s="77">
        <v>705.87</v>
      </c>
      <c r="G225" s="77">
        <v>49617.81</v>
      </c>
      <c r="Q225">
        <v>219</v>
      </c>
      <c r="R225" s="16">
        <f>Tableau1[[#This Row],[Amortiss. Capital]]</f>
        <v>527.98</v>
      </c>
      <c r="S225" s="16">
        <f>Tableau1[[#This Row],[Intérêt Normaux]]</f>
        <v>164.23</v>
      </c>
      <c r="T225" s="16">
        <f>Tableau1[[#This Row],[Intérêts différés]]</f>
        <v>0</v>
      </c>
      <c r="U225" s="16">
        <f>Tableau1[[#This Row],[Assurances]]</f>
        <v>13.66</v>
      </c>
      <c r="V225" s="16">
        <f>Tableau1[[#This Row],[Total à payer]]</f>
        <v>705.87</v>
      </c>
      <c r="W225" s="16">
        <f>Tableau1[[#This Row],[Montant restant dû après échéance]]</f>
        <v>49617.81</v>
      </c>
    </row>
    <row r="226" spans="1:23" x14ac:dyDescent="0.3">
      <c r="A226" s="76">
        <v>220</v>
      </c>
      <c r="B226" s="77">
        <v>529.85</v>
      </c>
      <c r="C226" s="77">
        <v>162.5</v>
      </c>
      <c r="D226" s="77">
        <v>0</v>
      </c>
      <c r="E226" s="77">
        <v>13.52</v>
      </c>
      <c r="F226" s="77">
        <v>705.87</v>
      </c>
      <c r="G226" s="77">
        <v>49087.96</v>
      </c>
      <c r="Q226">
        <v>220</v>
      </c>
      <c r="R226" s="16">
        <f>Tableau1[[#This Row],[Amortiss. Capital]]</f>
        <v>529.85</v>
      </c>
      <c r="S226" s="16">
        <f>Tableau1[[#This Row],[Intérêt Normaux]]</f>
        <v>162.5</v>
      </c>
      <c r="T226" s="16">
        <f>Tableau1[[#This Row],[Intérêts différés]]</f>
        <v>0</v>
      </c>
      <c r="U226" s="16">
        <f>Tableau1[[#This Row],[Assurances]]</f>
        <v>13.52</v>
      </c>
      <c r="V226" s="16">
        <f>Tableau1[[#This Row],[Total à payer]]</f>
        <v>705.87</v>
      </c>
      <c r="W226" s="16">
        <f>Tableau1[[#This Row],[Montant restant dû après échéance]]</f>
        <v>49087.96</v>
      </c>
    </row>
    <row r="227" spans="1:23" x14ac:dyDescent="0.3">
      <c r="A227" s="76">
        <v>221</v>
      </c>
      <c r="B227" s="77">
        <v>531.73</v>
      </c>
      <c r="C227" s="77">
        <v>160.76</v>
      </c>
      <c r="D227" s="77">
        <v>0</v>
      </c>
      <c r="E227" s="77">
        <v>13.38</v>
      </c>
      <c r="F227" s="77">
        <v>705.87</v>
      </c>
      <c r="G227" s="77">
        <v>48556.23</v>
      </c>
      <c r="Q227">
        <v>221</v>
      </c>
      <c r="R227" s="16">
        <f>Tableau1[[#This Row],[Amortiss. Capital]]</f>
        <v>531.73</v>
      </c>
      <c r="S227" s="16">
        <f>Tableau1[[#This Row],[Intérêt Normaux]]</f>
        <v>160.76</v>
      </c>
      <c r="T227" s="16">
        <f>Tableau1[[#This Row],[Intérêts différés]]</f>
        <v>0</v>
      </c>
      <c r="U227" s="16">
        <f>Tableau1[[#This Row],[Assurances]]</f>
        <v>13.38</v>
      </c>
      <c r="V227" s="16">
        <f>Tableau1[[#This Row],[Total à payer]]</f>
        <v>705.87</v>
      </c>
      <c r="W227" s="16">
        <f>Tableau1[[#This Row],[Montant restant dû après échéance]]</f>
        <v>48556.23</v>
      </c>
    </row>
    <row r="228" spans="1:23" x14ac:dyDescent="0.3">
      <c r="A228" s="76">
        <v>222</v>
      </c>
      <c r="B228" s="77">
        <v>533.62</v>
      </c>
      <c r="C228" s="77">
        <v>159.02000000000001</v>
      </c>
      <c r="D228" s="77">
        <v>0</v>
      </c>
      <c r="E228" s="77">
        <v>13.23</v>
      </c>
      <c r="F228" s="77">
        <v>705.87</v>
      </c>
      <c r="G228" s="77">
        <v>48022.61</v>
      </c>
      <c r="Q228">
        <v>222</v>
      </c>
      <c r="R228" s="16">
        <f>Tableau1[[#This Row],[Amortiss. Capital]]</f>
        <v>533.62</v>
      </c>
      <c r="S228" s="16">
        <f>Tableau1[[#This Row],[Intérêt Normaux]]</f>
        <v>159.02000000000001</v>
      </c>
      <c r="T228" s="16">
        <f>Tableau1[[#This Row],[Intérêts différés]]</f>
        <v>0</v>
      </c>
      <c r="U228" s="16">
        <f>Tableau1[[#This Row],[Assurances]]</f>
        <v>13.23</v>
      </c>
      <c r="V228" s="16">
        <f>Tableau1[[#This Row],[Total à payer]]</f>
        <v>705.87</v>
      </c>
      <c r="W228" s="16">
        <f>Tableau1[[#This Row],[Montant restant dû après échéance]]</f>
        <v>48022.61</v>
      </c>
    </row>
    <row r="229" spans="1:23" x14ac:dyDescent="0.3">
      <c r="A229" s="76">
        <v>223</v>
      </c>
      <c r="B229" s="77">
        <v>535.51</v>
      </c>
      <c r="C229" s="77">
        <v>157.27000000000001</v>
      </c>
      <c r="D229" s="77">
        <v>0</v>
      </c>
      <c r="E229" s="77">
        <v>13.09</v>
      </c>
      <c r="F229" s="77">
        <v>705.87</v>
      </c>
      <c r="G229" s="77">
        <v>47487.1</v>
      </c>
      <c r="Q229">
        <v>223</v>
      </c>
      <c r="R229" s="16">
        <f>Tableau1[[#This Row],[Amortiss. Capital]]</f>
        <v>535.51</v>
      </c>
      <c r="S229" s="16">
        <f>Tableau1[[#This Row],[Intérêt Normaux]]</f>
        <v>157.27000000000001</v>
      </c>
      <c r="T229" s="16">
        <f>Tableau1[[#This Row],[Intérêts différés]]</f>
        <v>0</v>
      </c>
      <c r="U229" s="16">
        <f>Tableau1[[#This Row],[Assurances]]</f>
        <v>13.09</v>
      </c>
      <c r="V229" s="16">
        <f>Tableau1[[#This Row],[Total à payer]]</f>
        <v>705.87</v>
      </c>
      <c r="W229" s="16">
        <f>Tableau1[[#This Row],[Montant restant dû après échéance]]</f>
        <v>47487.1</v>
      </c>
    </row>
    <row r="230" spans="1:23" x14ac:dyDescent="0.3">
      <c r="A230" s="76">
        <v>224</v>
      </c>
      <c r="B230" s="77">
        <v>537.41</v>
      </c>
      <c r="C230" s="77">
        <v>155.52000000000001</v>
      </c>
      <c r="D230" s="77">
        <v>0</v>
      </c>
      <c r="E230" s="77">
        <v>12.94</v>
      </c>
      <c r="F230" s="77">
        <v>705.87</v>
      </c>
      <c r="G230" s="77">
        <v>46949.69</v>
      </c>
      <c r="Q230">
        <v>224</v>
      </c>
      <c r="R230" s="16">
        <f>Tableau1[[#This Row],[Amortiss. Capital]]</f>
        <v>537.41</v>
      </c>
      <c r="S230" s="16">
        <f>Tableau1[[#This Row],[Intérêt Normaux]]</f>
        <v>155.52000000000001</v>
      </c>
      <c r="T230" s="16">
        <f>Tableau1[[#This Row],[Intérêts différés]]</f>
        <v>0</v>
      </c>
      <c r="U230" s="16">
        <f>Tableau1[[#This Row],[Assurances]]</f>
        <v>12.94</v>
      </c>
      <c r="V230" s="16">
        <f>Tableau1[[#This Row],[Total à payer]]</f>
        <v>705.87</v>
      </c>
      <c r="W230" s="16">
        <f>Tableau1[[#This Row],[Montant restant dû après échéance]]</f>
        <v>46949.69</v>
      </c>
    </row>
    <row r="231" spans="1:23" x14ac:dyDescent="0.3">
      <c r="A231" s="76">
        <v>225</v>
      </c>
      <c r="B231" s="77">
        <v>539.32000000000005</v>
      </c>
      <c r="C231" s="77">
        <v>153.76</v>
      </c>
      <c r="D231" s="77">
        <v>0</v>
      </c>
      <c r="E231" s="77">
        <v>12.79</v>
      </c>
      <c r="F231" s="77">
        <v>705.87</v>
      </c>
      <c r="G231" s="77">
        <v>46410.37</v>
      </c>
      <c r="Q231">
        <v>225</v>
      </c>
      <c r="R231" s="16">
        <f>Tableau1[[#This Row],[Amortiss. Capital]]</f>
        <v>539.32000000000005</v>
      </c>
      <c r="S231" s="16">
        <f>Tableau1[[#This Row],[Intérêt Normaux]]</f>
        <v>153.76</v>
      </c>
      <c r="T231" s="16">
        <f>Tableau1[[#This Row],[Intérêts différés]]</f>
        <v>0</v>
      </c>
      <c r="U231" s="16">
        <f>Tableau1[[#This Row],[Assurances]]</f>
        <v>12.79</v>
      </c>
      <c r="V231" s="16">
        <f>Tableau1[[#This Row],[Total à payer]]</f>
        <v>705.87</v>
      </c>
      <c r="W231" s="16">
        <f>Tableau1[[#This Row],[Montant restant dû après échéance]]</f>
        <v>46410.37</v>
      </c>
    </row>
    <row r="232" spans="1:23" x14ac:dyDescent="0.3">
      <c r="A232" s="76">
        <v>226</v>
      </c>
      <c r="B232" s="77">
        <v>541.23</v>
      </c>
      <c r="C232" s="77">
        <v>151.99</v>
      </c>
      <c r="D232" s="77">
        <v>0</v>
      </c>
      <c r="E232" s="77">
        <v>12.65</v>
      </c>
      <c r="F232" s="77">
        <v>705.87</v>
      </c>
      <c r="G232" s="77">
        <v>45869.14</v>
      </c>
      <c r="Q232">
        <v>226</v>
      </c>
      <c r="R232" s="16">
        <f>Tableau1[[#This Row],[Amortiss. Capital]]</f>
        <v>541.23</v>
      </c>
      <c r="S232" s="16">
        <f>Tableau1[[#This Row],[Intérêt Normaux]]</f>
        <v>151.99</v>
      </c>
      <c r="T232" s="16">
        <f>Tableau1[[#This Row],[Intérêts différés]]</f>
        <v>0</v>
      </c>
      <c r="U232" s="16">
        <f>Tableau1[[#This Row],[Assurances]]</f>
        <v>12.65</v>
      </c>
      <c r="V232" s="16">
        <f>Tableau1[[#This Row],[Total à payer]]</f>
        <v>705.87</v>
      </c>
      <c r="W232" s="16">
        <f>Tableau1[[#This Row],[Montant restant dû après échéance]]</f>
        <v>45869.14</v>
      </c>
    </row>
    <row r="233" spans="1:23" x14ac:dyDescent="0.3">
      <c r="A233" s="76">
        <v>227</v>
      </c>
      <c r="B233" s="77">
        <v>543.15</v>
      </c>
      <c r="C233" s="77">
        <v>150.22</v>
      </c>
      <c r="D233" s="77">
        <v>0</v>
      </c>
      <c r="E233" s="77">
        <v>12.5</v>
      </c>
      <c r="F233" s="77">
        <v>705.87</v>
      </c>
      <c r="G233" s="77">
        <v>45325.99</v>
      </c>
      <c r="Q233">
        <v>227</v>
      </c>
      <c r="R233" s="16">
        <f>Tableau1[[#This Row],[Amortiss. Capital]]</f>
        <v>543.15</v>
      </c>
      <c r="S233" s="16">
        <f>Tableau1[[#This Row],[Intérêt Normaux]]</f>
        <v>150.22</v>
      </c>
      <c r="T233" s="16">
        <f>Tableau1[[#This Row],[Intérêts différés]]</f>
        <v>0</v>
      </c>
      <c r="U233" s="16">
        <f>Tableau1[[#This Row],[Assurances]]</f>
        <v>12.5</v>
      </c>
      <c r="V233" s="16">
        <f>Tableau1[[#This Row],[Total à payer]]</f>
        <v>705.87</v>
      </c>
      <c r="W233" s="16">
        <f>Tableau1[[#This Row],[Montant restant dû après échéance]]</f>
        <v>45325.99</v>
      </c>
    </row>
    <row r="234" spans="1:23" x14ac:dyDescent="0.3">
      <c r="A234" s="76">
        <v>228</v>
      </c>
      <c r="B234" s="77">
        <v>545.08000000000004</v>
      </c>
      <c r="C234" s="77">
        <v>148.44</v>
      </c>
      <c r="D234" s="77">
        <v>0</v>
      </c>
      <c r="E234" s="77">
        <v>12.35</v>
      </c>
      <c r="F234" s="77">
        <v>705.87</v>
      </c>
      <c r="G234" s="77">
        <v>44780.91</v>
      </c>
      <c r="Q234">
        <v>228</v>
      </c>
      <c r="R234" s="16">
        <f>Tableau1[[#This Row],[Amortiss. Capital]]</f>
        <v>545.08000000000004</v>
      </c>
      <c r="S234" s="16">
        <f>Tableau1[[#This Row],[Intérêt Normaux]]</f>
        <v>148.44</v>
      </c>
      <c r="T234" s="16">
        <f>Tableau1[[#This Row],[Intérêts différés]]</f>
        <v>0</v>
      </c>
      <c r="U234" s="16">
        <f>Tableau1[[#This Row],[Assurances]]</f>
        <v>12.35</v>
      </c>
      <c r="V234" s="16">
        <f>Tableau1[[#This Row],[Total à payer]]</f>
        <v>705.87</v>
      </c>
      <c r="W234" s="16">
        <f>Tableau1[[#This Row],[Montant restant dû après échéance]]</f>
        <v>44780.91</v>
      </c>
    </row>
    <row r="235" spans="1:23" x14ac:dyDescent="0.3">
      <c r="A235" s="76">
        <v>229</v>
      </c>
      <c r="B235" s="77">
        <v>547.01</v>
      </c>
      <c r="C235" s="77">
        <v>146.66</v>
      </c>
      <c r="D235" s="77">
        <v>0</v>
      </c>
      <c r="E235" s="77">
        <v>12.2</v>
      </c>
      <c r="F235" s="77">
        <v>705.87</v>
      </c>
      <c r="G235" s="77">
        <v>44233.9</v>
      </c>
      <c r="Q235">
        <v>229</v>
      </c>
      <c r="R235" s="16">
        <f>Tableau1[[#This Row],[Amortiss. Capital]]</f>
        <v>547.01</v>
      </c>
      <c r="S235" s="16">
        <f>Tableau1[[#This Row],[Intérêt Normaux]]</f>
        <v>146.66</v>
      </c>
      <c r="T235" s="16">
        <f>Tableau1[[#This Row],[Intérêts différés]]</f>
        <v>0</v>
      </c>
      <c r="U235" s="16">
        <f>Tableau1[[#This Row],[Assurances]]</f>
        <v>12.2</v>
      </c>
      <c r="V235" s="16">
        <f>Tableau1[[#This Row],[Total à payer]]</f>
        <v>705.87</v>
      </c>
      <c r="W235" s="16">
        <f>Tableau1[[#This Row],[Montant restant dû après échéance]]</f>
        <v>44233.9</v>
      </c>
    </row>
    <row r="236" spans="1:23" x14ac:dyDescent="0.3">
      <c r="A236" s="76">
        <v>230</v>
      </c>
      <c r="B236" s="77">
        <v>548.95000000000005</v>
      </c>
      <c r="C236" s="77">
        <v>144.87</v>
      </c>
      <c r="D236" s="77">
        <v>0</v>
      </c>
      <c r="E236" s="77">
        <v>12.05</v>
      </c>
      <c r="F236" s="77">
        <v>705.87</v>
      </c>
      <c r="G236" s="77">
        <v>43684.95</v>
      </c>
      <c r="Q236">
        <v>230</v>
      </c>
      <c r="R236" s="16">
        <f>Tableau1[[#This Row],[Amortiss. Capital]]</f>
        <v>548.95000000000005</v>
      </c>
      <c r="S236" s="16">
        <f>Tableau1[[#This Row],[Intérêt Normaux]]</f>
        <v>144.87</v>
      </c>
      <c r="T236" s="16">
        <f>Tableau1[[#This Row],[Intérêts différés]]</f>
        <v>0</v>
      </c>
      <c r="U236" s="16">
        <f>Tableau1[[#This Row],[Assurances]]</f>
        <v>12.05</v>
      </c>
      <c r="V236" s="16">
        <f>Tableau1[[#This Row],[Total à payer]]</f>
        <v>705.87</v>
      </c>
      <c r="W236" s="16">
        <f>Tableau1[[#This Row],[Montant restant dû après échéance]]</f>
        <v>43684.95</v>
      </c>
    </row>
    <row r="237" spans="1:23" x14ac:dyDescent="0.3">
      <c r="A237" s="76">
        <v>231</v>
      </c>
      <c r="B237" s="77">
        <v>550.9</v>
      </c>
      <c r="C237" s="77">
        <v>143.07</v>
      </c>
      <c r="D237" s="77">
        <v>0</v>
      </c>
      <c r="E237" s="77">
        <v>11.9</v>
      </c>
      <c r="F237" s="77">
        <v>705.87</v>
      </c>
      <c r="G237" s="77">
        <v>43134.05</v>
      </c>
      <c r="Q237">
        <v>231</v>
      </c>
      <c r="R237" s="16">
        <f>Tableau1[[#This Row],[Amortiss. Capital]]</f>
        <v>550.9</v>
      </c>
      <c r="S237" s="16">
        <f>Tableau1[[#This Row],[Intérêt Normaux]]</f>
        <v>143.07</v>
      </c>
      <c r="T237" s="16">
        <f>Tableau1[[#This Row],[Intérêts différés]]</f>
        <v>0</v>
      </c>
      <c r="U237" s="16">
        <f>Tableau1[[#This Row],[Assurances]]</f>
        <v>11.9</v>
      </c>
      <c r="V237" s="16">
        <f>Tableau1[[#This Row],[Total à payer]]</f>
        <v>705.87</v>
      </c>
      <c r="W237" s="16">
        <f>Tableau1[[#This Row],[Montant restant dû après échéance]]</f>
        <v>43134.05</v>
      </c>
    </row>
    <row r="238" spans="1:23" x14ac:dyDescent="0.3">
      <c r="A238" s="76">
        <v>232</v>
      </c>
      <c r="B238" s="77">
        <v>552.86</v>
      </c>
      <c r="C238" s="77">
        <v>141.26</v>
      </c>
      <c r="D238" s="77">
        <v>0</v>
      </c>
      <c r="E238" s="77">
        <v>11.75</v>
      </c>
      <c r="F238" s="77">
        <v>705.87</v>
      </c>
      <c r="G238" s="77">
        <v>42581.19</v>
      </c>
      <c r="Q238">
        <v>232</v>
      </c>
      <c r="R238" s="16">
        <f>Tableau1[[#This Row],[Amortiss. Capital]]</f>
        <v>552.86</v>
      </c>
      <c r="S238" s="16">
        <f>Tableau1[[#This Row],[Intérêt Normaux]]</f>
        <v>141.26</v>
      </c>
      <c r="T238" s="16">
        <f>Tableau1[[#This Row],[Intérêts différés]]</f>
        <v>0</v>
      </c>
      <c r="U238" s="16">
        <f>Tableau1[[#This Row],[Assurances]]</f>
        <v>11.75</v>
      </c>
      <c r="V238" s="16">
        <f>Tableau1[[#This Row],[Total à payer]]</f>
        <v>705.87</v>
      </c>
      <c r="W238" s="16">
        <f>Tableau1[[#This Row],[Montant restant dû après échéance]]</f>
        <v>42581.19</v>
      </c>
    </row>
    <row r="239" spans="1:23" x14ac:dyDescent="0.3">
      <c r="A239" s="76">
        <v>233</v>
      </c>
      <c r="B239" s="77">
        <v>554.82000000000005</v>
      </c>
      <c r="C239" s="77">
        <v>139.44999999999999</v>
      </c>
      <c r="D239" s="77">
        <v>0</v>
      </c>
      <c r="E239" s="77">
        <v>11.6</v>
      </c>
      <c r="F239" s="77">
        <v>705.87</v>
      </c>
      <c r="G239" s="77">
        <v>42026.37</v>
      </c>
      <c r="Q239">
        <v>233</v>
      </c>
      <c r="R239" s="16">
        <f>Tableau1[[#This Row],[Amortiss. Capital]]</f>
        <v>554.82000000000005</v>
      </c>
      <c r="S239" s="16">
        <f>Tableau1[[#This Row],[Intérêt Normaux]]</f>
        <v>139.44999999999999</v>
      </c>
      <c r="T239" s="16">
        <f>Tableau1[[#This Row],[Intérêts différés]]</f>
        <v>0</v>
      </c>
      <c r="U239" s="16">
        <f>Tableau1[[#This Row],[Assurances]]</f>
        <v>11.6</v>
      </c>
      <c r="V239" s="16">
        <f>Tableau1[[#This Row],[Total à payer]]</f>
        <v>705.87</v>
      </c>
      <c r="W239" s="16">
        <f>Tableau1[[#This Row],[Montant restant dû après échéance]]</f>
        <v>42026.37</v>
      </c>
    </row>
    <row r="240" spans="1:23" x14ac:dyDescent="0.3">
      <c r="A240" s="76">
        <v>234</v>
      </c>
      <c r="B240" s="77">
        <v>556.78</v>
      </c>
      <c r="C240" s="77">
        <v>137.63999999999999</v>
      </c>
      <c r="D240" s="77">
        <v>0</v>
      </c>
      <c r="E240" s="77">
        <v>11.45</v>
      </c>
      <c r="F240" s="77">
        <v>705.87</v>
      </c>
      <c r="G240" s="77">
        <v>41469.589999999997</v>
      </c>
      <c r="Q240">
        <v>234</v>
      </c>
      <c r="R240" s="16">
        <f>Tableau1[[#This Row],[Amortiss. Capital]]</f>
        <v>556.78</v>
      </c>
      <c r="S240" s="16">
        <f>Tableau1[[#This Row],[Intérêt Normaux]]</f>
        <v>137.63999999999999</v>
      </c>
      <c r="T240" s="16">
        <f>Tableau1[[#This Row],[Intérêts différés]]</f>
        <v>0</v>
      </c>
      <c r="U240" s="16">
        <f>Tableau1[[#This Row],[Assurances]]</f>
        <v>11.45</v>
      </c>
      <c r="V240" s="16">
        <f>Tableau1[[#This Row],[Total à payer]]</f>
        <v>705.87</v>
      </c>
      <c r="W240" s="16">
        <f>Tableau1[[#This Row],[Montant restant dû après échéance]]</f>
        <v>41469.589999999997</v>
      </c>
    </row>
    <row r="241" spans="1:23" x14ac:dyDescent="0.3">
      <c r="A241" s="76">
        <v>235</v>
      </c>
      <c r="B241" s="77">
        <v>558.76</v>
      </c>
      <c r="C241" s="77">
        <v>135.81</v>
      </c>
      <c r="D241" s="77">
        <v>0</v>
      </c>
      <c r="E241" s="77">
        <v>11.3</v>
      </c>
      <c r="F241" s="77">
        <v>705.87</v>
      </c>
      <c r="G241" s="77">
        <v>40910.83</v>
      </c>
      <c r="Q241">
        <v>235</v>
      </c>
      <c r="R241" s="16">
        <f>Tableau1[[#This Row],[Amortiss. Capital]]</f>
        <v>558.76</v>
      </c>
      <c r="S241" s="16">
        <f>Tableau1[[#This Row],[Intérêt Normaux]]</f>
        <v>135.81</v>
      </c>
      <c r="T241" s="16">
        <f>Tableau1[[#This Row],[Intérêts différés]]</f>
        <v>0</v>
      </c>
      <c r="U241" s="16">
        <f>Tableau1[[#This Row],[Assurances]]</f>
        <v>11.3</v>
      </c>
      <c r="V241" s="16">
        <f>Tableau1[[#This Row],[Total à payer]]</f>
        <v>705.87</v>
      </c>
      <c r="W241" s="16">
        <f>Tableau1[[#This Row],[Montant restant dû après échéance]]</f>
        <v>40910.83</v>
      </c>
    </row>
    <row r="242" spans="1:23" x14ac:dyDescent="0.3">
      <c r="A242" s="76">
        <v>236</v>
      </c>
      <c r="B242" s="77">
        <v>560.74</v>
      </c>
      <c r="C242" s="77">
        <v>133.97999999999999</v>
      </c>
      <c r="D242" s="77">
        <v>0</v>
      </c>
      <c r="E242" s="77">
        <v>11.15</v>
      </c>
      <c r="F242" s="77">
        <v>705.87</v>
      </c>
      <c r="G242" s="77">
        <v>40350.089999999997</v>
      </c>
      <c r="Q242">
        <v>236</v>
      </c>
      <c r="R242" s="16">
        <f>Tableau1[[#This Row],[Amortiss. Capital]]</f>
        <v>560.74</v>
      </c>
      <c r="S242" s="16">
        <f>Tableau1[[#This Row],[Intérêt Normaux]]</f>
        <v>133.97999999999999</v>
      </c>
      <c r="T242" s="16">
        <f>Tableau1[[#This Row],[Intérêts différés]]</f>
        <v>0</v>
      </c>
      <c r="U242" s="16">
        <f>Tableau1[[#This Row],[Assurances]]</f>
        <v>11.15</v>
      </c>
      <c r="V242" s="16">
        <f>Tableau1[[#This Row],[Total à payer]]</f>
        <v>705.87</v>
      </c>
      <c r="W242" s="16">
        <f>Tableau1[[#This Row],[Montant restant dû après échéance]]</f>
        <v>40350.089999999997</v>
      </c>
    </row>
    <row r="243" spans="1:23" x14ac:dyDescent="0.3">
      <c r="A243" s="76">
        <v>237</v>
      </c>
      <c r="B243" s="77">
        <v>562.72</v>
      </c>
      <c r="C243" s="77">
        <v>132.15</v>
      </c>
      <c r="D243" s="77">
        <v>0</v>
      </c>
      <c r="E243" s="77">
        <v>11</v>
      </c>
      <c r="F243" s="77">
        <v>705.87</v>
      </c>
      <c r="G243" s="77">
        <v>39787.370000000003</v>
      </c>
      <c r="Q243">
        <v>237</v>
      </c>
      <c r="R243" s="16">
        <f>Tableau1[[#This Row],[Amortiss. Capital]]</f>
        <v>562.72</v>
      </c>
      <c r="S243" s="16">
        <f>Tableau1[[#This Row],[Intérêt Normaux]]</f>
        <v>132.15</v>
      </c>
      <c r="T243" s="16">
        <f>Tableau1[[#This Row],[Intérêts différés]]</f>
        <v>0</v>
      </c>
      <c r="U243" s="16">
        <f>Tableau1[[#This Row],[Assurances]]</f>
        <v>11</v>
      </c>
      <c r="V243" s="16">
        <f>Tableau1[[#This Row],[Total à payer]]</f>
        <v>705.87</v>
      </c>
      <c r="W243" s="16">
        <f>Tableau1[[#This Row],[Montant restant dû après échéance]]</f>
        <v>39787.370000000003</v>
      </c>
    </row>
    <row r="244" spans="1:23" x14ac:dyDescent="0.3">
      <c r="A244" s="76">
        <v>238</v>
      </c>
      <c r="B244" s="77">
        <v>564.73</v>
      </c>
      <c r="C244" s="77">
        <v>130.30000000000001</v>
      </c>
      <c r="D244" s="77">
        <v>0</v>
      </c>
      <c r="E244" s="77">
        <v>10.84</v>
      </c>
      <c r="F244" s="77">
        <v>705.87</v>
      </c>
      <c r="G244" s="77">
        <v>39222.639999999999</v>
      </c>
      <c r="Q244">
        <v>238</v>
      </c>
      <c r="R244" s="16">
        <f>Tableau1[[#This Row],[Amortiss. Capital]]</f>
        <v>564.73</v>
      </c>
      <c r="S244" s="16">
        <f>Tableau1[[#This Row],[Intérêt Normaux]]</f>
        <v>130.30000000000001</v>
      </c>
      <c r="T244" s="16">
        <f>Tableau1[[#This Row],[Intérêts différés]]</f>
        <v>0</v>
      </c>
      <c r="U244" s="16">
        <f>Tableau1[[#This Row],[Assurances]]</f>
        <v>10.84</v>
      </c>
      <c r="V244" s="16">
        <f>Tableau1[[#This Row],[Total à payer]]</f>
        <v>705.87</v>
      </c>
      <c r="W244" s="16">
        <f>Tableau1[[#This Row],[Montant restant dû après échéance]]</f>
        <v>39222.639999999999</v>
      </c>
    </row>
    <row r="245" spans="1:23" x14ac:dyDescent="0.3">
      <c r="A245" s="76">
        <v>239</v>
      </c>
      <c r="B245" s="77">
        <v>566.73</v>
      </c>
      <c r="C245" s="77">
        <v>128.44999999999999</v>
      </c>
      <c r="D245" s="77">
        <v>0</v>
      </c>
      <c r="E245" s="77">
        <v>10.69</v>
      </c>
      <c r="F245" s="77">
        <v>705.87</v>
      </c>
      <c r="G245" s="77">
        <v>38655.910000000003</v>
      </c>
      <c r="Q245">
        <v>239</v>
      </c>
      <c r="R245" s="16">
        <f>Tableau1[[#This Row],[Amortiss. Capital]]</f>
        <v>566.73</v>
      </c>
      <c r="S245" s="16">
        <f>Tableau1[[#This Row],[Intérêt Normaux]]</f>
        <v>128.44999999999999</v>
      </c>
      <c r="T245" s="16">
        <f>Tableau1[[#This Row],[Intérêts différés]]</f>
        <v>0</v>
      </c>
      <c r="U245" s="16">
        <f>Tableau1[[#This Row],[Assurances]]</f>
        <v>10.69</v>
      </c>
      <c r="V245" s="16">
        <f>Tableau1[[#This Row],[Total à payer]]</f>
        <v>705.87</v>
      </c>
      <c r="W245" s="16">
        <f>Tableau1[[#This Row],[Montant restant dû après échéance]]</f>
        <v>38655.910000000003</v>
      </c>
    </row>
    <row r="246" spans="1:23" x14ac:dyDescent="0.3">
      <c r="A246" s="76">
        <v>240</v>
      </c>
      <c r="B246" s="77">
        <v>568.74</v>
      </c>
      <c r="C246" s="77">
        <v>126.6</v>
      </c>
      <c r="D246" s="77">
        <v>0</v>
      </c>
      <c r="E246" s="77">
        <v>10.53</v>
      </c>
      <c r="F246" s="77">
        <v>705.87</v>
      </c>
      <c r="G246" s="77">
        <v>38087.17</v>
      </c>
      <c r="Q246">
        <v>240</v>
      </c>
      <c r="R246" s="16">
        <f>Tableau1[[#This Row],[Amortiss. Capital]]</f>
        <v>568.74</v>
      </c>
      <c r="S246" s="16">
        <f>Tableau1[[#This Row],[Intérêt Normaux]]</f>
        <v>126.6</v>
      </c>
      <c r="T246" s="16">
        <f>Tableau1[[#This Row],[Intérêts différés]]</f>
        <v>0</v>
      </c>
      <c r="U246" s="16">
        <f>Tableau1[[#This Row],[Assurances]]</f>
        <v>10.53</v>
      </c>
      <c r="V246" s="16">
        <f>Tableau1[[#This Row],[Total à payer]]</f>
        <v>705.87</v>
      </c>
      <c r="W246" s="16">
        <f>Tableau1[[#This Row],[Montant restant dû après échéance]]</f>
        <v>38087.17</v>
      </c>
    </row>
    <row r="247" spans="1:23" x14ac:dyDescent="0.3">
      <c r="A247" s="76">
        <v>241</v>
      </c>
      <c r="B247" s="77">
        <v>570.75</v>
      </c>
      <c r="C247" s="77">
        <v>124.74</v>
      </c>
      <c r="D247" s="77">
        <v>0</v>
      </c>
      <c r="E247" s="77">
        <v>10.38</v>
      </c>
      <c r="F247" s="77">
        <v>705.87</v>
      </c>
      <c r="G247" s="77">
        <v>37516.42</v>
      </c>
      <c r="Q247">
        <v>241</v>
      </c>
      <c r="R247" s="16">
        <f>Tableau1[[#This Row],[Amortiss. Capital]]</f>
        <v>570.75</v>
      </c>
      <c r="S247" s="16">
        <f>Tableau1[[#This Row],[Intérêt Normaux]]</f>
        <v>124.74</v>
      </c>
      <c r="T247" s="16">
        <f>Tableau1[[#This Row],[Intérêts différés]]</f>
        <v>0</v>
      </c>
      <c r="U247" s="16">
        <f>Tableau1[[#This Row],[Assurances]]</f>
        <v>10.38</v>
      </c>
      <c r="V247" s="16">
        <f>Tableau1[[#This Row],[Total à payer]]</f>
        <v>705.87</v>
      </c>
      <c r="W247" s="16">
        <f>Tableau1[[#This Row],[Montant restant dû après échéance]]</f>
        <v>37516.42</v>
      </c>
    </row>
    <row r="248" spans="1:23" x14ac:dyDescent="0.3">
      <c r="A248" s="76">
        <v>242</v>
      </c>
      <c r="B248" s="77">
        <v>572.78</v>
      </c>
      <c r="C248" s="77">
        <v>122.87</v>
      </c>
      <c r="D248" s="77">
        <v>0</v>
      </c>
      <c r="E248" s="77">
        <v>10.220000000000001</v>
      </c>
      <c r="F248" s="77">
        <v>705.87</v>
      </c>
      <c r="G248" s="77">
        <v>36943.64</v>
      </c>
      <c r="Q248">
        <v>242</v>
      </c>
      <c r="R248" s="16">
        <f>Tableau1[[#This Row],[Amortiss. Capital]]</f>
        <v>572.78</v>
      </c>
      <c r="S248" s="16">
        <f>Tableau1[[#This Row],[Intérêt Normaux]]</f>
        <v>122.87</v>
      </c>
      <c r="T248" s="16">
        <f>Tableau1[[#This Row],[Intérêts différés]]</f>
        <v>0</v>
      </c>
      <c r="U248" s="16">
        <f>Tableau1[[#This Row],[Assurances]]</f>
        <v>10.220000000000001</v>
      </c>
      <c r="V248" s="16">
        <f>Tableau1[[#This Row],[Total à payer]]</f>
        <v>705.87</v>
      </c>
      <c r="W248" s="16">
        <f>Tableau1[[#This Row],[Montant restant dû après échéance]]</f>
        <v>36943.64</v>
      </c>
    </row>
    <row r="249" spans="1:23" x14ac:dyDescent="0.3">
      <c r="A249" s="76">
        <v>243</v>
      </c>
      <c r="B249" s="77">
        <v>574.80999999999995</v>
      </c>
      <c r="C249" s="77">
        <v>120.99</v>
      </c>
      <c r="D249" s="77">
        <v>0</v>
      </c>
      <c r="E249" s="77">
        <v>10.07</v>
      </c>
      <c r="F249" s="77">
        <v>705.87</v>
      </c>
      <c r="G249" s="77">
        <v>36368.83</v>
      </c>
      <c r="Q249">
        <v>243</v>
      </c>
      <c r="R249" s="16">
        <f>Tableau1[[#This Row],[Amortiss. Capital]]</f>
        <v>574.80999999999995</v>
      </c>
      <c r="S249" s="16">
        <f>Tableau1[[#This Row],[Intérêt Normaux]]</f>
        <v>120.99</v>
      </c>
      <c r="T249" s="16">
        <f>Tableau1[[#This Row],[Intérêts différés]]</f>
        <v>0</v>
      </c>
      <c r="U249" s="16">
        <f>Tableau1[[#This Row],[Assurances]]</f>
        <v>10.07</v>
      </c>
      <c r="V249" s="16">
        <f>Tableau1[[#This Row],[Total à payer]]</f>
        <v>705.87</v>
      </c>
      <c r="W249" s="16">
        <f>Tableau1[[#This Row],[Montant restant dû après échéance]]</f>
        <v>36368.83</v>
      </c>
    </row>
    <row r="250" spans="1:23" x14ac:dyDescent="0.3">
      <c r="A250" s="76">
        <v>244</v>
      </c>
      <c r="B250" s="77">
        <v>576.85</v>
      </c>
      <c r="C250" s="77">
        <v>119.11</v>
      </c>
      <c r="D250" s="77">
        <v>0</v>
      </c>
      <c r="E250" s="77">
        <v>9.91</v>
      </c>
      <c r="F250" s="77">
        <v>705.87</v>
      </c>
      <c r="G250" s="77">
        <v>35791.980000000003</v>
      </c>
      <c r="Q250">
        <v>244</v>
      </c>
      <c r="R250" s="16">
        <f>Tableau1[[#This Row],[Amortiss. Capital]]</f>
        <v>576.85</v>
      </c>
      <c r="S250" s="16">
        <f>Tableau1[[#This Row],[Intérêt Normaux]]</f>
        <v>119.11</v>
      </c>
      <c r="T250" s="16">
        <f>Tableau1[[#This Row],[Intérêts différés]]</f>
        <v>0</v>
      </c>
      <c r="U250" s="16">
        <f>Tableau1[[#This Row],[Assurances]]</f>
        <v>9.91</v>
      </c>
      <c r="V250" s="16">
        <f>Tableau1[[#This Row],[Total à payer]]</f>
        <v>705.87</v>
      </c>
      <c r="W250" s="16">
        <f>Tableau1[[#This Row],[Montant restant dû après échéance]]</f>
        <v>35791.980000000003</v>
      </c>
    </row>
    <row r="251" spans="1:23" x14ac:dyDescent="0.3">
      <c r="A251" s="76">
        <v>245</v>
      </c>
      <c r="B251" s="77">
        <v>578.9</v>
      </c>
      <c r="C251" s="77">
        <v>117.22</v>
      </c>
      <c r="D251" s="77">
        <v>0</v>
      </c>
      <c r="E251" s="77">
        <v>9.75</v>
      </c>
      <c r="F251" s="77">
        <v>705.87</v>
      </c>
      <c r="G251" s="77">
        <v>35213.08</v>
      </c>
      <c r="Q251">
        <v>245</v>
      </c>
      <c r="R251" s="16">
        <f>Tableau1[[#This Row],[Amortiss. Capital]]</f>
        <v>578.9</v>
      </c>
      <c r="S251" s="16">
        <f>Tableau1[[#This Row],[Intérêt Normaux]]</f>
        <v>117.22</v>
      </c>
      <c r="T251" s="16">
        <f>Tableau1[[#This Row],[Intérêts différés]]</f>
        <v>0</v>
      </c>
      <c r="U251" s="16">
        <f>Tableau1[[#This Row],[Assurances]]</f>
        <v>9.75</v>
      </c>
      <c r="V251" s="16">
        <f>Tableau1[[#This Row],[Total à payer]]</f>
        <v>705.87</v>
      </c>
      <c r="W251" s="16">
        <f>Tableau1[[#This Row],[Montant restant dû après échéance]]</f>
        <v>35213.08</v>
      </c>
    </row>
    <row r="252" spans="1:23" x14ac:dyDescent="0.3">
      <c r="A252" s="76">
        <v>246</v>
      </c>
      <c r="B252" s="77">
        <v>580.95000000000005</v>
      </c>
      <c r="C252" s="77">
        <v>115.32</v>
      </c>
      <c r="D252" s="77">
        <v>0</v>
      </c>
      <c r="E252" s="77">
        <v>9.6</v>
      </c>
      <c r="F252" s="77">
        <v>705.87</v>
      </c>
      <c r="G252" s="77">
        <v>34632.129999999997</v>
      </c>
      <c r="Q252">
        <v>246</v>
      </c>
      <c r="R252" s="16">
        <f>Tableau1[[#This Row],[Amortiss. Capital]]</f>
        <v>580.95000000000005</v>
      </c>
      <c r="S252" s="16">
        <f>Tableau1[[#This Row],[Intérêt Normaux]]</f>
        <v>115.32</v>
      </c>
      <c r="T252" s="16">
        <f>Tableau1[[#This Row],[Intérêts différés]]</f>
        <v>0</v>
      </c>
      <c r="U252" s="16">
        <f>Tableau1[[#This Row],[Assurances]]</f>
        <v>9.6</v>
      </c>
      <c r="V252" s="16">
        <f>Tableau1[[#This Row],[Total à payer]]</f>
        <v>705.87</v>
      </c>
      <c r="W252" s="16">
        <f>Tableau1[[#This Row],[Montant restant dû après échéance]]</f>
        <v>34632.129999999997</v>
      </c>
    </row>
    <row r="253" spans="1:23" x14ac:dyDescent="0.3">
      <c r="A253" s="76">
        <v>247</v>
      </c>
      <c r="B253" s="77">
        <v>583.01</v>
      </c>
      <c r="C253" s="77">
        <v>113.42</v>
      </c>
      <c r="D253" s="77">
        <v>0</v>
      </c>
      <c r="E253" s="77">
        <v>9.44</v>
      </c>
      <c r="F253" s="77">
        <v>705.87</v>
      </c>
      <c r="G253" s="77">
        <v>34049.120000000003</v>
      </c>
      <c r="Q253">
        <v>247</v>
      </c>
      <c r="R253" s="16">
        <f>Tableau1[[#This Row],[Amortiss. Capital]]</f>
        <v>583.01</v>
      </c>
      <c r="S253" s="16">
        <f>Tableau1[[#This Row],[Intérêt Normaux]]</f>
        <v>113.42</v>
      </c>
      <c r="T253" s="16">
        <f>Tableau1[[#This Row],[Intérêts différés]]</f>
        <v>0</v>
      </c>
      <c r="U253" s="16">
        <f>Tableau1[[#This Row],[Assurances]]</f>
        <v>9.44</v>
      </c>
      <c r="V253" s="16">
        <f>Tableau1[[#This Row],[Total à payer]]</f>
        <v>705.87</v>
      </c>
      <c r="W253" s="16">
        <f>Tableau1[[#This Row],[Montant restant dû après échéance]]</f>
        <v>34049.120000000003</v>
      </c>
    </row>
    <row r="254" spans="1:23" x14ac:dyDescent="0.3">
      <c r="A254" s="76">
        <v>248</v>
      </c>
      <c r="B254" s="77">
        <v>585.08000000000004</v>
      </c>
      <c r="C254" s="77">
        <v>111.51</v>
      </c>
      <c r="D254" s="77">
        <v>0</v>
      </c>
      <c r="E254" s="77">
        <v>9.2799999999999994</v>
      </c>
      <c r="F254" s="77">
        <v>705.87</v>
      </c>
      <c r="G254" s="77">
        <v>33464.04</v>
      </c>
      <c r="Q254">
        <v>248</v>
      </c>
      <c r="R254" s="16">
        <f>Tableau1[[#This Row],[Amortiss. Capital]]</f>
        <v>585.08000000000004</v>
      </c>
      <c r="S254" s="16">
        <f>Tableau1[[#This Row],[Intérêt Normaux]]</f>
        <v>111.51</v>
      </c>
      <c r="T254" s="16">
        <f>Tableau1[[#This Row],[Intérêts différés]]</f>
        <v>0</v>
      </c>
      <c r="U254" s="16">
        <f>Tableau1[[#This Row],[Assurances]]</f>
        <v>9.2799999999999994</v>
      </c>
      <c r="V254" s="16">
        <f>Tableau1[[#This Row],[Total à payer]]</f>
        <v>705.87</v>
      </c>
      <c r="W254" s="16">
        <f>Tableau1[[#This Row],[Montant restant dû après échéance]]</f>
        <v>33464.04</v>
      </c>
    </row>
    <row r="255" spans="1:23" x14ac:dyDescent="0.3">
      <c r="A255" s="76">
        <v>249</v>
      </c>
      <c r="B255" s="77">
        <v>587.16</v>
      </c>
      <c r="C255" s="77">
        <v>109.59</v>
      </c>
      <c r="D255" s="77">
        <v>0</v>
      </c>
      <c r="E255" s="77">
        <v>9.1199999999999992</v>
      </c>
      <c r="F255" s="77">
        <v>705.87</v>
      </c>
      <c r="G255" s="77">
        <v>32876.879999999997</v>
      </c>
      <c r="Q255">
        <v>249</v>
      </c>
      <c r="R255" s="16">
        <f>Tableau1[[#This Row],[Amortiss. Capital]]</f>
        <v>587.16</v>
      </c>
      <c r="S255" s="16">
        <f>Tableau1[[#This Row],[Intérêt Normaux]]</f>
        <v>109.59</v>
      </c>
      <c r="T255" s="16">
        <f>Tableau1[[#This Row],[Intérêts différés]]</f>
        <v>0</v>
      </c>
      <c r="U255" s="16">
        <f>Tableau1[[#This Row],[Assurances]]</f>
        <v>9.1199999999999992</v>
      </c>
      <c r="V255" s="16">
        <f>Tableau1[[#This Row],[Total à payer]]</f>
        <v>705.87</v>
      </c>
      <c r="W255" s="16">
        <f>Tableau1[[#This Row],[Montant restant dû après échéance]]</f>
        <v>32876.879999999997</v>
      </c>
    </row>
    <row r="256" spans="1:23" x14ac:dyDescent="0.3">
      <c r="A256" s="76">
        <v>250</v>
      </c>
      <c r="B256" s="77">
        <v>589.24</v>
      </c>
      <c r="C256" s="77">
        <v>107.67</v>
      </c>
      <c r="D256" s="77">
        <v>0</v>
      </c>
      <c r="E256" s="77">
        <v>8.9600000000000009</v>
      </c>
      <c r="F256" s="77">
        <v>705.87</v>
      </c>
      <c r="G256" s="77">
        <v>32287.64</v>
      </c>
      <c r="Q256">
        <v>250</v>
      </c>
      <c r="R256" s="16">
        <f>Tableau1[[#This Row],[Amortiss. Capital]]</f>
        <v>589.24</v>
      </c>
      <c r="S256" s="16">
        <f>Tableau1[[#This Row],[Intérêt Normaux]]</f>
        <v>107.67</v>
      </c>
      <c r="T256" s="16">
        <f>Tableau1[[#This Row],[Intérêts différés]]</f>
        <v>0</v>
      </c>
      <c r="U256" s="16">
        <f>Tableau1[[#This Row],[Assurances]]</f>
        <v>8.9600000000000009</v>
      </c>
      <c r="V256" s="16">
        <f>Tableau1[[#This Row],[Total à payer]]</f>
        <v>705.87</v>
      </c>
      <c r="W256" s="16">
        <f>Tableau1[[#This Row],[Montant restant dû après échéance]]</f>
        <v>32287.64</v>
      </c>
    </row>
    <row r="257" spans="1:23" x14ac:dyDescent="0.3">
      <c r="A257" s="76">
        <v>251</v>
      </c>
      <c r="B257" s="77">
        <v>591.33000000000004</v>
      </c>
      <c r="C257" s="77">
        <v>105.74</v>
      </c>
      <c r="D257" s="77">
        <v>0</v>
      </c>
      <c r="E257" s="77">
        <v>8.8000000000000007</v>
      </c>
      <c r="F257" s="77">
        <v>705.87</v>
      </c>
      <c r="G257" s="77">
        <v>31696.31</v>
      </c>
      <c r="Q257">
        <v>251</v>
      </c>
      <c r="R257" s="16">
        <f>Tableau1[[#This Row],[Amortiss. Capital]]</f>
        <v>591.33000000000004</v>
      </c>
      <c r="S257" s="16">
        <f>Tableau1[[#This Row],[Intérêt Normaux]]</f>
        <v>105.74</v>
      </c>
      <c r="T257" s="16">
        <f>Tableau1[[#This Row],[Intérêts différés]]</f>
        <v>0</v>
      </c>
      <c r="U257" s="16">
        <f>Tableau1[[#This Row],[Assurances]]</f>
        <v>8.8000000000000007</v>
      </c>
      <c r="V257" s="16">
        <f>Tableau1[[#This Row],[Total à payer]]</f>
        <v>705.87</v>
      </c>
      <c r="W257" s="16">
        <f>Tableau1[[#This Row],[Montant restant dû après échéance]]</f>
        <v>31696.31</v>
      </c>
    </row>
    <row r="258" spans="1:23" x14ac:dyDescent="0.3">
      <c r="A258" s="76">
        <v>252</v>
      </c>
      <c r="B258" s="77">
        <v>593.41999999999996</v>
      </c>
      <c r="C258" s="77">
        <v>103.81</v>
      </c>
      <c r="D258" s="77">
        <v>0</v>
      </c>
      <c r="E258" s="77">
        <v>8.64</v>
      </c>
      <c r="F258" s="77">
        <v>705.87</v>
      </c>
      <c r="G258" s="77">
        <v>31102.89</v>
      </c>
      <c r="Q258">
        <v>252</v>
      </c>
      <c r="R258" s="16">
        <f>Tableau1[[#This Row],[Amortiss. Capital]]</f>
        <v>593.41999999999996</v>
      </c>
      <c r="S258" s="16">
        <f>Tableau1[[#This Row],[Intérêt Normaux]]</f>
        <v>103.81</v>
      </c>
      <c r="T258" s="16">
        <f>Tableau1[[#This Row],[Intérêts différés]]</f>
        <v>0</v>
      </c>
      <c r="U258" s="16">
        <f>Tableau1[[#This Row],[Assurances]]</f>
        <v>8.64</v>
      </c>
      <c r="V258" s="16">
        <f>Tableau1[[#This Row],[Total à payer]]</f>
        <v>705.87</v>
      </c>
      <c r="W258" s="16">
        <f>Tableau1[[#This Row],[Montant restant dû après échéance]]</f>
        <v>31102.89</v>
      </c>
    </row>
    <row r="259" spans="1:23" x14ac:dyDescent="0.3">
      <c r="A259" s="76">
        <v>253</v>
      </c>
      <c r="B259" s="77">
        <v>595.53</v>
      </c>
      <c r="C259" s="77">
        <v>101.86</v>
      </c>
      <c r="D259" s="77">
        <v>0</v>
      </c>
      <c r="E259" s="77">
        <v>8.48</v>
      </c>
      <c r="F259" s="77">
        <v>705.87</v>
      </c>
      <c r="G259" s="77">
        <v>30507.360000000001</v>
      </c>
      <c r="Q259">
        <v>253</v>
      </c>
      <c r="R259" s="16">
        <f>Tableau1[[#This Row],[Amortiss. Capital]]</f>
        <v>595.53</v>
      </c>
      <c r="S259" s="16">
        <f>Tableau1[[#This Row],[Intérêt Normaux]]</f>
        <v>101.86</v>
      </c>
      <c r="T259" s="16">
        <f>Tableau1[[#This Row],[Intérêts différés]]</f>
        <v>0</v>
      </c>
      <c r="U259" s="16">
        <f>Tableau1[[#This Row],[Assurances]]</f>
        <v>8.48</v>
      </c>
      <c r="V259" s="16">
        <f>Tableau1[[#This Row],[Total à payer]]</f>
        <v>705.87</v>
      </c>
      <c r="W259" s="16">
        <f>Tableau1[[#This Row],[Montant restant dû après échéance]]</f>
        <v>30507.360000000001</v>
      </c>
    </row>
    <row r="260" spans="1:23" x14ac:dyDescent="0.3">
      <c r="A260" s="76">
        <v>254</v>
      </c>
      <c r="B260" s="77">
        <v>597.65</v>
      </c>
      <c r="C260" s="77">
        <v>99.91</v>
      </c>
      <c r="D260" s="77">
        <v>0</v>
      </c>
      <c r="E260" s="77">
        <v>8.31</v>
      </c>
      <c r="F260" s="77">
        <v>705.87</v>
      </c>
      <c r="G260" s="77">
        <v>29909.71</v>
      </c>
      <c r="Q260">
        <v>254</v>
      </c>
      <c r="R260" s="16">
        <f>Tableau1[[#This Row],[Amortiss. Capital]]</f>
        <v>597.65</v>
      </c>
      <c r="S260" s="16">
        <f>Tableau1[[#This Row],[Intérêt Normaux]]</f>
        <v>99.91</v>
      </c>
      <c r="T260" s="16">
        <f>Tableau1[[#This Row],[Intérêts différés]]</f>
        <v>0</v>
      </c>
      <c r="U260" s="16">
        <f>Tableau1[[#This Row],[Assurances]]</f>
        <v>8.31</v>
      </c>
      <c r="V260" s="16">
        <f>Tableau1[[#This Row],[Total à payer]]</f>
        <v>705.87</v>
      </c>
      <c r="W260" s="16">
        <f>Tableau1[[#This Row],[Montant restant dû après échéance]]</f>
        <v>29909.71</v>
      </c>
    </row>
    <row r="261" spans="1:23" x14ac:dyDescent="0.3">
      <c r="A261" s="76">
        <v>255</v>
      </c>
      <c r="B261" s="77">
        <v>599.77</v>
      </c>
      <c r="C261" s="77">
        <v>97.95</v>
      </c>
      <c r="D261" s="77">
        <v>0</v>
      </c>
      <c r="E261" s="77">
        <v>8.15</v>
      </c>
      <c r="F261" s="77">
        <v>705.87</v>
      </c>
      <c r="G261" s="77">
        <v>29309.94</v>
      </c>
      <c r="Q261">
        <v>255</v>
      </c>
      <c r="R261" s="16">
        <f>Tableau1[[#This Row],[Amortiss. Capital]]</f>
        <v>599.77</v>
      </c>
      <c r="S261" s="16">
        <f>Tableau1[[#This Row],[Intérêt Normaux]]</f>
        <v>97.95</v>
      </c>
      <c r="T261" s="16">
        <f>Tableau1[[#This Row],[Intérêts différés]]</f>
        <v>0</v>
      </c>
      <c r="U261" s="16">
        <f>Tableau1[[#This Row],[Assurances]]</f>
        <v>8.15</v>
      </c>
      <c r="V261" s="16">
        <f>Tableau1[[#This Row],[Total à payer]]</f>
        <v>705.87</v>
      </c>
      <c r="W261" s="16">
        <f>Tableau1[[#This Row],[Montant restant dû après échéance]]</f>
        <v>29309.94</v>
      </c>
    </row>
    <row r="262" spans="1:23" x14ac:dyDescent="0.3">
      <c r="A262" s="76">
        <v>256</v>
      </c>
      <c r="B262" s="77">
        <v>601.89</v>
      </c>
      <c r="C262" s="77">
        <v>95.99</v>
      </c>
      <c r="D262" s="77">
        <v>0</v>
      </c>
      <c r="E262" s="77">
        <v>7.99</v>
      </c>
      <c r="F262" s="77">
        <v>705.87</v>
      </c>
      <c r="G262" s="77">
        <v>28708.05</v>
      </c>
      <c r="Q262">
        <v>256</v>
      </c>
      <c r="R262" s="16">
        <f>Tableau1[[#This Row],[Amortiss. Capital]]</f>
        <v>601.89</v>
      </c>
      <c r="S262" s="16">
        <f>Tableau1[[#This Row],[Intérêt Normaux]]</f>
        <v>95.99</v>
      </c>
      <c r="T262" s="16">
        <f>Tableau1[[#This Row],[Intérêts différés]]</f>
        <v>0</v>
      </c>
      <c r="U262" s="16">
        <f>Tableau1[[#This Row],[Assurances]]</f>
        <v>7.99</v>
      </c>
      <c r="V262" s="16">
        <f>Tableau1[[#This Row],[Total à payer]]</f>
        <v>705.87</v>
      </c>
      <c r="W262" s="16">
        <f>Tableau1[[#This Row],[Montant restant dû après échéance]]</f>
        <v>28708.05</v>
      </c>
    </row>
    <row r="263" spans="1:23" x14ac:dyDescent="0.3">
      <c r="A263" s="76">
        <v>257</v>
      </c>
      <c r="B263" s="77">
        <v>604.03</v>
      </c>
      <c r="C263" s="77">
        <v>94.02</v>
      </c>
      <c r="D263" s="77">
        <v>0</v>
      </c>
      <c r="E263" s="77">
        <v>7.82</v>
      </c>
      <c r="F263" s="77">
        <v>705.87</v>
      </c>
      <c r="G263" s="77">
        <v>28104.02</v>
      </c>
      <c r="Q263">
        <v>257</v>
      </c>
      <c r="R263" s="16">
        <f>Tableau1[[#This Row],[Amortiss. Capital]]</f>
        <v>604.03</v>
      </c>
      <c r="S263" s="16">
        <f>Tableau1[[#This Row],[Intérêt Normaux]]</f>
        <v>94.02</v>
      </c>
      <c r="T263" s="16">
        <f>Tableau1[[#This Row],[Intérêts différés]]</f>
        <v>0</v>
      </c>
      <c r="U263" s="16">
        <f>Tableau1[[#This Row],[Assurances]]</f>
        <v>7.82</v>
      </c>
      <c r="V263" s="16">
        <f>Tableau1[[#This Row],[Total à payer]]</f>
        <v>705.87</v>
      </c>
      <c r="W263" s="16">
        <f>Tableau1[[#This Row],[Montant restant dû après échéance]]</f>
        <v>28104.02</v>
      </c>
    </row>
    <row r="264" spans="1:23" x14ac:dyDescent="0.3">
      <c r="A264" s="76">
        <v>258</v>
      </c>
      <c r="B264" s="77">
        <v>606.16999999999996</v>
      </c>
      <c r="C264" s="77">
        <v>92.04</v>
      </c>
      <c r="D264" s="77">
        <v>0</v>
      </c>
      <c r="E264" s="77">
        <v>7.66</v>
      </c>
      <c r="F264" s="77">
        <v>705.87</v>
      </c>
      <c r="G264" s="77">
        <v>27497.85</v>
      </c>
      <c r="Q264">
        <v>258</v>
      </c>
      <c r="R264" s="16">
        <f>Tableau1[[#This Row],[Amortiss. Capital]]</f>
        <v>606.16999999999996</v>
      </c>
      <c r="S264" s="16">
        <f>Tableau1[[#This Row],[Intérêt Normaux]]</f>
        <v>92.04</v>
      </c>
      <c r="T264" s="16">
        <f>Tableau1[[#This Row],[Intérêts différés]]</f>
        <v>0</v>
      </c>
      <c r="U264" s="16">
        <f>Tableau1[[#This Row],[Assurances]]</f>
        <v>7.66</v>
      </c>
      <c r="V264" s="16">
        <f>Tableau1[[#This Row],[Total à payer]]</f>
        <v>705.87</v>
      </c>
      <c r="W264" s="16">
        <f>Tableau1[[#This Row],[Montant restant dû après échéance]]</f>
        <v>27497.85</v>
      </c>
    </row>
    <row r="265" spans="1:23" x14ac:dyDescent="0.3">
      <c r="A265" s="76">
        <v>259</v>
      </c>
      <c r="B265" s="77">
        <v>608.32000000000005</v>
      </c>
      <c r="C265" s="77">
        <v>90.06</v>
      </c>
      <c r="D265" s="77">
        <v>0</v>
      </c>
      <c r="E265" s="77">
        <v>7.49</v>
      </c>
      <c r="F265" s="77">
        <v>705.87</v>
      </c>
      <c r="G265" s="77">
        <v>26889.53</v>
      </c>
      <c r="Q265">
        <v>259</v>
      </c>
      <c r="R265" s="16">
        <f>Tableau1[[#This Row],[Amortiss. Capital]]</f>
        <v>608.32000000000005</v>
      </c>
      <c r="S265" s="16">
        <f>Tableau1[[#This Row],[Intérêt Normaux]]</f>
        <v>90.06</v>
      </c>
      <c r="T265" s="16">
        <f>Tableau1[[#This Row],[Intérêts différés]]</f>
        <v>0</v>
      </c>
      <c r="U265" s="16">
        <f>Tableau1[[#This Row],[Assurances]]</f>
        <v>7.49</v>
      </c>
      <c r="V265" s="16">
        <f>Tableau1[[#This Row],[Total à payer]]</f>
        <v>705.87</v>
      </c>
      <c r="W265" s="16">
        <f>Tableau1[[#This Row],[Montant restant dû après échéance]]</f>
        <v>26889.53</v>
      </c>
    </row>
    <row r="266" spans="1:23" x14ac:dyDescent="0.3">
      <c r="A266" s="76">
        <v>260</v>
      </c>
      <c r="B266" s="77">
        <v>610.48</v>
      </c>
      <c r="C266" s="77">
        <v>88.06</v>
      </c>
      <c r="D266" s="77">
        <v>0</v>
      </c>
      <c r="E266" s="77">
        <v>7.33</v>
      </c>
      <c r="F266" s="77">
        <v>705.87</v>
      </c>
      <c r="G266" s="77">
        <v>26279.05</v>
      </c>
      <c r="Q266">
        <v>260</v>
      </c>
      <c r="R266" s="16">
        <f>Tableau1[[#This Row],[Amortiss. Capital]]</f>
        <v>610.48</v>
      </c>
      <c r="S266" s="16">
        <f>Tableau1[[#This Row],[Intérêt Normaux]]</f>
        <v>88.06</v>
      </c>
      <c r="T266" s="16">
        <f>Tableau1[[#This Row],[Intérêts différés]]</f>
        <v>0</v>
      </c>
      <c r="U266" s="16">
        <f>Tableau1[[#This Row],[Assurances]]</f>
        <v>7.33</v>
      </c>
      <c r="V266" s="16">
        <f>Tableau1[[#This Row],[Total à payer]]</f>
        <v>705.87</v>
      </c>
      <c r="W266" s="16">
        <f>Tableau1[[#This Row],[Montant restant dû après échéance]]</f>
        <v>26279.05</v>
      </c>
    </row>
    <row r="267" spans="1:23" x14ac:dyDescent="0.3">
      <c r="A267" s="76">
        <v>261</v>
      </c>
      <c r="B267" s="77">
        <v>612.65</v>
      </c>
      <c r="C267" s="77">
        <v>86.06</v>
      </c>
      <c r="D267" s="77">
        <v>0</v>
      </c>
      <c r="E267" s="77">
        <v>7.16</v>
      </c>
      <c r="F267" s="77">
        <v>705.87</v>
      </c>
      <c r="G267" s="77">
        <v>25666.400000000001</v>
      </c>
      <c r="Q267">
        <v>261</v>
      </c>
      <c r="R267" s="16">
        <f>Tableau1[[#This Row],[Amortiss. Capital]]</f>
        <v>612.65</v>
      </c>
      <c r="S267" s="16">
        <f>Tableau1[[#This Row],[Intérêt Normaux]]</f>
        <v>86.06</v>
      </c>
      <c r="T267" s="16">
        <f>Tableau1[[#This Row],[Intérêts différés]]</f>
        <v>0</v>
      </c>
      <c r="U267" s="16">
        <f>Tableau1[[#This Row],[Assurances]]</f>
        <v>7.16</v>
      </c>
      <c r="V267" s="16">
        <f>Tableau1[[#This Row],[Total à payer]]</f>
        <v>705.87</v>
      </c>
      <c r="W267" s="16">
        <f>Tableau1[[#This Row],[Montant restant dû après échéance]]</f>
        <v>25666.400000000001</v>
      </c>
    </row>
    <row r="268" spans="1:23" x14ac:dyDescent="0.3">
      <c r="A268" s="76">
        <v>262</v>
      </c>
      <c r="B268" s="77">
        <v>614.82000000000005</v>
      </c>
      <c r="C268" s="77">
        <v>84.06</v>
      </c>
      <c r="D268" s="77">
        <v>0</v>
      </c>
      <c r="E268" s="77">
        <v>6.99</v>
      </c>
      <c r="F268" s="77">
        <v>705.87</v>
      </c>
      <c r="G268" s="77">
        <v>25051.58</v>
      </c>
      <c r="Q268">
        <v>262</v>
      </c>
      <c r="R268" s="16">
        <f>Tableau1[[#This Row],[Amortiss. Capital]]</f>
        <v>614.82000000000005</v>
      </c>
      <c r="S268" s="16">
        <f>Tableau1[[#This Row],[Intérêt Normaux]]</f>
        <v>84.06</v>
      </c>
      <c r="T268" s="16">
        <f>Tableau1[[#This Row],[Intérêts différés]]</f>
        <v>0</v>
      </c>
      <c r="U268" s="16">
        <f>Tableau1[[#This Row],[Assurances]]</f>
        <v>6.99</v>
      </c>
      <c r="V268" s="16">
        <f>Tableau1[[#This Row],[Total à payer]]</f>
        <v>705.87</v>
      </c>
      <c r="W268" s="16">
        <f>Tableau1[[#This Row],[Montant restant dû après échéance]]</f>
        <v>25051.58</v>
      </c>
    </row>
    <row r="269" spans="1:23" x14ac:dyDescent="0.3">
      <c r="A269" s="76">
        <v>263</v>
      </c>
      <c r="B269" s="77">
        <v>617</v>
      </c>
      <c r="C269" s="77">
        <v>82.04</v>
      </c>
      <c r="D269" s="77">
        <v>0</v>
      </c>
      <c r="E269" s="77">
        <v>6.83</v>
      </c>
      <c r="F269" s="77">
        <v>705.87</v>
      </c>
      <c r="G269" s="77">
        <v>24434.58</v>
      </c>
      <c r="Q269">
        <v>263</v>
      </c>
      <c r="R269" s="16">
        <f>Tableau1[[#This Row],[Amortiss. Capital]]</f>
        <v>617</v>
      </c>
      <c r="S269" s="16">
        <f>Tableau1[[#This Row],[Intérêt Normaux]]</f>
        <v>82.04</v>
      </c>
      <c r="T269" s="16">
        <f>Tableau1[[#This Row],[Intérêts différés]]</f>
        <v>0</v>
      </c>
      <c r="U269" s="16">
        <f>Tableau1[[#This Row],[Assurances]]</f>
        <v>6.83</v>
      </c>
      <c r="V269" s="16">
        <f>Tableau1[[#This Row],[Total à payer]]</f>
        <v>705.87</v>
      </c>
      <c r="W269" s="16">
        <f>Tableau1[[#This Row],[Montant restant dû après échéance]]</f>
        <v>24434.58</v>
      </c>
    </row>
    <row r="270" spans="1:23" x14ac:dyDescent="0.3">
      <c r="A270" s="76">
        <v>264</v>
      </c>
      <c r="B270" s="77">
        <v>619.19000000000005</v>
      </c>
      <c r="C270" s="77">
        <v>80.02</v>
      </c>
      <c r="D270" s="77">
        <v>0</v>
      </c>
      <c r="E270" s="77">
        <v>6.66</v>
      </c>
      <c r="F270" s="77">
        <v>705.87</v>
      </c>
      <c r="G270" s="77">
        <v>23815.39</v>
      </c>
      <c r="Q270">
        <v>264</v>
      </c>
      <c r="R270" s="16">
        <f>Tableau1[[#This Row],[Amortiss. Capital]]</f>
        <v>619.19000000000005</v>
      </c>
      <c r="S270" s="16">
        <f>Tableau1[[#This Row],[Intérêt Normaux]]</f>
        <v>80.02</v>
      </c>
      <c r="T270" s="16">
        <f>Tableau1[[#This Row],[Intérêts différés]]</f>
        <v>0</v>
      </c>
      <c r="U270" s="16">
        <f>Tableau1[[#This Row],[Assurances]]</f>
        <v>6.66</v>
      </c>
      <c r="V270" s="16">
        <f>Tableau1[[#This Row],[Total à payer]]</f>
        <v>705.87</v>
      </c>
      <c r="W270" s="16">
        <f>Tableau1[[#This Row],[Montant restant dû après échéance]]</f>
        <v>23815.39</v>
      </c>
    </row>
    <row r="271" spans="1:23" x14ac:dyDescent="0.3">
      <c r="A271" s="76">
        <v>265</v>
      </c>
      <c r="B271" s="77">
        <v>621.38</v>
      </c>
      <c r="C271" s="77">
        <v>78</v>
      </c>
      <c r="D271" s="77">
        <v>0</v>
      </c>
      <c r="E271" s="77">
        <v>6.49</v>
      </c>
      <c r="F271" s="77">
        <v>705.87</v>
      </c>
      <c r="G271" s="77">
        <v>23194.01</v>
      </c>
      <c r="Q271">
        <v>265</v>
      </c>
      <c r="R271" s="16">
        <f>Tableau1[[#This Row],[Amortiss. Capital]]</f>
        <v>621.38</v>
      </c>
      <c r="S271" s="16">
        <f>Tableau1[[#This Row],[Intérêt Normaux]]</f>
        <v>78</v>
      </c>
      <c r="T271" s="16">
        <f>Tableau1[[#This Row],[Intérêts différés]]</f>
        <v>0</v>
      </c>
      <c r="U271" s="16">
        <f>Tableau1[[#This Row],[Assurances]]</f>
        <v>6.49</v>
      </c>
      <c r="V271" s="16">
        <f>Tableau1[[#This Row],[Total à payer]]</f>
        <v>705.87</v>
      </c>
      <c r="W271" s="16">
        <f>Tableau1[[#This Row],[Montant restant dû après échéance]]</f>
        <v>23194.01</v>
      </c>
    </row>
    <row r="272" spans="1:23" x14ac:dyDescent="0.3">
      <c r="A272" s="76">
        <v>266</v>
      </c>
      <c r="B272" s="77">
        <v>623.59</v>
      </c>
      <c r="C272" s="77">
        <v>75.959999999999994</v>
      </c>
      <c r="D272" s="77">
        <v>0</v>
      </c>
      <c r="E272" s="77">
        <v>6.32</v>
      </c>
      <c r="F272" s="77">
        <v>705.87</v>
      </c>
      <c r="G272" s="77">
        <v>22570.42</v>
      </c>
      <c r="Q272">
        <v>266</v>
      </c>
      <c r="R272" s="16">
        <f>Tableau1[[#This Row],[Amortiss. Capital]]</f>
        <v>623.59</v>
      </c>
      <c r="S272" s="16">
        <f>Tableau1[[#This Row],[Intérêt Normaux]]</f>
        <v>75.959999999999994</v>
      </c>
      <c r="T272" s="16">
        <f>Tableau1[[#This Row],[Intérêts différés]]</f>
        <v>0</v>
      </c>
      <c r="U272" s="16">
        <f>Tableau1[[#This Row],[Assurances]]</f>
        <v>6.32</v>
      </c>
      <c r="V272" s="16">
        <f>Tableau1[[#This Row],[Total à payer]]</f>
        <v>705.87</v>
      </c>
      <c r="W272" s="16">
        <f>Tableau1[[#This Row],[Montant restant dû après échéance]]</f>
        <v>22570.42</v>
      </c>
    </row>
    <row r="273" spans="1:23" x14ac:dyDescent="0.3">
      <c r="A273" s="76">
        <v>267</v>
      </c>
      <c r="B273" s="77">
        <v>625.79999999999995</v>
      </c>
      <c r="C273" s="77">
        <v>73.92</v>
      </c>
      <c r="D273" s="77">
        <v>0</v>
      </c>
      <c r="E273" s="77">
        <v>6.15</v>
      </c>
      <c r="F273" s="77">
        <v>705.87</v>
      </c>
      <c r="G273" s="77">
        <v>21944.62</v>
      </c>
      <c r="Q273">
        <v>267</v>
      </c>
      <c r="R273" s="16">
        <f>Tableau1[[#This Row],[Amortiss. Capital]]</f>
        <v>625.79999999999995</v>
      </c>
      <c r="S273" s="16">
        <f>Tableau1[[#This Row],[Intérêt Normaux]]</f>
        <v>73.92</v>
      </c>
      <c r="T273" s="16">
        <f>Tableau1[[#This Row],[Intérêts différés]]</f>
        <v>0</v>
      </c>
      <c r="U273" s="16">
        <f>Tableau1[[#This Row],[Assurances]]</f>
        <v>6.15</v>
      </c>
      <c r="V273" s="16">
        <f>Tableau1[[#This Row],[Total à payer]]</f>
        <v>705.87</v>
      </c>
      <c r="W273" s="16">
        <f>Tableau1[[#This Row],[Montant restant dû après échéance]]</f>
        <v>21944.62</v>
      </c>
    </row>
    <row r="274" spans="1:23" x14ac:dyDescent="0.3">
      <c r="A274" s="76">
        <v>268</v>
      </c>
      <c r="B274" s="77">
        <v>628.02</v>
      </c>
      <c r="C274" s="77">
        <v>71.87</v>
      </c>
      <c r="D274" s="77">
        <v>0</v>
      </c>
      <c r="E274" s="77">
        <v>5.98</v>
      </c>
      <c r="F274" s="77">
        <v>705.87</v>
      </c>
      <c r="G274" s="77">
        <v>21316.6</v>
      </c>
      <c r="Q274">
        <v>268</v>
      </c>
      <c r="R274" s="16">
        <f>Tableau1[[#This Row],[Amortiss. Capital]]</f>
        <v>628.02</v>
      </c>
      <c r="S274" s="16">
        <f>Tableau1[[#This Row],[Intérêt Normaux]]</f>
        <v>71.87</v>
      </c>
      <c r="T274" s="16">
        <f>Tableau1[[#This Row],[Intérêts différés]]</f>
        <v>0</v>
      </c>
      <c r="U274" s="16">
        <f>Tableau1[[#This Row],[Assurances]]</f>
        <v>5.98</v>
      </c>
      <c r="V274" s="16">
        <f>Tableau1[[#This Row],[Total à payer]]</f>
        <v>705.87</v>
      </c>
      <c r="W274" s="16">
        <f>Tableau1[[#This Row],[Montant restant dû après échéance]]</f>
        <v>21316.6</v>
      </c>
    </row>
    <row r="275" spans="1:23" x14ac:dyDescent="0.3">
      <c r="A275" s="76">
        <v>269</v>
      </c>
      <c r="B275" s="77">
        <v>630.25</v>
      </c>
      <c r="C275" s="77">
        <v>69.81</v>
      </c>
      <c r="D275" s="77">
        <v>0</v>
      </c>
      <c r="E275" s="77">
        <v>5.81</v>
      </c>
      <c r="F275" s="77">
        <v>705.87</v>
      </c>
      <c r="G275" s="77">
        <v>20686.349999999999</v>
      </c>
      <c r="Q275">
        <v>269</v>
      </c>
      <c r="R275" s="16">
        <f>Tableau1[[#This Row],[Amortiss. Capital]]</f>
        <v>630.25</v>
      </c>
      <c r="S275" s="16">
        <f>Tableau1[[#This Row],[Intérêt Normaux]]</f>
        <v>69.81</v>
      </c>
      <c r="T275" s="16">
        <f>Tableau1[[#This Row],[Intérêts différés]]</f>
        <v>0</v>
      </c>
      <c r="U275" s="16">
        <f>Tableau1[[#This Row],[Assurances]]</f>
        <v>5.81</v>
      </c>
      <c r="V275" s="16">
        <f>Tableau1[[#This Row],[Total à payer]]</f>
        <v>705.87</v>
      </c>
      <c r="W275" s="16">
        <f>Tableau1[[#This Row],[Montant restant dû après échéance]]</f>
        <v>20686.349999999999</v>
      </c>
    </row>
    <row r="276" spans="1:23" x14ac:dyDescent="0.3">
      <c r="A276" s="76">
        <v>270</v>
      </c>
      <c r="B276" s="77">
        <v>632.48</v>
      </c>
      <c r="C276" s="77">
        <v>67.75</v>
      </c>
      <c r="D276" s="77">
        <v>0</v>
      </c>
      <c r="E276" s="77">
        <v>5.64</v>
      </c>
      <c r="F276" s="77">
        <v>705.87</v>
      </c>
      <c r="G276" s="77">
        <v>20053.87</v>
      </c>
      <c r="Q276">
        <v>270</v>
      </c>
      <c r="R276" s="16">
        <f>Tableau1[[#This Row],[Amortiss. Capital]]</f>
        <v>632.48</v>
      </c>
      <c r="S276" s="16">
        <f>Tableau1[[#This Row],[Intérêt Normaux]]</f>
        <v>67.75</v>
      </c>
      <c r="T276" s="16">
        <f>Tableau1[[#This Row],[Intérêts différés]]</f>
        <v>0</v>
      </c>
      <c r="U276" s="16">
        <f>Tableau1[[#This Row],[Assurances]]</f>
        <v>5.64</v>
      </c>
      <c r="V276" s="16">
        <f>Tableau1[[#This Row],[Total à payer]]</f>
        <v>705.87</v>
      </c>
      <c r="W276" s="16">
        <f>Tableau1[[#This Row],[Montant restant dû après échéance]]</f>
        <v>20053.87</v>
      </c>
    </row>
    <row r="277" spans="1:23" x14ac:dyDescent="0.3">
      <c r="A277" s="76">
        <v>271</v>
      </c>
      <c r="B277" s="77">
        <v>634.73</v>
      </c>
      <c r="C277" s="77">
        <v>65.680000000000007</v>
      </c>
      <c r="D277" s="77">
        <v>0</v>
      </c>
      <c r="E277" s="77">
        <v>5.46</v>
      </c>
      <c r="F277" s="77">
        <v>705.87</v>
      </c>
      <c r="G277" s="77">
        <v>19419.14</v>
      </c>
      <c r="Q277">
        <v>271</v>
      </c>
      <c r="R277" s="16">
        <f>Tableau1[[#This Row],[Amortiss. Capital]]</f>
        <v>634.73</v>
      </c>
      <c r="S277" s="16">
        <f>Tableau1[[#This Row],[Intérêt Normaux]]</f>
        <v>65.680000000000007</v>
      </c>
      <c r="T277" s="16">
        <f>Tableau1[[#This Row],[Intérêts différés]]</f>
        <v>0</v>
      </c>
      <c r="U277" s="16">
        <f>Tableau1[[#This Row],[Assurances]]</f>
        <v>5.46</v>
      </c>
      <c r="V277" s="16">
        <f>Tableau1[[#This Row],[Total à payer]]</f>
        <v>705.87</v>
      </c>
      <c r="W277" s="16">
        <f>Tableau1[[#This Row],[Montant restant dû après échéance]]</f>
        <v>19419.14</v>
      </c>
    </row>
    <row r="278" spans="1:23" x14ac:dyDescent="0.3">
      <c r="A278" s="76">
        <v>272</v>
      </c>
      <c r="B278" s="77">
        <v>636.98</v>
      </c>
      <c r="C278" s="77">
        <v>63.6</v>
      </c>
      <c r="D278" s="77">
        <v>0</v>
      </c>
      <c r="E278" s="77">
        <v>5.29</v>
      </c>
      <c r="F278" s="77">
        <v>705.87</v>
      </c>
      <c r="G278" s="77">
        <v>18782.16</v>
      </c>
      <c r="Q278">
        <v>272</v>
      </c>
      <c r="R278" s="16">
        <f>Tableau1[[#This Row],[Amortiss. Capital]]</f>
        <v>636.98</v>
      </c>
      <c r="S278" s="16">
        <f>Tableau1[[#This Row],[Intérêt Normaux]]</f>
        <v>63.6</v>
      </c>
      <c r="T278" s="16">
        <f>Tableau1[[#This Row],[Intérêts différés]]</f>
        <v>0</v>
      </c>
      <c r="U278" s="16">
        <f>Tableau1[[#This Row],[Assurances]]</f>
        <v>5.29</v>
      </c>
      <c r="V278" s="16">
        <f>Tableau1[[#This Row],[Total à payer]]</f>
        <v>705.87</v>
      </c>
      <c r="W278" s="16">
        <f>Tableau1[[#This Row],[Montant restant dû après échéance]]</f>
        <v>18782.16</v>
      </c>
    </row>
    <row r="279" spans="1:23" x14ac:dyDescent="0.3">
      <c r="A279" s="76">
        <v>273</v>
      </c>
      <c r="B279" s="77">
        <v>639.24</v>
      </c>
      <c r="C279" s="77">
        <v>61.51</v>
      </c>
      <c r="D279" s="77">
        <v>0</v>
      </c>
      <c r="E279" s="77">
        <v>5.12</v>
      </c>
      <c r="F279" s="77">
        <v>705.87</v>
      </c>
      <c r="G279" s="77">
        <v>18142.919999999998</v>
      </c>
      <c r="Q279">
        <v>273</v>
      </c>
      <c r="R279" s="16">
        <f>Tableau1[[#This Row],[Amortiss. Capital]]</f>
        <v>639.24</v>
      </c>
      <c r="S279" s="16">
        <f>Tableau1[[#This Row],[Intérêt Normaux]]</f>
        <v>61.51</v>
      </c>
      <c r="T279" s="16">
        <f>Tableau1[[#This Row],[Intérêts différés]]</f>
        <v>0</v>
      </c>
      <c r="U279" s="16">
        <f>Tableau1[[#This Row],[Assurances]]</f>
        <v>5.12</v>
      </c>
      <c r="V279" s="16">
        <f>Tableau1[[#This Row],[Total à payer]]</f>
        <v>705.87</v>
      </c>
      <c r="W279" s="16">
        <f>Tableau1[[#This Row],[Montant restant dû après échéance]]</f>
        <v>18142.919999999998</v>
      </c>
    </row>
    <row r="280" spans="1:23" x14ac:dyDescent="0.3">
      <c r="A280" s="76">
        <v>274</v>
      </c>
      <c r="B280" s="77">
        <v>641.51</v>
      </c>
      <c r="C280" s="77">
        <v>59.42</v>
      </c>
      <c r="D280" s="77">
        <v>0</v>
      </c>
      <c r="E280" s="77">
        <v>4.9400000000000004</v>
      </c>
      <c r="F280" s="77">
        <v>705.87</v>
      </c>
      <c r="G280" s="77">
        <v>17501.41</v>
      </c>
      <c r="Q280">
        <v>274</v>
      </c>
      <c r="R280" s="16">
        <f>Tableau1[[#This Row],[Amortiss. Capital]]</f>
        <v>641.51</v>
      </c>
      <c r="S280" s="16">
        <f>Tableau1[[#This Row],[Intérêt Normaux]]</f>
        <v>59.42</v>
      </c>
      <c r="T280" s="16">
        <f>Tableau1[[#This Row],[Intérêts différés]]</f>
        <v>0</v>
      </c>
      <c r="U280" s="16">
        <f>Tableau1[[#This Row],[Assurances]]</f>
        <v>4.9400000000000004</v>
      </c>
      <c r="V280" s="16">
        <f>Tableau1[[#This Row],[Total à payer]]</f>
        <v>705.87</v>
      </c>
      <c r="W280" s="16">
        <f>Tableau1[[#This Row],[Montant restant dû après échéance]]</f>
        <v>17501.41</v>
      </c>
    </row>
    <row r="281" spans="1:23" x14ac:dyDescent="0.3">
      <c r="A281" s="76">
        <v>275</v>
      </c>
      <c r="B281" s="77">
        <v>643.78</v>
      </c>
      <c r="C281" s="77">
        <v>57.32</v>
      </c>
      <c r="D281" s="77">
        <v>0</v>
      </c>
      <c r="E281" s="77">
        <v>4.7699999999999996</v>
      </c>
      <c r="F281" s="77">
        <v>705.87</v>
      </c>
      <c r="G281" s="77">
        <v>16857.63</v>
      </c>
      <c r="Q281">
        <v>275</v>
      </c>
      <c r="R281" s="16">
        <f>Tableau1[[#This Row],[Amortiss. Capital]]</f>
        <v>643.78</v>
      </c>
      <c r="S281" s="16">
        <f>Tableau1[[#This Row],[Intérêt Normaux]]</f>
        <v>57.32</v>
      </c>
      <c r="T281" s="16">
        <f>Tableau1[[#This Row],[Intérêts différés]]</f>
        <v>0</v>
      </c>
      <c r="U281" s="16">
        <f>Tableau1[[#This Row],[Assurances]]</f>
        <v>4.7699999999999996</v>
      </c>
      <c r="V281" s="16">
        <f>Tableau1[[#This Row],[Total à payer]]</f>
        <v>705.87</v>
      </c>
      <c r="W281" s="16">
        <f>Tableau1[[#This Row],[Montant restant dû après échéance]]</f>
        <v>16857.63</v>
      </c>
    </row>
    <row r="282" spans="1:23" x14ac:dyDescent="0.3">
      <c r="A282" s="76">
        <v>276</v>
      </c>
      <c r="B282" s="77">
        <v>646.07000000000005</v>
      </c>
      <c r="C282" s="77">
        <v>55.21</v>
      </c>
      <c r="D282" s="77">
        <v>0</v>
      </c>
      <c r="E282" s="77">
        <v>4.59</v>
      </c>
      <c r="F282" s="77">
        <v>705.87</v>
      </c>
      <c r="G282" s="77">
        <v>16211.56</v>
      </c>
      <c r="Q282">
        <v>276</v>
      </c>
      <c r="R282" s="16">
        <f>Tableau1[[#This Row],[Amortiss. Capital]]</f>
        <v>646.07000000000005</v>
      </c>
      <c r="S282" s="16">
        <f>Tableau1[[#This Row],[Intérêt Normaux]]</f>
        <v>55.21</v>
      </c>
      <c r="T282" s="16">
        <f>Tableau1[[#This Row],[Intérêts différés]]</f>
        <v>0</v>
      </c>
      <c r="U282" s="16">
        <f>Tableau1[[#This Row],[Assurances]]</f>
        <v>4.59</v>
      </c>
      <c r="V282" s="16">
        <f>Tableau1[[#This Row],[Total à payer]]</f>
        <v>705.87</v>
      </c>
      <c r="W282" s="16">
        <f>Tableau1[[#This Row],[Montant restant dû après échéance]]</f>
        <v>16211.56</v>
      </c>
    </row>
    <row r="283" spans="1:23" x14ac:dyDescent="0.3">
      <c r="A283" s="76">
        <v>277</v>
      </c>
      <c r="B283" s="77">
        <v>648.36</v>
      </c>
      <c r="C283" s="77">
        <v>53.09</v>
      </c>
      <c r="D283" s="77">
        <v>0</v>
      </c>
      <c r="E283" s="77">
        <v>4.42</v>
      </c>
      <c r="F283" s="77">
        <v>705.87</v>
      </c>
      <c r="G283" s="77">
        <v>15563.2</v>
      </c>
      <c r="Q283">
        <v>277</v>
      </c>
      <c r="R283" s="16">
        <f>Tableau1[[#This Row],[Amortiss. Capital]]</f>
        <v>648.36</v>
      </c>
      <c r="S283" s="16">
        <f>Tableau1[[#This Row],[Intérêt Normaux]]</f>
        <v>53.09</v>
      </c>
      <c r="T283" s="16">
        <f>Tableau1[[#This Row],[Intérêts différés]]</f>
        <v>0</v>
      </c>
      <c r="U283" s="16">
        <f>Tableau1[[#This Row],[Assurances]]</f>
        <v>4.42</v>
      </c>
      <c r="V283" s="16">
        <f>Tableau1[[#This Row],[Total à payer]]</f>
        <v>705.87</v>
      </c>
      <c r="W283" s="16">
        <f>Tableau1[[#This Row],[Montant restant dû après échéance]]</f>
        <v>15563.2</v>
      </c>
    </row>
    <row r="284" spans="1:23" x14ac:dyDescent="0.3">
      <c r="A284" s="76">
        <v>278</v>
      </c>
      <c r="B284" s="77">
        <v>650.66</v>
      </c>
      <c r="C284" s="77">
        <v>50.97</v>
      </c>
      <c r="D284" s="77">
        <v>0</v>
      </c>
      <c r="E284" s="77">
        <v>4.24</v>
      </c>
      <c r="F284" s="77">
        <v>705.87</v>
      </c>
      <c r="G284" s="77">
        <v>14912.54</v>
      </c>
      <c r="Q284">
        <v>278</v>
      </c>
      <c r="R284" s="16">
        <f>Tableau1[[#This Row],[Amortiss. Capital]]</f>
        <v>650.66</v>
      </c>
      <c r="S284" s="16">
        <f>Tableau1[[#This Row],[Intérêt Normaux]]</f>
        <v>50.97</v>
      </c>
      <c r="T284" s="16">
        <f>Tableau1[[#This Row],[Intérêts différés]]</f>
        <v>0</v>
      </c>
      <c r="U284" s="16">
        <f>Tableau1[[#This Row],[Assurances]]</f>
        <v>4.24</v>
      </c>
      <c r="V284" s="16">
        <f>Tableau1[[#This Row],[Total à payer]]</f>
        <v>705.87</v>
      </c>
      <c r="W284" s="16">
        <f>Tableau1[[#This Row],[Montant restant dû après échéance]]</f>
        <v>14912.54</v>
      </c>
    </row>
    <row r="285" spans="1:23" x14ac:dyDescent="0.3">
      <c r="A285" s="76">
        <v>279</v>
      </c>
      <c r="B285" s="77">
        <v>652.97</v>
      </c>
      <c r="C285" s="77">
        <v>48.84</v>
      </c>
      <c r="D285" s="77">
        <v>0</v>
      </c>
      <c r="E285" s="77">
        <v>4.0599999999999996</v>
      </c>
      <c r="F285" s="77">
        <v>705.87</v>
      </c>
      <c r="G285" s="77">
        <v>14259.57</v>
      </c>
      <c r="Q285">
        <v>279</v>
      </c>
      <c r="R285" s="16">
        <f>Tableau1[[#This Row],[Amortiss. Capital]]</f>
        <v>652.97</v>
      </c>
      <c r="S285" s="16">
        <f>Tableau1[[#This Row],[Intérêt Normaux]]</f>
        <v>48.84</v>
      </c>
      <c r="T285" s="16">
        <f>Tableau1[[#This Row],[Intérêts différés]]</f>
        <v>0</v>
      </c>
      <c r="U285" s="16">
        <f>Tableau1[[#This Row],[Assurances]]</f>
        <v>4.0599999999999996</v>
      </c>
      <c r="V285" s="16">
        <f>Tableau1[[#This Row],[Total à payer]]</f>
        <v>705.87</v>
      </c>
      <c r="W285" s="16">
        <f>Tableau1[[#This Row],[Montant restant dû après échéance]]</f>
        <v>14259.57</v>
      </c>
    </row>
    <row r="286" spans="1:23" x14ac:dyDescent="0.3">
      <c r="A286" s="76">
        <v>280</v>
      </c>
      <c r="B286" s="77">
        <v>655.28</v>
      </c>
      <c r="C286" s="77">
        <v>46.7</v>
      </c>
      <c r="D286" s="77">
        <v>0</v>
      </c>
      <c r="E286" s="77">
        <v>3.89</v>
      </c>
      <c r="F286" s="77">
        <v>705.87</v>
      </c>
      <c r="G286" s="77">
        <v>13604.29</v>
      </c>
      <c r="Q286">
        <v>280</v>
      </c>
      <c r="R286" s="16">
        <f>Tableau1[[#This Row],[Amortiss. Capital]]</f>
        <v>655.28</v>
      </c>
      <c r="S286" s="16">
        <f>Tableau1[[#This Row],[Intérêt Normaux]]</f>
        <v>46.7</v>
      </c>
      <c r="T286" s="16">
        <f>Tableau1[[#This Row],[Intérêts différés]]</f>
        <v>0</v>
      </c>
      <c r="U286" s="16">
        <f>Tableau1[[#This Row],[Assurances]]</f>
        <v>3.89</v>
      </c>
      <c r="V286" s="16">
        <f>Tableau1[[#This Row],[Total à payer]]</f>
        <v>705.87</v>
      </c>
      <c r="W286" s="16">
        <f>Tableau1[[#This Row],[Montant restant dû après échéance]]</f>
        <v>13604.29</v>
      </c>
    </row>
    <row r="287" spans="1:23" x14ac:dyDescent="0.3">
      <c r="A287" s="76">
        <v>281</v>
      </c>
      <c r="B287" s="77">
        <v>657.61</v>
      </c>
      <c r="C287" s="77">
        <v>44.55</v>
      </c>
      <c r="D287" s="77">
        <v>0</v>
      </c>
      <c r="E287" s="77">
        <v>3.71</v>
      </c>
      <c r="F287" s="77">
        <v>705.87</v>
      </c>
      <c r="G287" s="77">
        <v>12946.68</v>
      </c>
      <c r="Q287">
        <v>281</v>
      </c>
      <c r="R287" s="16">
        <f>Tableau1[[#This Row],[Amortiss. Capital]]</f>
        <v>657.61</v>
      </c>
      <c r="S287" s="16">
        <f>Tableau1[[#This Row],[Intérêt Normaux]]</f>
        <v>44.55</v>
      </c>
      <c r="T287" s="16">
        <f>Tableau1[[#This Row],[Intérêts différés]]</f>
        <v>0</v>
      </c>
      <c r="U287" s="16">
        <f>Tableau1[[#This Row],[Assurances]]</f>
        <v>3.71</v>
      </c>
      <c r="V287" s="16">
        <f>Tableau1[[#This Row],[Total à payer]]</f>
        <v>705.87</v>
      </c>
      <c r="W287" s="16">
        <f>Tableau1[[#This Row],[Montant restant dû après échéance]]</f>
        <v>12946.68</v>
      </c>
    </row>
    <row r="288" spans="1:23" x14ac:dyDescent="0.3">
      <c r="A288" s="76">
        <v>282</v>
      </c>
      <c r="B288" s="77">
        <v>659.94</v>
      </c>
      <c r="C288" s="77">
        <v>42.4</v>
      </c>
      <c r="D288" s="77">
        <v>0</v>
      </c>
      <c r="E288" s="77">
        <v>3.53</v>
      </c>
      <c r="F288" s="77">
        <v>705.87</v>
      </c>
      <c r="G288" s="77">
        <v>12286.74</v>
      </c>
      <c r="Q288">
        <v>282</v>
      </c>
      <c r="R288" s="16">
        <f>Tableau1[[#This Row],[Amortiss. Capital]]</f>
        <v>659.94</v>
      </c>
      <c r="S288" s="16">
        <f>Tableau1[[#This Row],[Intérêt Normaux]]</f>
        <v>42.4</v>
      </c>
      <c r="T288" s="16">
        <f>Tableau1[[#This Row],[Intérêts différés]]</f>
        <v>0</v>
      </c>
      <c r="U288" s="16">
        <f>Tableau1[[#This Row],[Assurances]]</f>
        <v>3.53</v>
      </c>
      <c r="V288" s="16">
        <f>Tableau1[[#This Row],[Total à payer]]</f>
        <v>705.87</v>
      </c>
      <c r="W288" s="16">
        <f>Tableau1[[#This Row],[Montant restant dû après échéance]]</f>
        <v>12286.74</v>
      </c>
    </row>
    <row r="289" spans="1:23" x14ac:dyDescent="0.3">
      <c r="A289" s="76">
        <v>283</v>
      </c>
      <c r="B289" s="77">
        <v>662.28</v>
      </c>
      <c r="C289" s="77">
        <v>40.24</v>
      </c>
      <c r="D289" s="77">
        <v>0</v>
      </c>
      <c r="E289" s="77">
        <v>3.35</v>
      </c>
      <c r="F289" s="77">
        <v>705.87</v>
      </c>
      <c r="G289" s="77">
        <v>11624.46</v>
      </c>
      <c r="Q289">
        <v>283</v>
      </c>
      <c r="R289" s="16">
        <f>Tableau1[[#This Row],[Amortiss. Capital]]</f>
        <v>662.28</v>
      </c>
      <c r="S289" s="16">
        <f>Tableau1[[#This Row],[Intérêt Normaux]]</f>
        <v>40.24</v>
      </c>
      <c r="T289" s="16">
        <f>Tableau1[[#This Row],[Intérêts différés]]</f>
        <v>0</v>
      </c>
      <c r="U289" s="16">
        <f>Tableau1[[#This Row],[Assurances]]</f>
        <v>3.35</v>
      </c>
      <c r="V289" s="16">
        <f>Tableau1[[#This Row],[Total à payer]]</f>
        <v>705.87</v>
      </c>
      <c r="W289" s="16">
        <f>Tableau1[[#This Row],[Montant restant dû après échéance]]</f>
        <v>11624.46</v>
      </c>
    </row>
    <row r="290" spans="1:23" x14ac:dyDescent="0.3">
      <c r="A290" s="76">
        <v>284</v>
      </c>
      <c r="B290" s="77">
        <v>664.63</v>
      </c>
      <c r="C290" s="77">
        <v>38.07</v>
      </c>
      <c r="D290" s="77">
        <v>0</v>
      </c>
      <c r="E290" s="77">
        <v>3.17</v>
      </c>
      <c r="F290" s="77">
        <v>705.87</v>
      </c>
      <c r="G290" s="77">
        <v>10959.83</v>
      </c>
      <c r="Q290">
        <v>284</v>
      </c>
      <c r="R290" s="16">
        <f>Tableau1[[#This Row],[Amortiss. Capital]]</f>
        <v>664.63</v>
      </c>
      <c r="S290" s="16">
        <f>Tableau1[[#This Row],[Intérêt Normaux]]</f>
        <v>38.07</v>
      </c>
      <c r="T290" s="16">
        <f>Tableau1[[#This Row],[Intérêts différés]]</f>
        <v>0</v>
      </c>
      <c r="U290" s="16">
        <f>Tableau1[[#This Row],[Assurances]]</f>
        <v>3.17</v>
      </c>
      <c r="V290" s="16">
        <f>Tableau1[[#This Row],[Total à payer]]</f>
        <v>705.87</v>
      </c>
      <c r="W290" s="16">
        <f>Tableau1[[#This Row],[Montant restant dû après échéance]]</f>
        <v>10959.83</v>
      </c>
    </row>
    <row r="291" spans="1:23" x14ac:dyDescent="0.3">
      <c r="A291" s="76">
        <v>285</v>
      </c>
      <c r="B291" s="77">
        <v>666.99</v>
      </c>
      <c r="C291" s="77">
        <v>35.89</v>
      </c>
      <c r="D291" s="77">
        <v>0</v>
      </c>
      <c r="E291" s="77">
        <v>2.99</v>
      </c>
      <c r="F291" s="77">
        <v>705.87</v>
      </c>
      <c r="G291" s="77">
        <v>10292.84</v>
      </c>
      <c r="Q291">
        <v>285</v>
      </c>
      <c r="R291" s="16">
        <f>Tableau1[[#This Row],[Amortiss. Capital]]</f>
        <v>666.99</v>
      </c>
      <c r="S291" s="16">
        <f>Tableau1[[#This Row],[Intérêt Normaux]]</f>
        <v>35.89</v>
      </c>
      <c r="T291" s="16">
        <f>Tableau1[[#This Row],[Intérêts différés]]</f>
        <v>0</v>
      </c>
      <c r="U291" s="16">
        <f>Tableau1[[#This Row],[Assurances]]</f>
        <v>2.99</v>
      </c>
      <c r="V291" s="16">
        <f>Tableau1[[#This Row],[Total à payer]]</f>
        <v>705.87</v>
      </c>
      <c r="W291" s="16">
        <f>Tableau1[[#This Row],[Montant restant dû après échéance]]</f>
        <v>10292.84</v>
      </c>
    </row>
    <row r="292" spans="1:23" x14ac:dyDescent="0.3">
      <c r="A292" s="76">
        <v>286</v>
      </c>
      <c r="B292" s="77">
        <v>669.36</v>
      </c>
      <c r="C292" s="77">
        <v>33.71</v>
      </c>
      <c r="D292" s="77">
        <v>0</v>
      </c>
      <c r="E292" s="77">
        <v>2.8</v>
      </c>
      <c r="F292" s="77">
        <v>705.87</v>
      </c>
      <c r="G292" s="77">
        <v>9623.48</v>
      </c>
      <c r="Q292">
        <v>286</v>
      </c>
      <c r="R292" s="16">
        <f>Tableau1[[#This Row],[Amortiss. Capital]]</f>
        <v>669.36</v>
      </c>
      <c r="S292" s="16">
        <f>Tableau1[[#This Row],[Intérêt Normaux]]</f>
        <v>33.71</v>
      </c>
      <c r="T292" s="16">
        <f>Tableau1[[#This Row],[Intérêts différés]]</f>
        <v>0</v>
      </c>
      <c r="U292" s="16">
        <f>Tableau1[[#This Row],[Assurances]]</f>
        <v>2.8</v>
      </c>
      <c r="V292" s="16">
        <f>Tableau1[[#This Row],[Total à payer]]</f>
        <v>705.87</v>
      </c>
      <c r="W292" s="16">
        <f>Tableau1[[#This Row],[Montant restant dû après échéance]]</f>
        <v>9623.48</v>
      </c>
    </row>
    <row r="293" spans="1:23" x14ac:dyDescent="0.3">
      <c r="A293" s="76">
        <v>287</v>
      </c>
      <c r="B293" s="77">
        <v>671.73</v>
      </c>
      <c r="C293" s="77">
        <v>31.52</v>
      </c>
      <c r="D293" s="77">
        <v>0</v>
      </c>
      <c r="E293" s="77">
        <v>2.62</v>
      </c>
      <c r="F293" s="77">
        <v>705.87</v>
      </c>
      <c r="G293" s="77">
        <v>8951.75</v>
      </c>
      <c r="Q293">
        <v>287</v>
      </c>
      <c r="R293" s="16">
        <f>Tableau1[[#This Row],[Amortiss. Capital]]</f>
        <v>671.73</v>
      </c>
      <c r="S293" s="16">
        <f>Tableau1[[#This Row],[Intérêt Normaux]]</f>
        <v>31.52</v>
      </c>
      <c r="T293" s="16">
        <f>Tableau1[[#This Row],[Intérêts différés]]</f>
        <v>0</v>
      </c>
      <c r="U293" s="16">
        <f>Tableau1[[#This Row],[Assurances]]</f>
        <v>2.62</v>
      </c>
      <c r="V293" s="16">
        <f>Tableau1[[#This Row],[Total à payer]]</f>
        <v>705.87</v>
      </c>
      <c r="W293" s="16">
        <f>Tableau1[[#This Row],[Montant restant dû après échéance]]</f>
        <v>8951.75</v>
      </c>
    </row>
    <row r="294" spans="1:23" x14ac:dyDescent="0.3">
      <c r="A294" s="76">
        <v>288</v>
      </c>
      <c r="B294" s="77">
        <v>674.11</v>
      </c>
      <c r="C294" s="77">
        <v>29.32</v>
      </c>
      <c r="D294" s="77">
        <v>0</v>
      </c>
      <c r="E294" s="77">
        <v>2.44</v>
      </c>
      <c r="F294" s="77">
        <v>705.87</v>
      </c>
      <c r="G294" s="77">
        <v>8277.64</v>
      </c>
      <c r="Q294">
        <v>288</v>
      </c>
      <c r="R294" s="16">
        <f>Tableau1[[#This Row],[Amortiss. Capital]]</f>
        <v>674.11</v>
      </c>
      <c r="S294" s="16">
        <f>Tableau1[[#This Row],[Intérêt Normaux]]</f>
        <v>29.32</v>
      </c>
      <c r="T294" s="16">
        <f>Tableau1[[#This Row],[Intérêts différés]]</f>
        <v>0</v>
      </c>
      <c r="U294" s="16">
        <f>Tableau1[[#This Row],[Assurances]]</f>
        <v>2.44</v>
      </c>
      <c r="V294" s="16">
        <f>Tableau1[[#This Row],[Total à payer]]</f>
        <v>705.87</v>
      </c>
      <c r="W294" s="16">
        <f>Tableau1[[#This Row],[Montant restant dû après échéance]]</f>
        <v>8277.64</v>
      </c>
    </row>
    <row r="295" spans="1:23" x14ac:dyDescent="0.3">
      <c r="A295" s="76">
        <v>289</v>
      </c>
      <c r="B295" s="77">
        <v>676.5</v>
      </c>
      <c r="C295" s="77">
        <v>27.11</v>
      </c>
      <c r="D295" s="77">
        <v>0</v>
      </c>
      <c r="E295" s="77">
        <v>2.2599999999999998</v>
      </c>
      <c r="F295" s="77">
        <v>705.87</v>
      </c>
      <c r="G295" s="77">
        <v>7601.14</v>
      </c>
      <c r="Q295">
        <v>289</v>
      </c>
      <c r="R295" s="16">
        <f>Tableau1[[#This Row],[Amortiss. Capital]]</f>
        <v>676.5</v>
      </c>
      <c r="S295" s="16">
        <f>Tableau1[[#This Row],[Intérêt Normaux]]</f>
        <v>27.11</v>
      </c>
      <c r="T295" s="16">
        <f>Tableau1[[#This Row],[Intérêts différés]]</f>
        <v>0</v>
      </c>
      <c r="U295" s="16">
        <f>Tableau1[[#This Row],[Assurances]]</f>
        <v>2.2599999999999998</v>
      </c>
      <c r="V295" s="16">
        <f>Tableau1[[#This Row],[Total à payer]]</f>
        <v>705.87</v>
      </c>
      <c r="W295" s="16">
        <f>Tableau1[[#This Row],[Montant restant dû après échéance]]</f>
        <v>7601.14</v>
      </c>
    </row>
    <row r="296" spans="1:23" x14ac:dyDescent="0.3">
      <c r="A296" s="76">
        <v>290</v>
      </c>
      <c r="B296" s="77">
        <v>678.91</v>
      </c>
      <c r="C296" s="77">
        <v>24.89</v>
      </c>
      <c r="D296" s="77">
        <v>0</v>
      </c>
      <c r="E296" s="77">
        <v>2.0699999999999998</v>
      </c>
      <c r="F296" s="77">
        <v>705.87</v>
      </c>
      <c r="G296" s="77">
        <v>6922.23</v>
      </c>
      <c r="Q296">
        <v>290</v>
      </c>
      <c r="R296" s="16">
        <f>Tableau1[[#This Row],[Amortiss. Capital]]</f>
        <v>678.91</v>
      </c>
      <c r="S296" s="16">
        <f>Tableau1[[#This Row],[Intérêt Normaux]]</f>
        <v>24.89</v>
      </c>
      <c r="T296" s="16">
        <f>Tableau1[[#This Row],[Intérêts différés]]</f>
        <v>0</v>
      </c>
      <c r="U296" s="16">
        <f>Tableau1[[#This Row],[Assurances]]</f>
        <v>2.0699999999999998</v>
      </c>
      <c r="V296" s="16">
        <f>Tableau1[[#This Row],[Total à payer]]</f>
        <v>705.87</v>
      </c>
      <c r="W296" s="16">
        <f>Tableau1[[#This Row],[Montant restant dû après échéance]]</f>
        <v>6922.23</v>
      </c>
    </row>
    <row r="297" spans="1:23" x14ac:dyDescent="0.3">
      <c r="A297" s="76">
        <v>291</v>
      </c>
      <c r="B297" s="77">
        <v>681.31</v>
      </c>
      <c r="C297" s="77">
        <v>22.67</v>
      </c>
      <c r="D297" s="77">
        <v>0</v>
      </c>
      <c r="E297" s="77">
        <v>1.89</v>
      </c>
      <c r="F297" s="77">
        <v>705.87</v>
      </c>
      <c r="G297" s="77">
        <v>6240.92</v>
      </c>
      <c r="Q297">
        <v>291</v>
      </c>
      <c r="R297" s="16">
        <f>Tableau1[[#This Row],[Amortiss. Capital]]</f>
        <v>681.31</v>
      </c>
      <c r="S297" s="16">
        <f>Tableau1[[#This Row],[Intérêt Normaux]]</f>
        <v>22.67</v>
      </c>
      <c r="T297" s="16">
        <f>Tableau1[[#This Row],[Intérêts différés]]</f>
        <v>0</v>
      </c>
      <c r="U297" s="16">
        <f>Tableau1[[#This Row],[Assurances]]</f>
        <v>1.89</v>
      </c>
      <c r="V297" s="16">
        <f>Tableau1[[#This Row],[Total à payer]]</f>
        <v>705.87</v>
      </c>
      <c r="W297" s="16">
        <f>Tableau1[[#This Row],[Montant restant dû après échéance]]</f>
        <v>6240.92</v>
      </c>
    </row>
    <row r="298" spans="1:23" x14ac:dyDescent="0.3">
      <c r="A298" s="76">
        <v>292</v>
      </c>
      <c r="B298" s="77">
        <v>683.73</v>
      </c>
      <c r="C298" s="77">
        <v>20.440000000000001</v>
      </c>
      <c r="D298" s="77">
        <v>0</v>
      </c>
      <c r="E298" s="77">
        <v>1.7</v>
      </c>
      <c r="F298" s="77">
        <v>705.87</v>
      </c>
      <c r="G298" s="77">
        <v>5557.19</v>
      </c>
      <c r="Q298">
        <v>292</v>
      </c>
      <c r="R298" s="16">
        <f>Tableau1[[#This Row],[Amortiss. Capital]]</f>
        <v>683.73</v>
      </c>
      <c r="S298" s="16">
        <f>Tableau1[[#This Row],[Intérêt Normaux]]</f>
        <v>20.440000000000001</v>
      </c>
      <c r="T298" s="16">
        <f>Tableau1[[#This Row],[Intérêts différés]]</f>
        <v>0</v>
      </c>
      <c r="U298" s="16">
        <f>Tableau1[[#This Row],[Assurances]]</f>
        <v>1.7</v>
      </c>
      <c r="V298" s="16">
        <f>Tableau1[[#This Row],[Total à payer]]</f>
        <v>705.87</v>
      </c>
      <c r="W298" s="16">
        <f>Tableau1[[#This Row],[Montant restant dû après échéance]]</f>
        <v>5557.19</v>
      </c>
    </row>
    <row r="299" spans="1:23" x14ac:dyDescent="0.3">
      <c r="A299" s="76">
        <v>293</v>
      </c>
      <c r="B299" s="77">
        <v>686.16</v>
      </c>
      <c r="C299" s="77">
        <v>18.2</v>
      </c>
      <c r="D299" s="77">
        <v>0</v>
      </c>
      <c r="E299" s="77">
        <v>1.51</v>
      </c>
      <c r="F299" s="77">
        <v>705.87</v>
      </c>
      <c r="G299" s="77">
        <v>4871.03</v>
      </c>
      <c r="Q299">
        <v>293</v>
      </c>
      <c r="R299" s="16">
        <f>Tableau1[[#This Row],[Amortiss. Capital]]</f>
        <v>686.16</v>
      </c>
      <c r="S299" s="16">
        <f>Tableau1[[#This Row],[Intérêt Normaux]]</f>
        <v>18.2</v>
      </c>
      <c r="T299" s="16">
        <f>Tableau1[[#This Row],[Intérêts différés]]</f>
        <v>0</v>
      </c>
      <c r="U299" s="16">
        <f>Tableau1[[#This Row],[Assurances]]</f>
        <v>1.51</v>
      </c>
      <c r="V299" s="16">
        <f>Tableau1[[#This Row],[Total à payer]]</f>
        <v>705.87</v>
      </c>
      <c r="W299" s="16">
        <f>Tableau1[[#This Row],[Montant restant dû après échéance]]</f>
        <v>4871.03</v>
      </c>
    </row>
    <row r="300" spans="1:23" x14ac:dyDescent="0.3">
      <c r="A300" s="76">
        <v>294</v>
      </c>
      <c r="B300" s="77">
        <v>688.59</v>
      </c>
      <c r="C300" s="77">
        <v>15.95</v>
      </c>
      <c r="D300" s="77">
        <v>0</v>
      </c>
      <c r="E300" s="77">
        <v>1.33</v>
      </c>
      <c r="F300" s="77">
        <v>705.87</v>
      </c>
      <c r="G300" s="77">
        <v>4182.4399999999996</v>
      </c>
      <c r="Q300">
        <v>294</v>
      </c>
      <c r="R300" s="16">
        <f>Tableau1[[#This Row],[Amortiss. Capital]]</f>
        <v>688.59</v>
      </c>
      <c r="S300" s="16">
        <f>Tableau1[[#This Row],[Intérêt Normaux]]</f>
        <v>15.95</v>
      </c>
      <c r="T300" s="16">
        <f>Tableau1[[#This Row],[Intérêts différés]]</f>
        <v>0</v>
      </c>
      <c r="U300" s="16">
        <f>Tableau1[[#This Row],[Assurances]]</f>
        <v>1.33</v>
      </c>
      <c r="V300" s="16">
        <f>Tableau1[[#This Row],[Total à payer]]</f>
        <v>705.87</v>
      </c>
      <c r="W300" s="16">
        <f>Tableau1[[#This Row],[Montant restant dû après échéance]]</f>
        <v>4182.4399999999996</v>
      </c>
    </row>
    <row r="301" spans="1:23" x14ac:dyDescent="0.3">
      <c r="A301" s="76">
        <v>295</v>
      </c>
      <c r="B301" s="77">
        <v>691.03</v>
      </c>
      <c r="C301" s="77">
        <v>13.7</v>
      </c>
      <c r="D301" s="77">
        <v>0</v>
      </c>
      <c r="E301" s="77">
        <v>1.1399999999999999</v>
      </c>
      <c r="F301" s="77">
        <v>705.87</v>
      </c>
      <c r="G301" s="77">
        <v>3491.41</v>
      </c>
      <c r="Q301">
        <v>295</v>
      </c>
      <c r="R301" s="16">
        <f>Tableau1[[#This Row],[Amortiss. Capital]]</f>
        <v>691.03</v>
      </c>
      <c r="S301" s="16">
        <f>Tableau1[[#This Row],[Intérêt Normaux]]</f>
        <v>13.7</v>
      </c>
      <c r="T301" s="16">
        <f>Tableau1[[#This Row],[Intérêts différés]]</f>
        <v>0</v>
      </c>
      <c r="U301" s="16">
        <f>Tableau1[[#This Row],[Assurances]]</f>
        <v>1.1399999999999999</v>
      </c>
      <c r="V301" s="16">
        <f>Tableau1[[#This Row],[Total à payer]]</f>
        <v>705.87</v>
      </c>
      <c r="W301" s="16">
        <f>Tableau1[[#This Row],[Montant restant dû après échéance]]</f>
        <v>3491.41</v>
      </c>
    </row>
    <row r="302" spans="1:23" x14ac:dyDescent="0.3">
      <c r="A302" s="76">
        <v>296</v>
      </c>
      <c r="B302" s="77">
        <v>693.49</v>
      </c>
      <c r="C302" s="77">
        <v>11.43</v>
      </c>
      <c r="D302" s="77">
        <v>0</v>
      </c>
      <c r="E302" s="77">
        <v>0.95</v>
      </c>
      <c r="F302" s="77">
        <v>705.87</v>
      </c>
      <c r="G302" s="77">
        <v>2797.92</v>
      </c>
      <c r="Q302">
        <v>296</v>
      </c>
      <c r="R302" s="16">
        <f>Tableau1[[#This Row],[Amortiss. Capital]]</f>
        <v>693.49</v>
      </c>
      <c r="S302" s="16">
        <f>Tableau1[[#This Row],[Intérêt Normaux]]</f>
        <v>11.43</v>
      </c>
      <c r="T302" s="16">
        <f>Tableau1[[#This Row],[Intérêts différés]]</f>
        <v>0</v>
      </c>
      <c r="U302" s="16">
        <f>Tableau1[[#This Row],[Assurances]]</f>
        <v>0.95</v>
      </c>
      <c r="V302" s="16">
        <f>Tableau1[[#This Row],[Total à payer]]</f>
        <v>705.87</v>
      </c>
      <c r="W302" s="16">
        <f>Tableau1[[#This Row],[Montant restant dû après échéance]]</f>
        <v>2797.92</v>
      </c>
    </row>
    <row r="303" spans="1:23" x14ac:dyDescent="0.3">
      <c r="A303" s="76">
        <v>297</v>
      </c>
      <c r="B303" s="77">
        <v>695.95</v>
      </c>
      <c r="C303" s="77">
        <v>9.16</v>
      </c>
      <c r="D303" s="77">
        <v>0</v>
      </c>
      <c r="E303" s="77">
        <v>0.76</v>
      </c>
      <c r="F303" s="77">
        <v>705.87</v>
      </c>
      <c r="G303" s="77">
        <v>2101.9699999999998</v>
      </c>
      <c r="Q303">
        <v>297</v>
      </c>
      <c r="R303" s="16">
        <f>Tableau1[[#This Row],[Amortiss. Capital]]</f>
        <v>695.95</v>
      </c>
      <c r="S303" s="16">
        <f>Tableau1[[#This Row],[Intérêt Normaux]]</f>
        <v>9.16</v>
      </c>
      <c r="T303" s="16">
        <f>Tableau1[[#This Row],[Intérêts différés]]</f>
        <v>0</v>
      </c>
      <c r="U303" s="16">
        <f>Tableau1[[#This Row],[Assurances]]</f>
        <v>0.76</v>
      </c>
      <c r="V303" s="16">
        <f>Tableau1[[#This Row],[Total à payer]]</f>
        <v>705.87</v>
      </c>
      <c r="W303" s="16">
        <f>Tableau1[[#This Row],[Montant restant dû après échéance]]</f>
        <v>2101.9699999999998</v>
      </c>
    </row>
    <row r="304" spans="1:23" x14ac:dyDescent="0.3">
      <c r="A304" s="76">
        <v>298</v>
      </c>
      <c r="B304" s="77">
        <v>698.42</v>
      </c>
      <c r="C304" s="77">
        <v>6.88</v>
      </c>
      <c r="D304" s="77">
        <v>0</v>
      </c>
      <c r="E304" s="77">
        <v>0.56999999999999995</v>
      </c>
      <c r="F304" s="77">
        <v>705.87</v>
      </c>
      <c r="G304" s="77">
        <v>1403.55</v>
      </c>
      <c r="Q304">
        <v>298</v>
      </c>
      <c r="R304" s="16">
        <f>Tableau1[[#This Row],[Amortiss. Capital]]</f>
        <v>698.42</v>
      </c>
      <c r="S304" s="16">
        <f>Tableau1[[#This Row],[Intérêt Normaux]]</f>
        <v>6.88</v>
      </c>
      <c r="T304" s="16">
        <f>Tableau1[[#This Row],[Intérêts différés]]</f>
        <v>0</v>
      </c>
      <c r="U304" s="16">
        <f>Tableau1[[#This Row],[Assurances]]</f>
        <v>0.56999999999999995</v>
      </c>
      <c r="V304" s="16">
        <f>Tableau1[[#This Row],[Total à payer]]</f>
        <v>705.87</v>
      </c>
      <c r="W304" s="16">
        <f>Tableau1[[#This Row],[Montant restant dû après échéance]]</f>
        <v>1403.55</v>
      </c>
    </row>
    <row r="305" spans="1:23" x14ac:dyDescent="0.3">
      <c r="A305" s="76">
        <v>299</v>
      </c>
      <c r="B305" s="77">
        <v>700.89</v>
      </c>
      <c r="C305" s="77">
        <v>4.5999999999999996</v>
      </c>
      <c r="D305" s="77">
        <v>0</v>
      </c>
      <c r="E305" s="77">
        <v>0.38</v>
      </c>
      <c r="F305" s="77">
        <v>705.87</v>
      </c>
      <c r="G305" s="77">
        <v>702.66</v>
      </c>
      <c r="Q305">
        <v>299</v>
      </c>
      <c r="R305" s="16">
        <f>Tableau1[[#This Row],[Amortiss. Capital]]</f>
        <v>700.89</v>
      </c>
      <c r="S305" s="16">
        <f>Tableau1[[#This Row],[Intérêt Normaux]]</f>
        <v>4.5999999999999996</v>
      </c>
      <c r="T305" s="16">
        <f>Tableau1[[#This Row],[Intérêts différés]]</f>
        <v>0</v>
      </c>
      <c r="U305" s="16">
        <f>Tableau1[[#This Row],[Assurances]]</f>
        <v>0.38</v>
      </c>
      <c r="V305" s="16">
        <f>Tableau1[[#This Row],[Total à payer]]</f>
        <v>705.87</v>
      </c>
      <c r="W305" s="16">
        <f>Tableau1[[#This Row],[Montant restant dû après échéance]]</f>
        <v>702.66</v>
      </c>
    </row>
    <row r="306" spans="1:23" x14ac:dyDescent="0.3">
      <c r="A306" s="76">
        <v>300</v>
      </c>
      <c r="B306" s="77">
        <v>702.66</v>
      </c>
      <c r="C306" s="77">
        <v>3.02</v>
      </c>
      <c r="D306" s="77">
        <v>0</v>
      </c>
      <c r="E306" s="77">
        <v>0.19</v>
      </c>
      <c r="F306" s="77">
        <v>705.87</v>
      </c>
      <c r="G306" s="77">
        <v>0</v>
      </c>
      <c r="Q306">
        <v>300</v>
      </c>
      <c r="R306" s="16">
        <f>Tableau1[[#This Row],[Amortiss. Capital]]</f>
        <v>702.66</v>
      </c>
      <c r="S306" s="16">
        <f>Tableau1[[#This Row],[Intérêt Normaux]]</f>
        <v>3.02</v>
      </c>
      <c r="T306" s="16">
        <f>Tableau1[[#This Row],[Intérêts différés]]</f>
        <v>0</v>
      </c>
      <c r="U306" s="16">
        <f>Tableau1[[#This Row],[Assurances]]</f>
        <v>0.19</v>
      </c>
      <c r="V306" s="16">
        <f>Tableau1[[#This Row],[Total à payer]]</f>
        <v>705.87</v>
      </c>
      <c r="W306" s="16">
        <f>Tableau1[[#This Row],[Montant restant dû après échéance]]</f>
        <v>0</v>
      </c>
    </row>
  </sheetData>
  <mergeCells count="20">
    <mergeCell ref="I1:O1"/>
    <mergeCell ref="I2:J3"/>
    <mergeCell ref="K2:L3"/>
    <mergeCell ref="N2:O2"/>
    <mergeCell ref="N3:O3"/>
    <mergeCell ref="F2:G2"/>
    <mergeCell ref="F3:G3"/>
    <mergeCell ref="A1:G1"/>
    <mergeCell ref="C4:D4"/>
    <mergeCell ref="C5:D5"/>
    <mergeCell ref="A2:B3"/>
    <mergeCell ref="C2:D3"/>
    <mergeCell ref="F4:G4"/>
    <mergeCell ref="F5:G5"/>
    <mergeCell ref="N4:O4"/>
    <mergeCell ref="K5:L5"/>
    <mergeCell ref="N5:O5"/>
    <mergeCell ref="I4:J4"/>
    <mergeCell ref="I5:J5"/>
    <mergeCell ref="K4:L4"/>
  </mergeCells>
  <phoneticPr fontId="34" type="noConversion"/>
  <pageMargins left="0.7" right="0.7" top="0.75" bottom="0.75" header="0.3" footer="0.3"/>
  <pageSetup paperSize="9" orientation="portrait" r:id="rId1"/>
  <ignoredErrors>
    <ignoredError sqref="R187:W187 S191 R190:W190 R192:W283 R191 T191:W191 R284:W306" calculatedColumn="1"/>
  </ignoredErrors>
  <tableParts count="3">
    <tablePart r:id="rId2"/>
    <tablePart r:id="rId3"/>
    <tablePart r:id="rId4"/>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A147DC-0CDA-4DF4-AB0D-1CF4CDC73A88}">
  <sheetPr>
    <tabColor rgb="FFCD0A37"/>
  </sheetPr>
  <dimension ref="A1:AA34"/>
  <sheetViews>
    <sheetView tabSelected="1" zoomScaleNormal="100" workbookViewId="0">
      <selection activeCell="D3" sqref="D3"/>
    </sheetView>
  </sheetViews>
  <sheetFormatPr baseColWidth="10" defaultColWidth="12.33203125" defaultRowHeight="14.4" x14ac:dyDescent="0.3"/>
  <cols>
    <col min="1" max="1" width="33" style="18" customWidth="1"/>
    <col min="2" max="16" width="10.6640625" style="17" customWidth="1"/>
    <col min="17" max="17" width="1.88671875" customWidth="1"/>
    <col min="18" max="18" width="23.109375" customWidth="1"/>
  </cols>
  <sheetData>
    <row r="1" spans="1:27" ht="28.2" customHeight="1" thickBot="1" x14ac:dyDescent="0.35">
      <c r="A1" s="1"/>
      <c r="B1" s="2">
        <v>45231</v>
      </c>
      <c r="C1" s="3">
        <v>45261</v>
      </c>
      <c r="D1" s="2">
        <v>45292</v>
      </c>
      <c r="E1" s="3">
        <v>45323</v>
      </c>
      <c r="F1" s="2">
        <v>45352</v>
      </c>
      <c r="G1" s="3">
        <v>45383</v>
      </c>
      <c r="H1" s="2">
        <v>45413</v>
      </c>
      <c r="I1" s="3">
        <v>45444</v>
      </c>
      <c r="J1" s="2">
        <v>45474</v>
      </c>
      <c r="K1" s="3">
        <v>45505</v>
      </c>
      <c r="L1" s="2">
        <v>45536</v>
      </c>
      <c r="M1" s="3">
        <v>45566</v>
      </c>
      <c r="N1" s="2">
        <v>45597</v>
      </c>
      <c r="O1" s="3">
        <v>45627</v>
      </c>
      <c r="P1" s="68" t="s">
        <v>67</v>
      </c>
      <c r="AA1">
        <v>240</v>
      </c>
    </row>
    <row r="2" spans="1:27" s="4" customFormat="1" ht="19.2" customHeight="1" thickBot="1" x14ac:dyDescent="0.35">
      <c r="A2" s="83" t="s">
        <v>21</v>
      </c>
      <c r="B2" s="84"/>
      <c r="C2" s="84"/>
      <c r="D2" s="84"/>
      <c r="E2" s="84"/>
      <c r="F2" s="84"/>
      <c r="G2" s="84"/>
      <c r="H2" s="84"/>
      <c r="I2" s="84"/>
      <c r="J2" s="84"/>
      <c r="K2" s="84"/>
      <c r="L2" s="84"/>
      <c r="M2" s="84"/>
      <c r="N2" s="84"/>
      <c r="O2" s="84"/>
      <c r="P2" s="85"/>
    </row>
    <row r="3" spans="1:27" x14ac:dyDescent="0.3">
      <c r="A3" s="6" t="s">
        <v>22</v>
      </c>
      <c r="C3" s="7">
        <f>'TA Emprunt banque'!V7</f>
        <v>706.74</v>
      </c>
      <c r="D3" s="7">
        <f ca="1">INDIRECT("'TA Emprunt banque'!V"&amp;(COLUMN(C3)+5))</f>
        <v>706.74</v>
      </c>
      <c r="E3" s="7">
        <f t="shared" ref="E3:O3" ca="1" si="0">INDIRECT("'TA Emprunt banque'!V"&amp;(COLUMN(D3)+5))</f>
        <v>706.74</v>
      </c>
      <c r="F3" s="7">
        <f t="shared" ca="1" si="0"/>
        <v>706.74</v>
      </c>
      <c r="G3" s="7">
        <f t="shared" ca="1" si="0"/>
        <v>706.74</v>
      </c>
      <c r="H3" s="7">
        <f t="shared" ca="1" si="0"/>
        <v>706.74</v>
      </c>
      <c r="I3" s="7">
        <f t="shared" ca="1" si="0"/>
        <v>706.74</v>
      </c>
      <c r="J3" s="7">
        <f t="shared" ca="1" si="0"/>
        <v>706.74</v>
      </c>
      <c r="K3" s="7">
        <f t="shared" ca="1" si="0"/>
        <v>706.74</v>
      </c>
      <c r="L3" s="7">
        <f t="shared" ca="1" si="0"/>
        <v>706.74</v>
      </c>
      <c r="M3" s="7">
        <f t="shared" ca="1" si="0"/>
        <v>706.74</v>
      </c>
      <c r="N3" s="7">
        <f t="shared" ca="1" si="0"/>
        <v>706.74</v>
      </c>
      <c r="O3" s="7">
        <f t="shared" ca="1" si="0"/>
        <v>706.74</v>
      </c>
      <c r="P3" s="8">
        <f ca="1">SUM(C3:O3)</f>
        <v>9187.619999999999</v>
      </c>
      <c r="R3" t="s">
        <v>23</v>
      </c>
      <c r="S3" t="s">
        <v>24</v>
      </c>
      <c r="T3" t="s">
        <v>25</v>
      </c>
    </row>
    <row r="4" spans="1:27" x14ac:dyDescent="0.3">
      <c r="A4" s="9" t="s">
        <v>26</v>
      </c>
      <c r="B4" s="10">
        <f>'TA Emprunt banque'!S7</f>
        <v>402.02</v>
      </c>
      <c r="C4" s="10">
        <f>'TA Emprunt banque'!T7</f>
        <v>0</v>
      </c>
      <c r="D4" s="10">
        <f>'Amortissement banque'!$C6</f>
        <v>438.1373066526906</v>
      </c>
      <c r="E4" s="10">
        <f>'Amortissement banque'!$C7</f>
        <v>437.31242296759473</v>
      </c>
      <c r="F4" s="10">
        <f>'Amortissement banque'!$C8</f>
        <v>436.48458403167933</v>
      </c>
      <c r="G4" s="10">
        <f>'Amortissement banque'!$C9</f>
        <v>435.65377925738227</v>
      </c>
      <c r="H4" s="10">
        <f>'Amortissement banque'!$C10</f>
        <v>434.81999801920983</v>
      </c>
      <c r="I4" s="10">
        <f>'Amortissement banque'!$C11</f>
        <v>433.98322965360126</v>
      </c>
      <c r="J4" s="10">
        <f>'Amortissement banque'!$C12</f>
        <v>433.14346345879227</v>
      </c>
      <c r="K4" s="10">
        <f>'Amortissement banque'!$C13</f>
        <v>432.300688694678</v>
      </c>
      <c r="L4" s="10"/>
      <c r="M4" s="10"/>
      <c r="N4" s="10">
        <f>'Amortissement banque'!$C14</f>
        <v>431.45489458267599</v>
      </c>
      <c r="O4" s="10">
        <f>'Amortissement banque'!$C15</f>
        <v>430.60607030558793</v>
      </c>
      <c r="P4" s="8">
        <f t="shared" ref="P4:P8" si="1">SUM(B4:O4)</f>
        <v>4745.9164376238923</v>
      </c>
      <c r="R4" s="16" t="str">
        <f>A16</f>
        <v>Charge de coopropriété</v>
      </c>
      <c r="S4" s="16">
        <v>1600</v>
      </c>
      <c r="T4" s="16">
        <f>Tableau83[[#This Row],[2023]]/12</f>
        <v>133.33333333333334</v>
      </c>
    </row>
    <row r="5" spans="1:27" x14ac:dyDescent="0.3">
      <c r="A5" s="9" t="s">
        <v>27</v>
      </c>
      <c r="B5" s="10">
        <f>'Amortissement banque'!$F$4</f>
        <v>36.825899999999997</v>
      </c>
      <c r="C5" s="10">
        <f>'Amortissement banque'!$F$4</f>
        <v>36.825899999999997</v>
      </c>
      <c r="D5" s="10">
        <f>'Amortissement banque'!$F$4</f>
        <v>36.825899999999997</v>
      </c>
      <c r="E5" s="10">
        <f>'Amortissement banque'!$F$4</f>
        <v>36.825899999999997</v>
      </c>
      <c r="F5" s="10">
        <f>'Amortissement banque'!$F$4</f>
        <v>36.825899999999997</v>
      </c>
      <c r="G5" s="10">
        <f>'Amortissement banque'!$F$4</f>
        <v>36.825899999999997</v>
      </c>
      <c r="H5" s="10">
        <f>'Amortissement banque'!$F$4</f>
        <v>36.825899999999997</v>
      </c>
      <c r="I5" s="10">
        <f>'Amortissement banque'!$F$4</f>
        <v>36.825899999999997</v>
      </c>
      <c r="J5" s="10">
        <f>'Amortissement banque'!$F$4</f>
        <v>36.825899999999997</v>
      </c>
      <c r="K5" s="10">
        <f>'Amortissement banque'!$F$4</f>
        <v>36.825899999999997</v>
      </c>
      <c r="L5" s="10"/>
      <c r="M5" s="10"/>
      <c r="N5" s="10">
        <f>'Amortissement banque'!$F$4</f>
        <v>36.825899999999997</v>
      </c>
      <c r="O5" s="10">
        <f>'Amortissement banque'!$F$4</f>
        <v>36.825899999999997</v>
      </c>
      <c r="P5" s="8">
        <f t="shared" si="1"/>
        <v>441.91079999999994</v>
      </c>
      <c r="R5" s="16" t="str">
        <f>A17</f>
        <v>Taxe foncière</v>
      </c>
      <c r="S5" s="16">
        <v>850</v>
      </c>
      <c r="T5" s="16">
        <f>Tableau83[[#This Row],[2023]]/12</f>
        <v>70.833333333333329</v>
      </c>
    </row>
    <row r="6" spans="1:27" x14ac:dyDescent="0.3">
      <c r="A6" s="9" t="s">
        <v>28</v>
      </c>
      <c r="B6" s="10">
        <f>'Devis - Capacité - Impôt'!$D$5</f>
        <v>20.650000000000002</v>
      </c>
      <c r="C6" s="10">
        <f>'Devis - Capacité - Impôt'!$D$5</f>
        <v>20.650000000000002</v>
      </c>
      <c r="D6" s="10">
        <f>'Devis - Capacité - Impôt'!$D$5</f>
        <v>20.650000000000002</v>
      </c>
      <c r="E6" s="10">
        <f>'Devis - Capacité - Impôt'!$D$5</f>
        <v>20.650000000000002</v>
      </c>
      <c r="F6" s="10">
        <f>'Devis - Capacité - Impôt'!$D$5</f>
        <v>20.650000000000002</v>
      </c>
      <c r="G6" s="10">
        <f>'Devis - Capacité - Impôt'!$D$5</f>
        <v>20.650000000000002</v>
      </c>
      <c r="H6" s="10">
        <f>'Devis - Capacité - Impôt'!$D$5</f>
        <v>20.650000000000002</v>
      </c>
      <c r="I6" s="10">
        <f>'Devis - Capacité - Impôt'!$D$5</f>
        <v>20.650000000000002</v>
      </c>
      <c r="J6" s="10">
        <f>'Devis - Capacité - Impôt'!$D$5</f>
        <v>20.650000000000002</v>
      </c>
      <c r="K6" s="10">
        <f>'Devis - Capacité - Impôt'!$D$5</f>
        <v>20.650000000000002</v>
      </c>
      <c r="L6" s="10"/>
      <c r="M6" s="10"/>
      <c r="N6" s="10">
        <f>'Devis - Capacité - Impôt'!$D$5</f>
        <v>20.650000000000002</v>
      </c>
      <c r="O6" s="10">
        <f>'Devis - Capacité - Impôt'!$D$5</f>
        <v>20.650000000000002</v>
      </c>
      <c r="P6" s="8">
        <f t="shared" si="1"/>
        <v>247.80000000000004</v>
      </c>
      <c r="R6" s="16" t="str">
        <f>A20</f>
        <v xml:space="preserve">Autres frais / Mise en location </v>
      </c>
      <c r="S6" s="16">
        <v>150</v>
      </c>
      <c r="T6" s="16">
        <f>Tableau83[[#This Row],[2023]]/12</f>
        <v>12.5</v>
      </c>
    </row>
    <row r="7" spans="1:27" x14ac:dyDescent="0.3">
      <c r="A7" s="9" t="s">
        <v>29</v>
      </c>
      <c r="B7" s="10">
        <f>'Devis - Capacité - Impôt'!$D$3</f>
        <v>7.8374999999999995</v>
      </c>
      <c r="C7" s="10">
        <f>'Devis - Capacité - Impôt'!$D$3</f>
        <v>7.8374999999999995</v>
      </c>
      <c r="D7" s="10">
        <f>'Devis - Capacité - Impôt'!$D$3</f>
        <v>7.8374999999999995</v>
      </c>
      <c r="E7" s="10">
        <f>'Devis - Capacité - Impôt'!$D$3</f>
        <v>7.8374999999999995</v>
      </c>
      <c r="F7" s="10">
        <f>'Devis - Capacité - Impôt'!$D$3</f>
        <v>7.8374999999999995</v>
      </c>
      <c r="G7" s="10">
        <f>'Devis - Capacité - Impôt'!$D$3</f>
        <v>7.8374999999999995</v>
      </c>
      <c r="H7" s="10">
        <f>'Devis - Capacité - Impôt'!$D$3</f>
        <v>7.8374999999999995</v>
      </c>
      <c r="I7" s="10">
        <f>'Devis - Capacité - Impôt'!$D$3</f>
        <v>7.8374999999999995</v>
      </c>
      <c r="J7" s="10">
        <f>'Devis - Capacité - Impôt'!$D$3</f>
        <v>7.8374999999999995</v>
      </c>
      <c r="K7" s="10">
        <f>'Devis - Capacité - Impôt'!$D$3</f>
        <v>7.8374999999999995</v>
      </c>
      <c r="L7" s="10"/>
      <c r="M7" s="10"/>
      <c r="N7" s="10">
        <f>'Devis - Capacité - Impôt'!$D$3</f>
        <v>7.8374999999999995</v>
      </c>
      <c r="O7" s="10">
        <f>'Devis - Capacité - Impôt'!$D$3</f>
        <v>7.8374999999999995</v>
      </c>
      <c r="P7" s="8">
        <f t="shared" si="1"/>
        <v>94.050000000000011</v>
      </c>
    </row>
    <row r="8" spans="1:27" x14ac:dyDescent="0.3">
      <c r="A8" s="9" t="s">
        <v>7</v>
      </c>
      <c r="B8" s="10">
        <f>C3+B5</f>
        <v>743.56590000000006</v>
      </c>
      <c r="C8" s="10" t="e">
        <f>#REF!+C5</f>
        <v>#REF!</v>
      </c>
      <c r="D8" s="10">
        <f t="shared" ref="D8:O8" ca="1" si="2">D3+D5</f>
        <v>743.56590000000006</v>
      </c>
      <c r="E8" s="10">
        <f t="shared" ca="1" si="2"/>
        <v>743.56590000000006</v>
      </c>
      <c r="F8" s="10">
        <f t="shared" ca="1" si="2"/>
        <v>743.56590000000006</v>
      </c>
      <c r="G8" s="10">
        <f t="shared" ca="1" si="2"/>
        <v>743.56590000000006</v>
      </c>
      <c r="H8" s="10">
        <f t="shared" ca="1" si="2"/>
        <v>743.56590000000006</v>
      </c>
      <c r="I8" s="10">
        <f t="shared" ca="1" si="2"/>
        <v>743.56590000000006</v>
      </c>
      <c r="J8" s="10">
        <f t="shared" ca="1" si="2"/>
        <v>743.56590000000006</v>
      </c>
      <c r="K8" s="10">
        <f t="shared" ca="1" si="2"/>
        <v>743.56590000000006</v>
      </c>
      <c r="L8" s="10"/>
      <c r="M8" s="10"/>
      <c r="N8" s="10">
        <f t="shared" ca="1" si="2"/>
        <v>743.56590000000006</v>
      </c>
      <c r="O8" s="10">
        <f t="shared" ca="1" si="2"/>
        <v>743.56590000000006</v>
      </c>
      <c r="P8" s="8" t="e">
        <f t="shared" si="1"/>
        <v>#REF!</v>
      </c>
      <c r="R8" t="s">
        <v>61</v>
      </c>
      <c r="S8" t="s">
        <v>62</v>
      </c>
      <c r="T8" t="s">
        <v>63</v>
      </c>
    </row>
    <row r="9" spans="1:27" s="11" customFormat="1" ht="15" thickBot="1" x14ac:dyDescent="0.35">
      <c r="A9" s="36" t="s">
        <v>30</v>
      </c>
      <c r="B9" s="37">
        <f>SUM(C3+B5+B6+B7)</f>
        <v>772.05340000000001</v>
      </c>
      <c r="C9" s="37" t="e">
        <f>SUM(#REF!+C5+C6+C7)</f>
        <v>#REF!</v>
      </c>
      <c r="D9" s="37">
        <f t="shared" ref="D9:O9" ca="1" si="3">SUM(D3+D5+D6+D7)</f>
        <v>772.05340000000001</v>
      </c>
      <c r="E9" s="37">
        <f t="shared" ca="1" si="3"/>
        <v>772.05340000000001</v>
      </c>
      <c r="F9" s="37">
        <f t="shared" ca="1" si="3"/>
        <v>772.05340000000001</v>
      </c>
      <c r="G9" s="37">
        <f t="shared" ca="1" si="3"/>
        <v>772.05340000000001</v>
      </c>
      <c r="H9" s="37">
        <f t="shared" ca="1" si="3"/>
        <v>772.05340000000001</v>
      </c>
      <c r="I9" s="37">
        <f t="shared" ca="1" si="3"/>
        <v>772.05340000000001</v>
      </c>
      <c r="J9" s="37">
        <f t="shared" ca="1" si="3"/>
        <v>772.05340000000001</v>
      </c>
      <c r="K9" s="37">
        <f t="shared" ca="1" si="3"/>
        <v>772.05340000000001</v>
      </c>
      <c r="L9" s="37"/>
      <c r="M9" s="37"/>
      <c r="N9" s="37">
        <f t="shared" ca="1" si="3"/>
        <v>772.05340000000001</v>
      </c>
      <c r="O9" s="37">
        <f t="shared" ca="1" si="3"/>
        <v>772.05340000000001</v>
      </c>
      <c r="P9" s="38" t="e">
        <f>SUM(B9:O9)</f>
        <v>#REF!</v>
      </c>
      <c r="R9" s="16"/>
      <c r="S9" s="16">
        <f ca="1">(581+O9+O21)-700</f>
        <v>912.56006666666667</v>
      </c>
      <c r="T9" s="16">
        <f ca="1">O9-(O6+O7)+(11+O21)</f>
        <v>1014.0725666666667</v>
      </c>
    </row>
    <row r="10" spans="1:27" s="12" customFormat="1" ht="19.2" customHeight="1" thickBot="1" x14ac:dyDescent="0.4">
      <c r="A10" s="86" t="s">
        <v>31</v>
      </c>
      <c r="B10" s="87"/>
      <c r="C10" s="87"/>
      <c r="D10" s="87"/>
      <c r="E10" s="87"/>
      <c r="F10" s="87"/>
      <c r="G10" s="87"/>
      <c r="H10" s="87"/>
      <c r="I10" s="87"/>
      <c r="J10" s="87"/>
      <c r="K10" s="87"/>
      <c r="L10" s="87"/>
      <c r="M10" s="87"/>
      <c r="N10" s="87"/>
      <c r="O10" s="87"/>
      <c r="P10" s="88"/>
      <c r="R10" s="16"/>
      <c r="S10" s="16">
        <v>850</v>
      </c>
      <c r="T10" s="16">
        <f>Tableau824[[#This Row],[Avec locataire ]]/12</f>
        <v>70.833333333333329</v>
      </c>
    </row>
    <row r="11" spans="1:27" x14ac:dyDescent="0.3">
      <c r="A11" s="13" t="s">
        <v>32</v>
      </c>
      <c r="B11" s="14">
        <v>580</v>
      </c>
      <c r="C11" s="14">
        <f>B11</f>
        <v>580</v>
      </c>
      <c r="D11" s="14">
        <f t="shared" ref="D11:O12" si="4">C11</f>
        <v>580</v>
      </c>
      <c r="E11" s="14">
        <f t="shared" si="4"/>
        <v>580</v>
      </c>
      <c r="F11" s="14">
        <f t="shared" si="4"/>
        <v>580</v>
      </c>
      <c r="G11" s="14">
        <f t="shared" si="4"/>
        <v>580</v>
      </c>
      <c r="H11" s="14">
        <f t="shared" si="4"/>
        <v>580</v>
      </c>
      <c r="I11" s="14">
        <f t="shared" si="4"/>
        <v>580</v>
      </c>
      <c r="J11" s="14">
        <f t="shared" si="4"/>
        <v>580</v>
      </c>
      <c r="K11" s="14">
        <f t="shared" si="4"/>
        <v>580</v>
      </c>
      <c r="L11" s="14"/>
      <c r="M11" s="14"/>
      <c r="N11" s="14">
        <f>K11</f>
        <v>580</v>
      </c>
      <c r="O11" s="14">
        <f t="shared" si="4"/>
        <v>580</v>
      </c>
      <c r="P11" s="48">
        <f t="shared" ref="P11:P12" si="5">SUM(B11:O11)</f>
        <v>6960</v>
      </c>
      <c r="R11" s="16"/>
      <c r="S11" s="16">
        <v>150</v>
      </c>
      <c r="T11" s="16">
        <f>Tableau824[[#This Row],[Avec locataire ]]/12</f>
        <v>12.5</v>
      </c>
    </row>
    <row r="12" spans="1:27" x14ac:dyDescent="0.3">
      <c r="A12" s="13" t="s">
        <v>33</v>
      </c>
      <c r="B12" s="14">
        <v>50</v>
      </c>
      <c r="C12" s="14">
        <f>B12</f>
        <v>50</v>
      </c>
      <c r="D12" s="14">
        <f t="shared" si="4"/>
        <v>50</v>
      </c>
      <c r="E12" s="14">
        <f t="shared" si="4"/>
        <v>50</v>
      </c>
      <c r="F12" s="14">
        <f t="shared" si="4"/>
        <v>50</v>
      </c>
      <c r="G12" s="14">
        <f t="shared" si="4"/>
        <v>50</v>
      </c>
      <c r="H12" s="14">
        <f t="shared" si="4"/>
        <v>50</v>
      </c>
      <c r="I12" s="14">
        <f t="shared" si="4"/>
        <v>50</v>
      </c>
      <c r="J12" s="14">
        <f t="shared" si="4"/>
        <v>50</v>
      </c>
      <c r="K12" s="14">
        <f t="shared" si="4"/>
        <v>50</v>
      </c>
      <c r="L12" s="14"/>
      <c r="M12" s="14"/>
      <c r="N12" s="14">
        <f>K12</f>
        <v>50</v>
      </c>
      <c r="O12" s="14">
        <f t="shared" si="4"/>
        <v>50</v>
      </c>
      <c r="P12" s="48">
        <f t="shared" si="5"/>
        <v>600</v>
      </c>
      <c r="R12" s="11"/>
    </row>
    <row r="13" spans="1:27" s="11" customFormat="1" ht="18" thickBot="1" x14ac:dyDescent="0.4">
      <c r="A13" s="39" t="s">
        <v>34</v>
      </c>
      <c r="B13" s="40">
        <f t="shared" ref="B13:P13" si="6">SUM(B11:B12)</f>
        <v>630</v>
      </c>
      <c r="C13" s="40">
        <f t="shared" si="6"/>
        <v>630</v>
      </c>
      <c r="D13" s="40">
        <f t="shared" si="6"/>
        <v>630</v>
      </c>
      <c r="E13" s="40">
        <f t="shared" si="6"/>
        <v>630</v>
      </c>
      <c r="F13" s="40">
        <f t="shared" si="6"/>
        <v>630</v>
      </c>
      <c r="G13" s="40">
        <f t="shared" si="6"/>
        <v>630</v>
      </c>
      <c r="H13" s="40">
        <f t="shared" si="6"/>
        <v>630</v>
      </c>
      <c r="I13" s="40">
        <f t="shared" si="6"/>
        <v>630</v>
      </c>
      <c r="J13" s="40">
        <f t="shared" si="6"/>
        <v>630</v>
      </c>
      <c r="K13" s="40">
        <f t="shared" si="6"/>
        <v>630</v>
      </c>
      <c r="L13" s="40"/>
      <c r="M13" s="40"/>
      <c r="N13" s="40">
        <f t="shared" si="6"/>
        <v>630</v>
      </c>
      <c r="O13" s="40">
        <f t="shared" si="6"/>
        <v>630</v>
      </c>
      <c r="P13" s="49">
        <f t="shared" si="6"/>
        <v>7560</v>
      </c>
      <c r="R13" s="12"/>
    </row>
    <row r="14" spans="1:27" ht="19.2" customHeight="1" thickBot="1" x14ac:dyDescent="0.35">
      <c r="A14" s="89" t="s">
        <v>35</v>
      </c>
      <c r="B14" s="90"/>
      <c r="C14" s="90"/>
      <c r="D14" s="90"/>
      <c r="E14" s="90"/>
      <c r="F14" s="90"/>
      <c r="G14" s="90"/>
      <c r="H14" s="90"/>
      <c r="I14" s="90"/>
      <c r="J14" s="90"/>
      <c r="K14" s="90"/>
      <c r="L14" s="90"/>
      <c r="M14" s="90"/>
      <c r="N14" s="90"/>
      <c r="O14" s="90"/>
      <c r="P14" s="91"/>
    </row>
    <row r="15" spans="1:27" x14ac:dyDescent="0.3">
      <c r="A15" s="15" t="s">
        <v>64</v>
      </c>
      <c r="B15" s="21">
        <f>(B11+B12)*0.068</f>
        <v>42.84</v>
      </c>
      <c r="C15" s="21">
        <f t="shared" ref="C15:O15" si="7">(C11+C12)*0.068</f>
        <v>42.84</v>
      </c>
      <c r="D15" s="21">
        <f t="shared" si="7"/>
        <v>42.84</v>
      </c>
      <c r="E15" s="21">
        <f t="shared" si="7"/>
        <v>42.84</v>
      </c>
      <c r="F15" s="21">
        <f t="shared" si="7"/>
        <v>42.84</v>
      </c>
      <c r="G15" s="21">
        <f t="shared" si="7"/>
        <v>42.84</v>
      </c>
      <c r="H15" s="21">
        <f t="shared" si="7"/>
        <v>42.84</v>
      </c>
      <c r="I15" s="21">
        <f t="shared" si="7"/>
        <v>42.84</v>
      </c>
      <c r="J15" s="21">
        <f t="shared" si="7"/>
        <v>42.84</v>
      </c>
      <c r="K15" s="21">
        <f t="shared" si="7"/>
        <v>42.84</v>
      </c>
      <c r="L15" s="21"/>
      <c r="M15" s="21"/>
      <c r="N15" s="21">
        <f t="shared" si="7"/>
        <v>42.84</v>
      </c>
      <c r="O15" s="21">
        <f t="shared" si="7"/>
        <v>42.84</v>
      </c>
      <c r="P15" s="50">
        <f>SUM(B15:O15)</f>
        <v>514.08000000000015</v>
      </c>
    </row>
    <row r="16" spans="1:27" x14ac:dyDescent="0.3">
      <c r="A16" s="15" t="s">
        <v>36</v>
      </c>
      <c r="B16" s="21">
        <f t="shared" ref="B16:K16" si="8">$T$4</f>
        <v>133.33333333333334</v>
      </c>
      <c r="C16" s="21">
        <f t="shared" si="8"/>
        <v>133.33333333333334</v>
      </c>
      <c r="D16" s="21">
        <f t="shared" si="8"/>
        <v>133.33333333333334</v>
      </c>
      <c r="E16" s="21">
        <f t="shared" si="8"/>
        <v>133.33333333333334</v>
      </c>
      <c r="F16" s="21">
        <f t="shared" si="8"/>
        <v>133.33333333333334</v>
      </c>
      <c r="G16" s="21">
        <f t="shared" si="8"/>
        <v>133.33333333333334</v>
      </c>
      <c r="H16" s="21">
        <f t="shared" si="8"/>
        <v>133.33333333333334</v>
      </c>
      <c r="I16" s="21">
        <f t="shared" si="8"/>
        <v>133.33333333333334</v>
      </c>
      <c r="J16" s="21">
        <f t="shared" si="8"/>
        <v>133.33333333333334</v>
      </c>
      <c r="K16" s="21">
        <f t="shared" si="8"/>
        <v>133.33333333333334</v>
      </c>
      <c r="L16" s="21"/>
      <c r="M16" s="21"/>
      <c r="N16" s="21">
        <f>$T$4</f>
        <v>133.33333333333334</v>
      </c>
      <c r="O16" s="21">
        <f>$T$4</f>
        <v>133.33333333333334</v>
      </c>
      <c r="P16" s="50">
        <f>SUM(B16:O16)</f>
        <v>1599.9999999999998</v>
      </c>
    </row>
    <row r="17" spans="1:18" x14ac:dyDescent="0.3">
      <c r="A17" s="22" t="s">
        <v>37</v>
      </c>
      <c r="B17" s="21">
        <f t="shared" ref="B17:K17" si="9">$T$5</f>
        <v>70.833333333333329</v>
      </c>
      <c r="C17" s="21">
        <f t="shared" si="9"/>
        <v>70.833333333333329</v>
      </c>
      <c r="D17" s="21">
        <f t="shared" si="9"/>
        <v>70.833333333333329</v>
      </c>
      <c r="E17" s="21">
        <f t="shared" si="9"/>
        <v>70.833333333333329</v>
      </c>
      <c r="F17" s="21">
        <f t="shared" si="9"/>
        <v>70.833333333333329</v>
      </c>
      <c r="G17" s="21">
        <f t="shared" si="9"/>
        <v>70.833333333333329</v>
      </c>
      <c r="H17" s="21">
        <f t="shared" si="9"/>
        <v>70.833333333333329</v>
      </c>
      <c r="I17" s="21">
        <f t="shared" si="9"/>
        <v>70.833333333333329</v>
      </c>
      <c r="J17" s="21">
        <f t="shared" si="9"/>
        <v>70.833333333333329</v>
      </c>
      <c r="K17" s="21">
        <f t="shared" si="9"/>
        <v>70.833333333333329</v>
      </c>
      <c r="L17" s="21"/>
      <c r="M17" s="21"/>
      <c r="N17" s="21">
        <f>$T$5</f>
        <v>70.833333333333329</v>
      </c>
      <c r="O17" s="21">
        <f>$T$5</f>
        <v>70.833333333333329</v>
      </c>
      <c r="P17" s="50">
        <f t="shared" ref="P17" si="10">SUM(B17:O17)</f>
        <v>850.00000000000011</v>
      </c>
    </row>
    <row r="18" spans="1:18" x14ac:dyDescent="0.3">
      <c r="A18" s="22" t="s">
        <v>38</v>
      </c>
      <c r="B18" s="21">
        <f t="shared" ref="B18:K18" si="11">$T$6</f>
        <v>12.5</v>
      </c>
      <c r="C18" s="21">
        <f t="shared" si="11"/>
        <v>12.5</v>
      </c>
      <c r="D18" s="21">
        <f t="shared" si="11"/>
        <v>12.5</v>
      </c>
      <c r="E18" s="21">
        <f t="shared" si="11"/>
        <v>12.5</v>
      </c>
      <c r="F18" s="21">
        <f t="shared" si="11"/>
        <v>12.5</v>
      </c>
      <c r="G18" s="21">
        <f t="shared" si="11"/>
        <v>12.5</v>
      </c>
      <c r="H18" s="21">
        <f t="shared" si="11"/>
        <v>12.5</v>
      </c>
      <c r="I18" s="21">
        <f t="shared" si="11"/>
        <v>12.5</v>
      </c>
      <c r="J18" s="21">
        <f t="shared" si="11"/>
        <v>12.5</v>
      </c>
      <c r="K18" s="21">
        <f t="shared" si="11"/>
        <v>12.5</v>
      </c>
      <c r="L18" s="21"/>
      <c r="M18" s="21"/>
      <c r="N18" s="21">
        <f>$T$6</f>
        <v>12.5</v>
      </c>
      <c r="O18" s="21">
        <f>$T$6</f>
        <v>12.5</v>
      </c>
      <c r="P18" s="50">
        <f>SUM(B18:O18)</f>
        <v>150</v>
      </c>
    </row>
    <row r="19" spans="1:18" x14ac:dyDescent="0.3">
      <c r="A19" s="22" t="s">
        <v>65</v>
      </c>
      <c r="B19" s="21"/>
      <c r="C19" s="21"/>
      <c r="D19" s="21"/>
      <c r="E19" s="21"/>
      <c r="F19" s="21"/>
      <c r="G19" s="21"/>
      <c r="H19" s="21"/>
      <c r="I19" s="21"/>
      <c r="J19" s="21"/>
      <c r="K19" s="21"/>
      <c r="L19" s="21"/>
      <c r="M19" s="21"/>
      <c r="N19" s="21"/>
      <c r="O19" s="21"/>
      <c r="P19" s="50">
        <f t="shared" ref="P19:P20" si="12">SUM(B19:O19)</f>
        <v>0</v>
      </c>
    </row>
    <row r="20" spans="1:18" x14ac:dyDescent="0.3">
      <c r="A20" s="22" t="s">
        <v>66</v>
      </c>
      <c r="B20" s="21">
        <f>(40*13)</f>
        <v>520</v>
      </c>
      <c r="C20" s="21"/>
      <c r="D20" s="21"/>
      <c r="E20" s="21"/>
      <c r="F20" s="21"/>
      <c r="G20" s="21"/>
      <c r="H20" s="21"/>
      <c r="I20" s="21"/>
      <c r="J20" s="21"/>
      <c r="K20" s="21"/>
      <c r="L20" s="21"/>
      <c r="M20" s="21"/>
      <c r="N20" s="21"/>
      <c r="O20" s="21"/>
      <c r="P20" s="50">
        <f t="shared" si="12"/>
        <v>520</v>
      </c>
    </row>
    <row r="21" spans="1:18" s="11" customFormat="1" ht="18" thickBot="1" x14ac:dyDescent="0.4">
      <c r="A21" s="41" t="s">
        <v>39</v>
      </c>
      <c r="B21" s="42">
        <f t="shared" ref="B21:O21" si="13">SUM(B15:B20)</f>
        <v>779.50666666666666</v>
      </c>
      <c r="C21" s="42">
        <f t="shared" si="13"/>
        <v>259.50666666666666</v>
      </c>
      <c r="D21" s="42">
        <f t="shared" si="13"/>
        <v>259.50666666666666</v>
      </c>
      <c r="E21" s="42">
        <f t="shared" si="13"/>
        <v>259.50666666666666</v>
      </c>
      <c r="F21" s="42">
        <f t="shared" si="13"/>
        <v>259.50666666666666</v>
      </c>
      <c r="G21" s="42">
        <f t="shared" si="13"/>
        <v>259.50666666666666</v>
      </c>
      <c r="H21" s="42">
        <f t="shared" si="13"/>
        <v>259.50666666666666</v>
      </c>
      <c r="I21" s="42">
        <f t="shared" si="13"/>
        <v>259.50666666666666</v>
      </c>
      <c r="J21" s="42">
        <f t="shared" si="13"/>
        <v>259.50666666666666</v>
      </c>
      <c r="K21" s="42">
        <f t="shared" si="13"/>
        <v>259.50666666666666</v>
      </c>
      <c r="L21" s="42"/>
      <c r="M21" s="42"/>
      <c r="N21" s="42">
        <f t="shared" si="13"/>
        <v>259.50666666666666</v>
      </c>
      <c r="O21" s="42">
        <f t="shared" si="13"/>
        <v>259.50666666666666</v>
      </c>
      <c r="P21" s="51">
        <f>SUM(B21:O21)</f>
        <v>3634.08</v>
      </c>
      <c r="R21" s="12"/>
    </row>
    <row r="22" spans="1:18" s="12" customFormat="1" ht="19.2" customHeight="1" thickBot="1" x14ac:dyDescent="0.4">
      <c r="A22" s="80" t="s">
        <v>40</v>
      </c>
      <c r="B22" s="81"/>
      <c r="C22" s="81"/>
      <c r="D22" s="81"/>
      <c r="E22" s="81"/>
      <c r="F22" s="81"/>
      <c r="G22" s="81"/>
      <c r="H22" s="81"/>
      <c r="I22" s="81"/>
      <c r="J22" s="81"/>
      <c r="K22" s="81"/>
      <c r="L22" s="81"/>
      <c r="M22" s="81"/>
      <c r="N22" s="81"/>
      <c r="O22" s="81"/>
      <c r="P22" s="82"/>
      <c r="R22"/>
    </row>
    <row r="23" spans="1:18" x14ac:dyDescent="0.3">
      <c r="A23" s="45" t="s">
        <v>41</v>
      </c>
      <c r="B23" s="46">
        <f t="shared" ref="B23:O23" si="14">B9+B21</f>
        <v>1551.5600666666667</v>
      </c>
      <c r="C23" s="46" t="e">
        <f t="shared" si="14"/>
        <v>#REF!</v>
      </c>
      <c r="D23" s="46">
        <f t="shared" ca="1" si="14"/>
        <v>1031.5600666666667</v>
      </c>
      <c r="E23" s="46">
        <f t="shared" ca="1" si="14"/>
        <v>1031.5600666666667</v>
      </c>
      <c r="F23" s="46">
        <f t="shared" ca="1" si="14"/>
        <v>1031.5600666666667</v>
      </c>
      <c r="G23" s="46">
        <f t="shared" ca="1" si="14"/>
        <v>1031.5600666666667</v>
      </c>
      <c r="H23" s="46">
        <f t="shared" ca="1" si="14"/>
        <v>1031.5600666666667</v>
      </c>
      <c r="I23" s="46">
        <f t="shared" ca="1" si="14"/>
        <v>1031.5600666666667</v>
      </c>
      <c r="J23" s="46">
        <f t="shared" ca="1" si="14"/>
        <v>1031.5600666666667</v>
      </c>
      <c r="K23" s="46">
        <f t="shared" ca="1" si="14"/>
        <v>1031.5600666666667</v>
      </c>
      <c r="L23" s="46"/>
      <c r="M23" s="46"/>
      <c r="N23" s="46">
        <f t="shared" ca="1" si="14"/>
        <v>1031.5600666666667</v>
      </c>
      <c r="O23" s="46">
        <f t="shared" ca="1" si="14"/>
        <v>1031.5600666666667</v>
      </c>
      <c r="P23" s="52" t="e">
        <f>SUM(B23:O23)</f>
        <v>#REF!</v>
      </c>
    </row>
    <row r="24" spans="1:18" x14ac:dyDescent="0.3">
      <c r="A24" s="43" t="s">
        <v>34</v>
      </c>
      <c r="B24" s="44">
        <f t="shared" ref="B24:O24" si="15">B13</f>
        <v>630</v>
      </c>
      <c r="C24" s="44">
        <f t="shared" si="15"/>
        <v>630</v>
      </c>
      <c r="D24" s="44">
        <f t="shared" si="15"/>
        <v>630</v>
      </c>
      <c r="E24" s="44">
        <f t="shared" si="15"/>
        <v>630</v>
      </c>
      <c r="F24" s="44">
        <f t="shared" si="15"/>
        <v>630</v>
      </c>
      <c r="G24" s="44">
        <f t="shared" si="15"/>
        <v>630</v>
      </c>
      <c r="H24" s="44">
        <f t="shared" si="15"/>
        <v>630</v>
      </c>
      <c r="I24" s="44">
        <f t="shared" si="15"/>
        <v>630</v>
      </c>
      <c r="J24" s="44">
        <f t="shared" si="15"/>
        <v>630</v>
      </c>
      <c r="K24" s="44">
        <f t="shared" si="15"/>
        <v>630</v>
      </c>
      <c r="L24" s="44"/>
      <c r="M24" s="44"/>
      <c r="N24" s="44">
        <f t="shared" si="15"/>
        <v>630</v>
      </c>
      <c r="O24" s="44">
        <f t="shared" si="15"/>
        <v>630</v>
      </c>
      <c r="P24" s="53">
        <f>SUM(B24:O24)</f>
        <v>7560</v>
      </c>
      <c r="R24" s="11"/>
    </row>
    <row r="25" spans="1:18" s="11" customFormat="1" ht="18" thickBot="1" x14ac:dyDescent="0.4">
      <c r="A25" s="54" t="s">
        <v>42</v>
      </c>
      <c r="B25" s="55">
        <f>B23-B24</f>
        <v>921.56006666666667</v>
      </c>
      <c r="C25" s="55" t="e">
        <f t="shared" ref="C25:O25" si="16">C23-C24</f>
        <v>#REF!</v>
      </c>
      <c r="D25" s="55">
        <f t="shared" ca="1" si="16"/>
        <v>401.56006666666667</v>
      </c>
      <c r="E25" s="55">
        <f t="shared" ca="1" si="16"/>
        <v>401.56006666666667</v>
      </c>
      <c r="F25" s="55">
        <f t="shared" ca="1" si="16"/>
        <v>401.56006666666667</v>
      </c>
      <c r="G25" s="55">
        <f t="shared" ca="1" si="16"/>
        <v>401.56006666666667</v>
      </c>
      <c r="H25" s="55">
        <f t="shared" ca="1" si="16"/>
        <v>401.56006666666667</v>
      </c>
      <c r="I25" s="55">
        <f t="shared" ca="1" si="16"/>
        <v>401.56006666666667</v>
      </c>
      <c r="J25" s="55">
        <f t="shared" ca="1" si="16"/>
        <v>401.56006666666667</v>
      </c>
      <c r="K25" s="55">
        <f t="shared" ca="1" si="16"/>
        <v>401.56006666666667</v>
      </c>
      <c r="L25" s="55"/>
      <c r="M25" s="55"/>
      <c r="N25" s="55">
        <f t="shared" ca="1" si="16"/>
        <v>401.56006666666667</v>
      </c>
      <c r="O25" s="55">
        <f t="shared" ca="1" si="16"/>
        <v>401.56006666666667</v>
      </c>
      <c r="P25" s="56" t="e">
        <f>SUM(B25:O25)</f>
        <v>#REF!</v>
      </c>
      <c r="R25" s="12"/>
    </row>
    <row r="26" spans="1:18" x14ac:dyDescent="0.3">
      <c r="F26" s="19"/>
    </row>
    <row r="27" spans="1:18" x14ac:dyDescent="0.3">
      <c r="F27" s="19"/>
    </row>
    <row r="28" spans="1:18" x14ac:dyDescent="0.3">
      <c r="F28" s="19"/>
      <c r="I28" s="17">
        <f>581+261.24</f>
        <v>842.24</v>
      </c>
      <c r="J28" s="67">
        <f>715+O15+O17</f>
        <v>828.6733333333334</v>
      </c>
    </row>
    <row r="29" spans="1:18" x14ac:dyDescent="0.3">
      <c r="F29" s="19"/>
      <c r="I29" s="17">
        <f>1800-I28</f>
        <v>957.76</v>
      </c>
    </row>
    <row r="30" spans="1:18" x14ac:dyDescent="0.3">
      <c r="F30" s="19"/>
    </row>
    <row r="31" spans="1:18" x14ac:dyDescent="0.3">
      <c r="F31" s="19"/>
    </row>
    <row r="32" spans="1:18" x14ac:dyDescent="0.3">
      <c r="F32" s="19"/>
    </row>
    <row r="33" spans="5:6" x14ac:dyDescent="0.3">
      <c r="F33" s="19"/>
    </row>
    <row r="34" spans="5:6" x14ac:dyDescent="0.3">
      <c r="E34" s="19"/>
    </row>
  </sheetData>
  <mergeCells count="4">
    <mergeCell ref="A2:P2"/>
    <mergeCell ref="A10:P10"/>
    <mergeCell ref="A14:P14"/>
    <mergeCell ref="A22:P22"/>
  </mergeCells>
  <conditionalFormatting sqref="A1:A2">
    <cfRule type="expression" dxfId="5" priority="2">
      <formula>ESTVIDE</formula>
    </cfRule>
  </conditionalFormatting>
  <conditionalFormatting sqref="A2:P2 A3 A4:P9 C3:P3">
    <cfRule type="containsBlanks" dxfId="4" priority="3">
      <formula>LEN(TRIM(A2))=0</formula>
    </cfRule>
  </conditionalFormatting>
  <conditionalFormatting sqref="A10:P13">
    <cfRule type="containsBlanks" dxfId="3" priority="1">
      <formula>LEN(TRIM(A10))=0</formula>
    </cfRule>
    <cfRule type="containsBlanks" dxfId="2" priority="4">
      <formula>LEN(TRIM(A10))=0</formula>
    </cfRule>
  </conditionalFormatting>
  <conditionalFormatting sqref="A15:P21">
    <cfRule type="containsBlanks" dxfId="1" priority="5">
      <formula>LEN(TRIM(A15))=0</formula>
    </cfRule>
  </conditionalFormatting>
  <conditionalFormatting sqref="A22:P25">
    <cfRule type="containsBlanks" dxfId="0" priority="6">
      <formula>LEN(TRIM(A22))=0</formula>
    </cfRule>
  </conditionalFormatting>
  <pageMargins left="0.7" right="0.7" top="0.75" bottom="0.75" header="0.3" footer="0.3"/>
  <pageSetup paperSize="9" orientation="portrait" horizontalDpi="4294967293" verticalDpi="300"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2023</vt:lpstr>
      <vt:lpstr>Devis - Capacité - Impôt</vt:lpstr>
      <vt:lpstr>Amortissement banque</vt:lpstr>
      <vt:lpstr>TA Emprunt banque</vt:lpstr>
      <vt:lpstr>2023-2024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Damien Advenard</dc:creator>
  <cp:keywords/>
  <dc:description/>
  <cp:lastModifiedBy>Acheteur</cp:lastModifiedBy>
  <cp:revision/>
  <dcterms:created xsi:type="dcterms:W3CDTF">2023-05-01T14:03:31Z</dcterms:created>
  <dcterms:modified xsi:type="dcterms:W3CDTF">2023-10-15T13:38:45Z</dcterms:modified>
  <cp:category/>
  <cp:contentStatus/>
</cp:coreProperties>
</file>