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226"/>
  <workbookPr codeName="ThisWorkbook" autoCompressPictures="0"/>
  <mc:AlternateContent xmlns:mc="http://schemas.openxmlformats.org/markup-compatibility/2006">
    <mc:Choice Requires="x15">
      <x15ac:absPath xmlns:x15ac="http://schemas.microsoft.com/office/spreadsheetml/2010/11/ac" url="C:\Users\BERTAL Karim\Downloads\"/>
    </mc:Choice>
  </mc:AlternateContent>
  <xr:revisionPtr revIDLastSave="0" documentId="10_ncr:8100000_{55D6E670-3526-404B-960C-B544F3BB7842}" xr6:coauthVersionLast="32" xr6:coauthVersionMax="32" xr10:uidLastSave="{00000000-0000-0000-0000-000000000000}"/>
  <bookViews>
    <workbookView xWindow="0" yWindow="0" windowWidth="21600" windowHeight="9510" tabRatio="741" activeTab="14" xr2:uid="{00000000-000D-0000-FFFF-FFFF00000000}"/>
  </bookViews>
  <sheets>
    <sheet name="Janv." sheetId="1" r:id="rId1"/>
    <sheet name="Févr." sheetId="6" r:id="rId2"/>
    <sheet name="Mars" sheetId="17" r:id="rId3"/>
    <sheet name="Avr." sheetId="18" r:id="rId4"/>
    <sheet name="Mai" sheetId="19" r:id="rId5"/>
    <sheet name="Juin" sheetId="20" r:id="rId6"/>
    <sheet name="Juil." sheetId="21" r:id="rId7"/>
    <sheet name="Août" sheetId="22" r:id="rId8"/>
    <sheet name="Sept." sheetId="23" r:id="rId9"/>
    <sheet name="Oct." sheetId="24" r:id="rId10"/>
    <sheet name="Nov." sheetId="25" r:id="rId11"/>
    <sheet name="Déc." sheetId="26" r:id="rId12"/>
    <sheet name="Fact" sheetId="27" r:id="rId13"/>
    <sheet name="BD CAL" sheetId="33" r:id="rId14"/>
    <sheet name="Reservation" sheetId="28" r:id="rId15"/>
    <sheet name="Client" sheetId="31" r:id="rId16"/>
    <sheet name="Activité" sheetId="32" r:id="rId17"/>
    <sheet name="Réglements" sheetId="30" r:id="rId18"/>
  </sheets>
  <definedNames>
    <definedName name="Activités">Reservation!$P$13:$P$16</definedName>
    <definedName name="Année">Janv.!$B$1</definedName>
    <definedName name="AssignmentDays" localSheetId="7">Août!$K$2:$K$31</definedName>
    <definedName name="AssignmentDays" localSheetId="3">Avr.!$K$2:$K$31</definedName>
    <definedName name="AssignmentDays" localSheetId="11">Déc.!$K$2:$K$31</definedName>
    <definedName name="AssignmentDays" localSheetId="1">Févr.!$K$2:$K$31</definedName>
    <definedName name="AssignmentDays" localSheetId="6">Juil.!$K$2:$K$31</definedName>
    <definedName name="AssignmentDays" localSheetId="5">Juin!$K$2:$K$31</definedName>
    <definedName name="AssignmentDays" localSheetId="4">Mai!$K$2:$K$31</definedName>
    <definedName name="AssignmentDays" localSheetId="2">Mars!$K$2:$K$31</definedName>
    <definedName name="AssignmentDays" localSheetId="10">Nov.!$K$2:$K$31</definedName>
    <definedName name="AssignmentDays" localSheetId="9">Oct.!$K$2:$K$31</definedName>
    <definedName name="AssignmentDays" localSheetId="8">Sept.!$K$2:$K$31</definedName>
    <definedName name="AssignmentDays">Janv.!$K$2:$K$31</definedName>
    <definedName name="Créneau">Reservation!$O$4:$O$5</definedName>
    <definedName name="DimAoût1">DATE(Année,8,1)-WEEKDAY(DATE(Année,8,1))+1</definedName>
    <definedName name="DimAvr1">DATE(Année,4,1)-WEEKDAY(DATE(Année,4,1))+1</definedName>
    <definedName name="DimDéc1">DATE(Année,12,1)-WEEKDAY(DATE(Année,12,1))+1</definedName>
    <definedName name="DimFévr1">DATE(Année,2,1)-WEEKDAY(DATE(Année,2,1))+1</definedName>
    <definedName name="DimJanv1">DATE(Année,1,1)-WEEKDAY(DATE(Année,1,1))+1</definedName>
    <definedName name="DimJuil1">DATE(Année,7,1)-WEEKDAY(DATE(Année,7,1))+1</definedName>
    <definedName name="DimJuin1">DATE(Année,6,1)-WEEKDAY(DATE(Année,6,1))+1</definedName>
    <definedName name="DimMai1">DATE(Année,5,1)-WEEKDAY(DATE(Année,5,1))+1</definedName>
    <definedName name="DimMars1">DATE(Année,3,1)-WEEKDAY(DATE(Année,3,1))+1</definedName>
    <definedName name="DimNov1">DATE(Année,11,1)-WEEKDAY(DATE(Année,11,1))+1</definedName>
    <definedName name="DimOct1">DATE(Année,10,1)-WEEKDAY(DATE(Année,10,1))+1</definedName>
    <definedName name="DimSept1">DATE(Année,9,1)-WEEKDAY(DATE(Année,9,1))+1</definedName>
    <definedName name="FACTURATION">Fact!$A:$J</definedName>
    <definedName name="ImportantDatesTable" localSheetId="7">Août!$K$2:$L$6</definedName>
    <definedName name="ImportantDatesTable" localSheetId="3">Avr.!$K$2:$L$6</definedName>
    <definedName name="ImportantDatesTable" localSheetId="11">Déc.!$K$2:$L$6</definedName>
    <definedName name="ImportantDatesTable" localSheetId="1">Févr.!$K$2:$L$6</definedName>
    <definedName name="ImportantDatesTable" localSheetId="6">Juil.!$K$2:$L$6</definedName>
    <definedName name="ImportantDatesTable" localSheetId="5">Juin!$K$2:$L$6</definedName>
    <definedName name="ImportantDatesTable" localSheetId="4">Mai!$K$2:$L$6</definedName>
    <definedName name="ImportantDatesTable" localSheetId="2">Mars!$K$2:$L$6</definedName>
    <definedName name="ImportantDatesTable" localSheetId="10">Nov.!$K$2:$L$6</definedName>
    <definedName name="ImportantDatesTable" localSheetId="9">Oct.!$K$2:$L$6</definedName>
    <definedName name="ImportantDatesTable" localSheetId="8">Sept.!$K$2:$L$6</definedName>
    <definedName name="ImportantDatesTable">Janv.!$K$2:$L$6</definedName>
    <definedName name="RégionTitre2...I31.1">Janv.!$A$11</definedName>
    <definedName name="RégionTitre2...I31.10">Oct.!$A$11</definedName>
    <definedName name="RégionTitre2...I31.11">Nov.!$A$11</definedName>
    <definedName name="RégionTitre2...I31.12">Déc.!$A$11</definedName>
    <definedName name="RégionTitre2...I31.2">Févr.!$A$11</definedName>
    <definedName name="RégionTitre2...I31.3">Mars!$A$11</definedName>
    <definedName name="RégionTitre2...I31.4">Avr.!$A$11</definedName>
    <definedName name="RégionTitre2...I31.5">Mai!$A$11</definedName>
    <definedName name="RégionTitre2...I31.6">Juin!$A$11</definedName>
    <definedName name="RégionTitre2...I31.7">Juil.!$A$11</definedName>
    <definedName name="RégionTitre2...I31.8">Août!$A$11</definedName>
    <definedName name="RégionTitre2...I31.9">Sept.!$A$11</definedName>
    <definedName name="RégionTitreColonne1...I8.1">Janv.!$C$2</definedName>
    <definedName name="RégionTitreColonne1...I8.10">Oct.!$C$2</definedName>
    <definedName name="RégionTitreColonne1...I8.11">Nov.!$C$2</definedName>
    <definedName name="RégionTitreColonne1...I8.12">Déc.!$C$2</definedName>
    <definedName name="RégionTitreColonne1...I8.2">Févr.!$C$2</definedName>
    <definedName name="RégionTitreColonne1...I8.3">Mars!$C$2</definedName>
    <definedName name="RégionTitreColonne1...I8.4">Avr.!$C$2</definedName>
    <definedName name="RégionTitreColonne1...I8.5">Mai!$C$2</definedName>
    <definedName name="RégionTitreColonne1...I8.6">Juin!$C$2</definedName>
    <definedName name="RégionTitreColonne1...I8.7">Juil.!$C$2</definedName>
    <definedName name="RégionTitreColonne1...I8.8">Août!$C$2</definedName>
    <definedName name="RégionTitreColonne1...I8.9">Sept.!$C$2</definedName>
    <definedName name="Séjours">Reservation!$P$9:$P$12</definedName>
    <definedName name="TitreColonne1">DevoirsJanvier[[#Headers],[Jour de la semaine]]</definedName>
    <definedName name="TitreColonne10">DevoirsOctobre[[#Headers],[Jour de la semaine]]</definedName>
    <definedName name="TitreColonne11">DevoirsNovembre[[#Headers],[Jour de la semaine]]</definedName>
    <definedName name="TitreColonne12">DevoirsDécembre[[#Headers],[Jour de la semaine]]</definedName>
    <definedName name="TitreColonne2">DevoirsFévrier[[#Headers],[Jour de la semaine]]</definedName>
    <definedName name="TitreColonne3">DevoirsMars[[#Headers],[Jour de la semaine]]</definedName>
    <definedName name="TitreColonne4">DevoirsAvril[[#Headers],[Jour de la semaine]]</definedName>
    <definedName name="TitreColonne5">DevoirsMai[[#Headers],[Jour de la semaine]]</definedName>
    <definedName name="TitreColonne6">DevoirsJuin[[#Headers],[Jour de la semaine]]</definedName>
    <definedName name="TitreColonne7">DevoirsJuillet[[#Headers],[Jour de la semaine]]</definedName>
    <definedName name="TitreColonne8">DevoirsAoût[[#Headers],[Jour de la semaine]]</definedName>
    <definedName name="TitreColonne9">DevoirsSeptembre[[#Headers],[Jour de la semaine]]</definedName>
  </definedNames>
  <calcPr calcId="162913"/>
  <extLst>
    <ext xmlns:mx="http://schemas.microsoft.com/office/mac/excel/2008/main" uri="{7523E5D3-25F3-A5E0-1632-64F254C22452}">
      <mx:ArchID Flags="2"/>
    </ext>
  </extLst>
</workbook>
</file>

<file path=xl/calcChain.xml><?xml version="1.0" encoding="utf-8"?>
<calcChain xmlns="http://schemas.openxmlformats.org/spreadsheetml/2006/main">
  <c r="G2" i="31" l="1"/>
  <c r="G3" i="31"/>
  <c r="P2" i="28"/>
  <c r="P4" i="28"/>
  <c r="B1" i="1" l="1"/>
  <c r="C3" i="19" s="1"/>
  <c r="I8" i="26" l="1"/>
  <c r="I5" i="26"/>
  <c r="G4" i="26"/>
  <c r="E3" i="26"/>
  <c r="H8" i="26"/>
  <c r="E8" i="26"/>
  <c r="I7" i="26"/>
  <c r="F7" i="26"/>
  <c r="C7" i="26"/>
  <c r="G6" i="26"/>
  <c r="D6" i="26"/>
  <c r="H5" i="26"/>
  <c r="E5" i="26"/>
  <c r="I4" i="26"/>
  <c r="F4" i="26"/>
  <c r="C4" i="26"/>
  <c r="G3" i="26"/>
  <c r="D3" i="26"/>
  <c r="G8" i="26"/>
  <c r="D8" i="26"/>
  <c r="H7" i="26"/>
  <c r="E7" i="26"/>
  <c r="I6" i="26"/>
  <c r="F6" i="26"/>
  <c r="C6" i="26"/>
  <c r="G5" i="26"/>
  <c r="D5" i="26"/>
  <c r="H4" i="26"/>
  <c r="E4" i="26"/>
  <c r="I3" i="26"/>
  <c r="F3" i="26"/>
  <c r="C3" i="26"/>
  <c r="F8" i="26"/>
  <c r="C8" i="26"/>
  <c r="G7" i="26"/>
  <c r="D7" i="26"/>
  <c r="H6" i="26"/>
  <c r="E6" i="26"/>
  <c r="F5" i="26"/>
  <c r="C5" i="26"/>
  <c r="D4" i="26"/>
  <c r="H3" i="26"/>
  <c r="B1" i="26"/>
  <c r="I8" i="23"/>
  <c r="F8" i="23"/>
  <c r="C8" i="23"/>
  <c r="G7" i="23"/>
  <c r="D7" i="23"/>
  <c r="H6" i="23"/>
  <c r="E6" i="23"/>
  <c r="I5" i="23"/>
  <c r="F5" i="23"/>
  <c r="C5" i="23"/>
  <c r="G4" i="23"/>
  <c r="D4" i="23"/>
  <c r="H3" i="23"/>
  <c r="E3" i="23"/>
  <c r="H8" i="23"/>
  <c r="E8" i="23"/>
  <c r="I7" i="23"/>
  <c r="F7" i="23"/>
  <c r="C7" i="23"/>
  <c r="G6" i="23"/>
  <c r="D6" i="23"/>
  <c r="H5" i="23"/>
  <c r="E5" i="23"/>
  <c r="I4" i="23"/>
  <c r="F4" i="23"/>
  <c r="C4" i="23"/>
  <c r="G3" i="23"/>
  <c r="D3" i="23"/>
  <c r="G8" i="23"/>
  <c r="D8" i="23"/>
  <c r="H7" i="23"/>
  <c r="E7" i="23"/>
  <c r="I6" i="23"/>
  <c r="F6" i="23"/>
  <c r="C6" i="23"/>
  <c r="G5" i="23"/>
  <c r="D5" i="23"/>
  <c r="H4" i="23"/>
  <c r="E4" i="23"/>
  <c r="I3" i="23"/>
  <c r="F3" i="23"/>
  <c r="C3" i="23"/>
  <c r="B1" i="24"/>
  <c r="B1" i="25"/>
  <c r="B1" i="22"/>
  <c r="B1" i="23"/>
  <c r="B1" i="20"/>
  <c r="B1" i="21"/>
  <c r="B1" i="18"/>
  <c r="B1" i="19"/>
  <c r="B1" i="6"/>
  <c r="B1" i="17"/>
  <c r="I8" i="25"/>
  <c r="E8" i="25"/>
  <c r="H7" i="25"/>
  <c r="D7" i="25"/>
  <c r="G6" i="25"/>
  <c r="C6" i="25"/>
  <c r="F5" i="25"/>
  <c r="I4" i="25"/>
  <c r="E4" i="25"/>
  <c r="H3" i="25"/>
  <c r="D3" i="25"/>
  <c r="I7" i="25"/>
  <c r="D6" i="25"/>
  <c r="C5" i="25"/>
  <c r="E3" i="25"/>
  <c r="H8" i="25"/>
  <c r="D8" i="25"/>
  <c r="G7" i="25"/>
  <c r="C7" i="25"/>
  <c r="F6" i="25"/>
  <c r="I5" i="25"/>
  <c r="E5" i="25"/>
  <c r="H4" i="25"/>
  <c r="D4" i="25"/>
  <c r="G3" i="25"/>
  <c r="C3" i="25"/>
  <c r="H6" i="25"/>
  <c r="F4" i="25"/>
  <c r="G8" i="25"/>
  <c r="C8" i="25"/>
  <c r="F7" i="25"/>
  <c r="I6" i="25"/>
  <c r="E6" i="25"/>
  <c r="H5" i="25"/>
  <c r="D5" i="25"/>
  <c r="G4" i="25"/>
  <c r="C4" i="25"/>
  <c r="F3" i="25"/>
  <c r="F8" i="25"/>
  <c r="E7" i="25"/>
  <c r="G5" i="25"/>
  <c r="I3" i="25"/>
  <c r="I8" i="24"/>
  <c r="E8" i="24"/>
  <c r="H7" i="24"/>
  <c r="D7" i="24"/>
  <c r="G6" i="24"/>
  <c r="C6" i="24"/>
  <c r="F5" i="24"/>
  <c r="I4" i="24"/>
  <c r="E4" i="24"/>
  <c r="H3" i="24"/>
  <c r="D3" i="24"/>
  <c r="C8" i="24"/>
  <c r="I6" i="24"/>
  <c r="H5" i="24"/>
  <c r="G4" i="24"/>
  <c r="F3" i="24"/>
  <c r="I7" i="24"/>
  <c r="H6" i="24"/>
  <c r="G5" i="24"/>
  <c r="F4" i="24"/>
  <c r="E3" i="24"/>
  <c r="H8" i="24"/>
  <c r="D8" i="24"/>
  <c r="G7" i="24"/>
  <c r="C7" i="24"/>
  <c r="F6" i="24"/>
  <c r="I5" i="24"/>
  <c r="E5" i="24"/>
  <c r="H4" i="24"/>
  <c r="D4" i="24"/>
  <c r="G3" i="24"/>
  <c r="C3" i="24"/>
  <c r="G8" i="24"/>
  <c r="F7" i="24"/>
  <c r="E6" i="24"/>
  <c r="D5" i="24"/>
  <c r="C4" i="24"/>
  <c r="F8" i="24"/>
  <c r="E7" i="24"/>
  <c r="D6" i="24"/>
  <c r="C5" i="24"/>
  <c r="I3" i="24"/>
  <c r="I8" i="22"/>
  <c r="E8" i="22"/>
  <c r="H7" i="22"/>
  <c r="D7" i="22"/>
  <c r="G6" i="22"/>
  <c r="C6" i="22"/>
  <c r="F5" i="22"/>
  <c r="I4" i="22"/>
  <c r="E4" i="22"/>
  <c r="H3" i="22"/>
  <c r="D3" i="22"/>
  <c r="H8" i="22"/>
  <c r="D8" i="22"/>
  <c r="G7" i="22"/>
  <c r="C7" i="22"/>
  <c r="F6" i="22"/>
  <c r="I5" i="22"/>
  <c r="E5" i="22"/>
  <c r="H4" i="22"/>
  <c r="D4" i="22"/>
  <c r="G3" i="22"/>
  <c r="C3" i="22"/>
  <c r="G8" i="22"/>
  <c r="C8" i="22"/>
  <c r="F7" i="22"/>
  <c r="I6" i="22"/>
  <c r="E6" i="22"/>
  <c r="H5" i="22"/>
  <c r="D5" i="22"/>
  <c r="G4" i="22"/>
  <c r="C4" i="22"/>
  <c r="F3" i="22"/>
  <c r="F8" i="22"/>
  <c r="I7" i="22"/>
  <c r="E7" i="22"/>
  <c r="H6" i="22"/>
  <c r="D6" i="22"/>
  <c r="G5" i="22"/>
  <c r="C5" i="22"/>
  <c r="F4" i="22"/>
  <c r="I3" i="22"/>
  <c r="E3" i="22"/>
  <c r="I8" i="21"/>
  <c r="E8" i="21"/>
  <c r="H7" i="21"/>
  <c r="D7" i="21"/>
  <c r="G6" i="21"/>
  <c r="C6" i="21"/>
  <c r="F5" i="21"/>
  <c r="I4" i="21"/>
  <c r="E4" i="21"/>
  <c r="H3" i="21"/>
  <c r="D3" i="21"/>
  <c r="C8" i="21"/>
  <c r="I6" i="21"/>
  <c r="H5" i="21"/>
  <c r="G4" i="21"/>
  <c r="F3" i="21"/>
  <c r="H8" i="21"/>
  <c r="D8" i="21"/>
  <c r="G7" i="21"/>
  <c r="C7" i="21"/>
  <c r="F6" i="21"/>
  <c r="I5" i="21"/>
  <c r="E5" i="21"/>
  <c r="H4" i="21"/>
  <c r="D4" i="21"/>
  <c r="G3" i="21"/>
  <c r="C3" i="21"/>
  <c r="F7" i="21"/>
  <c r="E6" i="21"/>
  <c r="D5" i="21"/>
  <c r="C4" i="21"/>
  <c r="G8" i="21"/>
  <c r="F8" i="21"/>
  <c r="I7" i="21"/>
  <c r="E7" i="21"/>
  <c r="H6" i="21"/>
  <c r="D6" i="21"/>
  <c r="G5" i="21"/>
  <c r="C5" i="21"/>
  <c r="F4" i="21"/>
  <c r="I3" i="21"/>
  <c r="E3" i="21"/>
  <c r="I8" i="20"/>
  <c r="E8" i="20"/>
  <c r="H7" i="20"/>
  <c r="D7" i="20"/>
  <c r="G6" i="20"/>
  <c r="C6" i="20"/>
  <c r="F5" i="20"/>
  <c r="I4" i="20"/>
  <c r="E4" i="20"/>
  <c r="H3" i="20"/>
  <c r="D3" i="20"/>
  <c r="E7" i="20"/>
  <c r="D6" i="20"/>
  <c r="F4" i="20"/>
  <c r="H8" i="20"/>
  <c r="D8" i="20"/>
  <c r="G7" i="20"/>
  <c r="C7" i="20"/>
  <c r="F6" i="20"/>
  <c r="I5" i="20"/>
  <c r="E5" i="20"/>
  <c r="H4" i="20"/>
  <c r="D4" i="20"/>
  <c r="G3" i="20"/>
  <c r="C3" i="20"/>
  <c r="I7" i="20"/>
  <c r="G5" i="20"/>
  <c r="I3" i="20"/>
  <c r="G8" i="20"/>
  <c r="C8" i="20"/>
  <c r="F7" i="20"/>
  <c r="I6" i="20"/>
  <c r="E6" i="20"/>
  <c r="H5" i="20"/>
  <c r="D5" i="20"/>
  <c r="G4" i="20"/>
  <c r="C4" i="20"/>
  <c r="F3" i="20"/>
  <c r="F8" i="20"/>
  <c r="H6" i="20"/>
  <c r="C5" i="20"/>
  <c r="E3" i="20"/>
  <c r="I8" i="19"/>
  <c r="E8" i="19"/>
  <c r="H7" i="19"/>
  <c r="D7" i="19"/>
  <c r="G6" i="19"/>
  <c r="C6" i="19"/>
  <c r="F5" i="19"/>
  <c r="I4" i="19"/>
  <c r="E4" i="19"/>
  <c r="H3" i="19"/>
  <c r="D3" i="19"/>
  <c r="F4" i="19"/>
  <c r="E3" i="19"/>
  <c r="H8" i="19"/>
  <c r="D8" i="19"/>
  <c r="G7" i="19"/>
  <c r="C7" i="19"/>
  <c r="F6" i="19"/>
  <c r="I5" i="19"/>
  <c r="E5" i="19"/>
  <c r="H4" i="19"/>
  <c r="D4" i="19"/>
  <c r="G3" i="19"/>
  <c r="C5" i="19"/>
  <c r="G8" i="19"/>
  <c r="C8" i="19"/>
  <c r="F7" i="19"/>
  <c r="I6" i="19"/>
  <c r="E6" i="19"/>
  <c r="H5" i="19"/>
  <c r="D5" i="19"/>
  <c r="G4" i="19"/>
  <c r="C4" i="19"/>
  <c r="F3" i="19"/>
  <c r="F8" i="19"/>
  <c r="I7" i="19"/>
  <c r="E7" i="19"/>
  <c r="H6" i="19"/>
  <c r="D6" i="19"/>
  <c r="G5" i="19"/>
  <c r="I3" i="19"/>
  <c r="I8" i="18"/>
  <c r="E8" i="18"/>
  <c r="H7" i="18"/>
  <c r="D7" i="18"/>
  <c r="G6" i="18"/>
  <c r="C6" i="18"/>
  <c r="F5" i="18"/>
  <c r="I4" i="18"/>
  <c r="E4" i="18"/>
  <c r="H3" i="18"/>
  <c r="D3" i="18"/>
  <c r="I7" i="18"/>
  <c r="D6" i="18"/>
  <c r="F4" i="18"/>
  <c r="H8" i="18"/>
  <c r="D8" i="18"/>
  <c r="G7" i="18"/>
  <c r="C7" i="18"/>
  <c r="F6" i="18"/>
  <c r="I5" i="18"/>
  <c r="E5" i="18"/>
  <c r="H4" i="18"/>
  <c r="D4" i="18"/>
  <c r="G3" i="18"/>
  <c r="C3" i="18"/>
  <c r="H6" i="18"/>
  <c r="C5" i="18"/>
  <c r="E3" i="18"/>
  <c r="G8" i="18"/>
  <c r="C8" i="18"/>
  <c r="F7" i="18"/>
  <c r="I6" i="18"/>
  <c r="E6" i="18"/>
  <c r="H5" i="18"/>
  <c r="D5" i="18"/>
  <c r="G4" i="18"/>
  <c r="C4" i="18"/>
  <c r="F3" i="18"/>
  <c r="F8" i="18"/>
  <c r="E7" i="18"/>
  <c r="G5" i="18"/>
  <c r="I3" i="18"/>
  <c r="I8" i="17"/>
  <c r="E8" i="17"/>
  <c r="H7" i="17"/>
  <c r="D7" i="17"/>
  <c r="G6" i="17"/>
  <c r="C6" i="17"/>
  <c r="F5" i="17"/>
  <c r="I4" i="17"/>
  <c r="E4" i="17"/>
  <c r="H3" i="17"/>
  <c r="D3" i="17"/>
  <c r="H8" i="17"/>
  <c r="D8" i="17"/>
  <c r="G7" i="17"/>
  <c r="C7" i="17"/>
  <c r="F6" i="17"/>
  <c r="I5" i="17"/>
  <c r="E5" i="17"/>
  <c r="H4" i="17"/>
  <c r="D4" i="17"/>
  <c r="G3" i="17"/>
  <c r="C3" i="17"/>
  <c r="G8" i="17"/>
  <c r="C8" i="17"/>
  <c r="F7" i="17"/>
  <c r="I6" i="17"/>
  <c r="E6" i="17"/>
  <c r="H5" i="17"/>
  <c r="D5" i="17"/>
  <c r="G4" i="17"/>
  <c r="C4" i="17"/>
  <c r="F3" i="17"/>
  <c r="F8" i="17"/>
  <c r="I7" i="17"/>
  <c r="E7" i="17"/>
  <c r="H6" i="17"/>
  <c r="D6" i="17"/>
  <c r="G5" i="17"/>
  <c r="C5" i="17"/>
  <c r="F4" i="17"/>
  <c r="I3" i="17"/>
  <c r="E3" i="17"/>
  <c r="I8" i="6" l="1"/>
  <c r="H8" i="6"/>
  <c r="G8" i="6"/>
  <c r="F8" i="6"/>
  <c r="E8" i="6"/>
  <c r="D8" i="6"/>
  <c r="C8" i="6"/>
  <c r="I7" i="6"/>
  <c r="H7" i="6"/>
  <c r="G7" i="6"/>
  <c r="F7" i="6"/>
  <c r="E7" i="6"/>
  <c r="D7" i="6"/>
  <c r="C7" i="6"/>
  <c r="I6" i="6"/>
  <c r="H6" i="6"/>
  <c r="G6" i="6"/>
  <c r="F6" i="6"/>
  <c r="E6" i="6"/>
  <c r="D6" i="6"/>
  <c r="C6" i="6"/>
  <c r="I5" i="6"/>
  <c r="H5" i="6"/>
  <c r="G5" i="6"/>
  <c r="F5" i="6"/>
  <c r="E5" i="6"/>
  <c r="D5" i="6"/>
  <c r="C5" i="6"/>
  <c r="I4" i="6"/>
  <c r="H4" i="6"/>
  <c r="G4" i="6"/>
  <c r="F4" i="6"/>
  <c r="E4" i="6"/>
  <c r="D4" i="6"/>
  <c r="C4" i="6"/>
  <c r="I3" i="6"/>
  <c r="H3" i="6"/>
  <c r="G3" i="6"/>
  <c r="F3" i="6"/>
  <c r="E3" i="6"/>
  <c r="D3" i="6"/>
  <c r="C3" i="6"/>
  <c r="H3" i="1"/>
  <c r="I8" i="1"/>
  <c r="H8" i="1"/>
  <c r="G8" i="1"/>
  <c r="F8" i="1"/>
  <c r="E8" i="1"/>
  <c r="D8" i="1"/>
  <c r="C8" i="1"/>
  <c r="I7" i="1"/>
  <c r="H7" i="1"/>
  <c r="G7" i="1"/>
  <c r="F7" i="1"/>
  <c r="E7" i="1"/>
  <c r="D7" i="1"/>
  <c r="C7" i="1"/>
  <c r="I6" i="1"/>
  <c r="H6" i="1"/>
  <c r="G6" i="1"/>
  <c r="F6" i="1"/>
  <c r="E6" i="1"/>
  <c r="D6" i="1"/>
  <c r="C6" i="1"/>
  <c r="I5" i="1"/>
  <c r="H5" i="1"/>
  <c r="G5" i="1"/>
  <c r="F5" i="1"/>
  <c r="E5" i="1"/>
  <c r="D5" i="1"/>
  <c r="C5" i="1"/>
  <c r="I4" i="1"/>
  <c r="H4" i="1"/>
  <c r="G4" i="1"/>
  <c r="F4" i="1"/>
  <c r="E4" i="1"/>
  <c r="D4" i="1"/>
  <c r="C4" i="1"/>
  <c r="I3" i="1"/>
  <c r="G3" i="1"/>
  <c r="F3" i="1"/>
  <c r="E3" i="1"/>
  <c r="D3" i="1"/>
  <c r="C3" i="1"/>
</calcChain>
</file>

<file path=xl/sharedStrings.xml><?xml version="1.0" encoding="utf-8"?>
<sst xmlns="http://schemas.openxmlformats.org/spreadsheetml/2006/main" count="829" uniqueCount="87">
  <si>
    <t>Jour de la semaine</t>
  </si>
  <si>
    <t>Heure</t>
  </si>
  <si>
    <t>Matière</t>
  </si>
  <si>
    <t>PLANNING HEBDOMADAIRE</t>
  </si>
  <si>
    <t>LUN</t>
  </si>
  <si>
    <t>8:00</t>
  </si>
  <si>
    <t>Français</t>
  </si>
  <si>
    <t>10:00</t>
  </si>
  <si>
    <t>Mathématiques</t>
  </si>
  <si>
    <t>Anglais</t>
  </si>
  <si>
    <t>MAR</t>
  </si>
  <si>
    <t>9:00</t>
  </si>
  <si>
    <t>Histoire de l’art</t>
  </si>
  <si>
    <t>Programmation</t>
  </si>
  <si>
    <t>MER</t>
  </si>
  <si>
    <t>JEU</t>
  </si>
  <si>
    <t>VEN</t>
  </si>
  <si>
    <t>SAM</t>
  </si>
  <si>
    <t>DIM</t>
  </si>
  <si>
    <t>date</t>
  </si>
  <si>
    <t>DEVOIRS</t>
  </si>
  <si>
    <t>AVR</t>
  </si>
  <si>
    <t xml:space="preserve"> </t>
  </si>
  <si>
    <t>MAI</t>
  </si>
  <si>
    <t>JUIN</t>
  </si>
  <si>
    <t>JUIL</t>
  </si>
  <si>
    <t>SEPT</t>
  </si>
  <si>
    <t>OCT</t>
  </si>
  <si>
    <t>NOV</t>
  </si>
  <si>
    <t>DÉC</t>
  </si>
  <si>
    <t>JANV</t>
  </si>
  <si>
    <t>FÉVR</t>
  </si>
  <si>
    <t>MARS</t>
  </si>
  <si>
    <t>AOÛT</t>
  </si>
  <si>
    <t>RESERVATIONS</t>
  </si>
  <si>
    <t>SITUATION COMPTABLES</t>
  </si>
  <si>
    <t>Date</t>
  </si>
  <si>
    <t>Numéro</t>
  </si>
  <si>
    <t>Début séjour</t>
  </si>
  <si>
    <t>Fin de séjour</t>
  </si>
  <si>
    <t>Activité 1</t>
  </si>
  <si>
    <t>Activité 2</t>
  </si>
  <si>
    <t>Chambre</t>
  </si>
  <si>
    <t>Diver</t>
  </si>
  <si>
    <t>N° Reservat</t>
  </si>
  <si>
    <t>Articles</t>
  </si>
  <si>
    <t>Du</t>
  </si>
  <si>
    <t>Chambres 1</t>
  </si>
  <si>
    <t>Chambres 2</t>
  </si>
  <si>
    <t>Chambres 3</t>
  </si>
  <si>
    <t>Chambres 4</t>
  </si>
  <si>
    <t>Activité 3</t>
  </si>
  <si>
    <t>Activité 4</t>
  </si>
  <si>
    <t>Au</t>
  </si>
  <si>
    <t>Plage Horaire</t>
  </si>
  <si>
    <t>De 08H à 09H</t>
  </si>
  <si>
    <t>De 09H à 10H</t>
  </si>
  <si>
    <t>Nature pres</t>
  </si>
  <si>
    <t>Activités</t>
  </si>
  <si>
    <t>Séjours</t>
  </si>
  <si>
    <t>N° CLIENT</t>
  </si>
  <si>
    <t>NOM</t>
  </si>
  <si>
    <t>PRENOM</t>
  </si>
  <si>
    <t>Adresse Mail</t>
  </si>
  <si>
    <t>N° Téléphone</t>
  </si>
  <si>
    <t>Date de naissance</t>
  </si>
  <si>
    <t>Client</t>
  </si>
  <si>
    <t>Colonne2</t>
  </si>
  <si>
    <t>bertal</t>
  </si>
  <si>
    <t>karim</t>
  </si>
  <si>
    <t>eiieieie</t>
  </si>
  <si>
    <t>N° Regl</t>
  </si>
  <si>
    <t>Date règlement</t>
  </si>
  <si>
    <t>Montant</t>
  </si>
  <si>
    <t>Clients</t>
  </si>
  <si>
    <t xml:space="preserve">Solde </t>
  </si>
  <si>
    <t>Total</t>
  </si>
  <si>
    <t>08-09</t>
  </si>
  <si>
    <t>09-10</t>
  </si>
  <si>
    <t>10-11</t>
  </si>
  <si>
    <t>11-12</t>
  </si>
  <si>
    <t>Colonne1</t>
  </si>
  <si>
    <t>Chambre 1</t>
  </si>
  <si>
    <t>PLANNING HEBDOMADAIRE D'ACTIVITES</t>
  </si>
  <si>
    <t>Chambre 2</t>
  </si>
  <si>
    <t>Chambre 3</t>
  </si>
  <si>
    <t>Chambre 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</si>
</sst>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d"/>
    <numFmt numFmtId="169" formatCode="[$-40C]mmmmm;@"/>
    <numFmt numFmtId="170" formatCode="h:mm"/>
    <numFmt numFmtId="171" formatCode="_-* #,##0.00\ [$€-40C]_-;\-* #,##0.00\ [$€-40C]_-;_-* &quot;-&quot;??\ [$€-40C]_-;_-@_-"/>
  </numFmts>
  <fonts count="16" x14ac:knownFonts="1">
    <font>
      <sz val="11"/>
      <color theme="1"/>
      <name val="Arial"/>
      <family val="2"/>
      <scheme val="minor"/>
    </font>
    <font>
      <sz val="11"/>
      <color theme="1"/>
      <name val="Arial"/>
      <family val="2"/>
      <scheme val="minor"/>
    </font>
    <font>
      <sz val="8"/>
      <name val="Arial"/>
      <family val="2"/>
      <scheme val="minor"/>
    </font>
    <font>
      <sz val="12"/>
      <color theme="1" tint="0.249977111117893"/>
      <name val="Arial"/>
      <family val="2"/>
      <scheme val="minor"/>
    </font>
    <font>
      <sz val="11"/>
      <color theme="1"/>
      <name val="Arial"/>
      <family val="2"/>
      <scheme val="minor"/>
    </font>
    <font>
      <sz val="11"/>
      <color theme="0"/>
      <name val="Arial"/>
      <family val="2"/>
      <scheme val="minor"/>
    </font>
    <font>
      <b/>
      <sz val="24"/>
      <color theme="4" tint="-0.499984740745262"/>
      <name val="Arial"/>
      <family val="2"/>
      <scheme val="minor"/>
    </font>
    <font>
      <b/>
      <sz val="17"/>
      <color theme="4" tint="-0.499984740745262"/>
      <name val="Arial"/>
      <family val="2"/>
      <scheme val="minor"/>
    </font>
    <font>
      <b/>
      <sz val="12"/>
      <color theme="4" tint="-0.499984740745262"/>
      <name val="Arial"/>
      <family val="2"/>
      <scheme val="minor"/>
    </font>
    <font>
      <b/>
      <sz val="11"/>
      <color theme="4" tint="-0.499984740745262"/>
      <name val="Arial"/>
      <family val="2"/>
      <scheme val="minor"/>
    </font>
    <font>
      <b/>
      <sz val="11"/>
      <color theme="1"/>
      <name val="Arial"/>
      <family val="2"/>
      <scheme val="minor"/>
    </font>
    <font>
      <b/>
      <sz val="18"/>
      <color theme="4" tint="-0.499984740745262"/>
      <name val="Arial"/>
      <family val="2"/>
      <scheme val="major"/>
    </font>
    <font>
      <sz val="11"/>
      <name val="Arial"/>
      <family val="2"/>
      <scheme val="minor"/>
    </font>
    <font>
      <sz val="11"/>
      <color theme="1"/>
      <name val="Arial"/>
      <family val="2"/>
      <scheme val="major"/>
    </font>
    <font>
      <b/>
      <sz val="11"/>
      <color theme="0"/>
      <name val="Arial"/>
      <family val="2"/>
      <scheme val="minor"/>
    </font>
    <font>
      <b/>
      <u/>
      <sz val="11"/>
      <color theme="4" tint="-0.499984740745262"/>
      <name val="Arial"/>
      <family val="2"/>
      <scheme val="minor"/>
    </font>
  </fonts>
  <fills count="6">
    <fill>
      <patternFill patternType="none"/>
    </fill>
    <fill>
      <patternFill patternType="gray125"/>
    </fill>
    <fill>
      <patternFill patternType="solid">
        <fgColor theme="0" tint="-4.9989318521683403E-2"/>
        <bgColor indexed="64"/>
      </patternFill>
    </fill>
    <fill>
      <patternFill patternType="solid">
        <fgColor rgb="FFFFFFCC"/>
      </patternFill>
    </fill>
    <fill>
      <patternFill patternType="solid">
        <fgColor theme="4" tint="-0.499984740745262"/>
        <bgColor indexed="64"/>
      </patternFill>
    </fill>
    <fill>
      <patternFill patternType="solid">
        <fgColor theme="4"/>
        <bgColor theme="4"/>
      </patternFill>
    </fill>
  </fills>
  <borders count="18">
    <border>
      <left/>
      <right/>
      <top/>
      <bottom/>
      <diagonal/>
    </border>
    <border>
      <left style="thin">
        <color theme="4" tint="0.79998168889431442"/>
      </left>
      <right style="thin">
        <color theme="0"/>
      </right>
      <top/>
      <bottom/>
      <diagonal/>
    </border>
    <border>
      <left/>
      <right style="thin">
        <color theme="4" tint="0.79998168889431442"/>
      </right>
      <top/>
      <bottom/>
      <diagonal/>
    </border>
    <border>
      <left style="thin">
        <color theme="0"/>
      </left>
      <right/>
      <top/>
      <bottom/>
      <diagonal/>
    </border>
    <border>
      <left style="thin">
        <color theme="0"/>
      </left>
      <right/>
      <top style="thin">
        <color theme="0"/>
      </top>
      <bottom/>
      <diagonal/>
    </border>
    <border>
      <left style="thin">
        <color rgb="FFB2B2B2"/>
      </left>
      <right style="thin">
        <color rgb="FFB2B2B2"/>
      </right>
      <top style="thin">
        <color rgb="FFB2B2B2"/>
      </top>
      <bottom style="thin">
        <color rgb="FFB2B2B2"/>
      </bottom>
      <diagonal/>
    </border>
    <border>
      <left/>
      <right/>
      <top style="thin">
        <color theme="4" tint="-0.499984740745262"/>
      </top>
      <bottom/>
      <diagonal/>
    </border>
    <border>
      <left/>
      <right/>
      <top/>
      <bottom style="thin">
        <color theme="4" tint="-0.499984740745262"/>
      </bottom>
      <diagonal/>
    </border>
    <border>
      <left style="thin">
        <color theme="4" tint="0.79998168889431442"/>
      </left>
      <right/>
      <top/>
      <bottom/>
      <diagonal/>
    </border>
    <border>
      <left/>
      <right style="thin">
        <color theme="4" tint="-0.499984740745262"/>
      </right>
      <top/>
      <bottom/>
      <diagonal/>
    </border>
    <border>
      <left style="thin">
        <color theme="0"/>
      </left>
      <right style="thin">
        <color theme="0"/>
      </right>
      <top/>
      <bottom/>
      <diagonal/>
    </border>
    <border>
      <left/>
      <right/>
      <top style="thin">
        <color auto="1"/>
      </top>
      <bottom/>
      <diagonal/>
    </border>
    <border>
      <left/>
      <right/>
      <top/>
      <bottom style="thin">
        <color auto="1"/>
      </bottom>
      <diagonal/>
    </border>
    <border>
      <left/>
      <right style="thin">
        <color theme="0"/>
      </right>
      <top/>
      <bottom/>
      <diagonal/>
    </border>
    <border>
      <left style="thin">
        <color indexed="64"/>
      </left>
      <right style="thin">
        <color indexed="64"/>
      </right>
      <top style="thin">
        <color indexed="64"/>
      </top>
      <bottom style="thin">
        <color indexed="64"/>
      </bottom>
      <diagonal/>
    </border>
    <border>
      <left style="thin">
        <color theme="4"/>
      </left>
      <right/>
      <top style="thin">
        <color theme="4"/>
      </top>
      <bottom/>
      <diagonal/>
    </border>
    <border>
      <left/>
      <right/>
      <top style="thin">
        <color theme="4"/>
      </top>
      <bottom/>
      <diagonal/>
    </border>
    <border>
      <left/>
      <right style="thin">
        <color theme="4"/>
      </right>
      <top style="thin">
        <color theme="4"/>
      </top>
      <bottom/>
      <diagonal/>
    </border>
  </borders>
  <cellStyleXfs count="22">
    <xf numFmtId="0" fontId="0" fillId="0" borderId="0">
      <alignment wrapText="1"/>
    </xf>
    <xf numFmtId="0" fontId="11" fillId="0" borderId="0" applyFill="0" applyBorder="0" applyProtection="0">
      <alignment horizontal="center" vertical="center"/>
    </xf>
    <xf numFmtId="169" fontId="6" fillId="0" borderId="0" applyFill="0" applyBorder="0" applyProtection="0">
      <alignment horizontal="center" vertical="center"/>
    </xf>
    <xf numFmtId="0" fontId="7" fillId="0" borderId="0" applyFill="0" applyProtection="0">
      <alignment horizontal="left" vertical="center" indent="2"/>
    </xf>
    <xf numFmtId="0" fontId="8" fillId="0" borderId="0" applyNumberFormat="0" applyFill="0" applyBorder="0" applyProtection="0">
      <alignment horizontal="left" vertical="center"/>
    </xf>
    <xf numFmtId="0" fontId="8" fillId="0" borderId="0" applyFill="0" applyBorder="0" applyProtection="0"/>
    <xf numFmtId="167" fontId="1" fillId="0" borderId="0" applyFill="0" applyBorder="0" applyAlignment="0" applyProtection="0"/>
    <xf numFmtId="165" fontId="1" fillId="0" borderId="0" applyFill="0" applyBorder="0" applyAlignment="0" applyProtection="0"/>
    <xf numFmtId="166" fontId="1" fillId="0" borderId="0" applyFill="0" applyBorder="0" applyAlignment="0" applyProtection="0"/>
    <xf numFmtId="164" fontId="1" fillId="0" borderId="0" applyFill="0" applyBorder="0" applyAlignment="0" applyProtection="0"/>
    <xf numFmtId="9" fontId="1" fillId="0" borderId="0" applyFill="0" applyBorder="0" applyAlignment="0" applyProtection="0"/>
    <xf numFmtId="0" fontId="4" fillId="3" borderId="5" applyNumberFormat="0" applyAlignment="0" applyProtection="0"/>
    <xf numFmtId="0" fontId="5" fillId="4" borderId="1">
      <alignment horizontal="left" indent="1"/>
    </xf>
    <xf numFmtId="0" fontId="9" fillId="0" borderId="0">
      <alignment vertical="center"/>
    </xf>
    <xf numFmtId="0" fontId="9" fillId="0" borderId="6" applyNumberFormat="0" applyFont="0" applyFill="0" applyAlignment="0" applyProtection="0">
      <alignment horizontal="left" vertical="center" indent="2"/>
    </xf>
    <xf numFmtId="1" fontId="10" fillId="0" borderId="0" applyFill="0" applyBorder="0">
      <alignment horizontal="center"/>
    </xf>
    <xf numFmtId="0" fontId="12" fillId="0" borderId="7" applyNumberFormat="0" applyFont="0" applyFill="0" applyAlignment="0" applyProtection="0">
      <alignment horizontal="center"/>
    </xf>
    <xf numFmtId="0" fontId="12" fillId="0" borderId="9" applyNumberFormat="0" applyFont="0" applyFill="0" applyAlignment="0" applyProtection="0"/>
    <xf numFmtId="168" fontId="3" fillId="0" borderId="0" applyNumberFormat="0" applyFill="0" applyBorder="0">
      <alignment horizontal="left" vertical="center" indent="1"/>
    </xf>
    <xf numFmtId="0" fontId="12" fillId="2" borderId="0" applyFont="0" applyBorder="0">
      <alignment horizontal="left" vertical="top" indent="1"/>
    </xf>
    <xf numFmtId="0" fontId="5" fillId="0" borderId="0" applyNumberFormat="0" applyFill="0" applyBorder="0" applyAlignment="0">
      <alignment wrapText="1"/>
    </xf>
    <xf numFmtId="170" fontId="12" fillId="2" borderId="0" applyFill="0" applyBorder="0">
      <alignment horizontal="left" indent="1"/>
    </xf>
  </cellStyleXfs>
  <cellXfs count="89">
    <xf numFmtId="0" fontId="0" fillId="0" borderId="0" xfId="0">
      <alignment wrapText="1"/>
    </xf>
    <xf numFmtId="0" fontId="0" fillId="0" borderId="0" xfId="0" applyFont="1">
      <alignment wrapText="1"/>
    </xf>
    <xf numFmtId="1" fontId="10" fillId="0" borderId="0" xfId="15">
      <alignment horizontal="center"/>
    </xf>
    <xf numFmtId="0" fontId="0" fillId="0" borderId="0" xfId="0">
      <alignment wrapText="1"/>
    </xf>
    <xf numFmtId="0" fontId="5" fillId="4" borderId="9" xfId="17" applyFont="1" applyFill="1" applyAlignment="1">
      <alignment horizontal="left" indent="1"/>
    </xf>
    <xf numFmtId="0" fontId="8" fillId="0" borderId="6" xfId="14" applyFont="1" applyAlignment="1">
      <alignment vertical="center"/>
    </xf>
    <xf numFmtId="0" fontId="9" fillId="0" borderId="0" xfId="13">
      <alignment vertical="center"/>
    </xf>
    <xf numFmtId="168" fontId="3" fillId="0" borderId="0" xfId="18" applyNumberFormat="1" applyFill="1" applyBorder="1">
      <alignment horizontal="left" vertical="center" indent="1"/>
    </xf>
    <xf numFmtId="0" fontId="3" fillId="0" borderId="6" xfId="14" applyNumberFormat="1" applyFont="1" applyAlignment="1">
      <alignment horizontal="left" vertical="center" indent="1"/>
    </xf>
    <xf numFmtId="0" fontId="11" fillId="0" borderId="7" xfId="1" applyBorder="1">
      <alignment horizontal="center" vertical="center"/>
    </xf>
    <xf numFmtId="0" fontId="0" fillId="0" borderId="0" xfId="14" applyFont="1" applyBorder="1" applyAlignment="1">
      <alignment wrapText="1"/>
    </xf>
    <xf numFmtId="0" fontId="8" fillId="0" borderId="0" xfId="5"/>
    <xf numFmtId="0" fontId="7" fillId="0" borderId="0" xfId="3">
      <alignment horizontal="left" vertical="center" indent="2"/>
    </xf>
    <xf numFmtId="0" fontId="11" fillId="0" borderId="0" xfId="1">
      <alignment horizontal="center" vertical="center"/>
    </xf>
    <xf numFmtId="0" fontId="0" fillId="0" borderId="9" xfId="17" applyFont="1" applyAlignment="1">
      <alignment wrapText="1"/>
    </xf>
    <xf numFmtId="0" fontId="5" fillId="4" borderId="1" xfId="12">
      <alignment horizontal="left" indent="1"/>
    </xf>
    <xf numFmtId="0" fontId="8" fillId="0" borderId="0" xfId="5" applyFill="1"/>
    <xf numFmtId="0" fontId="8" fillId="0" borderId="0" xfId="4">
      <alignment horizontal="left" vertical="center"/>
    </xf>
    <xf numFmtId="0" fontId="0" fillId="0" borderId="0" xfId="0">
      <alignment wrapText="1"/>
    </xf>
    <xf numFmtId="0" fontId="0" fillId="0" borderId="7" xfId="16" applyFont="1" applyAlignment="1">
      <alignment wrapText="1"/>
    </xf>
    <xf numFmtId="1" fontId="10" fillId="0" borderId="7" xfId="15" applyBorder="1">
      <alignment horizontal="center"/>
    </xf>
    <xf numFmtId="0" fontId="5" fillId="0" borderId="0" xfId="20">
      <alignment wrapText="1"/>
    </xf>
    <xf numFmtId="0" fontId="8" fillId="0" borderId="7" xfId="5" applyBorder="1"/>
    <xf numFmtId="1" fontId="10" fillId="0" borderId="6" xfId="15" applyBorder="1">
      <alignment horizontal="center"/>
    </xf>
    <xf numFmtId="170" fontId="12" fillId="2" borderId="0" xfId="21">
      <alignment horizontal="left" indent="1"/>
    </xf>
    <xf numFmtId="170" fontId="12" fillId="2" borderId="3" xfId="21" applyBorder="1">
      <alignment horizontal="left" indent="1"/>
    </xf>
    <xf numFmtId="169" fontId="6" fillId="0" borderId="6" xfId="2" applyBorder="1">
      <alignment horizontal="center" vertical="center"/>
    </xf>
    <xf numFmtId="170" fontId="12" fillId="2" borderId="4" xfId="21" applyBorder="1">
      <alignment horizontal="left" indent="1"/>
    </xf>
    <xf numFmtId="0" fontId="5" fillId="4" borderId="1" xfId="12">
      <alignment horizontal="left" indent="1"/>
    </xf>
    <xf numFmtId="0" fontId="5" fillId="0" borderId="9" xfId="20" applyBorder="1" applyAlignment="1">
      <alignment wrapText="1"/>
    </xf>
    <xf numFmtId="0" fontId="0" fillId="2" borderId="0" xfId="19" applyFont="1">
      <alignment horizontal="left" vertical="top" indent="1"/>
    </xf>
    <xf numFmtId="0" fontId="0" fillId="2" borderId="7" xfId="19" applyFont="1" applyBorder="1">
      <alignment horizontal="left" vertical="top" indent="1"/>
    </xf>
    <xf numFmtId="0" fontId="1" fillId="2" borderId="7" xfId="19" applyFont="1" applyBorder="1">
      <alignment horizontal="left" vertical="top" indent="1"/>
    </xf>
    <xf numFmtId="0" fontId="1" fillId="2" borderId="0" xfId="19" applyFont="1">
      <alignment horizontal="left" vertical="top" indent="1"/>
    </xf>
    <xf numFmtId="0" fontId="12" fillId="2" borderId="7" xfId="19" applyBorder="1">
      <alignment horizontal="left" vertical="top" indent="1"/>
    </xf>
    <xf numFmtId="0" fontId="8" fillId="0" borderId="6" xfId="5" applyBorder="1"/>
    <xf numFmtId="170" fontId="12" fillId="2" borderId="0" xfId="21">
      <alignment horizontal="left" indent="1"/>
    </xf>
    <xf numFmtId="169" fontId="6" fillId="0" borderId="0" xfId="2" applyNumberFormat="1">
      <alignment horizontal="center" vertical="center"/>
    </xf>
    <xf numFmtId="0" fontId="8" fillId="0" borderId="7" xfId="5" applyFill="1" applyBorder="1"/>
    <xf numFmtId="0" fontId="1" fillId="2" borderId="7" xfId="19" applyFont="1" applyBorder="1">
      <alignment horizontal="left" vertical="top" indent="1"/>
    </xf>
    <xf numFmtId="170" fontId="12" fillId="2" borderId="0" xfId="21">
      <alignment horizontal="left" indent="1"/>
    </xf>
    <xf numFmtId="0" fontId="8" fillId="0" borderId="0" xfId="5" applyFill="1" applyBorder="1"/>
    <xf numFmtId="1" fontId="10" fillId="0" borderId="0" xfId="15" applyBorder="1">
      <alignment horizontal="center"/>
    </xf>
    <xf numFmtId="0" fontId="0" fillId="0" borderId="0" xfId="0" applyBorder="1">
      <alignment wrapText="1"/>
    </xf>
    <xf numFmtId="0" fontId="8" fillId="0" borderId="6" xfId="5" applyFill="1" applyBorder="1"/>
    <xf numFmtId="0" fontId="0" fillId="0" borderId="6" xfId="0" applyBorder="1">
      <alignment wrapText="1"/>
    </xf>
    <xf numFmtId="0" fontId="8" fillId="0" borderId="11" xfId="5" applyFill="1" applyBorder="1"/>
    <xf numFmtId="1" fontId="10" fillId="0" borderId="11" xfId="15" applyBorder="1">
      <alignment horizontal="center"/>
    </xf>
    <xf numFmtId="0" fontId="0" fillId="0" borderId="11" xfId="0" applyBorder="1">
      <alignment wrapText="1"/>
    </xf>
    <xf numFmtId="0" fontId="8" fillId="0" borderId="12" xfId="5" applyFill="1" applyBorder="1"/>
    <xf numFmtId="1" fontId="10" fillId="0" borderId="12" xfId="15" applyBorder="1">
      <alignment horizontal="center"/>
    </xf>
    <xf numFmtId="0" fontId="8" fillId="0" borderId="0" xfId="5" applyBorder="1"/>
    <xf numFmtId="168" fontId="3" fillId="0" borderId="7" xfId="18" applyNumberFormat="1" applyFill="1" applyBorder="1">
      <alignment horizontal="left" vertical="center" indent="1"/>
    </xf>
    <xf numFmtId="170" fontId="12" fillId="2" borderId="3" xfId="21" applyBorder="1">
      <alignment horizontal="left" indent="1"/>
    </xf>
    <xf numFmtId="0" fontId="0" fillId="0" borderId="6" xfId="14" applyFont="1" applyAlignment="1">
      <alignment wrapText="1"/>
    </xf>
    <xf numFmtId="170" fontId="12" fillId="2" borderId="3" xfId="21" applyNumberFormat="1" applyBorder="1">
      <alignment horizontal="left" indent="1"/>
    </xf>
    <xf numFmtId="0" fontId="5" fillId="4" borderId="0" xfId="17" applyFont="1" applyFill="1" applyBorder="1" applyAlignment="1">
      <alignment horizontal="left" indent="1"/>
    </xf>
    <xf numFmtId="170" fontId="12" fillId="2" borderId="0" xfId="21" applyBorder="1">
      <alignment horizontal="left" indent="1"/>
    </xf>
    <xf numFmtId="0" fontId="1" fillId="2" borderId="0" xfId="19" applyFont="1" applyBorder="1">
      <alignment horizontal="left" vertical="top" indent="1"/>
    </xf>
    <xf numFmtId="0" fontId="13" fillId="2" borderId="0" xfId="19" applyFont="1" applyBorder="1">
      <alignment horizontal="left" vertical="top" indent="1"/>
    </xf>
    <xf numFmtId="0" fontId="13" fillId="2" borderId="0" xfId="19" applyFont="1">
      <alignment horizontal="left" vertical="top" indent="1"/>
    </xf>
    <xf numFmtId="0" fontId="0" fillId="0" borderId="7" xfId="16" applyFont="1" applyBorder="1" applyAlignment="1">
      <alignment wrapText="1"/>
    </xf>
    <xf numFmtId="0" fontId="0" fillId="0" borderId="0" xfId="16" applyFont="1" applyBorder="1" applyAlignment="1">
      <alignment wrapText="1"/>
    </xf>
    <xf numFmtId="0" fontId="0" fillId="0" borderId="0" xfId="0" applyAlignment="1">
      <alignment horizontal="center" wrapText="1"/>
    </xf>
    <xf numFmtId="0" fontId="0" fillId="0" borderId="0" xfId="0" applyAlignment="1">
      <alignment vertical="center" wrapText="1"/>
    </xf>
    <xf numFmtId="14" fontId="0" fillId="0" borderId="0" xfId="0" applyNumberFormat="1">
      <alignment wrapText="1"/>
    </xf>
    <xf numFmtId="0" fontId="0" fillId="0" borderId="0" xfId="0" applyNumberFormat="1">
      <alignment wrapText="1"/>
    </xf>
    <xf numFmtId="0" fontId="14" fillId="5" borderId="15" xfId="0" applyFont="1" applyFill="1" applyBorder="1">
      <alignment wrapText="1"/>
    </xf>
    <xf numFmtId="0" fontId="14" fillId="5" borderId="16" xfId="0" applyFont="1" applyFill="1" applyBorder="1">
      <alignment wrapText="1"/>
    </xf>
    <xf numFmtId="0" fontId="14" fillId="5" borderId="17" xfId="0" applyFont="1" applyFill="1" applyBorder="1">
      <alignment wrapText="1"/>
    </xf>
    <xf numFmtId="0" fontId="0" fillId="0" borderId="15" xfId="0" applyFont="1" applyBorder="1">
      <alignment wrapText="1"/>
    </xf>
    <xf numFmtId="0" fontId="0" fillId="0" borderId="16" xfId="0" applyFont="1" applyBorder="1">
      <alignment wrapText="1"/>
    </xf>
    <xf numFmtId="0" fontId="0" fillId="0" borderId="17" xfId="0" applyFont="1" applyBorder="1">
      <alignment wrapText="1"/>
    </xf>
    <xf numFmtId="166" fontId="1" fillId="0" borderId="0" xfId="8" applyAlignment="1">
      <alignment wrapText="1"/>
    </xf>
    <xf numFmtId="171" fontId="14" fillId="5" borderId="16" xfId="8" applyNumberFormat="1" applyFont="1" applyFill="1" applyBorder="1" applyAlignment="1">
      <alignment wrapText="1"/>
    </xf>
    <xf numFmtId="171" fontId="0" fillId="0" borderId="16" xfId="8" applyNumberFormat="1" applyFont="1" applyBorder="1" applyAlignment="1">
      <alignment wrapText="1"/>
    </xf>
    <xf numFmtId="171" fontId="0" fillId="0" borderId="0" xfId="0" applyNumberFormat="1">
      <alignment wrapText="1"/>
    </xf>
    <xf numFmtId="49" fontId="0" fillId="0" borderId="0" xfId="0" applyNumberFormat="1">
      <alignment wrapText="1"/>
    </xf>
    <xf numFmtId="170" fontId="12" fillId="2" borderId="10" xfId="21" applyBorder="1">
      <alignment horizontal="left" indent="1"/>
    </xf>
    <xf numFmtId="0" fontId="1" fillId="2" borderId="0" xfId="19" applyFont="1">
      <alignment horizontal="left" vertical="top" indent="1"/>
    </xf>
    <xf numFmtId="0" fontId="5" fillId="4" borderId="8" xfId="12" applyBorder="1">
      <alignment horizontal="left" indent="1"/>
    </xf>
    <xf numFmtId="0" fontId="5" fillId="4" borderId="2" xfId="12" applyBorder="1">
      <alignment horizontal="left" indent="1"/>
    </xf>
    <xf numFmtId="0" fontId="1" fillId="2" borderId="7" xfId="19" applyFont="1" applyBorder="1">
      <alignment horizontal="left" vertical="top" indent="1"/>
    </xf>
    <xf numFmtId="170" fontId="12" fillId="2" borderId="0" xfId="21">
      <alignment horizontal="left" indent="1"/>
    </xf>
    <xf numFmtId="170" fontId="12" fillId="2" borderId="3" xfId="21" applyBorder="1">
      <alignment horizontal="left" indent="1"/>
    </xf>
    <xf numFmtId="170" fontId="12" fillId="2" borderId="13" xfId="21" applyBorder="1">
      <alignment horizontal="left" indent="1"/>
    </xf>
    <xf numFmtId="0" fontId="15" fillId="0" borderId="14" xfId="0" applyFont="1" applyBorder="1" applyAlignment="1">
      <alignment horizontal="center" wrapText="1"/>
    </xf>
    <xf numFmtId="0" fontId="0" fillId="2" borderId="0" xfId="19" applyFont="1">
      <alignment horizontal="left" vertical="top" indent="1"/>
    </xf>
    <xf numFmtId="0" fontId="12" fillId="2" borderId="7" xfId="19" applyBorder="1">
      <alignment horizontal="left" vertical="top" indent="1"/>
    </xf>
  </cellXfs>
  <cellStyles count="22">
    <cellStyle name="Alignement du calendrier" xfId="18" xr:uid="{00000000-0005-0000-0000-000000000000}"/>
    <cellStyle name="Bordure droite" xfId="17" xr:uid="{00000000-0005-0000-0000-000001000000}"/>
    <cellStyle name="Bordure inférieure" xfId="16" xr:uid="{00000000-0005-0000-0000-000002000000}"/>
    <cellStyle name="Bordure supérieure" xfId="14" xr:uid="{00000000-0005-0000-0000-000003000000}"/>
    <cellStyle name="Date" xfId="15" xr:uid="{00000000-0005-0000-0000-000004000000}"/>
    <cellStyle name="Étiquette" xfId="13" xr:uid="{00000000-0005-0000-0000-000005000000}"/>
    <cellStyle name="Heure" xfId="21" xr:uid="{00000000-0005-0000-0000-000006000000}"/>
    <cellStyle name="JoursSemaine" xfId="12" xr:uid="{00000000-0005-0000-0000-000007000000}"/>
    <cellStyle name="Milliers" xfId="6" builtinId="3" customBuiltin="1"/>
    <cellStyle name="Milliers [0]" xfId="7" builtinId="6" customBuiltin="1"/>
    <cellStyle name="Monétaire" xfId="8" builtinId="4" customBuiltin="1"/>
    <cellStyle name="Monétaire [0]" xfId="9" builtinId="7" customBuiltin="1"/>
    <cellStyle name="Normal" xfId="0" builtinId="0" customBuiltin="1"/>
    <cellStyle name="Note" xfId="11" builtinId="10" customBuiltin="1"/>
    <cellStyle name="Pourcentage" xfId="10" builtinId="5" customBuiltin="1"/>
    <cellStyle name="Remplissage Emploi du temps hebdomadaire" xfId="19" xr:uid="{00000000-0005-0000-0000-00000F000000}"/>
    <cellStyle name="Titre" xfId="1" builtinId="15" customBuiltin="1"/>
    <cellStyle name="Titre de tableau vide" xfId="20" xr:uid="{00000000-0005-0000-0000-000011000000}"/>
    <cellStyle name="Titre 1" xfId="2" builtinId="16" customBuiltin="1"/>
    <cellStyle name="Titre 2" xfId="3" builtinId="17" customBuiltin="1"/>
    <cellStyle name="Titre 3" xfId="4" builtinId="18" customBuiltin="1"/>
    <cellStyle name="Titre 4" xfId="5" builtinId="19" customBuiltin="1"/>
  </cellStyles>
  <dxfs count="90">
    <dxf>
      <alignment horizontal="general" vertical="center" textRotation="0" wrapText="1" indent="0" justifyLastLine="0" shrinkToFit="0" readingOrder="0"/>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left style="thin">
          <color theme="0"/>
        </left>
        <vertical/>
        <horizontal/>
      </border>
    </dxf>
    <dxf>
      <border>
        <left style="thin">
          <color theme="0"/>
        </left>
        <bottom style="thin">
          <color theme="0"/>
        </bottom>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ill>
        <patternFill>
          <bgColor theme="4" tint="0.79998168889431442"/>
        </patternFill>
      </fill>
    </dxf>
    <dxf>
      <font>
        <b/>
        <i val="0"/>
      </font>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ill>
        <patternFill>
          <bgColor theme="4" tint="0.79998168889431442"/>
        </patternFill>
      </fill>
    </dxf>
    <dxf>
      <font>
        <b/>
        <i val="0"/>
      </font>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i val="0"/>
      </font>
      <fill>
        <patternFill>
          <bgColor theme="4" tint="0.79998168889431442"/>
        </patternFill>
      </fill>
    </dxf>
    <dxf>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border>
        <left style="thin">
          <color theme="0"/>
        </left>
        <vertical/>
        <horizontal/>
      </border>
    </dxf>
    <dxf>
      <border>
        <bottom style="thin">
          <color theme="0"/>
        </bottom>
        <vertical/>
        <horizontal/>
      </border>
    </dxf>
    <dxf>
      <font>
        <b val="0"/>
        <i val="0"/>
      </font>
      <fill>
        <patternFill>
          <bgColor theme="4" tint="0.79998168889431442"/>
        </patternFill>
      </fill>
      <border>
        <vertical/>
        <horizontal/>
      </border>
    </dxf>
    <dxf>
      <font>
        <b/>
        <i val="0"/>
      </font>
      <fill>
        <patternFill>
          <bgColor theme="4" tint="0.79998168889431442"/>
        </patternFill>
      </fill>
    </dxf>
    <dxf>
      <font>
        <b/>
        <i val="0"/>
        <color theme="1"/>
      </font>
      <fill>
        <patternFill patternType="solid">
          <bgColor theme="4" tint="0.79998168889431442"/>
        </patternFill>
      </fill>
      <border>
        <left/>
        <right/>
        <top/>
        <bottom/>
        <vertical/>
        <horizontal/>
      </border>
    </dxf>
    <dxf>
      <font>
        <color theme="0" tint="-0.24994659260841701"/>
      </font>
    </dxf>
    <dxf>
      <font>
        <color theme="0" tint="-0.24994659260841701"/>
      </font>
    </dxf>
    <dxf>
      <font>
        <b/>
        <i val="0"/>
        <color theme="4" tint="-0.499984740745262"/>
      </font>
      <border diagonalUp="0" diagonalDown="0">
        <left style="thin">
          <color theme="4" tint="-0.499984740745262"/>
        </left>
        <right/>
        <top/>
        <bottom style="thin">
          <color theme="4" tint="-0.499984740745262"/>
        </bottom>
        <vertical/>
        <horizontal/>
      </border>
    </dxf>
    <dxf>
      <font>
        <b/>
        <i val="0"/>
        <color theme="4" tint="-0.499984740745262"/>
      </font>
      <border diagonalUp="0" diagonalDown="0">
        <left/>
        <right/>
        <top/>
        <bottom style="thin">
          <color theme="4" tint="-0.499984740745262"/>
        </bottom>
        <vertical/>
        <horizontal/>
      </border>
    </dxf>
    <dxf>
      <border>
        <left style="thin">
          <color theme="4" tint="-0.499984740745262"/>
        </left>
        <right style="thin">
          <color theme="4" tint="-0.499984740745262"/>
        </right>
        <top style="thin">
          <color theme="4" tint="-0.499984740745262"/>
        </top>
        <bottom style="thin">
          <color theme="4" tint="-0.499984740745262"/>
        </bottom>
        <horizontal style="thin">
          <color theme="5" tint="-0.499984740745262"/>
        </horizontal>
      </border>
    </dxf>
  </dxfs>
  <tableStyles count="1" defaultTableStyle="Devoirs" defaultPivotStyle="PivotStyleLight16">
    <tableStyle name="Devoirs" pivot="0" count="3" xr9:uid="{00000000-0011-0000-FFFF-FFFF00000000}">
      <tableStyleElement type="wholeTable" dxfId="89"/>
      <tableStyleElement type="headerRow" dxfId="88"/>
      <tableStyleElement type="firstColumn" dxfId="8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DevoirsJanvier" displayName="DevoirsJanvier" ref="J1:L31" totalsRowShown="0">
  <autoFilter ref="J1:L31" xr:uid="{00000000-0009-0000-0100-000001000000}">
    <filterColumn colId="0" hiddenButton="1"/>
    <filterColumn colId="1" hiddenButton="1"/>
    <filterColumn colId="2" hiddenButton="1"/>
  </autoFilter>
  <tableColumns count="3">
    <tableColumn id="1" xr3:uid="{00000000-0010-0000-0000-000001000000}" name="Jour de la semaine" dataCellStyle="Titre 4"/>
    <tableColumn id="2" xr3:uid="{00000000-0010-0000-0000-000002000000}" name="date" dataCellStyle="Date"/>
    <tableColumn id="3" xr3:uid="{00000000-0010-0000-0000-000003000000}" name="RESERVATION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DevoirsFévrier" displayName="DevoirsFévrier" ref="J1:L31" totalsRowShown="0">
  <autoFilter ref="J1:L31" xr:uid="{00000000-0009-0000-0100-000002000000}">
    <filterColumn colId="0" hiddenButton="1"/>
    <filterColumn colId="1" hiddenButton="1"/>
    <filterColumn colId="2" hiddenButton="1"/>
  </autoFilter>
  <tableColumns count="3">
    <tableColumn id="1" xr3:uid="{00000000-0010-0000-0100-000001000000}" name="Jour de la semaine" dataCellStyle="Titre 4"/>
    <tableColumn id="2" xr3:uid="{00000000-0010-0000-0100-000002000000}" name="date" dataCellStyle="Date"/>
    <tableColumn id="3" xr3:uid="{00000000-0010-0000-01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DevoirsMars" displayName="DevoirsMars" ref="J1:L31" totalsRowShown="0">
  <autoFilter ref="J1:L31" xr:uid="{00000000-0009-0000-0100-000003000000}">
    <filterColumn colId="0" hiddenButton="1"/>
    <filterColumn colId="1" hiddenButton="1"/>
    <filterColumn colId="2" hiddenButton="1"/>
  </autoFilter>
  <tableColumns count="3">
    <tableColumn id="1" xr3:uid="{00000000-0010-0000-0200-000001000000}" name="Jour de la semaine" dataCellStyle="Titre 4"/>
    <tableColumn id="2" xr3:uid="{00000000-0010-0000-0200-000002000000}" name="date" dataCellStyle="Date"/>
    <tableColumn id="3" xr3:uid="{00000000-0010-0000-02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DevoirsAvril" displayName="DevoirsAvril" ref="J1:L31" totalsRowShown="0">
  <autoFilter ref="J1:L31" xr:uid="{00000000-0009-0000-0100-000004000000}">
    <filterColumn colId="0" hiddenButton="1"/>
    <filterColumn colId="1" hiddenButton="1"/>
    <filterColumn colId="2" hiddenButton="1"/>
  </autoFilter>
  <tableColumns count="3">
    <tableColumn id="1" xr3:uid="{00000000-0010-0000-0300-000001000000}" name="Jour de la semaine" dataCellStyle="Titre 4"/>
    <tableColumn id="2" xr3:uid="{00000000-0010-0000-0300-000002000000}" name="date" dataCellStyle="Date"/>
    <tableColumn id="3" xr3:uid="{00000000-0010-0000-03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DevoirsMai" displayName="DevoirsMai" ref="J1:L31" totalsRowShown="0">
  <autoFilter ref="J1:L31" xr:uid="{00000000-0009-0000-0100-000005000000}">
    <filterColumn colId="0" hiddenButton="1"/>
    <filterColumn colId="1" hiddenButton="1"/>
    <filterColumn colId="2" hiddenButton="1"/>
  </autoFilter>
  <tableColumns count="3">
    <tableColumn id="1" xr3:uid="{00000000-0010-0000-0400-000001000000}" name="Jour de la semaine"/>
    <tableColumn id="2" xr3:uid="{00000000-0010-0000-0400-000002000000}" name="date" dataCellStyle="Date"/>
    <tableColumn id="3" xr3:uid="{00000000-0010-0000-0400-000003000000}" name="DEVOIRS"/>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DevoirsJuin" displayName="DevoirsJuin" ref="J1:L31" totalsRowShown="0">
  <autoFilter ref="J1:L31" xr:uid="{00000000-0009-0000-0100-000006000000}">
    <filterColumn colId="0" hiddenButton="1"/>
    <filterColumn colId="1" hiddenButton="1"/>
    <filterColumn colId="2" hiddenButton="1"/>
  </autoFilter>
  <tableColumns count="3">
    <tableColumn id="1" xr3:uid="{00000000-0010-0000-0500-000001000000}" name="Jour de la semaine" dataCellStyle="Titre 4"/>
    <tableColumn id="2" xr3:uid="{00000000-0010-0000-0500-000002000000}" name="date" dataCellStyle="Date"/>
    <tableColumn id="3" xr3:uid="{00000000-0010-0000-05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DevoirsJuillet" displayName="DevoirsJuillet" ref="J1:L31" totalsRowShown="0">
  <autoFilter ref="J1:L31" xr:uid="{00000000-0009-0000-0100-000007000000}">
    <filterColumn colId="0" hiddenButton="1"/>
    <filterColumn colId="1" hiddenButton="1"/>
    <filterColumn colId="2" hiddenButton="1"/>
  </autoFilter>
  <tableColumns count="3">
    <tableColumn id="1" xr3:uid="{00000000-0010-0000-0600-000001000000}" name="Jour de la semaine" dataCellStyle="Titre 4"/>
    <tableColumn id="2" xr3:uid="{00000000-0010-0000-0600-000002000000}" name="date" dataCellStyle="Date"/>
    <tableColumn id="3" xr3:uid="{00000000-0010-0000-06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7000000}" name="DevoirsAoût" displayName="DevoirsAoût" ref="J1:L31" totalsRowShown="0">
  <autoFilter ref="J1:L31" xr:uid="{00000000-0009-0000-0100-000008000000}">
    <filterColumn colId="0" hiddenButton="1"/>
    <filterColumn colId="1" hiddenButton="1"/>
    <filterColumn colId="2" hiddenButton="1"/>
  </autoFilter>
  <tableColumns count="3">
    <tableColumn id="1" xr3:uid="{00000000-0010-0000-0700-000001000000}" name="Jour de la semaine" dataCellStyle="Titre 4"/>
    <tableColumn id="2" xr3:uid="{00000000-0010-0000-0700-000002000000}" name="date" dataCellStyle="Date"/>
    <tableColumn id="3" xr3:uid="{00000000-0010-0000-07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DevoirsSeptembre" displayName="DevoirsSeptembre" ref="J1:L31" totalsRowShown="0">
  <autoFilter ref="J1:L31" xr:uid="{00000000-0009-0000-0100-000009000000}">
    <filterColumn colId="0" hiddenButton="1"/>
    <filterColumn colId="1" hiddenButton="1"/>
    <filterColumn colId="2" hiddenButton="1"/>
  </autoFilter>
  <tableColumns count="3">
    <tableColumn id="1" xr3:uid="{00000000-0010-0000-0800-000001000000}" name="Jour de la semaine" dataCellStyle="Titre 4"/>
    <tableColumn id="2" xr3:uid="{00000000-0010-0000-0800-000002000000}" name="date" dataCellStyle="Date"/>
    <tableColumn id="3" xr3:uid="{00000000-0010-0000-08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9000000}" name="DevoirsOctobre" displayName="DevoirsOctobre" ref="J1:L31" totalsRowShown="0">
  <autoFilter ref="J1:L31" xr:uid="{00000000-0009-0000-0100-00000A000000}">
    <filterColumn colId="0" hiddenButton="1"/>
    <filterColumn colId="1" hiddenButton="1"/>
    <filterColumn colId="2" hiddenButton="1"/>
  </autoFilter>
  <tableColumns count="3">
    <tableColumn id="1" xr3:uid="{00000000-0010-0000-0900-000001000000}" name="Jour de la semaine" dataCellStyle="Titre 4"/>
    <tableColumn id="2" xr3:uid="{00000000-0010-0000-0900-000002000000}" name="date" dataCellStyle="Date"/>
    <tableColumn id="3" xr3:uid="{00000000-0010-0000-09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DevoirsNovembre" displayName="DevoirsNovembre" ref="J1:L31" totalsRowShown="0">
  <autoFilter ref="J1:L31" xr:uid="{00000000-0009-0000-0100-00000B000000}">
    <filterColumn colId="0" hiddenButton="1"/>
    <filterColumn colId="1" hiddenButton="1"/>
    <filterColumn colId="2" hiddenButton="1"/>
  </autoFilter>
  <tableColumns count="3">
    <tableColumn id="1" xr3:uid="{00000000-0010-0000-0A00-000001000000}" name="Jour de la semaine" dataCellStyle="Titre 4"/>
    <tableColumn id="2" xr3:uid="{00000000-0010-0000-0A00-000002000000}" name="date" dataCellStyle="Date"/>
    <tableColumn id="3" xr3:uid="{00000000-0010-0000-0A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evoirsDécembre" displayName="DevoirsDécembre" ref="J1:L31" totalsRowShown="0" dataCellStyle="Normal">
  <autoFilter ref="J1:L31" xr:uid="{00000000-0009-0000-0100-00000C000000}">
    <filterColumn colId="0" hiddenButton="1"/>
    <filterColumn colId="1" hiddenButton="1"/>
    <filterColumn colId="2" hiddenButton="1"/>
  </autoFilter>
  <tableColumns count="3">
    <tableColumn id="1" xr3:uid="{00000000-0010-0000-0B00-000001000000}" name="Jour de la semaine" dataCellStyle="Titre 4"/>
    <tableColumn id="2" xr3:uid="{00000000-0010-0000-0B00-000002000000}" name="date" dataCellStyle="Date"/>
    <tableColumn id="3" xr3:uid="{00000000-0010-0000-0B00-000003000000}" name="DEVOIRS" dataCellStyle="Normal"/>
  </tableColumns>
  <tableStyleInfo name="Devoirs" showFirstColumn="1" showLastColumn="0" showRowStripes="1" showColumnStripes="0"/>
  <extLst>
    <ext xmlns:x14="http://schemas.microsoft.com/office/spreadsheetml/2009/9/main" uri="{504A1905-F514-4f6f-8877-14C23A59335A}">
      <x14:table altTextSummary="Entrez une date et un devoir pour le jour de la semaine indiqué dans la colonne J. Les devoirs sont mis en surbrillance dans le calendrier du mois dans cette feuille de calcul"/>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6E7F059B-8303-41B3-AC53-E12AE00E7EE6}" name="Tableau14" displayName="Tableau14" ref="A1:J1048576" totalsRowShown="0" headerRowDxfId="0">
  <autoFilter ref="A1:J1048576" xr:uid="{BBC4F367-88A4-498F-ADA0-60091EE920D2}"/>
  <tableColumns count="10">
    <tableColumn id="1" xr3:uid="{0B5F7A6D-3AF1-4079-9A1A-0FCA5C746B3C}" name="Numéro"/>
    <tableColumn id="2" xr3:uid="{B3C5216B-AF91-43D4-A998-F7416578E6F9}" name="Date"/>
    <tableColumn id="3" xr3:uid="{5579D326-ECA7-4AA7-A28A-41E4FA7396D9}" name="Clients"/>
    <tableColumn id="4" xr3:uid="{ACE1A59D-0D28-4810-9772-407299CA55A4}" name="Début séjour"/>
    <tableColumn id="5" xr3:uid="{5983DBEF-4835-4422-A10F-8B570E348002}" name="Fin de séjour"/>
    <tableColumn id="6" xr3:uid="{44FCCA99-C740-4212-B2B8-507799916FA6}" name="Chambre"/>
    <tableColumn id="7" xr3:uid="{D4C6F066-3DCC-48AB-9361-E912A5158B83}" name="Diver"/>
    <tableColumn id="8" xr3:uid="{77520265-5EA4-41A1-BEFA-328E6F5303A1}" name="Colonne1"/>
    <tableColumn id="9" xr3:uid="{D4DF4421-9F89-4612-B41D-C58B65F23492}" name="Colonne2"/>
    <tableColumn id="10" xr3:uid="{D98F00B3-33AA-4917-91B7-74865C34C79A}" name="Total"/>
  </tableColumns>
  <tableStyleInfo name="TableStyleLight8"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88C141D1-A3EA-4093-A57F-EA29A989CAC4}" name="Tableau13" displayName="Tableau13" ref="A1:G1048576" totalsRowShown="0">
  <autoFilter ref="A1:G1048576" xr:uid="{A85738AA-6AD2-4045-BE2C-F97E4AB67944}"/>
  <tableColumns count="7">
    <tableColumn id="1" xr3:uid="{27682EDB-5334-4D2A-8C89-4C36BCBD0B4A}" name="N° Reservat"/>
    <tableColumn id="2" xr3:uid="{C6F75796-932D-4B89-99FF-BD0300F7BE60}" name="Client"/>
    <tableColumn id="3" xr3:uid="{DABBCB6F-8861-4BC7-8561-380D5D370DD1}" name="Nature pres"/>
    <tableColumn id="4" xr3:uid="{1592BE1C-D746-4B0F-A7AD-E3336C1FFE0C}" name="Articles"/>
    <tableColumn id="5" xr3:uid="{A9755C7D-CB34-4A09-BC74-0CEFDB11C515}" name="Du"/>
    <tableColumn id="6" xr3:uid="{426CF5C5-B468-44AD-99D6-BDF195EBC368}" name="Au"/>
    <tableColumn id="7" xr3:uid="{CB213FD6-FFFB-4195-A176-4B3853A6D4CD}" name="Plage Horaire"/>
  </tableColumns>
  <tableStyleInfo name="TableStyleMedium1" showFirstColumn="0" showLastColumn="0" showRowStripes="1" showColumnStripes="0"/>
</table>
</file>

<file path=xl/theme/theme1.xml><?xml version="1.0" encoding="utf-8"?>
<a:theme xmlns:a="http://schemas.openxmlformats.org/drawingml/2006/main" name="10_college_cal">
  <a:themeElements>
    <a:clrScheme name="Assignment Calendar">
      <a:dk1>
        <a:sysClr val="windowText" lastClr="000000"/>
      </a:dk1>
      <a:lt1>
        <a:sysClr val="window" lastClr="FFFFFF"/>
      </a:lt1>
      <a:dk2>
        <a:srgbClr val="1F497D"/>
      </a:dk2>
      <a:lt2>
        <a:srgbClr val="EEECE1"/>
      </a:lt2>
      <a:accent1>
        <a:srgbClr val="39B5D4"/>
      </a:accent1>
      <a:accent2>
        <a:srgbClr val="FFCCCC"/>
      </a:accent2>
      <a:accent3>
        <a:srgbClr val="4DBB68"/>
      </a:accent3>
      <a:accent4>
        <a:srgbClr val="FFFB59"/>
      </a:accent4>
      <a:accent5>
        <a:srgbClr val="FF9900"/>
      </a:accent5>
      <a:accent6>
        <a:srgbClr val="AC75D5"/>
      </a:accent6>
      <a:hlink>
        <a:srgbClr val="57B5D4"/>
      </a:hlink>
      <a:folHlink>
        <a:srgbClr val="BA4F8B"/>
      </a:folHlink>
    </a:clrScheme>
    <a:fontScheme name="Office Classic 2">
      <a:maj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5.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pageSetUpPr fitToPage="1"/>
  </sheetPr>
  <dimension ref="A1:L33"/>
  <sheetViews>
    <sheetView showGridLines="0" topLeftCell="A8" zoomScaleNormal="100" zoomScalePageLayoutView="84" workbookViewId="0">
      <selection activeCell="E14" sqref="E14:F14"/>
    </sheetView>
  </sheetViews>
  <sheetFormatPr baseColWidth="10" defaultColWidth="8.625" defaultRowHeight="30" customHeight="1" x14ac:dyDescent="0.2"/>
  <cols>
    <col min="1" max="1" width="2.625" customWidth="1"/>
    <col min="2" max="2" width="20.625" customWidth="1"/>
    <col min="3" max="8" width="10.625" customWidth="1"/>
    <col min="9" max="9" width="20.625" customWidth="1"/>
    <col min="10" max="11" width="10.625" customWidth="1"/>
    <col min="12" max="12" width="70.625" customWidth="1"/>
    <col min="13" max="13" width="2.625" customWidth="1"/>
    <col min="14" max="14" width="8.625" customWidth="1"/>
  </cols>
  <sheetData>
    <row r="1" spans="1:12" ht="30" customHeight="1" x14ac:dyDescent="0.2">
      <c r="A1" s="18"/>
      <c r="B1" s="9">
        <f ca="1">YEAR(TODAY())</f>
        <v>2018</v>
      </c>
      <c r="C1" s="6" t="s">
        <v>82</v>
      </c>
      <c r="D1" s="1"/>
      <c r="E1" s="1"/>
      <c r="F1" s="1"/>
      <c r="G1" s="1"/>
      <c r="H1" s="1"/>
      <c r="I1" s="1"/>
      <c r="J1" s="21" t="s">
        <v>0</v>
      </c>
      <c r="K1" s="21" t="s">
        <v>19</v>
      </c>
      <c r="L1" s="12" t="s">
        <v>34</v>
      </c>
    </row>
    <row r="2" spans="1:12" ht="30" customHeight="1" x14ac:dyDescent="0.25">
      <c r="A2" s="14"/>
      <c r="B2" s="37" t="s">
        <v>30</v>
      </c>
      <c r="C2" s="8" t="s">
        <v>4</v>
      </c>
      <c r="D2" s="8" t="s">
        <v>10</v>
      </c>
      <c r="E2" s="8" t="s">
        <v>14</v>
      </c>
      <c r="F2" s="8" t="s">
        <v>15</v>
      </c>
      <c r="G2" s="8" t="s">
        <v>16</v>
      </c>
      <c r="H2" s="8" t="s">
        <v>17</v>
      </c>
      <c r="I2" s="8" t="s">
        <v>18</v>
      </c>
      <c r="J2" s="41" t="s">
        <v>4</v>
      </c>
      <c r="K2" s="42">
        <v>1</v>
      </c>
      <c r="L2" s="43"/>
    </row>
    <row r="3" spans="1:12" ht="30" customHeight="1" x14ac:dyDescent="0.25">
      <c r="A3" s="14"/>
      <c r="B3" s="18"/>
      <c r="C3" s="7">
        <f ca="1">IF(DAY(DimJanv1)=1,DimJanv1-6,DimJanv1+1)</f>
        <v>43101</v>
      </c>
      <c r="D3" s="7">
        <f ca="1">IF(DAY(DimJanv1)=1,DimJanv1-5,DimJanv1+2)</f>
        <v>43102</v>
      </c>
      <c r="E3" s="7">
        <f ca="1">IF(DAY(DimJanv1)=1,DimJanv1-4,DimJanv1+3)</f>
        <v>43103</v>
      </c>
      <c r="F3" s="7">
        <f ca="1">IF(DAY(DimJanv1)=1,DimJanv1-3,DimJanv1+4)</f>
        <v>43104</v>
      </c>
      <c r="G3" s="7">
        <f ca="1">IF(DAY(DimJanv1)=1,DimJanv1-2,DimJanv1+5)</f>
        <v>43105</v>
      </c>
      <c r="H3" s="7">
        <f ca="1">IF(DAY(DimJanv1)=1,DimJanv1-1,DimJanv1+6)</f>
        <v>43106</v>
      </c>
      <c r="I3" s="7">
        <f ca="1">IF(DAY(DimJanv1)=1,DimJanv1,DimJanv1+7)</f>
        <v>43107</v>
      </c>
      <c r="J3" s="41" t="s">
        <v>4</v>
      </c>
      <c r="K3" s="42">
        <v>8</v>
      </c>
      <c r="L3" s="43"/>
    </row>
    <row r="4" spans="1:12" ht="30" customHeight="1" x14ac:dyDescent="0.25">
      <c r="A4" s="14"/>
      <c r="B4" s="18"/>
      <c r="C4" s="7">
        <f ca="1">IF(DAY(DimJanv1)=1,DimJanv1+1,DimJanv1+8)</f>
        <v>43108</v>
      </c>
      <c r="D4" s="7">
        <f ca="1">IF(DAY(DimJanv1)=1,DimJanv1+2,DimJanv1+9)</f>
        <v>43109</v>
      </c>
      <c r="E4" s="7">
        <f ca="1">IF(DAY(DimJanv1)=1,DimJanv1+3,DimJanv1+10)</f>
        <v>43110</v>
      </c>
      <c r="F4" s="7">
        <f ca="1">IF(DAY(DimJanv1)=1,DimJanv1+4,DimJanv1+11)</f>
        <v>43111</v>
      </c>
      <c r="G4" s="7">
        <f ca="1">IF(DAY(DimJanv1)=1,DimJanv1+5,DimJanv1+12)</f>
        <v>43112</v>
      </c>
      <c r="H4" s="7">
        <f ca="1">IF(DAY(DimJanv1)=1,DimJanv1+6,DimJanv1+13)</f>
        <v>43113</v>
      </c>
      <c r="I4" s="7">
        <f ca="1">IF(DAY(DimJanv1)=1,DimJanv1+7,DimJanv1+14)</f>
        <v>43114</v>
      </c>
      <c r="J4" s="41"/>
      <c r="K4" s="42"/>
      <c r="L4" s="43"/>
    </row>
    <row r="5" spans="1:12" ht="30" customHeight="1" x14ac:dyDescent="0.25">
      <c r="A5" s="14"/>
      <c r="B5" s="18"/>
      <c r="C5" s="7">
        <f ca="1">IF(DAY(DimJanv1)=1,DimJanv1+8,DimJanv1+15)</f>
        <v>43115</v>
      </c>
      <c r="D5" s="7">
        <f ca="1">IF(DAY(DimJanv1)=1,DimJanv1+9,DimJanv1+16)</f>
        <v>43116</v>
      </c>
      <c r="E5" s="7">
        <f ca="1">IF(DAY(DimJanv1)=1,DimJanv1+10,DimJanv1+17)</f>
        <v>43117</v>
      </c>
      <c r="F5" s="7">
        <f ca="1">IF(DAY(DimJanv1)=1,DimJanv1+11,DimJanv1+18)</f>
        <v>43118</v>
      </c>
      <c r="G5" s="7">
        <f ca="1">IF(DAY(DimJanv1)=1,DimJanv1+12,DimJanv1+19)</f>
        <v>43119</v>
      </c>
      <c r="H5" s="7">
        <f ca="1">IF(DAY(DimJanv1)=1,DimJanv1+13,DimJanv1+20)</f>
        <v>43120</v>
      </c>
      <c r="I5" s="7">
        <f ca="1">IF(DAY(DimJanv1)=1,DimJanv1+14,DimJanv1+21)</f>
        <v>43121</v>
      </c>
      <c r="J5" s="41"/>
      <c r="K5" s="42"/>
      <c r="L5" s="43"/>
    </row>
    <row r="6" spans="1:12" ht="30" customHeight="1" x14ac:dyDescent="0.25">
      <c r="A6" s="14"/>
      <c r="B6" s="18"/>
      <c r="C6" s="7">
        <f ca="1">IF(DAY(DimJanv1)=1,DimJanv1+15,DimJanv1+22)</f>
        <v>43122</v>
      </c>
      <c r="D6" s="7">
        <f ca="1">IF(DAY(DimJanv1)=1,DimJanv1+16,DimJanv1+23)</f>
        <v>43123</v>
      </c>
      <c r="E6" s="7">
        <f ca="1">IF(DAY(DimJanv1)=1,DimJanv1+17,DimJanv1+24)</f>
        <v>43124</v>
      </c>
      <c r="F6" s="7">
        <f ca="1">IF(DAY(DimJanv1)=1,DimJanv1+18,DimJanv1+25)</f>
        <v>43125</v>
      </c>
      <c r="G6" s="7">
        <f ca="1">IF(DAY(DimJanv1)=1,DimJanv1+19,DimJanv1+26)</f>
        <v>43126</v>
      </c>
      <c r="H6" s="7">
        <f ca="1">IF(DAY(DimJanv1)=1,DimJanv1+20,DimJanv1+27)</f>
        <v>43127</v>
      </c>
      <c r="I6" s="7">
        <f ca="1">IF(DAY(DimJanv1)=1,DimJanv1+21,DimJanv1+28)</f>
        <v>43128</v>
      </c>
      <c r="J6" s="41"/>
      <c r="K6" s="42"/>
      <c r="L6" s="43"/>
    </row>
    <row r="7" spans="1:12" ht="30" customHeight="1" x14ac:dyDescent="0.25">
      <c r="A7" s="14"/>
      <c r="B7" s="18"/>
      <c r="C7" s="7">
        <f ca="1">IF(DAY(DimJanv1)=1,DimJanv1+22,DimJanv1+29)</f>
        <v>43129</v>
      </c>
      <c r="D7" s="7">
        <f ca="1">IF(DAY(DimJanv1)=1,DimJanv1+23,DimJanv1+30)</f>
        <v>43130</v>
      </c>
      <c r="E7" s="7">
        <f ca="1">IF(DAY(DimJanv1)=1,DimJanv1+24,DimJanv1+31)</f>
        <v>43131</v>
      </c>
      <c r="F7" s="7">
        <f ca="1">IF(DAY(DimJanv1)=1,DimJanv1+25,DimJanv1+32)</f>
        <v>43132</v>
      </c>
      <c r="G7" s="7">
        <f ca="1">IF(DAY(DimJanv1)=1,DimJanv1+26,DimJanv1+33)</f>
        <v>43133</v>
      </c>
      <c r="H7" s="7">
        <f ca="1">IF(DAY(DimJanv1)=1,DimJanv1+27,DimJanv1+34)</f>
        <v>43134</v>
      </c>
      <c r="I7" s="7">
        <f ca="1">IF(DAY(DimJanv1)=1,DimJanv1+28,DimJanv1+35)</f>
        <v>43135</v>
      </c>
      <c r="J7" s="38"/>
      <c r="K7" s="20"/>
      <c r="L7" s="19"/>
    </row>
    <row r="8" spans="1:12" ht="30" customHeight="1" x14ac:dyDescent="0.25">
      <c r="A8" s="14"/>
      <c r="B8" s="19"/>
      <c r="C8" s="52">
        <f ca="1">IF(DAY(DimJanv1)=1,DimJanv1+29,DimJanv1+36)</f>
        <v>43136</v>
      </c>
      <c r="D8" s="52">
        <f ca="1">IF(DAY(DimJanv1)=1,DimJanv1+30,DimJanv1+37)</f>
        <v>43137</v>
      </c>
      <c r="E8" s="52">
        <f ca="1">IF(DAY(DimJanv1)=1,DimJanv1+31,DimJanv1+38)</f>
        <v>43138</v>
      </c>
      <c r="F8" s="52">
        <f ca="1">IF(DAY(DimJanv1)=1,DimJanv1+32,DimJanv1+39)</f>
        <v>43139</v>
      </c>
      <c r="G8" s="52">
        <f ca="1">IF(DAY(DimJanv1)=1,DimJanv1+33,DimJanv1+40)</f>
        <v>43140</v>
      </c>
      <c r="H8" s="52">
        <f ca="1">IF(DAY(DimJanv1)=1,DimJanv1+34,DimJanv1+41)</f>
        <v>43141</v>
      </c>
      <c r="I8" s="52">
        <f ca="1">IF(DAY(DimJanv1)=1,DimJanv1+35,DimJanv1+42)</f>
        <v>43142</v>
      </c>
      <c r="J8" s="44" t="s">
        <v>10</v>
      </c>
      <c r="K8" s="23">
        <v>17</v>
      </c>
      <c r="L8" s="45"/>
    </row>
    <row r="9" spans="1:12" ht="30" customHeight="1" x14ac:dyDescent="0.25">
      <c r="A9" s="14"/>
      <c r="B9" s="18"/>
      <c r="C9" s="54"/>
      <c r="D9" s="54"/>
      <c r="E9" s="54"/>
      <c r="F9" s="54"/>
      <c r="G9" s="54"/>
      <c r="H9" s="54"/>
      <c r="I9" s="54"/>
      <c r="J9" s="41"/>
      <c r="K9" s="42"/>
      <c r="L9" s="43"/>
    </row>
    <row r="10" spans="1:12" ht="30" customHeight="1" x14ac:dyDescent="0.25">
      <c r="A10" s="14"/>
      <c r="B10" s="17" t="s">
        <v>83</v>
      </c>
      <c r="C10" s="10"/>
      <c r="D10" s="10"/>
      <c r="E10" s="10"/>
      <c r="F10" s="10"/>
      <c r="G10" s="10"/>
      <c r="H10" s="10"/>
      <c r="I10" s="10"/>
      <c r="J10" s="41"/>
      <c r="K10" s="42"/>
      <c r="L10" s="43"/>
    </row>
    <row r="11" spans="1:12" ht="30" customHeight="1" x14ac:dyDescent="0.25">
      <c r="A11" s="29" t="s">
        <v>0</v>
      </c>
      <c r="B11" s="15" t="s">
        <v>4</v>
      </c>
      <c r="C11" s="80" t="s">
        <v>10</v>
      </c>
      <c r="D11" s="81"/>
      <c r="E11" s="80" t="s">
        <v>14</v>
      </c>
      <c r="F11" s="81"/>
      <c r="G11" s="80" t="s">
        <v>15</v>
      </c>
      <c r="H11" s="81"/>
      <c r="I11" s="56" t="s">
        <v>16</v>
      </c>
      <c r="J11" s="41"/>
      <c r="K11" s="42"/>
      <c r="L11" s="43"/>
    </row>
    <row r="12" spans="1:12" ht="30" customHeight="1" x14ac:dyDescent="0.25">
      <c r="A12" s="29" t="s">
        <v>1</v>
      </c>
      <c r="B12" s="36" t="s">
        <v>5</v>
      </c>
      <c r="C12" s="78"/>
      <c r="D12" s="78"/>
      <c r="E12" s="78" t="s">
        <v>5</v>
      </c>
      <c r="F12" s="78"/>
      <c r="G12" s="78"/>
      <c r="H12" s="78"/>
      <c r="I12" s="57" t="s">
        <v>5</v>
      </c>
      <c r="J12" s="41"/>
      <c r="K12" s="42"/>
      <c r="L12" s="43"/>
    </row>
    <row r="13" spans="1:12" ht="30" customHeight="1" x14ac:dyDescent="0.25">
      <c r="A13" s="29" t="s">
        <v>2</v>
      </c>
      <c r="B13" s="30" t="s">
        <v>40</v>
      </c>
      <c r="C13" s="79"/>
      <c r="D13" s="79"/>
      <c r="E13" s="87" t="s">
        <v>51</v>
      </c>
      <c r="F13" s="79"/>
      <c r="G13" s="79"/>
      <c r="H13" s="79"/>
      <c r="I13" s="58" t="s">
        <v>6</v>
      </c>
      <c r="J13" s="38"/>
      <c r="K13" s="20"/>
      <c r="L13" s="19"/>
    </row>
    <row r="14" spans="1:12" ht="30" customHeight="1" x14ac:dyDescent="0.25">
      <c r="A14" s="29" t="s">
        <v>1</v>
      </c>
      <c r="B14" s="24"/>
      <c r="C14" s="78" t="s">
        <v>11</v>
      </c>
      <c r="D14" s="78"/>
      <c r="E14" s="78"/>
      <c r="F14" s="78"/>
      <c r="G14" s="78" t="s">
        <v>11</v>
      </c>
      <c r="H14" s="78"/>
      <c r="I14" s="57"/>
      <c r="J14" s="44" t="s">
        <v>14</v>
      </c>
      <c r="K14" s="23"/>
      <c r="L14" s="45"/>
    </row>
    <row r="15" spans="1:12" ht="30" customHeight="1" x14ac:dyDescent="0.25">
      <c r="A15" s="29" t="s">
        <v>2</v>
      </c>
      <c r="B15" s="30"/>
      <c r="C15" s="87" t="s">
        <v>41</v>
      </c>
      <c r="D15" s="79"/>
      <c r="E15" s="79"/>
      <c r="F15" s="79"/>
      <c r="G15" s="79" t="s">
        <v>12</v>
      </c>
      <c r="H15" s="79"/>
      <c r="I15" s="58"/>
      <c r="J15" s="41"/>
      <c r="K15" s="42"/>
      <c r="L15" s="43"/>
    </row>
    <row r="16" spans="1:12" ht="30" customHeight="1" x14ac:dyDescent="0.25">
      <c r="A16" s="29" t="s">
        <v>1</v>
      </c>
      <c r="B16" s="24" t="s">
        <v>7</v>
      </c>
      <c r="C16" s="78"/>
      <c r="D16" s="78"/>
      <c r="E16" s="78" t="s">
        <v>7</v>
      </c>
      <c r="F16" s="78"/>
      <c r="G16" s="78"/>
      <c r="H16" s="78"/>
      <c r="I16" s="57" t="s">
        <v>7</v>
      </c>
      <c r="J16" s="41"/>
      <c r="K16" s="42"/>
      <c r="L16" s="43"/>
    </row>
    <row r="17" spans="1:12" ht="30" customHeight="1" x14ac:dyDescent="0.25">
      <c r="A17" s="29" t="s">
        <v>2</v>
      </c>
      <c r="B17" s="30" t="s">
        <v>8</v>
      </c>
      <c r="C17" s="79"/>
      <c r="D17" s="79"/>
      <c r="E17" s="79" t="s">
        <v>8</v>
      </c>
      <c r="F17" s="79"/>
      <c r="G17" s="79"/>
      <c r="H17" s="79"/>
      <c r="I17" s="58" t="s">
        <v>8</v>
      </c>
      <c r="J17" s="41"/>
      <c r="K17" s="42"/>
      <c r="L17" s="43"/>
    </row>
    <row r="18" spans="1:12" ht="30" customHeight="1" x14ac:dyDescent="0.25">
      <c r="A18" s="29" t="s">
        <v>1</v>
      </c>
      <c r="B18" s="24"/>
      <c r="C18" s="78"/>
      <c r="D18" s="78"/>
      <c r="E18" s="78"/>
      <c r="F18" s="78"/>
      <c r="G18" s="78"/>
      <c r="H18" s="78"/>
      <c r="I18" s="57"/>
      <c r="J18" s="41"/>
      <c r="K18" s="42"/>
      <c r="L18" s="43"/>
    </row>
    <row r="19" spans="1:12" ht="30" customHeight="1" x14ac:dyDescent="0.25">
      <c r="A19" s="29" t="s">
        <v>2</v>
      </c>
      <c r="B19" s="30"/>
      <c r="C19" s="79"/>
      <c r="D19" s="79"/>
      <c r="E19" s="79"/>
      <c r="F19" s="79"/>
      <c r="G19" s="79"/>
      <c r="H19" s="79"/>
      <c r="I19" s="59"/>
      <c r="J19" s="38"/>
      <c r="K19" s="20"/>
      <c r="L19" s="19"/>
    </row>
    <row r="20" spans="1:12" ht="30" customHeight="1" x14ac:dyDescent="0.25">
      <c r="A20" s="29" t="s">
        <v>1</v>
      </c>
      <c r="B20" s="24"/>
      <c r="C20" s="78"/>
      <c r="D20" s="78"/>
      <c r="E20" s="78"/>
      <c r="F20" s="78"/>
      <c r="G20" s="78"/>
      <c r="H20" s="78"/>
      <c r="I20" s="57"/>
      <c r="J20" s="44" t="s">
        <v>15</v>
      </c>
      <c r="K20" s="23"/>
      <c r="L20" s="45"/>
    </row>
    <row r="21" spans="1:12" ht="30" customHeight="1" x14ac:dyDescent="0.25">
      <c r="A21" s="29" t="s">
        <v>2</v>
      </c>
      <c r="B21" s="30"/>
      <c r="C21" s="79"/>
      <c r="D21" s="79"/>
      <c r="E21" s="79"/>
      <c r="F21" s="79"/>
      <c r="G21" s="79"/>
      <c r="H21" s="79"/>
      <c r="I21" s="58"/>
      <c r="J21" s="41"/>
      <c r="K21" s="42"/>
      <c r="L21" s="43"/>
    </row>
    <row r="22" spans="1:12" ht="30" customHeight="1" x14ac:dyDescent="0.25">
      <c r="A22" s="29" t="s">
        <v>1</v>
      </c>
      <c r="B22" s="24"/>
      <c r="C22" s="78"/>
      <c r="D22" s="78"/>
      <c r="E22" s="78"/>
      <c r="F22" s="78"/>
      <c r="G22" s="78"/>
      <c r="H22" s="78"/>
      <c r="I22" s="57"/>
      <c r="J22" s="41"/>
      <c r="K22" s="42"/>
      <c r="L22" s="43"/>
    </row>
    <row r="23" spans="1:12" ht="30" customHeight="1" x14ac:dyDescent="0.25">
      <c r="A23" s="29" t="s">
        <v>2</v>
      </c>
      <c r="B23" s="30"/>
      <c r="C23" s="79"/>
      <c r="D23" s="79"/>
      <c r="E23" s="79"/>
      <c r="F23" s="79"/>
      <c r="G23" s="79"/>
      <c r="H23" s="79"/>
      <c r="I23" s="58"/>
      <c r="J23" s="41"/>
      <c r="K23" s="42"/>
      <c r="L23" s="43"/>
    </row>
    <row r="24" spans="1:12" ht="30" customHeight="1" x14ac:dyDescent="0.25">
      <c r="A24" s="29" t="s">
        <v>1</v>
      </c>
      <c r="B24" s="40">
        <v>0.58333333333333337</v>
      </c>
      <c r="C24" s="78"/>
      <c r="D24" s="78"/>
      <c r="E24" s="84">
        <v>0.58333333333333337</v>
      </c>
      <c r="F24" s="85"/>
      <c r="G24" s="78"/>
      <c r="H24" s="78"/>
      <c r="I24" s="57">
        <v>0.58333333333333337</v>
      </c>
      <c r="J24" s="41"/>
      <c r="K24" s="42"/>
      <c r="L24" s="43"/>
    </row>
    <row r="25" spans="1:12" ht="30" customHeight="1" x14ac:dyDescent="0.25">
      <c r="A25" s="29" t="s">
        <v>2</v>
      </c>
      <c r="B25" s="30" t="s">
        <v>9</v>
      </c>
      <c r="C25" s="79"/>
      <c r="D25" s="79"/>
      <c r="E25" s="79" t="s">
        <v>9</v>
      </c>
      <c r="F25" s="79"/>
      <c r="G25" s="79"/>
      <c r="H25" s="79"/>
      <c r="I25" s="58" t="s">
        <v>9</v>
      </c>
      <c r="J25" s="49"/>
      <c r="K25" s="50"/>
      <c r="L25" s="19"/>
    </row>
    <row r="26" spans="1:12" ht="30" customHeight="1" x14ac:dyDescent="0.25">
      <c r="A26" s="29" t="s">
        <v>1</v>
      </c>
      <c r="B26" s="24"/>
      <c r="C26" s="78"/>
      <c r="D26" s="78"/>
      <c r="E26" s="78"/>
      <c r="F26" s="78"/>
      <c r="G26" s="78"/>
      <c r="H26" s="78"/>
      <c r="I26" s="57"/>
      <c r="J26" s="46" t="s">
        <v>16</v>
      </c>
      <c r="K26" s="47"/>
      <c r="L26" s="48"/>
    </row>
    <row r="27" spans="1:12" ht="30" customHeight="1" x14ac:dyDescent="0.25">
      <c r="A27" s="29" t="s">
        <v>2</v>
      </c>
      <c r="B27" s="30"/>
      <c r="C27" s="79"/>
      <c r="D27" s="79"/>
      <c r="E27" s="79"/>
      <c r="F27" s="79"/>
      <c r="G27" s="79"/>
      <c r="H27" s="79"/>
      <c r="I27" s="58"/>
      <c r="J27" s="41"/>
      <c r="K27" s="42"/>
      <c r="L27" s="43"/>
    </row>
    <row r="28" spans="1:12" ht="30" customHeight="1" x14ac:dyDescent="0.25">
      <c r="A28" s="29" t="s">
        <v>1</v>
      </c>
      <c r="B28" s="24"/>
      <c r="C28" s="78">
        <v>0.66666666666666663</v>
      </c>
      <c r="D28" s="78"/>
      <c r="E28" s="78"/>
      <c r="F28" s="78"/>
      <c r="G28" s="78">
        <v>0.66666666666666663</v>
      </c>
      <c r="H28" s="78"/>
      <c r="I28" s="57"/>
      <c r="J28" s="41"/>
      <c r="K28" s="42"/>
      <c r="L28" s="43"/>
    </row>
    <row r="29" spans="1:12" ht="30" customHeight="1" x14ac:dyDescent="0.25">
      <c r="A29" s="29" t="s">
        <v>2</v>
      </c>
      <c r="B29" s="30"/>
      <c r="C29" s="79" t="s">
        <v>13</v>
      </c>
      <c r="D29" s="79"/>
      <c r="E29" s="79"/>
      <c r="F29" s="79"/>
      <c r="G29" s="79" t="s">
        <v>13</v>
      </c>
      <c r="H29" s="79"/>
      <c r="I29" s="58"/>
      <c r="J29" s="41"/>
      <c r="K29" s="42"/>
      <c r="L29" s="43"/>
    </row>
    <row r="30" spans="1:12" ht="30" customHeight="1" x14ac:dyDescent="0.25">
      <c r="A30" s="29" t="s">
        <v>1</v>
      </c>
      <c r="B30" s="24"/>
      <c r="C30" s="83"/>
      <c r="D30" s="83"/>
      <c r="E30" s="83"/>
      <c r="F30" s="83"/>
      <c r="G30" s="83"/>
      <c r="H30" s="83"/>
      <c r="I30" s="57"/>
      <c r="J30" s="41"/>
      <c r="K30" s="42"/>
      <c r="L30" s="43"/>
    </row>
    <row r="31" spans="1:12" ht="30" customHeight="1" x14ac:dyDescent="0.25">
      <c r="A31" s="29" t="s">
        <v>2</v>
      </c>
      <c r="B31" s="31"/>
      <c r="C31" s="82"/>
      <c r="D31" s="82"/>
      <c r="E31" s="82"/>
      <c r="F31" s="82"/>
      <c r="G31" s="82"/>
      <c r="H31" s="82"/>
      <c r="I31" s="32"/>
      <c r="J31" s="41"/>
      <c r="K31" s="42"/>
      <c r="L31" s="43"/>
    </row>
    <row r="33" spans="2:9" ht="30" customHeight="1" x14ac:dyDescent="0.25">
      <c r="B33" s="86" t="s">
        <v>35</v>
      </c>
      <c r="C33" s="86"/>
      <c r="D33" s="86"/>
      <c r="E33" s="86"/>
      <c r="F33" s="86"/>
      <c r="G33" s="86"/>
      <c r="H33" s="86"/>
      <c r="I33" s="86"/>
    </row>
  </sheetData>
  <dataConsolidate/>
  <mergeCells count="64">
    <mergeCell ref="B33:I33"/>
    <mergeCell ref="E11:F11"/>
    <mergeCell ref="C11:D11"/>
    <mergeCell ref="C17:D17"/>
    <mergeCell ref="C12:D12"/>
    <mergeCell ref="C13:D13"/>
    <mergeCell ref="C14:D14"/>
    <mergeCell ref="C15:D15"/>
    <mergeCell ref="C16:D16"/>
    <mergeCell ref="E14:F14"/>
    <mergeCell ref="E13:F13"/>
    <mergeCell ref="E12:F12"/>
    <mergeCell ref="C31:D31"/>
    <mergeCell ref="C22:D22"/>
    <mergeCell ref="C23:D23"/>
    <mergeCell ref="C24:D24"/>
    <mergeCell ref="C30:D30"/>
    <mergeCell ref="C18:D18"/>
    <mergeCell ref="C19:D19"/>
    <mergeCell ref="C20:D20"/>
    <mergeCell ref="C21:D21"/>
    <mergeCell ref="C25:D25"/>
    <mergeCell ref="C26:D26"/>
    <mergeCell ref="C27:D27"/>
    <mergeCell ref="C28:D28"/>
    <mergeCell ref="C29:D29"/>
    <mergeCell ref="E31:F31"/>
    <mergeCell ref="E30:F30"/>
    <mergeCell ref="E29:F29"/>
    <mergeCell ref="E28:F28"/>
    <mergeCell ref="E27:F27"/>
    <mergeCell ref="E20:F20"/>
    <mergeCell ref="E19:F19"/>
    <mergeCell ref="E18:F18"/>
    <mergeCell ref="E17:F17"/>
    <mergeCell ref="E26:F26"/>
    <mergeCell ref="E25:F25"/>
    <mergeCell ref="E24:F24"/>
    <mergeCell ref="E23:F23"/>
    <mergeCell ref="E22:F22"/>
    <mergeCell ref="E16:F16"/>
    <mergeCell ref="E15:F15"/>
    <mergeCell ref="G31:H31"/>
    <mergeCell ref="G20:H20"/>
    <mergeCell ref="G21:H21"/>
    <mergeCell ref="G22:H22"/>
    <mergeCell ref="G28:H28"/>
    <mergeCell ref="G29:H29"/>
    <mergeCell ref="G30:H30"/>
    <mergeCell ref="G23:H23"/>
    <mergeCell ref="G24:H24"/>
    <mergeCell ref="G25:H25"/>
    <mergeCell ref="G26:H26"/>
    <mergeCell ref="G18:H18"/>
    <mergeCell ref="G19:H19"/>
    <mergeCell ref="E21:F21"/>
    <mergeCell ref="G14:H14"/>
    <mergeCell ref="G15:H15"/>
    <mergeCell ref="G27:H27"/>
    <mergeCell ref="G11:H11"/>
    <mergeCell ref="G12:H12"/>
    <mergeCell ref="G13:H13"/>
    <mergeCell ref="G16:H16"/>
    <mergeCell ref="G17:H17"/>
  </mergeCells>
  <phoneticPr fontId="2" type="noConversion"/>
  <conditionalFormatting sqref="C3:H3">
    <cfRule type="expression" dxfId="86" priority="9" stopIfTrue="1">
      <formula>DAY(C3)&gt;8</formula>
    </cfRule>
  </conditionalFormatting>
  <conditionalFormatting sqref="C7:I8">
    <cfRule type="expression" dxfId="85" priority="8" stopIfTrue="1">
      <formula>AND(DAY(C7)&gt;=1,DAY(C7)&lt;=15)</formula>
    </cfRule>
  </conditionalFormatting>
  <conditionalFormatting sqref="C3:I8">
    <cfRule type="expression" dxfId="84" priority="20">
      <formula>VLOOKUP(DAY(C3),AssignmentDays,1,FALSE)=DAY(C3)</formula>
    </cfRule>
  </conditionalFormatting>
  <conditionalFormatting sqref="B12:I12 B14:I14 B16:I16 B18:I18 B20:I20 B22:I22 B24:I24 B26:I26 B28:I28 B30:I30">
    <cfRule type="expression" dxfId="83" priority="6">
      <formula>B12&lt;&gt;""</formula>
    </cfRule>
  </conditionalFormatting>
  <conditionalFormatting sqref="B13:I13 B15:I15 B17:I17 B19:I19 B21:I21 B23:I23 B25:I25 B27:I27 B29:I29 B31:I31">
    <cfRule type="expression" dxfId="82" priority="4">
      <formula>B13&lt;&gt;""</formula>
    </cfRule>
  </conditionalFormatting>
  <conditionalFormatting sqref="B13:I13 B15:I15 B17:I17 B19:I19 B21:I21 B23:I23 B25:I25 B27:I27 B29:I29">
    <cfRule type="expression" dxfId="81" priority="3">
      <formula>COLUMN(B12)&gt;=2</formula>
    </cfRule>
  </conditionalFormatting>
  <conditionalFormatting sqref="B12:I31">
    <cfRule type="expression" dxfId="80" priority="1">
      <formula>COLUMN(B11)&gt;2</formula>
    </cfRule>
  </conditionalFormatting>
  <dataValidations xWindow="250" yWindow="581" count="13">
    <dataValidation allowBlank="1" showInputMessage="1" showErrorMessage="1" prompt="Entrez l’année dans cette cellule" sqref="B1" xr:uid="{00000000-0002-0000-0000-000000000000}"/>
    <dataValidation allowBlank="1" showInputMessage="1" showErrorMessage="1" prompt="Préparez un emploi du temps hebdomadaire et créez une liste de devoirs dans cette feuille de calcul. Les entrées de la liste de devoirs sont automatiquement mises en surbrillance dans le e calendrier mensuel. Entrez l’année civile dans la cellule B1" sqref="A1" xr:uid="{00000000-0002-0000-0000-000001000000}"/>
    <dataValidation allowBlank="1" showInputMessage="1" showErrorMessage="1" prompt="Le calendrier de janvier met automatiquement en surbrillance les entrées de la liste de devoirs pour le mois. Une police foncée indique les devoirs. Une police plus claire indique les jours du mois précédent ou suivant" sqref="B2" xr:uid="{00000000-0002-0000-0000-000002000000}"/>
    <dataValidation allowBlank="1" showInputMessage="1" showErrorMessage="1" prompt="Les cellules C2 à I2 contiennent les jours de la semaine" sqref="C2" xr:uid="{00000000-0002-0000-0000-000003000000}"/>
    <dataValidation allowBlank="1" showInputMessage="1" showErrorMessage="1" prompt="Si cette cellule ne contient pas le numéro 1, c’est qu’il s’agit d’un jour du mois précédent Les cellules C3 à I8 contiennent les dates du mois en cours" sqref="C3" xr:uid="{00000000-0002-0000-0000-000004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000-000005000000}"/>
    <dataValidation allowBlank="1" showInputMessage="1" showErrorMessage="1" prompt="Entrez la matière dans cette ligne pour les colonnes B à I" sqref="B13" xr:uid="{00000000-0002-0000-0000-000006000000}"/>
    <dataValidation allowBlank="1" showInputMessage="1" showErrorMessage="1" prompt="Entrez dans cette colonne la date du devoir correspondant au jour de la semaine dans la colonne J. Cette date est mise en surbrillance dans le calendrier à gauche" sqref="K1" xr:uid="{00000000-0002-0000-0000-000007000000}"/>
    <dataValidation allowBlank="1" showInputMessage="1" showErrorMessage="1" prompt="Entrez l’heure dans cette ligne pour les colonnes B à I" sqref="B12" xr:uid="{00000000-0002-0000-0000-000008000000}"/>
    <dataValidation allowBlank="1" showInputMessage="1" showErrorMessage="1" prompt="Entrez dans cette colonne les détails du devoir associé au jour de la semaine dans la colonne J et à la date dans la colonne K pour le mois indiqué à gauche" sqref="L1" xr:uid="{00000000-0002-0000-0000-000009000000}"/>
    <dataValidation allowBlank="1" showInputMessage="1" showErrorMessage="1" prompt="Si les nombres de cette ligne sont inférieurs au nombre précédent ou à la ligne de nombres précédente, il s’agit des dates du mois suivant" sqref="C8" xr:uid="{00000000-0002-0000-0000-00000A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000-00000B000000}"/>
    <dataValidation allowBlank="1" showInputMessage="1" showErrorMessage="1" prompt="Les jours de la semaine figurent dans cette ligne, du lundi au vendredi" sqref="B11" xr:uid="{00000000-0002-0000-00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 customWidth="1"/>
    <col min="11" max="11" width="10.625" customWidth="1"/>
    <col min="12" max="12" width="70.625" style="1" customWidth="1"/>
    <col min="13" max="13" width="2.625" customWidth="1"/>
  </cols>
  <sheetData>
    <row r="1" spans="1:12" ht="30" customHeight="1" x14ac:dyDescent="0.25">
      <c r="A1" s="18"/>
      <c r="B1" s="13">
        <f ca="1">Année</f>
        <v>2018</v>
      </c>
      <c r="J1" s="21" t="s">
        <v>0</v>
      </c>
      <c r="K1" s="21" t="s">
        <v>19</v>
      </c>
      <c r="L1" s="12" t="s">
        <v>20</v>
      </c>
    </row>
    <row r="2" spans="1:12" ht="30" customHeight="1" x14ac:dyDescent="0.25">
      <c r="A2" s="14"/>
      <c r="B2" s="26" t="s">
        <v>31</v>
      </c>
      <c r="C2" s="8" t="s">
        <v>4</v>
      </c>
      <c r="D2" s="8" t="s">
        <v>10</v>
      </c>
      <c r="E2" s="8" t="s">
        <v>14</v>
      </c>
      <c r="F2" s="8" t="s">
        <v>15</v>
      </c>
      <c r="G2" s="8" t="s">
        <v>16</v>
      </c>
      <c r="H2" s="8" t="s">
        <v>17</v>
      </c>
      <c r="I2" s="8" t="s">
        <v>18</v>
      </c>
      <c r="J2" s="41" t="s">
        <v>4</v>
      </c>
      <c r="K2" s="42"/>
      <c r="L2" s="43"/>
    </row>
    <row r="3" spans="1:12" ht="30" customHeight="1" x14ac:dyDescent="0.25">
      <c r="A3" s="14"/>
      <c r="C3" s="7">
        <f ca="1">IF(DAY(DimFévr1)=1,DimFévr1-6,DimFévr1+1)</f>
        <v>43129</v>
      </c>
      <c r="D3" s="7">
        <f ca="1">IF(DAY(DimFévr1)=1,DimFévr1-5,DimFévr1+2)</f>
        <v>43130</v>
      </c>
      <c r="E3" s="7">
        <f ca="1">IF(DAY(DimFévr1)=1,DimFévr1-4,DimFévr1+3)</f>
        <v>43131</v>
      </c>
      <c r="F3" s="7">
        <f ca="1">IF(DAY(DimFévr1)=1,DimFévr1-3,DimFévr1+4)</f>
        <v>43132</v>
      </c>
      <c r="G3" s="7">
        <f ca="1">IF(DAY(DimFévr1)=1,DimFévr1-2,DimFévr1+5)</f>
        <v>43133</v>
      </c>
      <c r="H3" s="7">
        <f ca="1">IF(DAY(DimFévr1)=1,DimFévr1-1,DimFévr1+6)</f>
        <v>43134</v>
      </c>
      <c r="I3" s="7">
        <f ca="1">IF(DAY(DimFévr1)=1,DimFévr1,DimFévr1+7)</f>
        <v>43135</v>
      </c>
      <c r="J3" s="41"/>
      <c r="K3" s="42"/>
      <c r="L3" s="43"/>
    </row>
    <row r="4" spans="1:12" ht="30" customHeight="1" x14ac:dyDescent="0.25">
      <c r="A4" s="14"/>
      <c r="C4" s="7">
        <f ca="1">IF(DAY(DimFévr1)=1,DimFévr1+1,DimFévr1+8)</f>
        <v>43136</v>
      </c>
      <c r="D4" s="7">
        <f ca="1">IF(DAY(DimFévr1)=1,DimFévr1+2,DimFévr1+9)</f>
        <v>43137</v>
      </c>
      <c r="E4" s="7">
        <f ca="1">IF(DAY(DimFévr1)=1,DimFévr1+3,DimFévr1+10)</f>
        <v>43138</v>
      </c>
      <c r="F4" s="7">
        <f ca="1">IF(DAY(DimFévr1)=1,DimFévr1+4,DimFévr1+11)</f>
        <v>43139</v>
      </c>
      <c r="G4" s="7">
        <f ca="1">IF(DAY(DimFévr1)=1,DimFévr1+5,DimFévr1+12)</f>
        <v>43140</v>
      </c>
      <c r="H4" s="7">
        <f ca="1">IF(DAY(DimFévr1)=1,DimFévr1+6,DimFévr1+13)</f>
        <v>43141</v>
      </c>
      <c r="I4" s="7">
        <f ca="1">IF(DAY(DimFévr1)=1,DimFévr1+7,DimFévr1+14)</f>
        <v>43142</v>
      </c>
      <c r="J4" s="41"/>
      <c r="K4" s="42"/>
      <c r="L4" s="43"/>
    </row>
    <row r="5" spans="1:12" ht="30" customHeight="1" x14ac:dyDescent="0.25">
      <c r="A5" s="14"/>
      <c r="C5" s="7">
        <f ca="1">IF(DAY(DimFévr1)=1,DimFévr1+8,DimFévr1+15)</f>
        <v>43143</v>
      </c>
      <c r="D5" s="7">
        <f ca="1">IF(DAY(DimFévr1)=1,DimFévr1+9,DimFévr1+16)</f>
        <v>43144</v>
      </c>
      <c r="E5" s="7">
        <f ca="1">IF(DAY(DimFévr1)=1,DimFévr1+10,DimFévr1+17)</f>
        <v>43145</v>
      </c>
      <c r="F5" s="7">
        <f ca="1">IF(DAY(DimFévr1)=1,DimFévr1+11,DimFévr1+18)</f>
        <v>43146</v>
      </c>
      <c r="G5" s="7">
        <f ca="1">IF(DAY(DimFévr1)=1,DimFévr1+12,DimFévr1+19)</f>
        <v>43147</v>
      </c>
      <c r="H5" s="7">
        <f ca="1">IF(DAY(DimFévr1)=1,DimFévr1+13,DimFévr1+20)</f>
        <v>43148</v>
      </c>
      <c r="I5" s="7">
        <f ca="1">IF(DAY(DimFévr1)=1,DimFévr1+14,DimFévr1+21)</f>
        <v>43149</v>
      </c>
      <c r="J5" s="41"/>
      <c r="K5" s="42"/>
      <c r="L5" s="43"/>
    </row>
    <row r="6" spans="1:12" ht="30" customHeight="1" x14ac:dyDescent="0.25">
      <c r="A6" s="14"/>
      <c r="C6" s="7">
        <f ca="1">IF(DAY(DimFévr1)=1,DimFévr1+15,DimFévr1+22)</f>
        <v>43150</v>
      </c>
      <c r="D6" s="7">
        <f ca="1">IF(DAY(DimFévr1)=1,DimFévr1+16,DimFévr1+23)</f>
        <v>43151</v>
      </c>
      <c r="E6" s="7">
        <f ca="1">IF(DAY(DimFévr1)=1,DimFévr1+17,DimFévr1+24)</f>
        <v>43152</v>
      </c>
      <c r="F6" s="7">
        <f ca="1">IF(DAY(DimFévr1)=1,DimFévr1+18,DimFévr1+25)</f>
        <v>43153</v>
      </c>
      <c r="G6" s="7">
        <f ca="1">IF(DAY(DimFévr1)=1,DimFévr1+19,DimFévr1+26)</f>
        <v>43154</v>
      </c>
      <c r="H6" s="7">
        <f ca="1">IF(DAY(DimFévr1)=1,DimFévr1+20,DimFévr1+27)</f>
        <v>43155</v>
      </c>
      <c r="I6" s="7">
        <f ca="1">IF(DAY(DimFévr1)=1,DimFévr1+21,DimFévr1+28)</f>
        <v>43156</v>
      </c>
      <c r="J6" s="41"/>
      <c r="K6" s="42"/>
      <c r="L6" s="43"/>
    </row>
    <row r="7" spans="1:12" ht="30" customHeight="1" x14ac:dyDescent="0.25">
      <c r="A7" s="14"/>
      <c r="C7" s="7">
        <f ca="1">IF(DAY(DimFévr1)=1,DimFévr1+22,DimFévr1+29)</f>
        <v>43157</v>
      </c>
      <c r="D7" s="7">
        <f ca="1">IF(DAY(DimFévr1)=1,DimFévr1+23,DimFévr1+30)</f>
        <v>43158</v>
      </c>
      <c r="E7" s="7">
        <f ca="1">IF(DAY(DimFévr1)=1,DimFévr1+24,DimFévr1+31)</f>
        <v>43159</v>
      </c>
      <c r="F7" s="7">
        <f ca="1">IF(DAY(DimFévr1)=1,DimFévr1+25,DimFévr1+32)</f>
        <v>43160</v>
      </c>
      <c r="G7" s="7">
        <f ca="1">IF(DAY(DimFévr1)=1,DimFévr1+26,DimFévr1+33)</f>
        <v>43161</v>
      </c>
      <c r="H7" s="7">
        <f ca="1">IF(DAY(DimFévr1)=1,DimFévr1+27,DimFévr1+34)</f>
        <v>43162</v>
      </c>
      <c r="I7" s="7">
        <f ca="1">IF(DAY(DimFévr1)=1,DimFévr1+28,DimFévr1+35)</f>
        <v>43163</v>
      </c>
      <c r="J7" s="49"/>
      <c r="K7" s="50"/>
      <c r="L7" s="19"/>
    </row>
    <row r="8" spans="1:12" ht="30" customHeight="1" x14ac:dyDescent="0.25">
      <c r="A8" s="14"/>
      <c r="B8" s="19"/>
      <c r="C8" s="7">
        <f ca="1">IF(DAY(DimFévr1)=1,DimFévr1+29,DimFévr1+36)</f>
        <v>43164</v>
      </c>
      <c r="D8" s="7">
        <f ca="1">IF(DAY(DimFévr1)=1,DimFévr1+30,DimFévr1+37)</f>
        <v>43165</v>
      </c>
      <c r="E8" s="7">
        <f ca="1">IF(DAY(DimFévr1)=1,DimFévr1+31,DimFévr1+38)</f>
        <v>43166</v>
      </c>
      <c r="F8" s="7">
        <f ca="1">IF(DAY(DimFévr1)=1,DimFévr1+32,DimFévr1+39)</f>
        <v>43167</v>
      </c>
      <c r="G8" s="7">
        <f ca="1">IF(DAY(DimFévr1)=1,DimFévr1+33,DimFévr1+40)</f>
        <v>43168</v>
      </c>
      <c r="H8" s="7">
        <f ca="1">IF(DAY(DimFévr1)=1,DimFévr1+34,DimFévr1+41)</f>
        <v>43169</v>
      </c>
      <c r="I8" s="7">
        <f ca="1">IF(DAY(DimFévr1)=1,DimFévr1+35,DimFévr1+42)</f>
        <v>43170</v>
      </c>
      <c r="J8" s="46" t="s">
        <v>10</v>
      </c>
      <c r="K8" s="47"/>
      <c r="L8" s="48"/>
    </row>
    <row r="9" spans="1:12" ht="30" customHeight="1" x14ac:dyDescent="0.25">
      <c r="A9" s="14"/>
      <c r="C9" s="5"/>
      <c r="D9" s="5"/>
      <c r="E9" s="5"/>
      <c r="F9" s="5"/>
      <c r="G9" s="5"/>
      <c r="H9" s="5"/>
      <c r="I9" s="5"/>
      <c r="J9" s="41"/>
      <c r="K9" s="42"/>
      <c r="L9" s="43"/>
    </row>
    <row r="10" spans="1:12" ht="30" customHeight="1" x14ac:dyDescent="0.25">
      <c r="A10" s="14"/>
      <c r="B10" s="17" t="s">
        <v>3</v>
      </c>
      <c r="C10" s="10"/>
      <c r="D10" s="10"/>
      <c r="E10" s="10"/>
      <c r="F10" s="10"/>
      <c r="G10" s="10"/>
      <c r="H10" s="10"/>
      <c r="I10" s="10"/>
      <c r="J10" s="41"/>
      <c r="K10" s="42"/>
      <c r="L10" s="43"/>
    </row>
    <row r="11" spans="1:12" ht="30" customHeight="1" x14ac:dyDescent="0.25">
      <c r="A11" s="29" t="s">
        <v>0</v>
      </c>
      <c r="B11" s="28" t="s">
        <v>4</v>
      </c>
      <c r="C11" s="80" t="s">
        <v>10</v>
      </c>
      <c r="D11" s="81"/>
      <c r="E11" s="80" t="s">
        <v>14</v>
      </c>
      <c r="F11" s="81"/>
      <c r="G11" s="80" t="s">
        <v>15</v>
      </c>
      <c r="H11" s="81"/>
      <c r="I11" s="4" t="s">
        <v>16</v>
      </c>
      <c r="J11" s="41"/>
      <c r="K11" s="42"/>
      <c r="L11" s="43"/>
    </row>
    <row r="12" spans="1:12" ht="30" customHeight="1" x14ac:dyDescent="0.25">
      <c r="A12" s="29" t="s">
        <v>1</v>
      </c>
      <c r="B12" s="24" t="s">
        <v>5</v>
      </c>
      <c r="C12" s="78"/>
      <c r="D12" s="78"/>
      <c r="E12" s="78" t="s">
        <v>5</v>
      </c>
      <c r="F12" s="78"/>
      <c r="G12" s="78"/>
      <c r="H12" s="78"/>
      <c r="I12" s="25" t="s">
        <v>5</v>
      </c>
      <c r="J12" s="41"/>
      <c r="K12" s="42"/>
      <c r="L12" s="43"/>
    </row>
    <row r="13" spans="1:12" ht="30" customHeight="1" x14ac:dyDescent="0.25">
      <c r="A13" s="29" t="s">
        <v>2</v>
      </c>
      <c r="B13" s="30" t="s">
        <v>6</v>
      </c>
      <c r="C13" s="79"/>
      <c r="D13" s="79"/>
      <c r="E13" s="79" t="s">
        <v>6</v>
      </c>
      <c r="F13" s="79"/>
      <c r="G13" s="79"/>
      <c r="H13" s="79"/>
      <c r="I13" s="33" t="s">
        <v>6</v>
      </c>
      <c r="J13" s="49"/>
      <c r="K13" s="50"/>
      <c r="L13" s="19"/>
    </row>
    <row r="14" spans="1:12" ht="30" customHeight="1" x14ac:dyDescent="0.25">
      <c r="A14" s="29" t="s">
        <v>1</v>
      </c>
      <c r="B14" s="24"/>
      <c r="C14" s="83" t="s">
        <v>11</v>
      </c>
      <c r="D14" s="83"/>
      <c r="E14" s="83"/>
      <c r="F14" s="83"/>
      <c r="G14" s="83" t="s">
        <v>11</v>
      </c>
      <c r="H14" s="83"/>
      <c r="I14" s="25"/>
      <c r="J14" s="46" t="s">
        <v>14</v>
      </c>
      <c r="K14" s="47"/>
      <c r="L14" s="48"/>
    </row>
    <row r="15" spans="1:12" ht="30" customHeight="1" x14ac:dyDescent="0.25">
      <c r="A15" s="29" t="s">
        <v>2</v>
      </c>
      <c r="B15" s="30"/>
      <c r="C15" s="79" t="s">
        <v>12</v>
      </c>
      <c r="D15" s="79"/>
      <c r="E15" s="79"/>
      <c r="F15" s="79"/>
      <c r="G15" s="79" t="s">
        <v>12</v>
      </c>
      <c r="H15" s="79"/>
      <c r="I15" s="33"/>
      <c r="J15" s="41"/>
      <c r="K15" s="42"/>
      <c r="L15" s="43"/>
    </row>
    <row r="16" spans="1:12" ht="30" customHeight="1" x14ac:dyDescent="0.25">
      <c r="A16" s="29" t="s">
        <v>1</v>
      </c>
      <c r="B16" s="24" t="s">
        <v>7</v>
      </c>
      <c r="C16" s="83"/>
      <c r="D16" s="83"/>
      <c r="E16" s="83" t="s">
        <v>7</v>
      </c>
      <c r="F16" s="83"/>
      <c r="G16" s="83"/>
      <c r="H16" s="83"/>
      <c r="I16" s="27" t="s">
        <v>7</v>
      </c>
      <c r="J16" s="41"/>
      <c r="K16" s="42"/>
      <c r="L16" s="43"/>
    </row>
    <row r="17" spans="1:12" ht="30" customHeight="1" x14ac:dyDescent="0.25">
      <c r="A17" s="29" t="s">
        <v>2</v>
      </c>
      <c r="B17" s="30" t="s">
        <v>8</v>
      </c>
      <c r="C17" s="79"/>
      <c r="D17" s="79"/>
      <c r="E17" s="79" t="s">
        <v>8</v>
      </c>
      <c r="F17" s="79"/>
      <c r="G17" s="79"/>
      <c r="H17" s="79"/>
      <c r="I17" s="33" t="s">
        <v>8</v>
      </c>
      <c r="J17" s="41"/>
      <c r="K17" s="42"/>
      <c r="L17" s="43"/>
    </row>
    <row r="18" spans="1:12" ht="30" customHeight="1" x14ac:dyDescent="0.25">
      <c r="A18" s="29" t="s">
        <v>1</v>
      </c>
      <c r="B18" s="24"/>
      <c r="C18" s="83"/>
      <c r="D18" s="83"/>
      <c r="E18" s="83"/>
      <c r="F18" s="83"/>
      <c r="G18" s="83"/>
      <c r="H18" s="83"/>
      <c r="I18" s="25"/>
      <c r="J18" s="41"/>
      <c r="K18" s="42"/>
      <c r="L18" s="43"/>
    </row>
    <row r="19" spans="1:12" ht="30" customHeight="1" x14ac:dyDescent="0.25">
      <c r="A19" s="29" t="s">
        <v>2</v>
      </c>
      <c r="B19" s="30"/>
      <c r="C19" s="79"/>
      <c r="D19" s="79"/>
      <c r="E19" s="79"/>
      <c r="F19" s="79"/>
      <c r="G19" s="79"/>
      <c r="H19" s="79"/>
      <c r="I19" s="60"/>
      <c r="J19" s="49"/>
      <c r="K19" s="50"/>
      <c r="L19" s="19"/>
    </row>
    <row r="20" spans="1:12" ht="30" customHeight="1" x14ac:dyDescent="0.25">
      <c r="A20" s="29" t="s">
        <v>1</v>
      </c>
      <c r="B20" s="24"/>
      <c r="C20" s="83"/>
      <c r="D20" s="83"/>
      <c r="E20" s="83"/>
      <c r="F20" s="83"/>
      <c r="G20" s="83"/>
      <c r="H20" s="83"/>
      <c r="I20" s="25"/>
      <c r="J20" s="46" t="s">
        <v>15</v>
      </c>
      <c r="K20" s="47"/>
      <c r="L20" s="48"/>
    </row>
    <row r="21" spans="1:12" ht="30" customHeight="1" x14ac:dyDescent="0.25">
      <c r="A21" s="29" t="s">
        <v>2</v>
      </c>
      <c r="B21" s="30"/>
      <c r="C21" s="79"/>
      <c r="D21" s="79"/>
      <c r="E21" s="79"/>
      <c r="F21" s="79"/>
      <c r="G21" s="79"/>
      <c r="H21" s="79"/>
      <c r="I21" s="33"/>
      <c r="J21" s="41"/>
      <c r="K21" s="42"/>
      <c r="L21" s="43"/>
    </row>
    <row r="22" spans="1:12" ht="30" customHeight="1" x14ac:dyDescent="0.25">
      <c r="A22" s="29" t="s">
        <v>1</v>
      </c>
      <c r="B22" s="24"/>
      <c r="C22" s="83"/>
      <c r="D22" s="83"/>
      <c r="E22" s="83"/>
      <c r="F22" s="83"/>
      <c r="G22" s="83"/>
      <c r="H22" s="83"/>
      <c r="I22" s="25"/>
      <c r="J22" s="41"/>
      <c r="K22" s="42"/>
      <c r="L22" s="43"/>
    </row>
    <row r="23" spans="1:12" ht="30" customHeight="1" x14ac:dyDescent="0.25">
      <c r="A23" s="29" t="s">
        <v>2</v>
      </c>
      <c r="B23" s="30"/>
      <c r="C23" s="79"/>
      <c r="D23" s="79"/>
      <c r="E23" s="79"/>
      <c r="F23" s="79"/>
      <c r="G23" s="79"/>
      <c r="H23" s="79"/>
      <c r="I23" s="33"/>
      <c r="J23" s="41"/>
      <c r="K23" s="42"/>
      <c r="L23" s="43"/>
    </row>
    <row r="24" spans="1:12" ht="30" customHeight="1" x14ac:dyDescent="0.25">
      <c r="A24" s="29" t="s">
        <v>1</v>
      </c>
      <c r="B24" s="24">
        <v>0.58333333333333337</v>
      </c>
      <c r="C24" s="83"/>
      <c r="D24" s="83"/>
      <c r="E24" s="83">
        <v>0.58333333333333337</v>
      </c>
      <c r="F24" s="83"/>
      <c r="G24" s="83"/>
      <c r="H24" s="83"/>
      <c r="I24" s="25">
        <v>0.58333333333333337</v>
      </c>
      <c r="J24" s="41"/>
      <c r="K24" s="42"/>
      <c r="L24" s="43"/>
    </row>
    <row r="25" spans="1:12" ht="30" customHeight="1" x14ac:dyDescent="0.25">
      <c r="A25" s="29" t="s">
        <v>2</v>
      </c>
      <c r="B25" s="30" t="s">
        <v>9</v>
      </c>
      <c r="C25" s="79"/>
      <c r="D25" s="79"/>
      <c r="E25" s="79" t="s">
        <v>9</v>
      </c>
      <c r="F25" s="79"/>
      <c r="G25" s="79"/>
      <c r="H25" s="79"/>
      <c r="I25" s="33" t="s">
        <v>9</v>
      </c>
      <c r="J25" s="49"/>
      <c r="K25" s="50"/>
      <c r="L25" s="19"/>
    </row>
    <row r="26" spans="1:12" ht="30" customHeight="1" x14ac:dyDescent="0.25">
      <c r="A26" s="29" t="s">
        <v>1</v>
      </c>
      <c r="B26" s="24"/>
      <c r="C26" s="83"/>
      <c r="D26" s="83"/>
      <c r="E26" s="83"/>
      <c r="F26" s="83"/>
      <c r="G26" s="83"/>
      <c r="H26" s="83"/>
      <c r="I26" s="25"/>
      <c r="J26" s="16" t="s">
        <v>16</v>
      </c>
      <c r="K26" s="2"/>
      <c r="L26" s="18"/>
    </row>
    <row r="27" spans="1:12" ht="30" customHeight="1" x14ac:dyDescent="0.25">
      <c r="A27" s="29" t="s">
        <v>2</v>
      </c>
      <c r="B27" s="30"/>
      <c r="C27" s="79"/>
      <c r="D27" s="79"/>
      <c r="E27" s="79"/>
      <c r="F27" s="79"/>
      <c r="G27" s="79"/>
      <c r="H27" s="79"/>
      <c r="I27" s="33"/>
      <c r="J27" s="16"/>
      <c r="K27" s="2"/>
      <c r="L27" s="18"/>
    </row>
    <row r="28" spans="1:12" ht="30" customHeight="1" x14ac:dyDescent="0.25">
      <c r="A28" s="29" t="s">
        <v>1</v>
      </c>
      <c r="B28" s="24"/>
      <c r="C28" s="83">
        <v>0.66666666666666663</v>
      </c>
      <c r="D28" s="83"/>
      <c r="E28" s="83"/>
      <c r="F28" s="83"/>
      <c r="G28" s="83">
        <v>0.66666666666666663</v>
      </c>
      <c r="H28" s="83"/>
      <c r="I28" s="25"/>
      <c r="J28" s="16"/>
      <c r="K28" s="2"/>
      <c r="L28" s="18"/>
    </row>
    <row r="29" spans="1:12" ht="30" customHeight="1" x14ac:dyDescent="0.25">
      <c r="A29" s="29" t="s">
        <v>2</v>
      </c>
      <c r="B29" s="30"/>
      <c r="C29" s="79" t="s">
        <v>13</v>
      </c>
      <c r="D29" s="79"/>
      <c r="E29" s="79"/>
      <c r="F29" s="79"/>
      <c r="G29" s="79" t="s">
        <v>13</v>
      </c>
      <c r="H29" s="79"/>
      <c r="I29" s="33"/>
      <c r="J29" s="16"/>
      <c r="K29" s="2"/>
      <c r="L29" s="18"/>
    </row>
    <row r="30" spans="1:12" ht="30" customHeight="1" x14ac:dyDescent="0.25">
      <c r="A30" s="29" t="s">
        <v>1</v>
      </c>
      <c r="B30" s="24"/>
      <c r="C30" s="83"/>
      <c r="D30" s="83"/>
      <c r="E30" s="83"/>
      <c r="F30" s="83"/>
      <c r="G30" s="83"/>
      <c r="H30" s="83"/>
      <c r="I30" s="25"/>
      <c r="J30" s="16"/>
      <c r="K30" s="2"/>
      <c r="L30" s="18"/>
    </row>
    <row r="31" spans="1:12" ht="30" customHeight="1" x14ac:dyDescent="0.25">
      <c r="A31" s="29" t="s">
        <v>2</v>
      </c>
      <c r="B31" s="34"/>
      <c r="C31" s="88"/>
      <c r="D31" s="88"/>
      <c r="E31" s="88"/>
      <c r="F31" s="88"/>
      <c r="G31" s="88"/>
      <c r="H31" s="88"/>
      <c r="I31" s="32"/>
      <c r="J31" s="16"/>
      <c r="K31" s="2"/>
      <c r="L31" s="18"/>
    </row>
  </sheetData>
  <mergeCells count="63">
    <mergeCell ref="C11:D11"/>
    <mergeCell ref="E11:F11"/>
    <mergeCell ref="G11:H11"/>
    <mergeCell ref="C12:D12"/>
    <mergeCell ref="E12:F12"/>
    <mergeCell ref="G12:H12"/>
    <mergeCell ref="C13:D13"/>
    <mergeCell ref="E13:F13"/>
    <mergeCell ref="G13:H13"/>
    <mergeCell ref="C16:D16"/>
    <mergeCell ref="E16:F16"/>
    <mergeCell ref="G16:H16"/>
    <mergeCell ref="C14:D14"/>
    <mergeCell ref="E14:F14"/>
    <mergeCell ref="G14:H14"/>
    <mergeCell ref="C15:D15"/>
    <mergeCell ref="E15:F15"/>
    <mergeCell ref="G15:H15"/>
    <mergeCell ref="C17:D17"/>
    <mergeCell ref="E17:F17"/>
    <mergeCell ref="G17:H17"/>
    <mergeCell ref="C18:D18"/>
    <mergeCell ref="E18:F18"/>
    <mergeCell ref="G18:H18"/>
    <mergeCell ref="C21:D21"/>
    <mergeCell ref="E21:F21"/>
    <mergeCell ref="G21:H21"/>
    <mergeCell ref="C19:D19"/>
    <mergeCell ref="E19:F19"/>
    <mergeCell ref="G19:H19"/>
    <mergeCell ref="C20:D20"/>
    <mergeCell ref="E20:F20"/>
    <mergeCell ref="G20:H20"/>
    <mergeCell ref="C22:D22"/>
    <mergeCell ref="E22:F22"/>
    <mergeCell ref="G22:H22"/>
    <mergeCell ref="C23:D23"/>
    <mergeCell ref="E23:F23"/>
    <mergeCell ref="G23:H23"/>
    <mergeCell ref="C24:D24"/>
    <mergeCell ref="E24:F24"/>
    <mergeCell ref="G24:H24"/>
    <mergeCell ref="C25:D25"/>
    <mergeCell ref="E25:F25"/>
    <mergeCell ref="G25:H25"/>
    <mergeCell ref="C28:D28"/>
    <mergeCell ref="E28:F28"/>
    <mergeCell ref="G28:H28"/>
    <mergeCell ref="C26:D26"/>
    <mergeCell ref="E26:F26"/>
    <mergeCell ref="G26:H26"/>
    <mergeCell ref="C27:D27"/>
    <mergeCell ref="E27:F27"/>
    <mergeCell ref="G27:H27"/>
    <mergeCell ref="C31:D31"/>
    <mergeCell ref="E31:F31"/>
    <mergeCell ref="G31:H31"/>
    <mergeCell ref="C29:D29"/>
    <mergeCell ref="E29:F29"/>
    <mergeCell ref="G29:H29"/>
    <mergeCell ref="C30:D30"/>
    <mergeCell ref="E30:F30"/>
    <mergeCell ref="G30:H30"/>
  </mergeCells>
  <conditionalFormatting sqref="C3:H3">
    <cfRule type="expression" dxfId="79" priority="9" stopIfTrue="1">
      <formula>DAY(C3)&gt;8</formula>
    </cfRule>
  </conditionalFormatting>
  <conditionalFormatting sqref="C7:I8">
    <cfRule type="expression" dxfId="78" priority="8" stopIfTrue="1">
      <formula>AND(DAY(C7)&gt;=1,DAY(C7)&lt;=15)</formula>
    </cfRule>
  </conditionalFormatting>
  <conditionalFormatting sqref="C3:I8">
    <cfRule type="expression" dxfId="77" priority="10">
      <formula>VLOOKUP(DAY(C3),AssignmentDays,1,FALSE)=DAY(C3)</formula>
    </cfRule>
  </conditionalFormatting>
  <conditionalFormatting sqref="B13:I13 B15:I15 B17:I17 B19:I19 B21:I21 B23:I23 B25:I25 B27:I27 B29:I29 B31:I31">
    <cfRule type="expression" dxfId="76" priority="7">
      <formula>B13&lt;&gt;""</formula>
    </cfRule>
  </conditionalFormatting>
  <conditionalFormatting sqref="B12:I12 B14:I14 B16:I16 B18:I18 B20:I20 B22:I22 B24:I24 B26:I26 B28:I28 B30:I30">
    <cfRule type="expression" dxfId="75" priority="6">
      <formula>B12&lt;&gt;""</formula>
    </cfRule>
  </conditionalFormatting>
  <conditionalFormatting sqref="B13:I13 B15:I15 B17:I17 B19:I19 B21:I21 B23:I23 B25:I25 B27:I27 B29:I29">
    <cfRule type="expression" dxfId="74" priority="4">
      <formula>COLUMN(B12)&gt;=2</formula>
    </cfRule>
  </conditionalFormatting>
  <conditionalFormatting sqref="B12:I31">
    <cfRule type="expression" dxfId="73" priority="1">
      <formula>COLUMN(B12)&gt;2</formula>
    </cfRule>
  </conditionalFormatting>
  <dataValidations xWindow="95" yWindow="532" count="13">
    <dataValidation allowBlank="1" showInputMessage="1" showErrorMessage="1" prompt="Le calendrier de février met automatiquement en surbrillance les entrées de la liste de devoirs pour le mois. Une police foncée indique les devoirs. Une police plus claire indique les jours du mois précédent ou suivant" sqref="B2" xr:uid="{00000000-0002-0000-0100-000000000000}"/>
    <dataValidation allowBlank="1" showInputMessage="1" showErrorMessage="1" prompt="Année automatiquement mise à jour Pour modifier l’année, modifiez la cellule B1 de la feuille de calcul Jan" sqref="B1" xr:uid="{00000000-0002-0000-0100-000001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100-000002000000}"/>
    <dataValidation allowBlank="1" showInputMessage="1" showErrorMessage="1" prompt="Les cellules C2 à I2 contiennent les jours de la semaine" sqref="C2" xr:uid="{00000000-0002-0000-0100-000003000000}"/>
    <dataValidation allowBlank="1" showInputMessage="1" showErrorMessage="1" prompt="Si cette cellule ne contient pas le numéro 1, c’est qu’il s’agit d’un jour du mois précédent Les cellules C3 à I8 contiennent les dates du mois en cours" sqref="C3" xr:uid="{00000000-0002-0000-0100-000004000000}"/>
    <dataValidation allowBlank="1" showInputMessage="1" showErrorMessage="1" prompt="Si les nombres de cette ligne sont inférieurs au nombre précédent ou à la ligne de nombres précédente, il s’agit des dates du mois suivant" sqref="C8" xr:uid="{00000000-0002-0000-0100-000005000000}"/>
    <dataValidation allowBlank="1" showInputMessage="1" showErrorMessage="1" prompt="Entrez l’heure dans cette ligne pour les colonnes B à I" sqref="B12" xr:uid="{00000000-0002-0000-0100-000006000000}"/>
    <dataValidation allowBlank="1" showInputMessage="1" showErrorMessage="1" prompt="Entrez la matière dans cette ligne pour les colonnes B à I" sqref="B13" xr:uid="{00000000-0002-0000-01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100-000008000000}"/>
    <dataValidation allowBlank="1" showInputMessage="1" showErrorMessage="1" prompt="Entrez dans cette colonne les détails du devoir associé au jour de la semaine dans la colonne J et à la date dans la colonne K pour le mois indiqué à gauche" sqref="L1" xr:uid="{00000000-0002-0000-0100-000009000000}"/>
    <dataValidation allowBlank="1" showInputMessage="1" showErrorMessage="1" prompt="Entrez dans cette colonne la date du devoir correspondant au jour de la semaine dans la colonne J. Cette date est mise en surbrillance dans le calendrier à gauche" sqref="K1" xr:uid="{00000000-0002-0000-0100-00000A000000}"/>
    <dataValidation allowBlank="1" showInputMessage="1" showErrorMessage="1" prompt="Les jours de la semaine figurent dans cette ligne, du lundi au vendredi" sqref="B11" xr:uid="{00000000-0002-0000-01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1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5">
      <c r="A1" s="18"/>
      <c r="B1" s="13">
        <f ca="1">Année</f>
        <v>2018</v>
      </c>
      <c r="J1" s="21" t="s">
        <v>0</v>
      </c>
      <c r="K1" s="21" t="s">
        <v>19</v>
      </c>
      <c r="L1" s="12" t="s">
        <v>20</v>
      </c>
    </row>
    <row r="2" spans="1:12" ht="30" customHeight="1" x14ac:dyDescent="0.25">
      <c r="A2" s="14"/>
      <c r="B2" s="26" t="s">
        <v>32</v>
      </c>
      <c r="C2" s="8" t="s">
        <v>4</v>
      </c>
      <c r="D2" s="8" t="s">
        <v>10</v>
      </c>
      <c r="E2" s="8" t="s">
        <v>14</v>
      </c>
      <c r="F2" s="8" t="s">
        <v>15</v>
      </c>
      <c r="G2" s="8" t="s">
        <v>16</v>
      </c>
      <c r="H2" s="8" t="s">
        <v>17</v>
      </c>
      <c r="I2" s="8" t="s">
        <v>18</v>
      </c>
      <c r="J2" s="51" t="s">
        <v>4</v>
      </c>
      <c r="K2" s="42"/>
      <c r="L2" s="43"/>
    </row>
    <row r="3" spans="1:12" ht="30" customHeight="1" x14ac:dyDescent="0.25">
      <c r="A3" s="14"/>
      <c r="C3" s="7">
        <f ca="1">IF(DAY(DimMars1)=1,DimMars1-6,DimMars1+1)</f>
        <v>43157</v>
      </c>
      <c r="D3" s="7">
        <f ca="1">IF(DAY(DimMars1)=1,DimMars1-5,DimMars1+2)</f>
        <v>43158</v>
      </c>
      <c r="E3" s="7">
        <f ca="1">IF(DAY(DimMars1)=1,DimMars1-4,DimMars1+3)</f>
        <v>43159</v>
      </c>
      <c r="F3" s="7">
        <f ca="1">IF(DAY(DimMars1)=1,DimMars1-3,DimMars1+4)</f>
        <v>43160</v>
      </c>
      <c r="G3" s="7">
        <f ca="1">IF(DAY(DimMars1)=1,DimMars1-2,DimMars1+5)</f>
        <v>43161</v>
      </c>
      <c r="H3" s="7">
        <f ca="1">IF(DAY(DimMars1)=1,DimMars1-1,DimMars1+6)</f>
        <v>43162</v>
      </c>
      <c r="I3" s="7">
        <f ca="1">IF(DAY(DimMars1)=1,DimMars1,DimMars1+7)</f>
        <v>43163</v>
      </c>
      <c r="J3" s="51"/>
      <c r="K3" s="42"/>
      <c r="L3" s="43"/>
    </row>
    <row r="4" spans="1:12" ht="30" customHeight="1" x14ac:dyDescent="0.25">
      <c r="A4" s="14"/>
      <c r="C4" s="7">
        <f ca="1">IF(DAY(DimMars1)=1,DimMars1+1,DimMars1+8)</f>
        <v>43164</v>
      </c>
      <c r="D4" s="7">
        <f ca="1">IF(DAY(DimMars1)=1,DimMars1+2,DimMars1+9)</f>
        <v>43165</v>
      </c>
      <c r="E4" s="7">
        <f ca="1">IF(DAY(DimMars1)=1,DimMars1+3,DimMars1+10)</f>
        <v>43166</v>
      </c>
      <c r="F4" s="7">
        <f ca="1">IF(DAY(DimMars1)=1,DimMars1+4,DimMars1+11)</f>
        <v>43167</v>
      </c>
      <c r="G4" s="7">
        <f ca="1">IF(DAY(DimMars1)=1,DimMars1+5,DimMars1+12)</f>
        <v>43168</v>
      </c>
      <c r="H4" s="7">
        <f ca="1">IF(DAY(DimMars1)=1,DimMars1+6,DimMars1+13)</f>
        <v>43169</v>
      </c>
      <c r="I4" s="7">
        <f ca="1">IF(DAY(DimMars1)=1,DimMars1+7,DimMars1+14)</f>
        <v>43170</v>
      </c>
      <c r="J4" s="51"/>
      <c r="K4" s="42"/>
      <c r="L4" s="43"/>
    </row>
    <row r="5" spans="1:12" ht="30" customHeight="1" x14ac:dyDescent="0.25">
      <c r="A5" s="14"/>
      <c r="C5" s="7">
        <f ca="1">IF(DAY(DimMars1)=1,DimMars1+8,DimMars1+15)</f>
        <v>43171</v>
      </c>
      <c r="D5" s="7">
        <f ca="1">IF(DAY(DimMars1)=1,DimMars1+9,DimMars1+16)</f>
        <v>43172</v>
      </c>
      <c r="E5" s="7">
        <f ca="1">IF(DAY(DimMars1)=1,DimMars1+10,DimMars1+17)</f>
        <v>43173</v>
      </c>
      <c r="F5" s="7">
        <f ca="1">IF(DAY(DimMars1)=1,DimMars1+11,DimMars1+18)</f>
        <v>43174</v>
      </c>
      <c r="G5" s="7">
        <f ca="1">IF(DAY(DimMars1)=1,DimMars1+12,DimMars1+19)</f>
        <v>43175</v>
      </c>
      <c r="H5" s="7">
        <f ca="1">IF(DAY(DimMars1)=1,DimMars1+13,DimMars1+20)</f>
        <v>43176</v>
      </c>
      <c r="I5" s="7">
        <f ca="1">IF(DAY(DimMars1)=1,DimMars1+14,DimMars1+21)</f>
        <v>43177</v>
      </c>
      <c r="J5" s="51"/>
      <c r="K5" s="42"/>
      <c r="L5" s="43"/>
    </row>
    <row r="6" spans="1:12" ht="30" customHeight="1" x14ac:dyDescent="0.25">
      <c r="A6" s="14"/>
      <c r="C6" s="7">
        <f ca="1">IF(DAY(DimMars1)=1,DimMars1+15,DimMars1+22)</f>
        <v>43178</v>
      </c>
      <c r="D6" s="7">
        <f ca="1">IF(DAY(DimMars1)=1,DimMars1+16,DimMars1+23)</f>
        <v>43179</v>
      </c>
      <c r="E6" s="7">
        <f ca="1">IF(DAY(DimMars1)=1,DimMars1+17,DimMars1+24)</f>
        <v>43180</v>
      </c>
      <c r="F6" s="7">
        <f ca="1">IF(DAY(DimMars1)=1,DimMars1+18,DimMars1+25)</f>
        <v>43181</v>
      </c>
      <c r="G6" s="7">
        <f ca="1">IF(DAY(DimMars1)=1,DimMars1+19,DimMars1+26)</f>
        <v>43182</v>
      </c>
      <c r="H6" s="7">
        <f ca="1">IF(DAY(DimMars1)=1,DimMars1+20,DimMars1+27)</f>
        <v>43183</v>
      </c>
      <c r="I6" s="7">
        <f ca="1">IF(DAY(DimMars1)=1,DimMars1+21,DimMars1+28)</f>
        <v>43184</v>
      </c>
      <c r="J6" s="51"/>
      <c r="K6" s="42"/>
      <c r="L6" s="43"/>
    </row>
    <row r="7" spans="1:12" ht="30" customHeight="1" x14ac:dyDescent="0.25">
      <c r="A7" s="14"/>
      <c r="C7" s="7">
        <f ca="1">IF(DAY(DimMars1)=1,DimMars1+22,DimMars1+29)</f>
        <v>43185</v>
      </c>
      <c r="D7" s="7">
        <f ca="1">IF(DAY(DimMars1)=1,DimMars1+23,DimMars1+30)</f>
        <v>43186</v>
      </c>
      <c r="E7" s="7">
        <f ca="1">IF(DAY(DimMars1)=1,DimMars1+24,DimMars1+31)</f>
        <v>43187</v>
      </c>
      <c r="F7" s="7">
        <f ca="1">IF(DAY(DimMars1)=1,DimMars1+25,DimMars1+32)</f>
        <v>43188</v>
      </c>
      <c r="G7" s="7">
        <f ca="1">IF(DAY(DimMars1)=1,DimMars1+26,DimMars1+33)</f>
        <v>43189</v>
      </c>
      <c r="H7" s="7">
        <f ca="1">IF(DAY(DimMars1)=1,DimMars1+27,DimMars1+34)</f>
        <v>43190</v>
      </c>
      <c r="I7" s="7">
        <f ca="1">IF(DAY(DimMars1)=1,DimMars1+28,DimMars1+35)</f>
        <v>43191</v>
      </c>
      <c r="J7" s="22"/>
      <c r="K7" s="20"/>
      <c r="L7" s="19"/>
    </row>
    <row r="8" spans="1:12" ht="30" customHeight="1" x14ac:dyDescent="0.25">
      <c r="A8" s="14"/>
      <c r="B8" s="19"/>
      <c r="C8" s="7">
        <f ca="1">IF(DAY(DimMars1)=1,DimMars1+29,DimMars1+36)</f>
        <v>43192</v>
      </c>
      <c r="D8" s="7">
        <f ca="1">IF(DAY(DimMars1)=1,DimMars1+30,DimMars1+37)</f>
        <v>43193</v>
      </c>
      <c r="E8" s="7">
        <f ca="1">IF(DAY(DimMars1)=1,DimMars1+31,DimMars1+38)</f>
        <v>43194</v>
      </c>
      <c r="F8" s="7">
        <f ca="1">IF(DAY(DimMars1)=1,DimMars1+32,DimMars1+39)</f>
        <v>43195</v>
      </c>
      <c r="G8" s="7">
        <f ca="1">IF(DAY(DimMars1)=1,DimMars1+33,DimMars1+40)</f>
        <v>43196</v>
      </c>
      <c r="H8" s="7">
        <f ca="1">IF(DAY(DimMars1)=1,DimMars1+34,DimMars1+41)</f>
        <v>43197</v>
      </c>
      <c r="I8" s="7">
        <f ca="1">IF(DAY(DimMars1)=1,DimMars1+35,DimMars1+42)</f>
        <v>43198</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72" priority="6" stopIfTrue="1">
      <formula>DAY(C3)&gt;8</formula>
    </cfRule>
  </conditionalFormatting>
  <conditionalFormatting sqref="C7:I8">
    <cfRule type="expression" dxfId="71" priority="5" stopIfTrue="1">
      <formula>AND(DAY(C7)&gt;=1,DAY(C7)&lt;=15)</formula>
    </cfRule>
  </conditionalFormatting>
  <conditionalFormatting sqref="C3:I8">
    <cfRule type="expression" dxfId="70" priority="7">
      <formula>VLOOKUP(DAY(C3),AssignmentDays,1,FALSE)=DAY(C3)</formula>
    </cfRule>
  </conditionalFormatting>
  <conditionalFormatting sqref="B13:I13 B15:I15 B17:I17 B19:I19 B21:I21 B23:I23 B25:I25 B27:I27 B29:I29 B31:I31">
    <cfRule type="expression" dxfId="69" priority="4">
      <formula>B13&lt;&gt;""</formula>
    </cfRule>
  </conditionalFormatting>
  <conditionalFormatting sqref="B12:I12 B14:I14 B16:I16 B18:I18 B20:I20 B22:I22 B24:I24 B26:I26 B28:I28 B30:I30">
    <cfRule type="expression" dxfId="68" priority="3">
      <formula>B12&lt;&gt;""</formula>
    </cfRule>
  </conditionalFormatting>
  <conditionalFormatting sqref="B13:I13 B15:I15 B17:I17 B19:I19 B21:I21 B23:I23 B25:I25 B27:I27 B29:I29">
    <cfRule type="expression" dxfId="67" priority="2">
      <formula>COLUMN(B12)&gt;=2</formula>
    </cfRule>
  </conditionalFormatting>
  <conditionalFormatting sqref="B12:I31">
    <cfRule type="expression" dxfId="66" priority="1">
      <formula>COLUMN(B12)&gt;2</formula>
    </cfRule>
  </conditionalFormatting>
  <dataValidations count="13">
    <dataValidation allowBlank="1" showInputMessage="1" showErrorMessage="1" prompt="Entrez la matière dans cette ligne pour les colonnes B à I" sqref="B13" xr:uid="{00000000-0002-0000-0200-000000000000}"/>
    <dataValidation allowBlank="1" showInputMessage="1" showErrorMessage="1" prompt="Entrez l’heure dans cette ligne pour les colonnes B à I" sqref="B12" xr:uid="{00000000-0002-0000-0200-000001000000}"/>
    <dataValidation allowBlank="1" showInputMessage="1" showErrorMessage="1" prompt="Si les nombres de cette ligne sont inférieurs au nombre précédent ou à la ligne de nombres précédente, il s’agit des dates du mois suivant" sqref="C8" xr:uid="{00000000-0002-0000-0200-000002000000}"/>
    <dataValidation allowBlank="1" showInputMessage="1" showErrorMessage="1" prompt="Si cette cellule ne contient pas le numéro 1, c’est qu’il s’agit d’un jour du mois précédent Les cellules C3 à I8 contiennent les dates du mois en cours" sqref="C3" xr:uid="{00000000-0002-0000-0200-000003000000}"/>
    <dataValidation allowBlank="1" showInputMessage="1" showErrorMessage="1" prompt="Les cellules C2 à I2 contiennent les jours de la semaine" sqref="C2" xr:uid="{00000000-0002-0000-0200-000004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200-000005000000}"/>
    <dataValidation allowBlank="1" showInputMessage="1" showErrorMessage="1" prompt="Année automatiquement mise à jour Pour modifier l’année, modifiez la cellule B1 de la feuille de calcul Jan" sqref="B1" xr:uid="{00000000-0002-0000-0200-000006000000}"/>
    <dataValidation allowBlank="1" showInputMessage="1" showErrorMessage="1" prompt="Le calendrier de mars met automatiquement en surbrillance les entrées de la liste de devoirs pour le mois. Une police foncée indique les devoirs. Une police plus claire indique les jours du mois précédent ou suivant" sqref="B2" xr:uid="{00000000-0002-0000-02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200-000008000000}"/>
    <dataValidation allowBlank="1" showInputMessage="1" showErrorMessage="1" prompt="Entrez dans cette colonne les détails du devoir associé au jour de la semaine dans la colonne J et à la date dans la colonne K pour le mois indiqué à gauche" sqref="L1" xr:uid="{00000000-0002-0000-0200-000009000000}"/>
    <dataValidation allowBlank="1" showInputMessage="1" showErrorMessage="1" prompt="Entrez dans cette colonne la date du devoir correspondant au jour de la semaine dans la colonne J. Cette date est mise en surbrillance dans le calendrier à gauche" sqref="K1" xr:uid="{00000000-0002-0000-0200-00000A000000}"/>
    <dataValidation allowBlank="1" showInputMessage="1" showErrorMessage="1" prompt="Les jours de la semaine figurent dans cette ligne, du lundi au vendredi" sqref="B11" xr:uid="{00000000-0002-0000-02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2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tabColor theme="4"/>
    <pageSetUpPr fitToPage="1"/>
  </sheetPr>
  <dimension ref="A1:L31"/>
  <sheetViews>
    <sheetView showGridLines="0" zoomScaleNormal="100" zoomScalePageLayoutView="84" workbookViewId="0"/>
  </sheetViews>
  <sheetFormatPr baseColWidth="10" defaultColWidth="8.625" defaultRowHeight="30" customHeight="1" x14ac:dyDescent="0.25"/>
  <cols>
    <col min="1" max="1" width="2.625" style="1" customWidth="1"/>
    <col min="2" max="2" width="20.625" style="18" customWidth="1"/>
    <col min="3" max="8" width="10.625" style="1" customWidth="1"/>
    <col min="9" max="9" width="20.625" style="1" customWidth="1"/>
    <col min="10" max="10" width="10.625" style="11"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21</v>
      </c>
      <c r="C2" s="8" t="s">
        <v>4</v>
      </c>
      <c r="D2" s="8" t="s">
        <v>10</v>
      </c>
      <c r="E2" s="8" t="s">
        <v>14</v>
      </c>
      <c r="F2" s="8" t="s">
        <v>15</v>
      </c>
      <c r="G2" s="8" t="s">
        <v>16</v>
      </c>
      <c r="H2" s="8" t="s">
        <v>17</v>
      </c>
      <c r="I2" s="8" t="s">
        <v>18</v>
      </c>
      <c r="J2" s="51" t="s">
        <v>4</v>
      </c>
      <c r="K2" s="42"/>
      <c r="L2" s="43"/>
    </row>
    <row r="3" spans="1:12" ht="30" customHeight="1" x14ac:dyDescent="0.25">
      <c r="A3" s="14"/>
      <c r="C3" s="7">
        <f ca="1">IF(DAY(DimAvr1)=1,DimAvr1-6,DimAvr1+1)</f>
        <v>43185</v>
      </c>
      <c r="D3" s="7">
        <f ca="1">IF(DAY(DimAvr1)=1,DimAvr1-5,DimAvr1+2)</f>
        <v>43186</v>
      </c>
      <c r="E3" s="7">
        <f ca="1">IF(DAY(DimAvr1)=1,DimAvr1-4,DimAvr1+3)</f>
        <v>43187</v>
      </c>
      <c r="F3" s="7">
        <f ca="1">IF(DAY(DimAvr1)=1,DimAvr1-3,DimAvr1+4)</f>
        <v>43188</v>
      </c>
      <c r="G3" s="7">
        <f ca="1">IF(DAY(DimAvr1)=1,DimAvr1-2,DimAvr1+5)</f>
        <v>43189</v>
      </c>
      <c r="H3" s="7">
        <f ca="1">IF(DAY(DimAvr1)=1,DimAvr1-1,DimAvr1+6)</f>
        <v>43190</v>
      </c>
      <c r="I3" s="7">
        <f ca="1">IF(DAY(DimAvr1)=1,DimAvr1,DimAvr1+7)</f>
        <v>43191</v>
      </c>
      <c r="J3" s="51"/>
      <c r="K3" s="42"/>
      <c r="L3" s="43"/>
    </row>
    <row r="4" spans="1:12" ht="30" customHeight="1" x14ac:dyDescent="0.25">
      <c r="A4" s="14"/>
      <c r="C4" s="7">
        <f ca="1">IF(DAY(DimAvr1)=1,DimAvr1+1,DimAvr1+8)</f>
        <v>43192</v>
      </c>
      <c r="D4" s="7">
        <f ca="1">IF(DAY(DimAvr1)=1,DimAvr1+2,DimAvr1+9)</f>
        <v>43193</v>
      </c>
      <c r="E4" s="7">
        <f ca="1">IF(DAY(DimAvr1)=1,DimAvr1+3,DimAvr1+10)</f>
        <v>43194</v>
      </c>
      <c r="F4" s="7">
        <f ca="1">IF(DAY(DimAvr1)=1,DimAvr1+4,DimAvr1+11)</f>
        <v>43195</v>
      </c>
      <c r="G4" s="7">
        <f ca="1">IF(DAY(DimAvr1)=1,DimAvr1+5,DimAvr1+12)</f>
        <v>43196</v>
      </c>
      <c r="H4" s="7">
        <f ca="1">IF(DAY(DimAvr1)=1,DimAvr1+6,DimAvr1+13)</f>
        <v>43197</v>
      </c>
      <c r="I4" s="7">
        <f ca="1">IF(DAY(DimAvr1)=1,DimAvr1+7,DimAvr1+14)</f>
        <v>43198</v>
      </c>
      <c r="J4" s="51"/>
      <c r="K4" s="42"/>
      <c r="L4" s="43"/>
    </row>
    <row r="5" spans="1:12" ht="30" customHeight="1" x14ac:dyDescent="0.25">
      <c r="A5" s="14"/>
      <c r="C5" s="7">
        <f ca="1">IF(DAY(DimAvr1)=1,DimAvr1+8,DimAvr1+15)</f>
        <v>43199</v>
      </c>
      <c r="D5" s="7">
        <f ca="1">IF(DAY(DimAvr1)=1,DimAvr1+9,DimAvr1+16)</f>
        <v>43200</v>
      </c>
      <c r="E5" s="7">
        <f ca="1">IF(DAY(DimAvr1)=1,DimAvr1+10,DimAvr1+17)</f>
        <v>43201</v>
      </c>
      <c r="F5" s="7">
        <f ca="1">IF(DAY(DimAvr1)=1,DimAvr1+11,DimAvr1+18)</f>
        <v>43202</v>
      </c>
      <c r="G5" s="7">
        <f ca="1">IF(DAY(DimAvr1)=1,DimAvr1+12,DimAvr1+19)</f>
        <v>43203</v>
      </c>
      <c r="H5" s="7">
        <f ca="1">IF(DAY(DimAvr1)=1,DimAvr1+13,DimAvr1+20)</f>
        <v>43204</v>
      </c>
      <c r="I5" s="7">
        <f ca="1">IF(DAY(DimAvr1)=1,DimAvr1+14,DimAvr1+21)</f>
        <v>43205</v>
      </c>
      <c r="J5" s="51"/>
      <c r="K5" s="42"/>
      <c r="L5" s="43"/>
    </row>
    <row r="6" spans="1:12" ht="30" customHeight="1" x14ac:dyDescent="0.25">
      <c r="A6" s="14"/>
      <c r="C6" s="7">
        <f ca="1">IF(DAY(DimAvr1)=1,DimAvr1+15,DimAvr1+22)</f>
        <v>43206</v>
      </c>
      <c r="D6" s="7">
        <f ca="1">IF(DAY(DimAvr1)=1,DimAvr1+16,DimAvr1+23)</f>
        <v>43207</v>
      </c>
      <c r="E6" s="7">
        <f ca="1">IF(DAY(DimAvr1)=1,DimAvr1+17,DimAvr1+24)</f>
        <v>43208</v>
      </c>
      <c r="F6" s="7">
        <f ca="1">IF(DAY(DimAvr1)=1,DimAvr1+18,DimAvr1+25)</f>
        <v>43209</v>
      </c>
      <c r="G6" s="7">
        <f ca="1">IF(DAY(DimAvr1)=1,DimAvr1+19,DimAvr1+26)</f>
        <v>43210</v>
      </c>
      <c r="H6" s="7">
        <f ca="1">IF(DAY(DimAvr1)=1,DimAvr1+20,DimAvr1+27)</f>
        <v>43211</v>
      </c>
      <c r="I6" s="7">
        <f ca="1">IF(DAY(DimAvr1)=1,DimAvr1+21,DimAvr1+28)</f>
        <v>43212</v>
      </c>
      <c r="J6" s="51"/>
      <c r="K6" s="42"/>
      <c r="L6" s="43"/>
    </row>
    <row r="7" spans="1:12" ht="30" customHeight="1" x14ac:dyDescent="0.25">
      <c r="A7" s="14"/>
      <c r="C7" s="7">
        <f ca="1">IF(DAY(DimAvr1)=1,DimAvr1+22,DimAvr1+29)</f>
        <v>43213</v>
      </c>
      <c r="D7" s="7">
        <f ca="1">IF(DAY(DimAvr1)=1,DimAvr1+23,DimAvr1+30)</f>
        <v>43214</v>
      </c>
      <c r="E7" s="7">
        <f ca="1">IF(DAY(DimAvr1)=1,DimAvr1+24,DimAvr1+31)</f>
        <v>43215</v>
      </c>
      <c r="F7" s="7">
        <f ca="1">IF(DAY(DimAvr1)=1,DimAvr1+25,DimAvr1+32)</f>
        <v>43216</v>
      </c>
      <c r="G7" s="7">
        <f ca="1">IF(DAY(DimAvr1)=1,DimAvr1+26,DimAvr1+33)</f>
        <v>43217</v>
      </c>
      <c r="H7" s="7">
        <f ca="1">IF(DAY(DimAvr1)=1,DimAvr1+27,DimAvr1+34)</f>
        <v>43218</v>
      </c>
      <c r="I7" s="7">
        <f ca="1">IF(DAY(DimAvr1)=1,DimAvr1+28,DimAvr1+35)</f>
        <v>43219</v>
      </c>
      <c r="J7" s="22"/>
      <c r="K7" s="20"/>
      <c r="L7" s="19"/>
    </row>
    <row r="8" spans="1:12" ht="30" customHeight="1" x14ac:dyDescent="0.25">
      <c r="A8" s="14"/>
      <c r="B8" s="19"/>
      <c r="C8" s="7">
        <f ca="1">IF(DAY(DimAvr1)=1,DimAvr1+29,DimAvr1+36)</f>
        <v>43220</v>
      </c>
      <c r="D8" s="7">
        <f ca="1">IF(DAY(DimAvr1)=1,DimAvr1+30,DimAvr1+37)</f>
        <v>43221</v>
      </c>
      <c r="E8" s="7">
        <f ca="1">IF(DAY(DimAvr1)=1,DimAvr1+31,DimAvr1+38)</f>
        <v>43222</v>
      </c>
      <c r="F8" s="7">
        <f ca="1">IF(DAY(DimAvr1)=1,DimAvr1+32,DimAvr1+39)</f>
        <v>43223</v>
      </c>
      <c r="G8" s="7">
        <f ca="1">IF(DAY(DimAvr1)=1,DimAvr1+33,DimAvr1+40)</f>
        <v>43224</v>
      </c>
      <c r="H8" s="7">
        <f ca="1">IF(DAY(DimAvr1)=1,DimAvr1+34,DimAvr1+41)</f>
        <v>43225</v>
      </c>
      <c r="I8" s="7">
        <f ca="1">IF(DAY(DimAvr1)=1,DimAvr1+35,DimAvr1+42)</f>
        <v>43226</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t="s">
        <v>22</v>
      </c>
    </row>
    <row r="27" spans="1:12" ht="30" customHeight="1" x14ac:dyDescent="0.25">
      <c r="A27" s="29" t="s">
        <v>2</v>
      </c>
      <c r="B27" s="30"/>
      <c r="C27" s="79"/>
      <c r="D27" s="79"/>
      <c r="E27" s="79"/>
      <c r="F27" s="79"/>
      <c r="G27" s="79"/>
      <c r="H27" s="79"/>
      <c r="I27" s="33"/>
      <c r="K27" s="2"/>
      <c r="L27" s="18"/>
    </row>
    <row r="28" spans="1:12" ht="30" customHeight="1" x14ac:dyDescent="0.25">
      <c r="A28" s="29" t="s">
        <v>1</v>
      </c>
      <c r="B28" s="24"/>
      <c r="C28" s="78">
        <v>0.66666666666666663</v>
      </c>
      <c r="D28" s="78"/>
      <c r="E28" s="78"/>
      <c r="F28" s="78"/>
      <c r="G28" s="78">
        <v>0.66666666666666663</v>
      </c>
      <c r="H28" s="78"/>
      <c r="I28" s="25"/>
      <c r="K28" s="2"/>
      <c r="L28" s="18"/>
    </row>
    <row r="29" spans="1:12" ht="30" customHeight="1" x14ac:dyDescent="0.25">
      <c r="A29" s="29" t="s">
        <v>2</v>
      </c>
      <c r="B29" s="30"/>
      <c r="C29" s="79" t="s">
        <v>13</v>
      </c>
      <c r="D29" s="79"/>
      <c r="E29" s="79"/>
      <c r="F29" s="79"/>
      <c r="G29" s="79" t="s">
        <v>13</v>
      </c>
      <c r="H29" s="79"/>
      <c r="I29" s="33"/>
      <c r="K29" s="2"/>
      <c r="L29" s="18"/>
    </row>
    <row r="30" spans="1:12" ht="30" customHeight="1" x14ac:dyDescent="0.25">
      <c r="A30" s="29" t="s">
        <v>1</v>
      </c>
      <c r="B30" s="24"/>
      <c r="C30" s="78"/>
      <c r="D30" s="78"/>
      <c r="E30" s="78"/>
      <c r="F30" s="78"/>
      <c r="G30" s="78"/>
      <c r="H30" s="78"/>
      <c r="I30" s="25"/>
      <c r="K30" s="2"/>
      <c r="L30" s="18"/>
    </row>
    <row r="31" spans="1:12" ht="30" customHeight="1" x14ac:dyDescent="0.25">
      <c r="A31" s="29" t="s">
        <v>2</v>
      </c>
      <c r="B31" s="31"/>
      <c r="C31" s="82"/>
      <c r="D31" s="82"/>
      <c r="E31" s="82"/>
      <c r="F31" s="82"/>
      <c r="G31" s="82"/>
      <c r="H31" s="82"/>
      <c r="I31" s="32"/>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65" priority="6" stopIfTrue="1">
      <formula>DAY(C3)&gt;8</formula>
    </cfRule>
  </conditionalFormatting>
  <conditionalFormatting sqref="C7:I8">
    <cfRule type="expression" dxfId="64" priority="5" stopIfTrue="1">
      <formula>AND(DAY(C7)&gt;=1,DAY(C7)&lt;=15)</formula>
    </cfRule>
  </conditionalFormatting>
  <conditionalFormatting sqref="C3:I8">
    <cfRule type="expression" dxfId="63" priority="7">
      <formula>VLOOKUP(DAY(C3),AssignmentDays,1,FALSE)=DAY(C3)</formula>
    </cfRule>
  </conditionalFormatting>
  <conditionalFormatting sqref="B13:I13 B15:I15 B17:I17 B19:I19 B21:I21 B23:I23 B25:I25 B27:I27 B29:I29 B31:I31">
    <cfRule type="expression" dxfId="62" priority="4">
      <formula>B13&lt;&gt;""</formula>
    </cfRule>
  </conditionalFormatting>
  <conditionalFormatting sqref="B12:I12 B14:I14 B16:I16 B18:I18 B20:I20 B22:I22 B24:I24 B26:I26 B28:I28 B30:I30">
    <cfRule type="expression" dxfId="61" priority="3">
      <formula>B12&lt;&gt;""</formula>
    </cfRule>
  </conditionalFormatting>
  <conditionalFormatting sqref="B13:I13 B15:I15 B17:I17 B19:I19 B21:I21 B23:I23 B25:I25 B27:I27 B29:I29">
    <cfRule type="expression" dxfId="60" priority="2">
      <formula>COLUMN(B12)&gt;=2</formula>
    </cfRule>
  </conditionalFormatting>
  <conditionalFormatting sqref="B12:I31">
    <cfRule type="expression" dxfId="59" priority="1">
      <formula>COLUMN(B12)&gt;2</formula>
    </cfRule>
  </conditionalFormatting>
  <dataValidations xWindow="209" yWindow="929" count="13">
    <dataValidation allowBlank="1" showInputMessage="1" showErrorMessage="1" prompt="Le calendrier d’avril met automatiquement en surbrillance les entrées de la liste de devoirs pour le mois. Une police foncée indique les devoirs. Une police plus claire indique les jours du mois précédent ou suivant" sqref="B2" xr:uid="{00000000-0002-0000-0300-000000000000}"/>
    <dataValidation allowBlank="1" showInputMessage="1" showErrorMessage="1" prompt="Année automatiquement mise à jour Pour modifier l’année, modifiez la cellule B1 de la feuille de calcul Jan" sqref="B1" xr:uid="{00000000-0002-0000-0300-000001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300-000002000000}"/>
    <dataValidation allowBlank="1" showInputMessage="1" showErrorMessage="1" prompt="Les cellules C2 à I2 contiennent les jours de la semaine" sqref="C2" xr:uid="{00000000-0002-0000-0300-000003000000}"/>
    <dataValidation allowBlank="1" showInputMessage="1" showErrorMessage="1" prompt="Si cette cellule ne contient pas le numéro 1, c’est qu’il s’agit d’un jour du mois précédent Les cellules C3 à I8 contiennent les dates du mois en cours" sqref="C3" xr:uid="{00000000-0002-0000-0300-000004000000}"/>
    <dataValidation allowBlank="1" showInputMessage="1" showErrorMessage="1" prompt="Si les nombres de cette ligne sont inférieurs au nombre précédent ou à la ligne de nombres précédente, il s’agit des dates du mois suivant" sqref="C8" xr:uid="{00000000-0002-0000-0300-000005000000}"/>
    <dataValidation allowBlank="1" showInputMessage="1" showErrorMessage="1" prompt="Entrez l’heure dans cette ligne pour les colonnes B à I" sqref="B12" xr:uid="{00000000-0002-0000-0300-000006000000}"/>
    <dataValidation allowBlank="1" showInputMessage="1" showErrorMessage="1" prompt="Entrez la matière dans cette ligne pour les colonnes B à I" sqref="B13" xr:uid="{00000000-0002-0000-03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300-000008000000}"/>
    <dataValidation allowBlank="1" showInputMessage="1" showErrorMessage="1" prompt="Entrez dans cette colonne les détails du devoir associé au jour de la semaine dans la colonne J et à la date dans la colonne K pour le mois indiqué à gauche" sqref="L1" xr:uid="{00000000-0002-0000-0300-000009000000}"/>
    <dataValidation allowBlank="1" showInputMessage="1" showErrorMessage="1" prompt="Entrez dans cette colonne la date du devoir correspondant au jour de la semaine dans la colonne J. Cette date est mise en surbrillance dans le calendrier à gauche" sqref="K1" xr:uid="{00000000-0002-0000-0300-00000A000000}"/>
    <dataValidation allowBlank="1" showInputMessage="1" showErrorMessage="1" prompt="Les jours de la semaine figurent dans cette ligne, du lundi au vendredi" sqref="B11" xr:uid="{00000000-0002-0000-03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3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tabColor theme="4"/>
    <pageSetUpPr fitToPage="1"/>
  </sheetPr>
  <dimension ref="A1:L31"/>
  <sheetViews>
    <sheetView showGridLines="0" topLeftCell="B9" zoomScaleNormal="100" zoomScalePageLayoutView="84" workbookViewId="0">
      <selection activeCell="B19" sqref="B19"/>
    </sheetView>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23</v>
      </c>
      <c r="C2" s="8" t="s">
        <v>4</v>
      </c>
      <c r="D2" s="8" t="s">
        <v>10</v>
      </c>
      <c r="E2" s="8" t="s">
        <v>14</v>
      </c>
      <c r="F2" s="8" t="s">
        <v>15</v>
      </c>
      <c r="G2" s="8" t="s">
        <v>16</v>
      </c>
      <c r="H2" s="8" t="s">
        <v>17</v>
      </c>
      <c r="I2" s="8" t="s">
        <v>18</v>
      </c>
      <c r="J2" s="51" t="s">
        <v>4</v>
      </c>
      <c r="K2" s="42"/>
      <c r="L2" s="43"/>
    </row>
    <row r="3" spans="1:12" ht="30" customHeight="1" x14ac:dyDescent="0.25">
      <c r="A3" s="14"/>
      <c r="C3" s="7">
        <f ca="1">IF(DAY(DimMai1)=1,DimMai1-6,DimMai1+1)</f>
        <v>43220</v>
      </c>
      <c r="D3" s="7">
        <f ca="1">IF(DAY(DimMai1)=1,DimMai1-5,DimMai1+2)</f>
        <v>43221</v>
      </c>
      <c r="E3" s="7">
        <f ca="1">IF(DAY(DimMai1)=1,DimMai1-4,DimMai1+3)</f>
        <v>43222</v>
      </c>
      <c r="F3" s="7">
        <f ca="1">IF(DAY(DimMai1)=1,DimMai1-3,DimMai1+4)</f>
        <v>43223</v>
      </c>
      <c r="G3" s="7">
        <f ca="1">IF(DAY(DimMai1)=1,DimMai1-2,DimMai1+5)</f>
        <v>43224</v>
      </c>
      <c r="H3" s="7">
        <f ca="1">IF(DAY(DimMai1)=1,DimMai1-1,DimMai1+6)</f>
        <v>43225</v>
      </c>
      <c r="I3" s="7">
        <f ca="1">IF(DAY(DimMai1)=1,DimMai1,DimMai1+7)</f>
        <v>43226</v>
      </c>
      <c r="J3" s="51"/>
      <c r="K3" s="42"/>
      <c r="L3" s="43"/>
    </row>
    <row r="4" spans="1:12" ht="30" customHeight="1" x14ac:dyDescent="0.25">
      <c r="A4" s="14"/>
      <c r="C4" s="7">
        <f ca="1">IF(DAY(DimMai1)=1,DimMai1+1,DimMai1+8)</f>
        <v>43227</v>
      </c>
      <c r="D4" s="7">
        <f ca="1">IF(DAY(DimMai1)=1,DimMai1+2,DimMai1+9)</f>
        <v>43228</v>
      </c>
      <c r="E4" s="7">
        <f ca="1">IF(DAY(DimMai1)=1,DimMai1+3,DimMai1+10)</f>
        <v>43229</v>
      </c>
      <c r="F4" s="7">
        <f ca="1">IF(DAY(DimMai1)=1,DimMai1+4,DimMai1+11)</f>
        <v>43230</v>
      </c>
      <c r="G4" s="7">
        <f ca="1">IF(DAY(DimMai1)=1,DimMai1+5,DimMai1+12)</f>
        <v>43231</v>
      </c>
      <c r="H4" s="7">
        <f ca="1">IF(DAY(DimMai1)=1,DimMai1+6,DimMai1+13)</f>
        <v>43232</v>
      </c>
      <c r="I4" s="7">
        <f ca="1">IF(DAY(DimMai1)=1,DimMai1+7,DimMai1+14)</f>
        <v>43233</v>
      </c>
      <c r="J4" s="51"/>
      <c r="K4" s="42"/>
      <c r="L4" s="43"/>
    </row>
    <row r="5" spans="1:12" ht="30" customHeight="1" x14ac:dyDescent="0.25">
      <c r="A5" s="14"/>
      <c r="C5" s="7">
        <f ca="1">IF(DAY(DimMai1)=1,DimMai1+8,DimMai1+15)</f>
        <v>43234</v>
      </c>
      <c r="D5" s="7">
        <f ca="1">IF(DAY(DimMai1)=1,DimMai1+9,DimMai1+16)</f>
        <v>43235</v>
      </c>
      <c r="E5" s="7">
        <f ca="1">IF(DAY(DimMai1)=1,DimMai1+10,DimMai1+17)</f>
        <v>43236</v>
      </c>
      <c r="F5" s="7">
        <f ca="1">IF(DAY(DimMai1)=1,DimMai1+11,DimMai1+18)</f>
        <v>43237</v>
      </c>
      <c r="G5" s="7">
        <f ca="1">IF(DAY(DimMai1)=1,DimMai1+12,DimMai1+19)</f>
        <v>43238</v>
      </c>
      <c r="H5" s="7">
        <f ca="1">IF(DAY(DimMai1)=1,DimMai1+13,DimMai1+20)</f>
        <v>43239</v>
      </c>
      <c r="I5" s="7">
        <f ca="1">IF(DAY(DimMai1)=1,DimMai1+14,DimMai1+21)</f>
        <v>43240</v>
      </c>
      <c r="J5" s="51"/>
      <c r="K5" s="42"/>
      <c r="L5" s="43"/>
    </row>
    <row r="6" spans="1:12" ht="30" customHeight="1" x14ac:dyDescent="0.25">
      <c r="A6" s="14"/>
      <c r="C6" s="7">
        <f ca="1">IF(DAY(DimMai1)=1,DimMai1+15,DimMai1+22)</f>
        <v>43241</v>
      </c>
      <c r="D6" s="7">
        <f ca="1">IF(DAY(DimMai1)=1,DimMai1+16,DimMai1+23)</f>
        <v>43242</v>
      </c>
      <c r="E6" s="7">
        <f ca="1">IF(DAY(DimMai1)=1,DimMai1+17,DimMai1+24)</f>
        <v>43243</v>
      </c>
      <c r="F6" s="7">
        <f ca="1">IF(DAY(DimMai1)=1,DimMai1+18,DimMai1+25)</f>
        <v>43244</v>
      </c>
      <c r="G6" s="7">
        <f ca="1">IF(DAY(DimMai1)=1,DimMai1+19,DimMai1+26)</f>
        <v>43245</v>
      </c>
      <c r="H6" s="7">
        <f ca="1">IF(DAY(DimMai1)=1,DimMai1+20,DimMai1+27)</f>
        <v>43246</v>
      </c>
      <c r="I6" s="7">
        <f ca="1">IF(DAY(DimMai1)=1,DimMai1+21,DimMai1+28)</f>
        <v>43247</v>
      </c>
      <c r="J6" s="51"/>
      <c r="K6" s="42"/>
      <c r="L6" s="43"/>
    </row>
    <row r="7" spans="1:12" ht="30" customHeight="1" x14ac:dyDescent="0.25">
      <c r="A7" s="14"/>
      <c r="C7" s="7">
        <f ca="1">IF(DAY(DimMai1)=1,DimMai1+22,DimMai1+29)</f>
        <v>43248</v>
      </c>
      <c r="D7" s="7">
        <f ca="1">IF(DAY(DimMai1)=1,DimMai1+23,DimMai1+30)</f>
        <v>43249</v>
      </c>
      <c r="E7" s="7">
        <f ca="1">IF(DAY(DimMai1)=1,DimMai1+24,DimMai1+31)</f>
        <v>43250</v>
      </c>
      <c r="F7" s="7">
        <f ca="1">IF(DAY(DimMai1)=1,DimMai1+25,DimMai1+32)</f>
        <v>43251</v>
      </c>
      <c r="G7" s="7">
        <f ca="1">IF(DAY(DimMai1)=1,DimMai1+26,DimMai1+33)</f>
        <v>43252</v>
      </c>
      <c r="H7" s="7">
        <f ca="1">IF(DAY(DimMai1)=1,DimMai1+27,DimMai1+34)</f>
        <v>43253</v>
      </c>
      <c r="I7" s="7">
        <f ca="1">IF(DAY(DimMai1)=1,DimMai1+28,DimMai1+35)</f>
        <v>43254</v>
      </c>
      <c r="J7" s="22"/>
      <c r="K7" s="20"/>
      <c r="L7" s="61"/>
    </row>
    <row r="8" spans="1:12" ht="30" customHeight="1" x14ac:dyDescent="0.25">
      <c r="A8" s="14"/>
      <c r="B8" s="19"/>
      <c r="C8" s="7">
        <f ca="1">IF(DAY(DimMai1)=1,DimMai1+29,DimMai1+36)</f>
        <v>43255</v>
      </c>
      <c r="D8" s="7">
        <f ca="1">IF(DAY(DimMai1)=1,DimMai1+30,DimMai1+37)</f>
        <v>43256</v>
      </c>
      <c r="E8" s="7">
        <f ca="1">IF(DAY(DimMai1)=1,DimMai1+31,DimMai1+38)</f>
        <v>43257</v>
      </c>
      <c r="F8" s="7">
        <f ca="1">IF(DAY(DimMai1)=1,DimMai1+32,DimMai1+39)</f>
        <v>43258</v>
      </c>
      <c r="G8" s="7">
        <f ca="1">IF(DAY(DimMai1)=1,DimMai1+33,DimMai1+40)</f>
        <v>43259</v>
      </c>
      <c r="H8" s="7">
        <f ca="1">IF(DAY(DimMai1)=1,DimMai1+34,DimMai1+41)</f>
        <v>43260</v>
      </c>
      <c r="I8" s="7">
        <f ca="1">IF(DAY(DimMai1)=1,DimMai1+35,DimMai1+42)</f>
        <v>43261</v>
      </c>
      <c r="J8" s="11" t="s">
        <v>10</v>
      </c>
      <c r="K8" s="23"/>
      <c r="L8" s="18"/>
    </row>
    <row r="9" spans="1:12" ht="30" customHeight="1" x14ac:dyDescent="0.25">
      <c r="A9" s="14"/>
      <c r="C9" s="5"/>
      <c r="D9" s="5"/>
      <c r="E9" s="5"/>
      <c r="F9" s="5"/>
      <c r="G9" s="5"/>
      <c r="H9" s="5"/>
      <c r="I9" s="5"/>
      <c r="J9" s="11"/>
      <c r="K9" s="2"/>
      <c r="L9" s="18"/>
    </row>
    <row r="10" spans="1:12" ht="30" customHeight="1" x14ac:dyDescent="0.25">
      <c r="A10" s="14"/>
      <c r="B10" s="17" t="s">
        <v>3</v>
      </c>
      <c r="C10" s="10"/>
      <c r="D10" s="10"/>
      <c r="E10" s="10"/>
      <c r="F10" s="10"/>
      <c r="G10" s="10"/>
      <c r="H10" s="10"/>
      <c r="I10" s="10"/>
      <c r="J10" s="11"/>
      <c r="K10" s="2"/>
      <c r="L10" s="18"/>
    </row>
    <row r="11" spans="1:12" ht="30" customHeight="1" x14ac:dyDescent="0.25">
      <c r="A11" s="29" t="s">
        <v>0</v>
      </c>
      <c r="B11" s="28" t="s">
        <v>4</v>
      </c>
      <c r="C11" s="80" t="s">
        <v>10</v>
      </c>
      <c r="D11" s="81"/>
      <c r="E11" s="80" t="s">
        <v>14</v>
      </c>
      <c r="F11" s="81"/>
      <c r="G11" s="80" t="s">
        <v>15</v>
      </c>
      <c r="H11" s="81"/>
      <c r="I11" s="4" t="s">
        <v>16</v>
      </c>
      <c r="J11" s="11"/>
      <c r="K11" s="2"/>
      <c r="L11" s="18"/>
    </row>
    <row r="12" spans="1:12" ht="30" customHeight="1" x14ac:dyDescent="0.25">
      <c r="A12" s="29" t="s">
        <v>1</v>
      </c>
      <c r="B12" s="55" t="s">
        <v>5</v>
      </c>
      <c r="C12" s="78"/>
      <c r="D12" s="78"/>
      <c r="E12" s="84" t="s">
        <v>5</v>
      </c>
      <c r="F12" s="85"/>
      <c r="G12" s="78"/>
      <c r="H12" s="78"/>
      <c r="I12" s="55">
        <v>0.33333333333333331</v>
      </c>
      <c r="J12" s="11"/>
      <c r="K12" s="2"/>
      <c r="L12" s="18"/>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18"/>
    </row>
    <row r="15" spans="1:12" ht="30" customHeight="1" x14ac:dyDescent="0.25">
      <c r="A15" s="29" t="s">
        <v>2</v>
      </c>
      <c r="B15" s="30"/>
      <c r="C15" s="79" t="s">
        <v>12</v>
      </c>
      <c r="D15" s="79"/>
      <c r="E15" s="79"/>
      <c r="F15" s="79"/>
      <c r="G15" s="79" t="s">
        <v>12</v>
      </c>
      <c r="H15" s="79"/>
      <c r="I15" s="33"/>
      <c r="J15" s="11"/>
      <c r="K15" s="2"/>
      <c r="L15" s="18"/>
    </row>
    <row r="16" spans="1:12" ht="30" customHeight="1" x14ac:dyDescent="0.25">
      <c r="A16" s="29" t="s">
        <v>1</v>
      </c>
      <c r="B16" s="24" t="s">
        <v>7</v>
      </c>
      <c r="C16" s="78"/>
      <c r="D16" s="78"/>
      <c r="E16" s="78" t="s">
        <v>7</v>
      </c>
      <c r="F16" s="78"/>
      <c r="G16" s="78"/>
      <c r="H16" s="78"/>
      <c r="I16" s="27" t="s">
        <v>7</v>
      </c>
      <c r="J16" s="11"/>
      <c r="K16" s="2"/>
      <c r="L16" s="18"/>
    </row>
    <row r="17" spans="1:12" ht="30" customHeight="1" x14ac:dyDescent="0.25">
      <c r="A17" s="29" t="s">
        <v>2</v>
      </c>
      <c r="B17" s="30" t="s">
        <v>8</v>
      </c>
      <c r="C17" s="79"/>
      <c r="D17" s="79"/>
      <c r="E17" s="79" t="s">
        <v>8</v>
      </c>
      <c r="F17" s="79"/>
      <c r="G17" s="79"/>
      <c r="H17" s="79"/>
      <c r="I17" s="33" t="s">
        <v>8</v>
      </c>
      <c r="J17" s="11"/>
      <c r="K17" s="2"/>
      <c r="L17" s="18"/>
    </row>
    <row r="18" spans="1:12" ht="30" customHeight="1" x14ac:dyDescent="0.25">
      <c r="A18" s="29" t="s">
        <v>1</v>
      </c>
      <c r="B18" s="24"/>
      <c r="C18" s="78"/>
      <c r="D18" s="78"/>
      <c r="E18" s="78"/>
      <c r="F18" s="78"/>
      <c r="G18" s="78"/>
      <c r="H18" s="78"/>
      <c r="I18" s="25"/>
      <c r="J18" s="11"/>
      <c r="K18" s="2"/>
      <c r="L18" s="18"/>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11" t="s">
        <v>15</v>
      </c>
      <c r="K20" s="23"/>
      <c r="L20" s="18"/>
    </row>
    <row r="21" spans="1:12" ht="30" customHeight="1" x14ac:dyDescent="0.25">
      <c r="A21" s="29" t="s">
        <v>2</v>
      </c>
      <c r="B21" s="30"/>
      <c r="C21" s="79"/>
      <c r="D21" s="79"/>
      <c r="E21" s="79"/>
      <c r="F21" s="79"/>
      <c r="G21" s="79"/>
      <c r="H21" s="79"/>
      <c r="I21" s="33"/>
      <c r="J21" s="11"/>
      <c r="K21" s="2"/>
      <c r="L21" s="18"/>
    </row>
    <row r="22" spans="1:12" ht="30" customHeight="1" x14ac:dyDescent="0.25">
      <c r="A22" s="29" t="s">
        <v>1</v>
      </c>
      <c r="B22" s="24"/>
      <c r="C22" s="78"/>
      <c r="D22" s="78"/>
      <c r="E22" s="78"/>
      <c r="F22" s="78"/>
      <c r="G22" s="78"/>
      <c r="H22" s="78"/>
      <c r="I22" s="25"/>
      <c r="J22" s="11"/>
      <c r="K22" s="2"/>
      <c r="L22" s="18"/>
    </row>
    <row r="23" spans="1:12" ht="30" customHeight="1" x14ac:dyDescent="0.25">
      <c r="A23" s="29" t="s">
        <v>2</v>
      </c>
      <c r="B23" s="30"/>
      <c r="C23" s="79"/>
      <c r="D23" s="79"/>
      <c r="E23" s="79"/>
      <c r="F23" s="79"/>
      <c r="G23" s="79"/>
      <c r="H23" s="79"/>
      <c r="I23" s="33"/>
      <c r="J23" s="11"/>
      <c r="K23" s="2"/>
      <c r="L23" s="18"/>
    </row>
    <row r="24" spans="1:12" ht="30" customHeight="1" x14ac:dyDescent="0.25">
      <c r="A24" s="29" t="s">
        <v>1</v>
      </c>
      <c r="B24" s="24">
        <v>0.58333333333333337</v>
      </c>
      <c r="C24" s="78"/>
      <c r="D24" s="78"/>
      <c r="E24" s="78">
        <v>0.58333333333333337</v>
      </c>
      <c r="F24" s="78"/>
      <c r="G24" s="78"/>
      <c r="H24" s="78"/>
      <c r="I24" s="25">
        <v>0.58333333333333337</v>
      </c>
      <c r="J24" s="11"/>
      <c r="K24" s="2"/>
      <c r="L24" s="18"/>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35" t="s">
        <v>16</v>
      </c>
      <c r="K26" s="23"/>
      <c r="L26" s="45"/>
    </row>
    <row r="27" spans="1:12" ht="30" customHeight="1" x14ac:dyDescent="0.25">
      <c r="A27" s="29" t="s">
        <v>2</v>
      </c>
      <c r="B27" s="30"/>
      <c r="C27" s="79"/>
      <c r="D27" s="79"/>
      <c r="E27" s="79"/>
      <c r="F27" s="79"/>
      <c r="G27" s="79"/>
      <c r="H27" s="79"/>
      <c r="I27" s="33"/>
      <c r="J27" s="51"/>
      <c r="K27" s="42"/>
      <c r="L27" s="43"/>
    </row>
    <row r="28" spans="1:12" ht="30" customHeight="1" x14ac:dyDescent="0.25">
      <c r="A28" s="29" t="s">
        <v>1</v>
      </c>
      <c r="B28" s="24"/>
      <c r="C28" s="78">
        <v>0.66666666666666663</v>
      </c>
      <c r="D28" s="78"/>
      <c r="E28" s="78"/>
      <c r="F28" s="78"/>
      <c r="G28" s="78">
        <v>0.66666666666666663</v>
      </c>
      <c r="H28" s="78"/>
      <c r="I28" s="25"/>
      <c r="J28" s="51"/>
      <c r="K28" s="42"/>
      <c r="L28" s="43"/>
    </row>
    <row r="29" spans="1:12" ht="30" customHeight="1" x14ac:dyDescent="0.25">
      <c r="A29" s="29" t="s">
        <v>2</v>
      </c>
      <c r="B29" s="30"/>
      <c r="C29" s="79" t="s">
        <v>13</v>
      </c>
      <c r="D29" s="79"/>
      <c r="E29" s="79"/>
      <c r="F29" s="79"/>
      <c r="G29" s="79" t="s">
        <v>13</v>
      </c>
      <c r="H29" s="79"/>
      <c r="I29" s="33"/>
      <c r="J29" s="51"/>
      <c r="K29" s="42"/>
      <c r="L29" s="43"/>
    </row>
    <row r="30" spans="1:12" ht="30" customHeight="1" x14ac:dyDescent="0.25">
      <c r="A30" s="29" t="s">
        <v>1</v>
      </c>
      <c r="B30" s="24"/>
      <c r="C30" s="78"/>
      <c r="D30" s="78"/>
      <c r="E30" s="78"/>
      <c r="F30" s="78"/>
      <c r="G30" s="78"/>
      <c r="H30" s="78"/>
      <c r="I30" s="25"/>
      <c r="J30" s="51"/>
      <c r="K30" s="42"/>
      <c r="L30" s="43"/>
    </row>
    <row r="31" spans="1:12" ht="30" customHeight="1" x14ac:dyDescent="0.25">
      <c r="A31" s="29" t="s">
        <v>2</v>
      </c>
      <c r="B31" s="31"/>
      <c r="C31" s="82"/>
      <c r="D31" s="82"/>
      <c r="E31" s="82"/>
      <c r="F31" s="82"/>
      <c r="G31" s="82"/>
      <c r="H31" s="82"/>
      <c r="I31" s="32"/>
      <c r="J31" s="51"/>
      <c r="K31" s="42"/>
      <c r="L31" s="62"/>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58" priority="10" stopIfTrue="1">
      <formula>DAY(C3)&gt;8</formula>
    </cfRule>
  </conditionalFormatting>
  <conditionalFormatting sqref="C7:I8">
    <cfRule type="expression" dxfId="57" priority="9" stopIfTrue="1">
      <formula>AND(DAY(C7)&gt;=1,DAY(C7)&lt;=15)</formula>
    </cfRule>
  </conditionalFormatting>
  <conditionalFormatting sqref="C3:I8">
    <cfRule type="expression" dxfId="56" priority="11">
      <formula>VLOOKUP(DAY(C3),AssignmentDays,1,FALSE)=DAY(C3)</formula>
    </cfRule>
  </conditionalFormatting>
  <conditionalFormatting sqref="B13:I13 B15:I15 B17:I17 B19:I19 B21:I21 B23:I23 B25:I25 B27:I27 B29:I29 B31:I31">
    <cfRule type="expression" dxfId="55" priority="8">
      <formula>B13&lt;&gt;""</formula>
    </cfRule>
  </conditionalFormatting>
  <conditionalFormatting sqref="B12:I12 B14:I14 B16:I16 B18:I18 B20:I20 B22:I22 B24:I24 B26:I26 B28:I28 B30:I30">
    <cfRule type="expression" dxfId="54" priority="7">
      <formula>B12&lt;&gt;""</formula>
    </cfRule>
  </conditionalFormatting>
  <conditionalFormatting sqref="B13:I13 B15:I15 B17:I17 B19:I19 B21:I21 B23:I23 B25:I25 B27:I27 B29:I29">
    <cfRule type="expression" dxfId="53" priority="6">
      <formula>COLUMN(B12)&gt;=2</formula>
    </cfRule>
  </conditionalFormatting>
  <conditionalFormatting sqref="B12:I31">
    <cfRule type="expression" dxfId="52" priority="5">
      <formula>COLUMN(B11)&gt;2</formula>
    </cfRule>
  </conditionalFormatting>
  <dataValidations count="13">
    <dataValidation allowBlank="1" showInputMessage="1" showErrorMessage="1" prompt="Entrez la matière dans cette ligne pour les colonnes B à I" sqref="B13" xr:uid="{00000000-0002-0000-0400-000000000000}"/>
    <dataValidation allowBlank="1" showInputMessage="1" showErrorMessage="1" prompt="Si les nombres de cette ligne sont inférieurs au nombre précédent ou à la ligne de nombres précédente, il s’agit des dates du mois suivant" sqref="C8" xr:uid="{00000000-0002-0000-0400-000001000000}"/>
    <dataValidation allowBlank="1" showInputMessage="1" showErrorMessage="1" prompt="Si cette cellule ne contient pas le numéro 1, c’est qu’il s’agit d’un jour du mois précédent Les cellules C3 à I8 contiennent les dates du mois en cours" sqref="C3" xr:uid="{00000000-0002-0000-0400-000002000000}"/>
    <dataValidation allowBlank="1" showInputMessage="1" showErrorMessage="1" prompt="Les cellules C2 à I2 contiennent les jours de la semaine" sqref="C2" xr:uid="{00000000-0002-0000-0400-000003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400-000004000000}"/>
    <dataValidation allowBlank="1" showInputMessage="1" showErrorMessage="1" prompt="Année automatiquement mise à jour Pour modifier l’année, modifiez la cellule B1 de la feuille de calcul Jan" sqref="B1" xr:uid="{00000000-0002-0000-0400-000005000000}"/>
    <dataValidation allowBlank="1" showInputMessage="1" showErrorMessage="1" prompt="Le calendrier de mai met automatiquement en surbrillance les entrées de la liste de devoirs pour le mois. Une police foncée indique les devoirs. Une police plus claire indique les jours du mois précédent ou suivant" sqref="B2" xr:uid="{00000000-0002-0000-0400-000006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400-000007000000}"/>
    <dataValidation allowBlank="1" showInputMessage="1" showErrorMessage="1" prompt="Entrez dans cette colonne les détails du devoir associé au jour de la semaine dans la colonne J et à la date dans la colonne K pour le mois indiqué à gauche" sqref="L1" xr:uid="{00000000-0002-0000-0400-000008000000}"/>
    <dataValidation allowBlank="1" showInputMessage="1" showErrorMessage="1" prompt="Entrez dans cette colonne la date du devoir correspondant au jour de la semaine dans la colonne J. Cette date est mise en surbrillance dans le calendrier à gauche" sqref="K1" xr:uid="{00000000-0002-0000-0400-000009000000}"/>
    <dataValidation allowBlank="1" showInputMessage="1" showErrorMessage="1" prompt="Les jours de la semaine figurent dans cette ligne, du lundi au vendredi" sqref="B11" xr:uid="{00000000-0002-0000-0400-00000A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400-00000B000000}"/>
    <dataValidation allowBlank="1" showInputMessage="1" showErrorMessage="1" prompt="Entrez l’heure dans cette ligne pour les colonnes B à I" sqref="B12" xr:uid="{00000000-0002-0000-04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24</v>
      </c>
      <c r="C2" s="8" t="s">
        <v>4</v>
      </c>
      <c r="D2" s="8" t="s">
        <v>10</v>
      </c>
      <c r="E2" s="8" t="s">
        <v>14</v>
      </c>
      <c r="F2" s="8" t="s">
        <v>15</v>
      </c>
      <c r="G2" s="8" t="s">
        <v>16</v>
      </c>
      <c r="H2" s="8" t="s">
        <v>17</v>
      </c>
      <c r="I2" s="8" t="s">
        <v>18</v>
      </c>
      <c r="J2" s="51" t="s">
        <v>4</v>
      </c>
      <c r="K2" s="42"/>
      <c r="L2" s="43"/>
    </row>
    <row r="3" spans="1:12" ht="30" customHeight="1" x14ac:dyDescent="0.25">
      <c r="A3" s="14"/>
      <c r="C3" s="7">
        <f ca="1">IF(DAY(DimJuin1)=1,DimJuin1-6,DimJuin1+1)</f>
        <v>43248</v>
      </c>
      <c r="D3" s="7">
        <f ca="1">IF(DAY(DimJuin1)=1,DimJuin1-5,DimJuin1+2)</f>
        <v>43249</v>
      </c>
      <c r="E3" s="7">
        <f ca="1">IF(DAY(DimJuin1)=1,DimJuin1-4,DimJuin1+3)</f>
        <v>43250</v>
      </c>
      <c r="F3" s="7">
        <f ca="1">IF(DAY(DimJuin1)=1,DimJuin1-3,DimJuin1+4)</f>
        <v>43251</v>
      </c>
      <c r="G3" s="7">
        <f ca="1">IF(DAY(DimJuin1)=1,DimJuin1-2,DimJuin1+5)</f>
        <v>43252</v>
      </c>
      <c r="H3" s="7">
        <f ca="1">IF(DAY(DimJuin1)=1,DimJuin1-1,DimJuin1+6)</f>
        <v>43253</v>
      </c>
      <c r="I3" s="7">
        <f ca="1">IF(DAY(DimJuin1)=1,DimJuin1,DimJuin1+7)</f>
        <v>43254</v>
      </c>
      <c r="J3" s="51"/>
      <c r="K3" s="42"/>
      <c r="L3" s="43"/>
    </row>
    <row r="4" spans="1:12" ht="30" customHeight="1" x14ac:dyDescent="0.25">
      <c r="A4" s="14"/>
      <c r="C4" s="7">
        <f ca="1">IF(DAY(DimJuin1)=1,DimJuin1+1,DimJuin1+8)</f>
        <v>43255</v>
      </c>
      <c r="D4" s="7">
        <f ca="1">IF(DAY(DimJuin1)=1,DimJuin1+2,DimJuin1+9)</f>
        <v>43256</v>
      </c>
      <c r="E4" s="7">
        <f ca="1">IF(DAY(DimJuin1)=1,DimJuin1+3,DimJuin1+10)</f>
        <v>43257</v>
      </c>
      <c r="F4" s="7">
        <f ca="1">IF(DAY(DimJuin1)=1,DimJuin1+4,DimJuin1+11)</f>
        <v>43258</v>
      </c>
      <c r="G4" s="7">
        <f ca="1">IF(DAY(DimJuin1)=1,DimJuin1+5,DimJuin1+12)</f>
        <v>43259</v>
      </c>
      <c r="H4" s="7">
        <f ca="1">IF(DAY(DimJuin1)=1,DimJuin1+6,DimJuin1+13)</f>
        <v>43260</v>
      </c>
      <c r="I4" s="7">
        <f ca="1">IF(DAY(DimJuin1)=1,DimJuin1+7,DimJuin1+14)</f>
        <v>43261</v>
      </c>
      <c r="J4" s="51"/>
      <c r="K4" s="42"/>
      <c r="L4" s="43"/>
    </row>
    <row r="5" spans="1:12" ht="30" customHeight="1" x14ac:dyDescent="0.25">
      <c r="A5" s="14"/>
      <c r="C5" s="7">
        <f ca="1">IF(DAY(DimJuin1)=1,DimJuin1+8,DimJuin1+15)</f>
        <v>43262</v>
      </c>
      <c r="D5" s="7">
        <f ca="1">IF(DAY(DimJuin1)=1,DimJuin1+9,DimJuin1+16)</f>
        <v>43263</v>
      </c>
      <c r="E5" s="7">
        <f ca="1">IF(DAY(DimJuin1)=1,DimJuin1+10,DimJuin1+17)</f>
        <v>43264</v>
      </c>
      <c r="F5" s="7">
        <f ca="1">IF(DAY(DimJuin1)=1,DimJuin1+11,DimJuin1+18)</f>
        <v>43265</v>
      </c>
      <c r="G5" s="7">
        <f ca="1">IF(DAY(DimJuin1)=1,DimJuin1+12,DimJuin1+19)</f>
        <v>43266</v>
      </c>
      <c r="H5" s="7">
        <f ca="1">IF(DAY(DimJuin1)=1,DimJuin1+13,DimJuin1+20)</f>
        <v>43267</v>
      </c>
      <c r="I5" s="7">
        <f ca="1">IF(DAY(DimJuin1)=1,DimJuin1+14,DimJuin1+21)</f>
        <v>43268</v>
      </c>
      <c r="J5" s="51"/>
      <c r="K5" s="42"/>
      <c r="L5" s="43"/>
    </row>
    <row r="6" spans="1:12" ht="30" customHeight="1" x14ac:dyDescent="0.25">
      <c r="A6" s="14"/>
      <c r="C6" s="7">
        <f ca="1">IF(DAY(DimJuin1)=1,DimJuin1+15,DimJuin1+22)</f>
        <v>43269</v>
      </c>
      <c r="D6" s="7">
        <f ca="1">IF(DAY(DimJuin1)=1,DimJuin1+16,DimJuin1+23)</f>
        <v>43270</v>
      </c>
      <c r="E6" s="7">
        <f ca="1">IF(DAY(DimJuin1)=1,DimJuin1+17,DimJuin1+24)</f>
        <v>43271</v>
      </c>
      <c r="F6" s="7">
        <f ca="1">IF(DAY(DimJuin1)=1,DimJuin1+18,DimJuin1+25)</f>
        <v>43272</v>
      </c>
      <c r="G6" s="7">
        <f ca="1">IF(DAY(DimJuin1)=1,DimJuin1+19,DimJuin1+26)</f>
        <v>43273</v>
      </c>
      <c r="H6" s="7">
        <f ca="1">IF(DAY(DimJuin1)=1,DimJuin1+20,DimJuin1+27)</f>
        <v>43274</v>
      </c>
      <c r="I6" s="7">
        <f ca="1">IF(DAY(DimJuin1)=1,DimJuin1+21,DimJuin1+28)</f>
        <v>43275</v>
      </c>
      <c r="J6" s="51"/>
      <c r="K6" s="42"/>
      <c r="L6" s="43"/>
    </row>
    <row r="7" spans="1:12" ht="30" customHeight="1" x14ac:dyDescent="0.25">
      <c r="A7" s="14"/>
      <c r="C7" s="7">
        <f ca="1">IF(DAY(DimJuin1)=1,DimJuin1+22,DimJuin1+29)</f>
        <v>43276</v>
      </c>
      <c r="D7" s="7">
        <f ca="1">IF(DAY(DimJuin1)=1,DimJuin1+23,DimJuin1+30)</f>
        <v>43277</v>
      </c>
      <c r="E7" s="7">
        <f ca="1">IF(DAY(DimJuin1)=1,DimJuin1+24,DimJuin1+31)</f>
        <v>43278</v>
      </c>
      <c r="F7" s="7">
        <f ca="1">IF(DAY(DimJuin1)=1,DimJuin1+25,DimJuin1+32)</f>
        <v>43279</v>
      </c>
      <c r="G7" s="7">
        <f ca="1">IF(DAY(DimJuin1)=1,DimJuin1+26,DimJuin1+33)</f>
        <v>43280</v>
      </c>
      <c r="H7" s="7">
        <f ca="1">IF(DAY(DimJuin1)=1,DimJuin1+27,DimJuin1+34)</f>
        <v>43281</v>
      </c>
      <c r="I7" s="7">
        <f ca="1">IF(DAY(DimJuin1)=1,DimJuin1+28,DimJuin1+35)</f>
        <v>43282</v>
      </c>
      <c r="J7" s="22"/>
      <c r="K7" s="20"/>
      <c r="L7" s="19"/>
    </row>
    <row r="8" spans="1:12" ht="30" customHeight="1" x14ac:dyDescent="0.25">
      <c r="A8" s="14"/>
      <c r="B8" s="19"/>
      <c r="C8" s="7">
        <f ca="1">IF(DAY(DimJuin1)=1,DimJuin1+29,DimJuin1+36)</f>
        <v>43283</v>
      </c>
      <c r="D8" s="7">
        <f ca="1">IF(DAY(DimJuin1)=1,DimJuin1+30,DimJuin1+37)</f>
        <v>43284</v>
      </c>
      <c r="E8" s="7">
        <f ca="1">IF(DAY(DimJuin1)=1,DimJuin1+31,DimJuin1+38)</f>
        <v>43285</v>
      </c>
      <c r="F8" s="7">
        <f ca="1">IF(DAY(DimJuin1)=1,DimJuin1+32,DimJuin1+39)</f>
        <v>43286</v>
      </c>
      <c r="G8" s="7">
        <f ca="1">IF(DAY(DimJuin1)=1,DimJuin1+33,DimJuin1+40)</f>
        <v>43287</v>
      </c>
      <c r="H8" s="7">
        <f ca="1">IF(DAY(DimJuin1)=1,DimJuin1+34,DimJuin1+41)</f>
        <v>43288</v>
      </c>
      <c r="I8" s="7">
        <f ca="1">IF(DAY(DimJuin1)=1,DimJuin1+35,DimJuin1+42)</f>
        <v>43289</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53"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51" priority="9" stopIfTrue="1">
      <formula>DAY(C3)&gt;8</formula>
    </cfRule>
  </conditionalFormatting>
  <conditionalFormatting sqref="C7:I8">
    <cfRule type="expression" dxfId="50" priority="8" stopIfTrue="1">
      <formula>AND(DAY(C7)&gt;=1,DAY(C7)&lt;=15)</formula>
    </cfRule>
  </conditionalFormatting>
  <conditionalFormatting sqref="C3:I8">
    <cfRule type="expression" dxfId="49" priority="10">
      <formula>VLOOKUP(DAY(C3),AssignmentDays,1,FALSE)=DAY(C3)</formula>
    </cfRule>
  </conditionalFormatting>
  <conditionalFormatting sqref="B13:I13 B15:I15 B17:I17 B19:I19 B21:I21 B23:I23 B25:I25 B27:I27 B29:I29 B31:I31">
    <cfRule type="expression" dxfId="48" priority="7">
      <formula>B13&lt;&gt;""</formula>
    </cfRule>
  </conditionalFormatting>
  <conditionalFormatting sqref="B12:I12 B14:I14 B16:I16 B18:I18 B20:I20 B22:I22 B24:I24 B26:I26 B28:I28 B30:I30">
    <cfRule type="expression" dxfId="47" priority="6">
      <formula>B12&lt;&gt;""</formula>
    </cfRule>
  </conditionalFormatting>
  <conditionalFormatting sqref="B13:I13 B15:I15 B17:I17 B19:I19 B21:I21 B23:I23 B25:I25 B27:I27 B29:I29">
    <cfRule type="expression" dxfId="46" priority="5">
      <formula>COLUMN(B13)&gt;=2</formula>
    </cfRule>
  </conditionalFormatting>
  <conditionalFormatting sqref="B12:I31">
    <cfRule type="expression" dxfId="45" priority="4">
      <formula>COLUMN(B12)&gt;2</formula>
    </cfRule>
  </conditionalFormatting>
  <dataValidations xWindow="282" yWindow="780" count="13">
    <dataValidation allowBlank="1" showInputMessage="1" showErrorMessage="1" prompt="Le calendrier de juin met automatiquement en surbrillance les entrées de la liste de devoirs pour le mois. Une police foncée indique les devoirs. Une police plus claire indique les jours du mois précédent ou suivant" sqref="B2" xr:uid="{00000000-0002-0000-0500-000000000000}"/>
    <dataValidation allowBlank="1" showInputMessage="1" showErrorMessage="1" prompt="Année automatiquement mise à jour Pour modifier l’année, modifiez la cellule B1 de la feuille de calcul Jan" sqref="B1" xr:uid="{00000000-0002-0000-0500-000001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500-000002000000}"/>
    <dataValidation allowBlank="1" showInputMessage="1" showErrorMessage="1" prompt="Les cellules C2 à I2 contiennent les jours de la semaine" sqref="C2" xr:uid="{00000000-0002-0000-0500-000003000000}"/>
    <dataValidation allowBlank="1" showInputMessage="1" showErrorMessage="1" prompt="Si cette cellule ne contient pas le numéro 1, c’est qu’il s’agit d’un jour du mois précédent Les cellules C3 à I8 contiennent les dates du mois en cours" sqref="C3" xr:uid="{00000000-0002-0000-0500-000004000000}"/>
    <dataValidation allowBlank="1" showInputMessage="1" showErrorMessage="1" prompt="Si les nombres de cette ligne sont inférieurs au nombre précédent ou à la ligne de nombres précédente, il s’agit des dates du mois suivant" sqref="C8" xr:uid="{00000000-0002-0000-0500-000005000000}"/>
    <dataValidation allowBlank="1" showInputMessage="1" showErrorMessage="1" prompt="Entrez la matière dans cette ligne pour les colonnes B à I" sqref="B13" xr:uid="{00000000-0002-0000-0500-000006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500-000007000000}"/>
    <dataValidation allowBlank="1" showInputMessage="1" showErrorMessage="1" prompt="Entrez dans cette colonne les détails du devoir associé au jour de la semaine dans la colonne J et à la date dans la colonne K pour le mois indiqué à gauche" sqref="L1" xr:uid="{00000000-0002-0000-0500-000008000000}"/>
    <dataValidation allowBlank="1" showInputMessage="1" showErrorMessage="1" prompt="Entrez dans cette colonne la date du devoir correspondant au jour de la semaine dans la colonne J. Cette date est mise en surbrillance dans le calendrier à gauche" sqref="K1" xr:uid="{00000000-0002-0000-0500-000009000000}"/>
    <dataValidation allowBlank="1" showInputMessage="1" showErrorMessage="1" prompt="Les jours de la semaine figurent dans cette ligne, du lundi au vendredi" sqref="B11" xr:uid="{00000000-0002-0000-0500-00000A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500-00000B000000}"/>
    <dataValidation allowBlank="1" showInputMessage="1" showErrorMessage="1" prompt="Entrez l’heure dans cette ligne pour les colonnes B à I" sqref="B12" xr:uid="{00000000-0002-0000-05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25</v>
      </c>
      <c r="C2" s="8" t="s">
        <v>4</v>
      </c>
      <c r="D2" s="8" t="s">
        <v>10</v>
      </c>
      <c r="E2" s="8" t="s">
        <v>14</v>
      </c>
      <c r="F2" s="8" t="s">
        <v>15</v>
      </c>
      <c r="G2" s="8" t="s">
        <v>16</v>
      </c>
      <c r="H2" s="8" t="s">
        <v>17</v>
      </c>
      <c r="I2" s="8" t="s">
        <v>18</v>
      </c>
      <c r="J2" s="51" t="s">
        <v>4</v>
      </c>
      <c r="K2" s="42"/>
      <c r="L2" s="43"/>
    </row>
    <row r="3" spans="1:12" ht="30" customHeight="1" x14ac:dyDescent="0.25">
      <c r="A3" s="14"/>
      <c r="C3" s="7">
        <f ca="1">IF(DAY(DimJuil1)=1,DimJuil1-6,DimJuil1+1)</f>
        <v>43276</v>
      </c>
      <c r="D3" s="7">
        <f ca="1">IF(DAY(DimJuil1)=1,DimJuil1-5,DimJuil1+2)</f>
        <v>43277</v>
      </c>
      <c r="E3" s="7">
        <f ca="1">IF(DAY(DimJuil1)=1,DimJuil1-4,DimJuil1+3)</f>
        <v>43278</v>
      </c>
      <c r="F3" s="7">
        <f ca="1">IF(DAY(DimJuil1)=1,DimJuil1-3,DimJuil1+4)</f>
        <v>43279</v>
      </c>
      <c r="G3" s="7">
        <f ca="1">IF(DAY(DimJuil1)=1,DimJuil1-2,DimJuil1+5)</f>
        <v>43280</v>
      </c>
      <c r="H3" s="7">
        <f ca="1">IF(DAY(DimJuil1)=1,DimJuil1-1,DimJuil1+6)</f>
        <v>43281</v>
      </c>
      <c r="I3" s="7">
        <f ca="1">IF(DAY(DimJuil1)=1,DimJuil1,DimJuil1+7)</f>
        <v>43282</v>
      </c>
      <c r="J3" s="51"/>
      <c r="K3" s="42"/>
      <c r="L3" s="43"/>
    </row>
    <row r="4" spans="1:12" ht="30" customHeight="1" x14ac:dyDescent="0.25">
      <c r="A4" s="14"/>
      <c r="C4" s="7">
        <f ca="1">IF(DAY(DimJuil1)=1,DimJuil1+1,DimJuil1+8)</f>
        <v>43283</v>
      </c>
      <c r="D4" s="7">
        <f ca="1">IF(DAY(DimJuil1)=1,DimJuil1+2,DimJuil1+9)</f>
        <v>43284</v>
      </c>
      <c r="E4" s="7">
        <f ca="1">IF(DAY(DimJuil1)=1,DimJuil1+3,DimJuil1+10)</f>
        <v>43285</v>
      </c>
      <c r="F4" s="7">
        <f ca="1">IF(DAY(DimJuil1)=1,DimJuil1+4,DimJuil1+11)</f>
        <v>43286</v>
      </c>
      <c r="G4" s="7">
        <f ca="1">IF(DAY(DimJuil1)=1,DimJuil1+5,DimJuil1+12)</f>
        <v>43287</v>
      </c>
      <c r="H4" s="7">
        <f ca="1">IF(DAY(DimJuil1)=1,DimJuil1+6,DimJuil1+13)</f>
        <v>43288</v>
      </c>
      <c r="I4" s="7">
        <f ca="1">IF(DAY(DimJuil1)=1,DimJuil1+7,DimJuil1+14)</f>
        <v>43289</v>
      </c>
      <c r="J4" s="51"/>
      <c r="K4" s="42"/>
      <c r="L4" s="43"/>
    </row>
    <row r="5" spans="1:12" ht="30" customHeight="1" x14ac:dyDescent="0.25">
      <c r="A5" s="14"/>
      <c r="C5" s="7">
        <f ca="1">IF(DAY(DimJuil1)=1,DimJuil1+8,DimJuil1+15)</f>
        <v>43290</v>
      </c>
      <c r="D5" s="7">
        <f ca="1">IF(DAY(DimJuil1)=1,DimJuil1+9,DimJuil1+16)</f>
        <v>43291</v>
      </c>
      <c r="E5" s="7">
        <f ca="1">IF(DAY(DimJuil1)=1,DimJuil1+10,DimJuil1+17)</f>
        <v>43292</v>
      </c>
      <c r="F5" s="7">
        <f ca="1">IF(DAY(DimJuil1)=1,DimJuil1+11,DimJuil1+18)</f>
        <v>43293</v>
      </c>
      <c r="G5" s="7">
        <f ca="1">IF(DAY(DimJuil1)=1,DimJuil1+12,DimJuil1+19)</f>
        <v>43294</v>
      </c>
      <c r="H5" s="7">
        <f ca="1">IF(DAY(DimJuil1)=1,DimJuil1+13,DimJuil1+20)</f>
        <v>43295</v>
      </c>
      <c r="I5" s="7">
        <f ca="1">IF(DAY(DimJuil1)=1,DimJuil1+14,DimJuil1+21)</f>
        <v>43296</v>
      </c>
      <c r="J5" s="51"/>
      <c r="K5" s="42"/>
      <c r="L5" s="43"/>
    </row>
    <row r="6" spans="1:12" ht="30" customHeight="1" x14ac:dyDescent="0.25">
      <c r="A6" s="14"/>
      <c r="C6" s="7">
        <f ca="1">IF(DAY(DimJuil1)=1,DimJuil1+15,DimJuil1+22)</f>
        <v>43297</v>
      </c>
      <c r="D6" s="7">
        <f ca="1">IF(DAY(DimJuil1)=1,DimJuil1+16,DimJuil1+23)</f>
        <v>43298</v>
      </c>
      <c r="E6" s="7">
        <f ca="1">IF(DAY(DimJuil1)=1,DimJuil1+17,DimJuil1+24)</f>
        <v>43299</v>
      </c>
      <c r="F6" s="7">
        <f ca="1">IF(DAY(DimJuil1)=1,DimJuil1+18,DimJuil1+25)</f>
        <v>43300</v>
      </c>
      <c r="G6" s="7">
        <f ca="1">IF(DAY(DimJuil1)=1,DimJuil1+19,DimJuil1+26)</f>
        <v>43301</v>
      </c>
      <c r="H6" s="7">
        <f ca="1">IF(DAY(DimJuil1)=1,DimJuil1+20,DimJuil1+27)</f>
        <v>43302</v>
      </c>
      <c r="I6" s="7">
        <f ca="1">IF(DAY(DimJuil1)=1,DimJuil1+21,DimJuil1+28)</f>
        <v>43303</v>
      </c>
      <c r="J6" s="51"/>
      <c r="K6" s="42"/>
      <c r="L6" s="43"/>
    </row>
    <row r="7" spans="1:12" ht="30" customHeight="1" x14ac:dyDescent="0.25">
      <c r="A7" s="14"/>
      <c r="C7" s="7">
        <f ca="1">IF(DAY(DimJuil1)=1,DimJuil1+22,DimJuil1+29)</f>
        <v>43304</v>
      </c>
      <c r="D7" s="7">
        <f ca="1">IF(DAY(DimJuil1)=1,DimJuil1+23,DimJuil1+30)</f>
        <v>43305</v>
      </c>
      <c r="E7" s="7">
        <f ca="1">IF(DAY(DimJuil1)=1,DimJuil1+24,DimJuil1+31)</f>
        <v>43306</v>
      </c>
      <c r="F7" s="7">
        <f ca="1">IF(DAY(DimJuil1)=1,DimJuil1+25,DimJuil1+32)</f>
        <v>43307</v>
      </c>
      <c r="G7" s="7">
        <f ca="1">IF(DAY(DimJuil1)=1,DimJuil1+26,DimJuil1+33)</f>
        <v>43308</v>
      </c>
      <c r="H7" s="7">
        <f ca="1">IF(DAY(DimJuil1)=1,DimJuil1+27,DimJuil1+34)</f>
        <v>43309</v>
      </c>
      <c r="I7" s="7">
        <f ca="1">IF(DAY(DimJuil1)=1,DimJuil1+28,DimJuil1+35)</f>
        <v>43310</v>
      </c>
      <c r="J7" s="22"/>
      <c r="K7" s="20"/>
      <c r="L7" s="19"/>
    </row>
    <row r="8" spans="1:12" ht="30" customHeight="1" x14ac:dyDescent="0.25">
      <c r="A8" s="14"/>
      <c r="B8" s="19"/>
      <c r="C8" s="7">
        <f ca="1">IF(DAY(DimJuil1)=1,DimJuil1+29,DimJuil1+36)</f>
        <v>43311</v>
      </c>
      <c r="D8" s="7">
        <f ca="1">IF(DAY(DimJuil1)=1,DimJuil1+30,DimJuil1+37)</f>
        <v>43312</v>
      </c>
      <c r="E8" s="7">
        <f ca="1">IF(DAY(DimJuil1)=1,DimJuil1+31,DimJuil1+38)</f>
        <v>43313</v>
      </c>
      <c r="F8" s="7">
        <f ca="1">IF(DAY(DimJuil1)=1,DimJuil1+32,DimJuil1+39)</f>
        <v>43314</v>
      </c>
      <c r="G8" s="7">
        <f ca="1">IF(DAY(DimJuil1)=1,DimJuil1+33,DimJuil1+40)</f>
        <v>43315</v>
      </c>
      <c r="H8" s="7">
        <f ca="1">IF(DAY(DimJuil1)=1,DimJuil1+34,DimJuil1+41)</f>
        <v>43316</v>
      </c>
      <c r="I8" s="7">
        <f ca="1">IF(DAY(DimJuil1)=1,DimJuil1+35,DimJuil1+42)</f>
        <v>43317</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44" priority="6" stopIfTrue="1">
      <formula>DAY(C3)&gt;8</formula>
    </cfRule>
  </conditionalFormatting>
  <conditionalFormatting sqref="C7:I8">
    <cfRule type="expression" dxfId="43" priority="5" stopIfTrue="1">
      <formula>AND(DAY(C7)&gt;=1,DAY(C7)&lt;=15)</formula>
    </cfRule>
  </conditionalFormatting>
  <conditionalFormatting sqref="C3:I8">
    <cfRule type="expression" dxfId="42" priority="7">
      <formula>VLOOKUP(DAY(C3),AssignmentDays,1,FALSE)=DAY(C3)</formula>
    </cfRule>
  </conditionalFormatting>
  <conditionalFormatting sqref="B12:I12 B14:I14 B16:I16 B18:I18 B20:I20 B22:I22 B24:I24 B26:I26 B28:I28 B30:I30">
    <cfRule type="expression" dxfId="41" priority="4">
      <formula>B12&lt;&gt;""</formula>
    </cfRule>
  </conditionalFormatting>
  <conditionalFormatting sqref="B13:I13 B15:I15 B17:I17 B19:I19 B21:I21 B23:I23 B25:I25 B27:I27 B29:I29 B31:I31">
    <cfRule type="expression" dxfId="40" priority="3">
      <formula>B13&lt;&gt;""</formula>
    </cfRule>
  </conditionalFormatting>
  <conditionalFormatting sqref="B13:I13 B15:I15 B17:I17 B19:I19 B21:I21 B23:I23 B25:I25 B27:I27 B29:I29">
    <cfRule type="expression" dxfId="39" priority="2">
      <formula>COLUMN(B13)&gt;=2</formula>
    </cfRule>
  </conditionalFormatting>
  <conditionalFormatting sqref="B12:I31">
    <cfRule type="expression" dxfId="38" priority="1">
      <formula>COLUMN(B12)&gt;2</formula>
    </cfRule>
  </conditionalFormatting>
  <dataValidations xWindow="239" yWindow="583" count="13">
    <dataValidation allowBlank="1" showInputMessage="1" showErrorMessage="1" prompt="Entrez la matière dans cette ligne pour les colonnes B à I" sqref="B13" xr:uid="{00000000-0002-0000-0600-000000000000}"/>
    <dataValidation allowBlank="1" showInputMessage="1" showErrorMessage="1" prompt="Entrez l’heure dans cette ligne pour les colonnes B à I" sqref="B12" xr:uid="{00000000-0002-0000-0600-000001000000}"/>
    <dataValidation allowBlank="1" showInputMessage="1" showErrorMessage="1" prompt="Si les nombres de cette ligne sont inférieurs au nombre précédent ou à la ligne de nombres précédente, il s’agit des dates du mois suivant" sqref="C8" xr:uid="{00000000-0002-0000-0600-000002000000}"/>
    <dataValidation allowBlank="1" showInputMessage="1" showErrorMessage="1" prompt="Si cette cellule ne contient pas le numéro 1, c’est qu’il s’agit d’un jour du mois précédent Les cellules C3 à I8 contiennent les dates du mois en cours" sqref="C3" xr:uid="{00000000-0002-0000-0600-000003000000}"/>
    <dataValidation allowBlank="1" showInputMessage="1" showErrorMessage="1" prompt="Les cellules C2 à I2 contiennent les jours de la semaine" sqref="C2" xr:uid="{00000000-0002-0000-0600-000004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600-000005000000}"/>
    <dataValidation allowBlank="1" showInputMessage="1" showErrorMessage="1" prompt="Année automatiquement mise à jour Pour modifier l’année, modifiez la cellule B1 de la feuille de calcul Jan" sqref="B1" xr:uid="{00000000-0002-0000-0600-000006000000}"/>
    <dataValidation allowBlank="1" showInputMessage="1" showErrorMessage="1" prompt="Le calendrier de juillet met automatiquement en surbrillance les entrées de la liste de devoirs pour le mois. Une police foncée indique les devoirs. Une police plus claire indique les jours du mois précédent ou suivant" sqref="B2" xr:uid="{00000000-0002-0000-06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600-000008000000}"/>
    <dataValidation allowBlank="1" showInputMessage="1" showErrorMessage="1" prompt="Entrez dans cette colonne les détails du devoir associé au jour de la semaine dans la colonne J et à la date dans la colonne K pour le mois indiqué à gauche" sqref="L1" xr:uid="{00000000-0002-0000-0600-000009000000}"/>
    <dataValidation allowBlank="1" showInputMessage="1" showErrorMessage="1" prompt="Entrez dans cette colonne la date du devoir correspondant au jour de la semaine dans la colonne J. Cette date est mise en surbrillance dans le calendrier à gauche" sqref="K1" xr:uid="{00000000-0002-0000-0600-00000A000000}"/>
    <dataValidation allowBlank="1" showInputMessage="1" showErrorMessage="1" prompt="Les jours de la semaine figurent dans cette ligne, du lundi au vendredi" sqref="B11" xr:uid="{00000000-0002-0000-06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6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6">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33</v>
      </c>
      <c r="C2" s="8" t="s">
        <v>4</v>
      </c>
      <c r="D2" s="8" t="s">
        <v>10</v>
      </c>
      <c r="E2" s="8" t="s">
        <v>14</v>
      </c>
      <c r="F2" s="8" t="s">
        <v>15</v>
      </c>
      <c r="G2" s="8" t="s">
        <v>16</v>
      </c>
      <c r="H2" s="8" t="s">
        <v>17</v>
      </c>
      <c r="I2" s="8" t="s">
        <v>18</v>
      </c>
      <c r="J2" s="51" t="s">
        <v>4</v>
      </c>
      <c r="K2" s="42"/>
      <c r="L2" s="43"/>
    </row>
    <row r="3" spans="1:12" ht="30" customHeight="1" x14ac:dyDescent="0.25">
      <c r="A3" s="14"/>
      <c r="C3" s="7">
        <f ca="1">IF(DAY(DimAoût1)=1,DimAoût1-6,DimAoût1+1)</f>
        <v>43311</v>
      </c>
      <c r="D3" s="7">
        <f ca="1">IF(DAY(DimAoût1)=1,DimAoût1-5,DimAoût1+2)</f>
        <v>43312</v>
      </c>
      <c r="E3" s="7">
        <f ca="1">IF(DAY(DimAoût1)=1,DimAoût1-4,DimAoût1+3)</f>
        <v>43313</v>
      </c>
      <c r="F3" s="7">
        <f ca="1">IF(DAY(DimAoût1)=1,DimAoût1-3,DimAoût1+4)</f>
        <v>43314</v>
      </c>
      <c r="G3" s="7">
        <f ca="1">IF(DAY(DimAoût1)=1,DimAoût1-2,DimAoût1+5)</f>
        <v>43315</v>
      </c>
      <c r="H3" s="7">
        <f ca="1">IF(DAY(DimAoût1)=1,DimAoût1-1,DimAoût1+6)</f>
        <v>43316</v>
      </c>
      <c r="I3" s="7">
        <f ca="1">IF(DAY(DimAoût1)=1,DimAoût1,DimAoût1+7)</f>
        <v>43317</v>
      </c>
      <c r="J3" s="51"/>
      <c r="K3" s="42"/>
      <c r="L3" s="43"/>
    </row>
    <row r="4" spans="1:12" ht="30" customHeight="1" x14ac:dyDescent="0.25">
      <c r="A4" s="14"/>
      <c r="C4" s="7">
        <f ca="1">IF(DAY(DimAoût1)=1,DimAoût1+1,DimAoût1+8)</f>
        <v>43318</v>
      </c>
      <c r="D4" s="7">
        <f ca="1">IF(DAY(DimAoût1)=1,DimAoût1+2,DimAoût1+9)</f>
        <v>43319</v>
      </c>
      <c r="E4" s="7">
        <f ca="1">IF(DAY(DimAoût1)=1,DimAoût1+3,DimAoût1+10)</f>
        <v>43320</v>
      </c>
      <c r="F4" s="7">
        <f ca="1">IF(DAY(DimAoût1)=1,DimAoût1+4,DimAoût1+11)</f>
        <v>43321</v>
      </c>
      <c r="G4" s="7">
        <f ca="1">IF(DAY(DimAoût1)=1,DimAoût1+5,DimAoût1+12)</f>
        <v>43322</v>
      </c>
      <c r="H4" s="7">
        <f ca="1">IF(DAY(DimAoût1)=1,DimAoût1+6,DimAoût1+13)</f>
        <v>43323</v>
      </c>
      <c r="I4" s="7">
        <f ca="1">IF(DAY(DimAoût1)=1,DimAoût1+7,DimAoût1+14)</f>
        <v>43324</v>
      </c>
      <c r="J4" s="51"/>
      <c r="K4" s="42"/>
      <c r="L4" s="43"/>
    </row>
    <row r="5" spans="1:12" ht="30" customHeight="1" x14ac:dyDescent="0.25">
      <c r="A5" s="14"/>
      <c r="C5" s="7">
        <f ca="1">IF(DAY(DimAoût1)=1,DimAoût1+8,DimAoût1+15)</f>
        <v>43325</v>
      </c>
      <c r="D5" s="7">
        <f ca="1">IF(DAY(DimAoût1)=1,DimAoût1+9,DimAoût1+16)</f>
        <v>43326</v>
      </c>
      <c r="E5" s="7">
        <f ca="1">IF(DAY(DimAoût1)=1,DimAoût1+10,DimAoût1+17)</f>
        <v>43327</v>
      </c>
      <c r="F5" s="7">
        <f ca="1">IF(DAY(DimAoût1)=1,DimAoût1+11,DimAoût1+18)</f>
        <v>43328</v>
      </c>
      <c r="G5" s="7">
        <f ca="1">IF(DAY(DimAoût1)=1,DimAoût1+12,DimAoût1+19)</f>
        <v>43329</v>
      </c>
      <c r="H5" s="7">
        <f ca="1">IF(DAY(DimAoût1)=1,DimAoût1+13,DimAoût1+20)</f>
        <v>43330</v>
      </c>
      <c r="I5" s="7">
        <f ca="1">IF(DAY(DimAoût1)=1,DimAoût1+14,DimAoût1+21)</f>
        <v>43331</v>
      </c>
      <c r="J5" s="51"/>
      <c r="K5" s="42"/>
      <c r="L5" s="43"/>
    </row>
    <row r="6" spans="1:12" ht="30" customHeight="1" x14ac:dyDescent="0.25">
      <c r="A6" s="14"/>
      <c r="C6" s="7">
        <f ca="1">IF(DAY(DimAoût1)=1,DimAoût1+15,DimAoût1+22)</f>
        <v>43332</v>
      </c>
      <c r="D6" s="7">
        <f ca="1">IF(DAY(DimAoût1)=1,DimAoût1+16,DimAoût1+23)</f>
        <v>43333</v>
      </c>
      <c r="E6" s="7">
        <f ca="1">IF(DAY(DimAoût1)=1,DimAoût1+17,DimAoût1+24)</f>
        <v>43334</v>
      </c>
      <c r="F6" s="7">
        <f ca="1">IF(DAY(DimAoût1)=1,DimAoût1+18,DimAoût1+25)</f>
        <v>43335</v>
      </c>
      <c r="G6" s="7">
        <f ca="1">IF(DAY(DimAoût1)=1,DimAoût1+19,DimAoût1+26)</f>
        <v>43336</v>
      </c>
      <c r="H6" s="7">
        <f ca="1">IF(DAY(DimAoût1)=1,DimAoût1+20,DimAoût1+27)</f>
        <v>43337</v>
      </c>
      <c r="I6" s="7">
        <f ca="1">IF(DAY(DimAoût1)=1,DimAoût1+21,DimAoût1+28)</f>
        <v>43338</v>
      </c>
      <c r="J6" s="51"/>
      <c r="K6" s="42"/>
      <c r="L6" s="43"/>
    </row>
    <row r="7" spans="1:12" ht="30" customHeight="1" x14ac:dyDescent="0.25">
      <c r="A7" s="14"/>
      <c r="C7" s="7">
        <f ca="1">IF(DAY(DimAoût1)=1,DimAoût1+22,DimAoût1+29)</f>
        <v>43339</v>
      </c>
      <c r="D7" s="7">
        <f ca="1">IF(DAY(DimAoût1)=1,DimAoût1+23,DimAoût1+30)</f>
        <v>43340</v>
      </c>
      <c r="E7" s="7">
        <f ca="1">IF(DAY(DimAoût1)=1,DimAoût1+24,DimAoût1+31)</f>
        <v>43341</v>
      </c>
      <c r="F7" s="7">
        <f ca="1">IF(DAY(DimAoût1)=1,DimAoût1+25,DimAoût1+32)</f>
        <v>43342</v>
      </c>
      <c r="G7" s="7">
        <f ca="1">IF(DAY(DimAoût1)=1,DimAoût1+26,DimAoût1+33)</f>
        <v>43343</v>
      </c>
      <c r="H7" s="7">
        <f ca="1">IF(DAY(DimAoût1)=1,DimAoût1+27,DimAoût1+34)</f>
        <v>43344</v>
      </c>
      <c r="I7" s="7">
        <f ca="1">IF(DAY(DimAoût1)=1,DimAoût1+28,DimAoût1+35)</f>
        <v>43345</v>
      </c>
      <c r="J7" s="22"/>
      <c r="K7" s="20"/>
      <c r="L7" s="19"/>
    </row>
    <row r="8" spans="1:12" ht="30" customHeight="1" x14ac:dyDescent="0.25">
      <c r="A8" s="14"/>
      <c r="B8" s="19"/>
      <c r="C8" s="7">
        <f ca="1">IF(DAY(DimAoût1)=1,DimAoût1+29,DimAoût1+36)</f>
        <v>43346</v>
      </c>
      <c r="D8" s="7">
        <f ca="1">IF(DAY(DimAoût1)=1,DimAoût1+30,DimAoût1+37)</f>
        <v>43347</v>
      </c>
      <c r="E8" s="7">
        <f ca="1">IF(DAY(DimAoût1)=1,DimAoût1+31,DimAoût1+38)</f>
        <v>43348</v>
      </c>
      <c r="F8" s="7">
        <f ca="1">IF(DAY(DimAoût1)=1,DimAoût1+32,DimAoût1+39)</f>
        <v>43349</v>
      </c>
      <c r="G8" s="7">
        <f ca="1">IF(DAY(DimAoût1)=1,DimAoût1+33,DimAoût1+40)</f>
        <v>43350</v>
      </c>
      <c r="H8" s="7">
        <f ca="1">IF(DAY(DimAoût1)=1,DimAoût1+34,DimAoût1+41)</f>
        <v>43351</v>
      </c>
      <c r="I8" s="7">
        <f ca="1">IF(DAY(DimAoût1)=1,DimAoût1+35,DimAoût1+42)</f>
        <v>43352</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9"/>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37" priority="6" stopIfTrue="1">
      <formula>DAY(C3)&gt;8</formula>
    </cfRule>
  </conditionalFormatting>
  <conditionalFormatting sqref="C7:I8">
    <cfRule type="expression" dxfId="36" priority="5" stopIfTrue="1">
      <formula>AND(DAY(C7)&gt;=1,DAY(C7)&lt;=15)</formula>
    </cfRule>
  </conditionalFormatting>
  <conditionalFormatting sqref="C3:I8">
    <cfRule type="expression" dxfId="35" priority="7">
      <formula>VLOOKUP(DAY(C3),AssignmentDays,1,FALSE)=DAY(C3)</formula>
    </cfRule>
  </conditionalFormatting>
  <conditionalFormatting sqref="B12:I12 B14:I14 B16:I16 B18:I18 B20:I20 B22:I22 B24:I24 B26:I26 B28:I28 B30:I30">
    <cfRule type="expression" dxfId="34" priority="4">
      <formula>B12&lt;&gt;""</formula>
    </cfRule>
  </conditionalFormatting>
  <conditionalFormatting sqref="B13:I13 B15:I15 B17:I17 B19:I19 B21:I21 B23:I23 B25:I25 B27:I27 B29:I29 B31:I31">
    <cfRule type="expression" dxfId="33" priority="3">
      <formula>B12&lt;&gt;""</formula>
    </cfRule>
  </conditionalFormatting>
  <conditionalFormatting sqref="B13:I13 B15:I15 B17:I17 B19:I19 B21:I21 B23:I23 B25:I25 B27:I27 B29:I29">
    <cfRule type="expression" dxfId="32" priority="2">
      <formula>COLUMN(B13)&gt;=2</formula>
    </cfRule>
  </conditionalFormatting>
  <conditionalFormatting sqref="B12:I31">
    <cfRule type="expression" dxfId="31" priority="1">
      <formula>COLUMN(B12)&gt;2</formula>
    </cfRule>
  </conditionalFormatting>
  <dataValidations xWindow="132" yWindow="585" count="13">
    <dataValidation allowBlank="1" showInputMessage="1" showErrorMessage="1" prompt="Le calendrier d’août met automatiquement en surbrillance les entrées de la liste de devoirs pour le mois. Une police foncée indique les devoirs. Une police plus claire indique les jours du mois précédent ou suivant" sqref="B2" xr:uid="{00000000-0002-0000-0700-000000000000}"/>
    <dataValidation allowBlank="1" showInputMessage="1" showErrorMessage="1" prompt="Année automatiquement mise à jour Pour modifier l’année, modifiez la cellule B1 de la feuille de calcul Jan" sqref="B1" xr:uid="{00000000-0002-0000-0700-000001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700-000002000000}"/>
    <dataValidation allowBlank="1" showInputMessage="1" showErrorMessage="1" prompt="Les cellules C2 à I2 contiennent les jours de la semaine" sqref="C2" xr:uid="{00000000-0002-0000-0700-000003000000}"/>
    <dataValidation allowBlank="1" showInputMessage="1" showErrorMessage="1" prompt="Si cette cellule ne contient pas le numéro 1, c’est qu’il s’agit d’un jour du mois précédent Les cellules C3 à I8 contiennent les dates du mois en cours" sqref="C3" xr:uid="{00000000-0002-0000-0700-000004000000}"/>
    <dataValidation allowBlank="1" showInputMessage="1" showErrorMessage="1" prompt="Si les nombres de cette ligne sont inférieurs au nombre précédent ou à la ligne de nombres précédente, il s’agit des dates du mois suivant" sqref="C8" xr:uid="{00000000-0002-0000-0700-000005000000}"/>
    <dataValidation allowBlank="1" showInputMessage="1" showErrorMessage="1" prompt="Entrez l’heure dans cette ligne pour les colonnes B à I" sqref="B12" xr:uid="{00000000-0002-0000-0700-000006000000}"/>
    <dataValidation allowBlank="1" showInputMessage="1" showErrorMessage="1" prompt="Entrez la matière dans cette ligne pour les colonnes B à I" sqref="B13" xr:uid="{00000000-0002-0000-07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700-000008000000}"/>
    <dataValidation allowBlank="1" showInputMessage="1" showErrorMessage="1" prompt="Entrez dans cette colonne les détails du devoir associé au jour de la semaine dans la colonne J et à la date dans la colonne K pour le mois indiqué à gauche" sqref="L1" xr:uid="{00000000-0002-0000-0700-000009000000}"/>
    <dataValidation allowBlank="1" showInputMessage="1" showErrorMessage="1" prompt="Entrez dans cette colonne la date du devoir correspondant au jour de la semaine dans la colonne J. Cette date est mise en surbrillance dans le calendrier à gauche" sqref="K1" xr:uid="{00000000-0002-0000-0700-00000A000000}"/>
    <dataValidation allowBlank="1" showInputMessage="1" showErrorMessage="1" prompt="Les jours de la semaine figurent dans cette ligne, du lundi au vendredi" sqref="B11" xr:uid="{00000000-0002-0000-07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7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26</v>
      </c>
      <c r="C2" s="8" t="s">
        <v>4</v>
      </c>
      <c r="D2" s="8" t="s">
        <v>10</v>
      </c>
      <c r="E2" s="8" t="s">
        <v>14</v>
      </c>
      <c r="F2" s="8" t="s">
        <v>15</v>
      </c>
      <c r="G2" s="8" t="s">
        <v>16</v>
      </c>
      <c r="H2" s="8" t="s">
        <v>17</v>
      </c>
      <c r="I2" s="8" t="s">
        <v>18</v>
      </c>
      <c r="J2" s="51" t="s">
        <v>4</v>
      </c>
      <c r="K2" s="42"/>
      <c r="L2" s="43"/>
    </row>
    <row r="3" spans="1:12" ht="30" customHeight="1" x14ac:dyDescent="0.25">
      <c r="A3" s="14"/>
      <c r="C3" s="7">
        <f ca="1">IF(DAY(DimSept1)=1,DimSept1-6,DimSept1+1)</f>
        <v>43339</v>
      </c>
      <c r="D3" s="7">
        <f ca="1">IF(DAY(DimSept1)=1,DimSept1-5,DimSept1+2)</f>
        <v>43340</v>
      </c>
      <c r="E3" s="7">
        <f ca="1">IF(DAY(DimSept1)=1,DimSept1-4,DimSept1+3)</f>
        <v>43341</v>
      </c>
      <c r="F3" s="7">
        <f ca="1">IF(DAY(DimSept1)=1,DimSept1-3,DimSept1+4)</f>
        <v>43342</v>
      </c>
      <c r="G3" s="7">
        <f ca="1">IF(DAY(DimSept1)=1,DimSept1-2,DimSept1+5)</f>
        <v>43343</v>
      </c>
      <c r="H3" s="7">
        <f ca="1">IF(DAY(DimSept1)=1,DimSept1-1,DimSept1+6)</f>
        <v>43344</v>
      </c>
      <c r="I3" s="7">
        <f ca="1">IF(DAY(DimSept1)=1,DimSept1,DimSept1+7)</f>
        <v>43345</v>
      </c>
      <c r="J3" s="51"/>
      <c r="K3" s="42"/>
      <c r="L3" s="43"/>
    </row>
    <row r="4" spans="1:12" ht="30" customHeight="1" x14ac:dyDescent="0.25">
      <c r="A4" s="14"/>
      <c r="C4" s="7">
        <f ca="1">IF(DAY(DimSept1)=1,DimSept1+1,DimSept1+8)</f>
        <v>43346</v>
      </c>
      <c r="D4" s="7">
        <f ca="1">IF(DAY(DimSept1)=1,DimSept1+2,DimSept1+9)</f>
        <v>43347</v>
      </c>
      <c r="E4" s="7">
        <f ca="1">IF(DAY(DimSept1)=1,DimSept1+3,DimSept1+10)</f>
        <v>43348</v>
      </c>
      <c r="F4" s="7">
        <f ca="1">IF(DAY(DimSept1)=1,DimSept1+4,DimSept1+11)</f>
        <v>43349</v>
      </c>
      <c r="G4" s="7">
        <f ca="1">IF(DAY(DimSept1)=1,DimSept1+5,DimSept1+12)</f>
        <v>43350</v>
      </c>
      <c r="H4" s="7">
        <f ca="1">IF(DAY(DimSept1)=1,DimSept1+6,DimSept1+13)</f>
        <v>43351</v>
      </c>
      <c r="I4" s="7">
        <f ca="1">IF(DAY(DimSept1)=1,DimSept1+7,DimSept1+14)</f>
        <v>43352</v>
      </c>
      <c r="J4" s="51"/>
      <c r="K4" s="42"/>
      <c r="L4" s="43"/>
    </row>
    <row r="5" spans="1:12" ht="30" customHeight="1" x14ac:dyDescent="0.25">
      <c r="A5" s="14"/>
      <c r="C5" s="7">
        <f ca="1">IF(DAY(DimSept1)=1,DimSept1+8,DimSept1+15)</f>
        <v>43353</v>
      </c>
      <c r="D5" s="7">
        <f ca="1">IF(DAY(DimSept1)=1,DimSept1+9,DimSept1+16)</f>
        <v>43354</v>
      </c>
      <c r="E5" s="7">
        <f ca="1">IF(DAY(DimSept1)=1,DimSept1+10,DimSept1+17)</f>
        <v>43355</v>
      </c>
      <c r="F5" s="7">
        <f ca="1">IF(DAY(DimSept1)=1,DimSept1+11,DimSept1+18)</f>
        <v>43356</v>
      </c>
      <c r="G5" s="7">
        <f ca="1">IF(DAY(DimSept1)=1,DimSept1+12,DimSept1+19)</f>
        <v>43357</v>
      </c>
      <c r="H5" s="7">
        <f ca="1">IF(DAY(DimSept1)=1,DimSept1+13,DimSept1+20)</f>
        <v>43358</v>
      </c>
      <c r="I5" s="7">
        <f ca="1">IF(DAY(DimSept1)=1,DimSept1+14,DimSept1+21)</f>
        <v>43359</v>
      </c>
      <c r="J5" s="51"/>
      <c r="K5" s="42"/>
      <c r="L5" s="43"/>
    </row>
    <row r="6" spans="1:12" ht="30" customHeight="1" x14ac:dyDescent="0.25">
      <c r="A6" s="14"/>
      <c r="C6" s="7">
        <f ca="1">IF(DAY(DimSept1)=1,DimSept1+15,DimSept1+22)</f>
        <v>43360</v>
      </c>
      <c r="D6" s="7">
        <f ca="1">IF(DAY(DimSept1)=1,DimSept1+16,DimSept1+23)</f>
        <v>43361</v>
      </c>
      <c r="E6" s="7">
        <f ca="1">IF(DAY(DimSept1)=1,DimSept1+17,DimSept1+24)</f>
        <v>43362</v>
      </c>
      <c r="F6" s="7">
        <f ca="1">IF(DAY(DimSept1)=1,DimSept1+18,DimSept1+25)</f>
        <v>43363</v>
      </c>
      <c r="G6" s="7">
        <f ca="1">IF(DAY(DimSept1)=1,DimSept1+19,DimSept1+26)</f>
        <v>43364</v>
      </c>
      <c r="H6" s="7">
        <f ca="1">IF(DAY(DimSept1)=1,DimSept1+20,DimSept1+27)</f>
        <v>43365</v>
      </c>
      <c r="I6" s="7">
        <f ca="1">IF(DAY(DimSept1)=1,DimSept1+21,DimSept1+28)</f>
        <v>43366</v>
      </c>
      <c r="J6" s="51"/>
      <c r="K6" s="42"/>
      <c r="L6" s="43"/>
    </row>
    <row r="7" spans="1:12" ht="30" customHeight="1" x14ac:dyDescent="0.25">
      <c r="A7" s="14"/>
      <c r="C7" s="7">
        <f ca="1">IF(DAY(DimSept1)=1,DimSept1+22,DimSept1+29)</f>
        <v>43367</v>
      </c>
      <c r="D7" s="7">
        <f ca="1">IF(DAY(DimSept1)=1,DimSept1+23,DimSept1+30)</f>
        <v>43368</v>
      </c>
      <c r="E7" s="7">
        <f ca="1">IF(DAY(DimSept1)=1,DimSept1+24,DimSept1+31)</f>
        <v>43369</v>
      </c>
      <c r="F7" s="7">
        <f ca="1">IF(DAY(DimSept1)=1,DimSept1+25,DimSept1+32)</f>
        <v>43370</v>
      </c>
      <c r="G7" s="7">
        <f ca="1">IF(DAY(DimSept1)=1,DimSept1+26,DimSept1+33)</f>
        <v>43371</v>
      </c>
      <c r="H7" s="7">
        <f ca="1">IF(DAY(DimSept1)=1,DimSept1+27,DimSept1+34)</f>
        <v>43372</v>
      </c>
      <c r="I7" s="7">
        <f ca="1">IF(DAY(DimSept1)=1,DimSept1+28,DimSept1+35)</f>
        <v>43373</v>
      </c>
      <c r="J7" s="22"/>
      <c r="K7" s="20"/>
      <c r="L7" s="19"/>
    </row>
    <row r="8" spans="1:12" ht="30" customHeight="1" x14ac:dyDescent="0.25">
      <c r="A8" s="14"/>
      <c r="B8" s="19"/>
      <c r="C8" s="7">
        <f ca="1">IF(DAY(DimSept1)=1,DimSept1+29,DimSept1+36)</f>
        <v>43374</v>
      </c>
      <c r="D8" s="7">
        <f ca="1">IF(DAY(DimSept1)=1,DimSept1+30,DimSept1+37)</f>
        <v>43375</v>
      </c>
      <c r="E8" s="7">
        <f ca="1">IF(DAY(DimSept1)=1,DimSept1+31,DimSept1+38)</f>
        <v>43376</v>
      </c>
      <c r="F8" s="7">
        <f ca="1">IF(DAY(DimSept1)=1,DimSept1+32,DimSept1+39)</f>
        <v>43377</v>
      </c>
      <c r="G8" s="7">
        <f ca="1">IF(DAY(DimSept1)=1,DimSept1+33,DimSept1+40)</f>
        <v>43378</v>
      </c>
      <c r="H8" s="7">
        <f ca="1">IF(DAY(DimSept1)=1,DimSept1+34,DimSept1+41)</f>
        <v>43379</v>
      </c>
      <c r="I8" s="7">
        <f ca="1">IF(DAY(DimSept1)=1,DimSept1+35,DimSept1+42)</f>
        <v>43380</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9"/>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30" priority="6" stopIfTrue="1">
      <formula>DAY(C3)&gt;8</formula>
    </cfRule>
  </conditionalFormatting>
  <conditionalFormatting sqref="C7:I8">
    <cfRule type="expression" dxfId="29" priority="5" stopIfTrue="1">
      <formula>AND(DAY(C7)&gt;=1,DAY(C7)&lt;=15)</formula>
    </cfRule>
  </conditionalFormatting>
  <conditionalFormatting sqref="C3:I8">
    <cfRule type="expression" dxfId="28" priority="7">
      <formula>VLOOKUP(DAY(C3),AssignmentDays,1,FALSE)=DAY(C3)</formula>
    </cfRule>
  </conditionalFormatting>
  <conditionalFormatting sqref="B13:I13 B15:I15 B17:I17 B19:I19 B21:I21 B23:I23 B25:I25 B27:I27 B29:I29 B31:I31">
    <cfRule type="expression" dxfId="27" priority="4">
      <formula>B13&lt;&gt;""</formula>
    </cfRule>
  </conditionalFormatting>
  <conditionalFormatting sqref="B12:I12 B14:I14 B16:I16 B18:I18 B20:I20 B22:I22 B24:I24 B26:I26 B28:I28 B30:I30">
    <cfRule type="expression" dxfId="26" priority="3">
      <formula>B12&lt;&gt;""</formula>
    </cfRule>
  </conditionalFormatting>
  <conditionalFormatting sqref="B13:I13 B15:I15 B17:I17 B19:I19 B21:I21 B23:I23 B25:I25 B27:I27 B29:I29">
    <cfRule type="expression" dxfId="25" priority="2">
      <formula>COLUMN(B13)&gt;=2</formula>
    </cfRule>
  </conditionalFormatting>
  <conditionalFormatting sqref="B12:I31">
    <cfRule type="expression" dxfId="24" priority="1">
      <formula>COLUMN(B12)&gt;2</formula>
    </cfRule>
  </conditionalFormatting>
  <dataValidations count="13">
    <dataValidation allowBlank="1" showInputMessage="1" showErrorMessage="1" prompt="Entrez la matière dans cette ligne pour les colonnes B à I" sqref="B13" xr:uid="{00000000-0002-0000-0800-000000000000}"/>
    <dataValidation allowBlank="1" showInputMessage="1" showErrorMessage="1" prompt="Entrez l’heure dans cette ligne pour les colonnes B à I" sqref="B12" xr:uid="{00000000-0002-0000-0800-000001000000}"/>
    <dataValidation allowBlank="1" showInputMessage="1" showErrorMessage="1" prompt="Si les nombres de cette ligne sont inférieurs au nombre précédent ou à la ligne de nombres précédente, il s’agit des dates du mois suivant" sqref="C8" xr:uid="{00000000-0002-0000-0800-000002000000}"/>
    <dataValidation allowBlank="1" showInputMessage="1" showErrorMessage="1" prompt="Si cette cellule ne contient pas le numéro 1, c’est qu’il s’agit d’un jour du mois précédent Les cellules C3 à I8 contiennent les dates du mois en cours" sqref="C3" xr:uid="{00000000-0002-0000-0800-000003000000}"/>
    <dataValidation allowBlank="1" showInputMessage="1" showErrorMessage="1" prompt="Les cellules C2 à I2 contiennent les jours de la semaine" sqref="C2" xr:uid="{00000000-0002-0000-0800-000004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800-000005000000}"/>
    <dataValidation allowBlank="1" showInputMessage="1" showErrorMessage="1" prompt="Année automatiquement mise à jour Pour modifier l’année, modifiez la cellule B1 de la feuille de calcul Jan" sqref="B1" xr:uid="{00000000-0002-0000-0800-000006000000}"/>
    <dataValidation allowBlank="1" showInputMessage="1" showErrorMessage="1" prompt="Le calendrier de septembre met automatiquement en surbrillance les entrées de la liste de devoirs pour le mois. Une police foncée indique les devoirs. Une police plus claire indique les jours du mois précédent ou suivant" sqref="B2" xr:uid="{00000000-0002-0000-08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800-000008000000}"/>
    <dataValidation allowBlank="1" showInputMessage="1" showErrorMessage="1" prompt="Entrez dans cette colonne les détails du devoir associé au jour de la semaine dans la colonne J et à la date dans la colonne K pour le mois indiqué à gauche" sqref="L1" xr:uid="{00000000-0002-0000-0800-000009000000}"/>
    <dataValidation allowBlank="1" showInputMessage="1" showErrorMessage="1" prompt="Entrez dans cette colonne la date du devoir correspondant au jour de la semaine dans la colonne J. Cette date est mise en surbrillance dans le calendrier à gauche" sqref="K1" xr:uid="{00000000-0002-0000-0800-00000A000000}"/>
    <dataValidation allowBlank="1" showInputMessage="1" showErrorMessage="1" prompt="Les jours de la semaine figurent dans cette ligne, du lundi au vendredi" sqref="B11" xr:uid="{00000000-0002-0000-08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8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8">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27</v>
      </c>
      <c r="C2" s="8" t="s">
        <v>4</v>
      </c>
      <c r="D2" s="8" t="s">
        <v>10</v>
      </c>
      <c r="E2" s="8" t="s">
        <v>14</v>
      </c>
      <c r="F2" s="8" t="s">
        <v>15</v>
      </c>
      <c r="G2" s="8" t="s">
        <v>16</v>
      </c>
      <c r="H2" s="8" t="s">
        <v>17</v>
      </c>
      <c r="I2" s="8" t="s">
        <v>18</v>
      </c>
      <c r="J2" s="51" t="s">
        <v>4</v>
      </c>
      <c r="K2" s="42"/>
      <c r="L2" s="43"/>
    </row>
    <row r="3" spans="1:12" ht="30" customHeight="1" x14ac:dyDescent="0.25">
      <c r="A3" s="14"/>
      <c r="C3" s="7">
        <f ca="1">IF(DAY(DimOct1)=1,DimOct1-6,DimOct1+1)</f>
        <v>43374</v>
      </c>
      <c r="D3" s="7">
        <f ca="1">IF(DAY(DimOct1)=1,DimOct1-5,DimOct1+2)</f>
        <v>43375</v>
      </c>
      <c r="E3" s="7">
        <f ca="1">IF(DAY(DimOct1)=1,DimOct1-4,DimOct1+3)</f>
        <v>43376</v>
      </c>
      <c r="F3" s="7">
        <f ca="1">IF(DAY(DimOct1)=1,DimOct1-3,DimOct1+4)</f>
        <v>43377</v>
      </c>
      <c r="G3" s="7">
        <f ca="1">IF(DAY(DimOct1)=1,DimOct1-2,DimOct1+5)</f>
        <v>43378</v>
      </c>
      <c r="H3" s="7">
        <f ca="1">IF(DAY(DimOct1)=1,DimOct1-1,DimOct1+6)</f>
        <v>43379</v>
      </c>
      <c r="I3" s="7">
        <f ca="1">IF(DAY(DimOct1)=1,DimOct1,DimOct1+7)</f>
        <v>43380</v>
      </c>
      <c r="J3" s="51"/>
      <c r="K3" s="42"/>
      <c r="L3" s="43"/>
    </row>
    <row r="4" spans="1:12" ht="30" customHeight="1" x14ac:dyDescent="0.25">
      <c r="A4" s="14"/>
      <c r="C4" s="7">
        <f ca="1">IF(DAY(DimOct1)=1,DimOct1+1,DimOct1+8)</f>
        <v>43381</v>
      </c>
      <c r="D4" s="7">
        <f ca="1">IF(DAY(DimOct1)=1,DimOct1+2,DimOct1+9)</f>
        <v>43382</v>
      </c>
      <c r="E4" s="7">
        <f ca="1">IF(DAY(DimOct1)=1,DimOct1+3,DimOct1+10)</f>
        <v>43383</v>
      </c>
      <c r="F4" s="7">
        <f ca="1">IF(DAY(DimOct1)=1,DimOct1+4,DimOct1+11)</f>
        <v>43384</v>
      </c>
      <c r="G4" s="7">
        <f ca="1">IF(DAY(DimOct1)=1,DimOct1+5,DimOct1+12)</f>
        <v>43385</v>
      </c>
      <c r="H4" s="7">
        <f ca="1">IF(DAY(DimOct1)=1,DimOct1+6,DimOct1+13)</f>
        <v>43386</v>
      </c>
      <c r="I4" s="7">
        <f ca="1">IF(DAY(DimOct1)=1,DimOct1+7,DimOct1+14)</f>
        <v>43387</v>
      </c>
      <c r="J4" s="51"/>
      <c r="K4" s="42"/>
      <c r="L4" s="43"/>
    </row>
    <row r="5" spans="1:12" ht="30" customHeight="1" x14ac:dyDescent="0.25">
      <c r="A5" s="14"/>
      <c r="C5" s="7">
        <f ca="1">IF(DAY(DimOct1)=1,DimOct1+8,DimOct1+15)</f>
        <v>43388</v>
      </c>
      <c r="D5" s="7">
        <f ca="1">IF(DAY(DimOct1)=1,DimOct1+9,DimOct1+16)</f>
        <v>43389</v>
      </c>
      <c r="E5" s="7">
        <f ca="1">IF(DAY(DimOct1)=1,DimOct1+10,DimOct1+17)</f>
        <v>43390</v>
      </c>
      <c r="F5" s="7">
        <f ca="1">IF(DAY(DimOct1)=1,DimOct1+11,DimOct1+18)</f>
        <v>43391</v>
      </c>
      <c r="G5" s="7">
        <f ca="1">IF(DAY(DimOct1)=1,DimOct1+12,DimOct1+19)</f>
        <v>43392</v>
      </c>
      <c r="H5" s="7">
        <f ca="1">IF(DAY(DimOct1)=1,DimOct1+13,DimOct1+20)</f>
        <v>43393</v>
      </c>
      <c r="I5" s="7">
        <f ca="1">IF(DAY(DimOct1)=1,DimOct1+14,DimOct1+21)</f>
        <v>43394</v>
      </c>
      <c r="J5" s="51"/>
      <c r="K5" s="42"/>
      <c r="L5" s="43"/>
    </row>
    <row r="6" spans="1:12" ht="30" customHeight="1" x14ac:dyDescent="0.25">
      <c r="A6" s="14"/>
      <c r="C6" s="7">
        <f ca="1">IF(DAY(DimOct1)=1,DimOct1+15,DimOct1+22)</f>
        <v>43395</v>
      </c>
      <c r="D6" s="7">
        <f ca="1">IF(DAY(DimOct1)=1,DimOct1+16,DimOct1+23)</f>
        <v>43396</v>
      </c>
      <c r="E6" s="7">
        <f ca="1">IF(DAY(DimOct1)=1,DimOct1+17,DimOct1+24)</f>
        <v>43397</v>
      </c>
      <c r="F6" s="7">
        <f ca="1">IF(DAY(DimOct1)=1,DimOct1+18,DimOct1+25)</f>
        <v>43398</v>
      </c>
      <c r="G6" s="7">
        <f ca="1">IF(DAY(DimOct1)=1,DimOct1+19,DimOct1+26)</f>
        <v>43399</v>
      </c>
      <c r="H6" s="7">
        <f ca="1">IF(DAY(DimOct1)=1,DimOct1+20,DimOct1+27)</f>
        <v>43400</v>
      </c>
      <c r="I6" s="7">
        <f ca="1">IF(DAY(DimOct1)=1,DimOct1+21,DimOct1+28)</f>
        <v>43401</v>
      </c>
      <c r="J6" s="51"/>
      <c r="K6" s="42"/>
      <c r="L6" s="43"/>
    </row>
    <row r="7" spans="1:12" ht="30" customHeight="1" x14ac:dyDescent="0.25">
      <c r="A7" s="14"/>
      <c r="C7" s="7">
        <f ca="1">IF(DAY(DimOct1)=1,DimOct1+22,DimOct1+29)</f>
        <v>43402</v>
      </c>
      <c r="D7" s="7">
        <f ca="1">IF(DAY(DimOct1)=1,DimOct1+23,DimOct1+30)</f>
        <v>43403</v>
      </c>
      <c r="E7" s="7">
        <f ca="1">IF(DAY(DimOct1)=1,DimOct1+24,DimOct1+31)</f>
        <v>43404</v>
      </c>
      <c r="F7" s="7">
        <f ca="1">IF(DAY(DimOct1)=1,DimOct1+25,DimOct1+32)</f>
        <v>43405</v>
      </c>
      <c r="G7" s="7">
        <f ca="1">IF(DAY(DimOct1)=1,DimOct1+26,DimOct1+33)</f>
        <v>43406</v>
      </c>
      <c r="H7" s="7">
        <f ca="1">IF(DAY(DimOct1)=1,DimOct1+27,DimOct1+34)</f>
        <v>43407</v>
      </c>
      <c r="I7" s="7">
        <f ca="1">IF(DAY(DimOct1)=1,DimOct1+28,DimOct1+35)</f>
        <v>43408</v>
      </c>
      <c r="J7" s="22"/>
      <c r="K7" s="20"/>
      <c r="L7" s="19"/>
    </row>
    <row r="8" spans="1:12" ht="30" customHeight="1" x14ac:dyDescent="0.25">
      <c r="A8" s="14"/>
      <c r="B8" s="19"/>
      <c r="C8" s="7">
        <f ca="1">IF(DAY(DimOct1)=1,DimOct1+29,DimOct1+36)</f>
        <v>43409</v>
      </c>
      <c r="D8" s="7">
        <f ca="1">IF(DAY(DimOct1)=1,DimOct1+30,DimOct1+37)</f>
        <v>43410</v>
      </c>
      <c r="E8" s="7">
        <f ca="1">IF(DAY(DimOct1)=1,DimOct1+31,DimOct1+38)</f>
        <v>43411</v>
      </c>
      <c r="F8" s="7">
        <f ca="1">IF(DAY(DimOct1)=1,DimOct1+32,DimOct1+39)</f>
        <v>43412</v>
      </c>
      <c r="G8" s="7">
        <f ca="1">IF(DAY(DimOct1)=1,DimOct1+33,DimOct1+40)</f>
        <v>43413</v>
      </c>
      <c r="H8" s="7">
        <f ca="1">IF(DAY(DimOct1)=1,DimOct1+34,DimOct1+41)</f>
        <v>43414</v>
      </c>
      <c r="I8" s="7">
        <f ca="1">IF(DAY(DimOct1)=1,DimOct1+35,DimOct1+42)</f>
        <v>43415</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83"/>
      <c r="D12" s="83"/>
      <c r="E12" s="83" t="s">
        <v>5</v>
      </c>
      <c r="F12" s="83"/>
      <c r="G12" s="83"/>
      <c r="H12" s="83"/>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83" t="s">
        <v>11</v>
      </c>
      <c r="D14" s="83"/>
      <c r="E14" s="83"/>
      <c r="F14" s="83"/>
      <c r="G14" s="83" t="s">
        <v>11</v>
      </c>
      <c r="H14" s="83"/>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83"/>
      <c r="D16" s="83"/>
      <c r="E16" s="83" t="s">
        <v>7</v>
      </c>
      <c r="F16" s="83"/>
      <c r="G16" s="83"/>
      <c r="H16" s="83"/>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83"/>
      <c r="D18" s="83"/>
      <c r="E18" s="83"/>
      <c r="F18" s="83"/>
      <c r="G18" s="83"/>
      <c r="H18" s="83"/>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83"/>
      <c r="D20" s="83"/>
      <c r="E20" s="83"/>
      <c r="F20" s="83"/>
      <c r="G20" s="83"/>
      <c r="H20" s="83"/>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83"/>
      <c r="D22" s="83"/>
      <c r="E22" s="83"/>
      <c r="F22" s="83"/>
      <c r="G22" s="83"/>
      <c r="H22" s="83"/>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83"/>
      <c r="D24" s="83"/>
      <c r="E24" s="83">
        <v>0.58333333333333337</v>
      </c>
      <c r="F24" s="83"/>
      <c r="G24" s="83"/>
      <c r="H24" s="83"/>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83"/>
      <c r="D26" s="83"/>
      <c r="E26" s="83"/>
      <c r="F26" s="83"/>
      <c r="G26" s="83"/>
      <c r="H26" s="83"/>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83">
        <v>0.66666666666666663</v>
      </c>
      <c r="D28" s="83"/>
      <c r="E28" s="83"/>
      <c r="F28" s="83"/>
      <c r="G28" s="83">
        <v>0.66666666666666663</v>
      </c>
      <c r="H28" s="83"/>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83"/>
      <c r="D30" s="83"/>
      <c r="E30" s="83"/>
      <c r="F30" s="83"/>
      <c r="G30" s="83"/>
      <c r="H30" s="83"/>
      <c r="I30" s="25"/>
      <c r="J30" s="11"/>
      <c r="K30" s="2"/>
      <c r="L30" s="18"/>
    </row>
    <row r="31" spans="1:12" ht="30" customHeight="1" x14ac:dyDescent="0.25">
      <c r="A31" s="29" t="s">
        <v>2</v>
      </c>
      <c r="B31" s="31"/>
      <c r="C31" s="82"/>
      <c r="D31" s="82"/>
      <c r="E31" s="82"/>
      <c r="F31" s="82"/>
      <c r="G31" s="82"/>
      <c r="H31" s="8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23" priority="8" stopIfTrue="1">
      <formula>DAY(C3)&gt;8</formula>
    </cfRule>
  </conditionalFormatting>
  <conditionalFormatting sqref="C7:I8">
    <cfRule type="expression" dxfId="22" priority="7" stopIfTrue="1">
      <formula>AND(DAY(C7)&gt;=1,DAY(C7)&lt;=15)</formula>
    </cfRule>
  </conditionalFormatting>
  <conditionalFormatting sqref="C3:I8">
    <cfRule type="expression" dxfId="21" priority="9">
      <formula>VLOOKUP(DAY(C3),AssignmentDays,1,FALSE)=DAY(C3)</formula>
    </cfRule>
  </conditionalFormatting>
  <conditionalFormatting sqref="B13:I13 B15:I15 B17:I17 B19:I19 B21:I21 B23:I23 B25:I25 B27:I27 B29:I29 B31:I31">
    <cfRule type="expression" dxfId="20" priority="6">
      <formula>B13&lt;&gt;""</formula>
    </cfRule>
  </conditionalFormatting>
  <conditionalFormatting sqref="B12:I12 B14:I14 B16:I16 B18:I18 B20:I20 B22:I22 B24:I24 B26:I26 B28:I28 B30:I30">
    <cfRule type="expression" dxfId="19" priority="5">
      <formula>B12&lt;&gt;""</formula>
    </cfRule>
  </conditionalFormatting>
  <conditionalFormatting sqref="B13:I13 B15:I15 B17:I17 B19:I19 B21:I21 B23:I23 B25:I25 B27:I27 B29:I29">
    <cfRule type="expression" dxfId="18" priority="2">
      <formula>COLUMN(B13)&gt;=2</formula>
    </cfRule>
    <cfRule type="expression" dxfId="17" priority="4">
      <formula>COLUMN(B11)&gt;2</formula>
    </cfRule>
  </conditionalFormatting>
  <conditionalFormatting sqref="B31:I31">
    <cfRule type="expression" dxfId="16" priority="3">
      <formula>COLUMN(B12)&gt;2</formula>
    </cfRule>
  </conditionalFormatting>
  <conditionalFormatting sqref="B12:I31">
    <cfRule type="expression" dxfId="15" priority="1">
      <formula>COLUMN(B12)&gt;2</formula>
    </cfRule>
  </conditionalFormatting>
  <dataValidations count="13">
    <dataValidation allowBlank="1" showInputMessage="1" showErrorMessage="1" prompt="Le calendrier d’octobre met automatiquement en surbrillance les entrées de la liste de devoirs pour le mois. Une police foncée indique les devoirs. Une police plus claire indique les jours du mois précédent ou suivant" sqref="B2" xr:uid="{00000000-0002-0000-0900-000000000000}"/>
    <dataValidation allowBlank="1" showInputMessage="1" showErrorMessage="1" prompt="Année automatiquement mise à jour Pour modifier l’année, modifiez la cellule B1 de la feuille de calcul Jan" sqref="B1" xr:uid="{00000000-0002-0000-0900-000001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900-000002000000}"/>
    <dataValidation allowBlank="1" showInputMessage="1" showErrorMessage="1" prompt="Les cellules C2 à I2 contiennent les jours de la semaine" sqref="C2" xr:uid="{00000000-0002-0000-0900-000003000000}"/>
    <dataValidation allowBlank="1" showInputMessage="1" showErrorMessage="1" prompt="Si cette cellule ne contient pas le numéro 1, c’est qu’il s’agit d’un jour du mois précédent Les cellules C3 à I8 contiennent les dates du mois en cours" sqref="C3" xr:uid="{00000000-0002-0000-0900-000004000000}"/>
    <dataValidation allowBlank="1" showInputMessage="1" showErrorMessage="1" prompt="Si les nombres de cette ligne sont inférieurs au nombre précédent ou à la ligne de nombres précédente, il s’agit des dates du mois suivant" sqref="C8" xr:uid="{00000000-0002-0000-0900-000005000000}"/>
    <dataValidation allowBlank="1" showInputMessage="1" showErrorMessage="1" prompt="Entrez l’heure dans cette ligne pour les colonnes B à I" sqref="B12" xr:uid="{00000000-0002-0000-0900-000006000000}"/>
    <dataValidation allowBlank="1" showInputMessage="1" showErrorMessage="1" prompt="Entrez la matière dans cette ligne pour les colonnes B à I" sqref="B13" xr:uid="{00000000-0002-0000-09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900-000008000000}"/>
    <dataValidation allowBlank="1" showInputMessage="1" showErrorMessage="1" prompt="Entrez dans cette colonne les détails du devoir associé au jour de la semaine dans la colonne J et à la date dans la colonne K pour le mois indiqué à gauche" sqref="L1" xr:uid="{00000000-0002-0000-0900-000009000000}"/>
    <dataValidation allowBlank="1" showInputMessage="1" showErrorMessage="1" prompt="Entrez dans cette colonne la date du devoir correspondant au jour de la semaine dans la colonne J. Cette date est mise en surbrillance dans le calendrier à gauche" sqref="K1" xr:uid="{00000000-0002-0000-0900-00000A000000}"/>
    <dataValidation allowBlank="1" showInputMessage="1" showErrorMessage="1" prompt="Les jours de la semaine figurent dans cette ligne, du lundi au vendredi" sqref="B11" xr:uid="{00000000-0002-0000-09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9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9">
    <tabColor theme="4"/>
    <pageSetUpPr fitToPage="1"/>
  </sheetPr>
  <dimension ref="A1:L31"/>
  <sheetViews>
    <sheetView showGridLines="0" topLeftCell="A2"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28</v>
      </c>
      <c r="C2" s="8" t="s">
        <v>4</v>
      </c>
      <c r="D2" s="8" t="s">
        <v>10</v>
      </c>
      <c r="E2" s="8" t="s">
        <v>14</v>
      </c>
      <c r="F2" s="8" t="s">
        <v>15</v>
      </c>
      <c r="G2" s="8" t="s">
        <v>16</v>
      </c>
      <c r="H2" s="8" t="s">
        <v>17</v>
      </c>
      <c r="I2" s="8" t="s">
        <v>18</v>
      </c>
      <c r="J2" s="51" t="s">
        <v>4</v>
      </c>
      <c r="K2" s="42"/>
      <c r="L2" s="43"/>
    </row>
    <row r="3" spans="1:12" ht="30" customHeight="1" x14ac:dyDescent="0.25">
      <c r="A3" s="14"/>
      <c r="C3" s="7">
        <f ca="1">IF(DAY(DimNov1)=1,DimNov1-6,DimNov1+1)</f>
        <v>43402</v>
      </c>
      <c r="D3" s="7">
        <f ca="1">IF(DAY(DimNov1)=1,DimNov1-5,DimNov1+2)</f>
        <v>43403</v>
      </c>
      <c r="E3" s="7">
        <f ca="1">IF(DAY(DimNov1)=1,DimNov1-4,DimNov1+3)</f>
        <v>43404</v>
      </c>
      <c r="F3" s="7">
        <f ca="1">IF(DAY(DimNov1)=1,DimNov1-3,DimNov1+4)</f>
        <v>43405</v>
      </c>
      <c r="G3" s="7">
        <f ca="1">IF(DAY(DimNov1)=1,DimNov1-2,DimNov1+5)</f>
        <v>43406</v>
      </c>
      <c r="H3" s="7">
        <f ca="1">IF(DAY(DimNov1)=1,DimNov1-1,DimNov1+6)</f>
        <v>43407</v>
      </c>
      <c r="I3" s="7">
        <f ca="1">IF(DAY(DimNov1)=1,DimNov1,DimNov1+7)</f>
        <v>43408</v>
      </c>
      <c r="J3" s="51"/>
      <c r="K3" s="42"/>
      <c r="L3" s="43"/>
    </row>
    <row r="4" spans="1:12" ht="30" customHeight="1" x14ac:dyDescent="0.25">
      <c r="A4" s="14"/>
      <c r="C4" s="7">
        <f ca="1">IF(DAY(DimNov1)=1,DimNov1+1,DimNov1+8)</f>
        <v>43409</v>
      </c>
      <c r="D4" s="7">
        <f ca="1">IF(DAY(DimNov1)=1,DimNov1+2,DimNov1+9)</f>
        <v>43410</v>
      </c>
      <c r="E4" s="7">
        <f ca="1">IF(DAY(DimNov1)=1,DimNov1+3,DimNov1+10)</f>
        <v>43411</v>
      </c>
      <c r="F4" s="7">
        <f ca="1">IF(DAY(DimNov1)=1,DimNov1+4,DimNov1+11)</f>
        <v>43412</v>
      </c>
      <c r="G4" s="7">
        <f ca="1">IF(DAY(DimNov1)=1,DimNov1+5,DimNov1+12)</f>
        <v>43413</v>
      </c>
      <c r="H4" s="7">
        <f ca="1">IF(DAY(DimNov1)=1,DimNov1+6,DimNov1+13)</f>
        <v>43414</v>
      </c>
      <c r="I4" s="7">
        <f ca="1">IF(DAY(DimNov1)=1,DimNov1+7,DimNov1+14)</f>
        <v>43415</v>
      </c>
      <c r="J4" s="51"/>
      <c r="K4" s="42"/>
      <c r="L4" s="43"/>
    </row>
    <row r="5" spans="1:12" ht="30" customHeight="1" x14ac:dyDescent="0.25">
      <c r="A5" s="14"/>
      <c r="C5" s="7">
        <f ca="1">IF(DAY(DimNov1)=1,DimNov1+8,DimNov1+15)</f>
        <v>43416</v>
      </c>
      <c r="D5" s="7">
        <f ca="1">IF(DAY(DimNov1)=1,DimNov1+9,DimNov1+16)</f>
        <v>43417</v>
      </c>
      <c r="E5" s="7">
        <f ca="1">IF(DAY(DimNov1)=1,DimNov1+10,DimNov1+17)</f>
        <v>43418</v>
      </c>
      <c r="F5" s="7">
        <f ca="1">IF(DAY(DimNov1)=1,DimNov1+11,DimNov1+18)</f>
        <v>43419</v>
      </c>
      <c r="G5" s="7">
        <f ca="1">IF(DAY(DimNov1)=1,DimNov1+12,DimNov1+19)</f>
        <v>43420</v>
      </c>
      <c r="H5" s="7">
        <f ca="1">IF(DAY(DimNov1)=1,DimNov1+13,DimNov1+20)</f>
        <v>43421</v>
      </c>
      <c r="I5" s="7">
        <f ca="1">IF(DAY(DimNov1)=1,DimNov1+14,DimNov1+21)</f>
        <v>43422</v>
      </c>
      <c r="J5" s="51"/>
      <c r="K5" s="42"/>
      <c r="L5" s="43"/>
    </row>
    <row r="6" spans="1:12" ht="30" customHeight="1" x14ac:dyDescent="0.25">
      <c r="A6" s="14"/>
      <c r="C6" s="7">
        <f ca="1">IF(DAY(DimNov1)=1,DimNov1+15,DimNov1+22)</f>
        <v>43423</v>
      </c>
      <c r="D6" s="7">
        <f ca="1">IF(DAY(DimNov1)=1,DimNov1+16,DimNov1+23)</f>
        <v>43424</v>
      </c>
      <c r="E6" s="7">
        <f ca="1">IF(DAY(DimNov1)=1,DimNov1+17,DimNov1+24)</f>
        <v>43425</v>
      </c>
      <c r="F6" s="7">
        <f ca="1">IF(DAY(DimNov1)=1,DimNov1+18,DimNov1+25)</f>
        <v>43426</v>
      </c>
      <c r="G6" s="7">
        <f ca="1">IF(DAY(DimNov1)=1,DimNov1+19,DimNov1+26)</f>
        <v>43427</v>
      </c>
      <c r="H6" s="7">
        <f ca="1">IF(DAY(DimNov1)=1,DimNov1+20,DimNov1+27)</f>
        <v>43428</v>
      </c>
      <c r="I6" s="7">
        <f ca="1">IF(DAY(DimNov1)=1,DimNov1+21,DimNov1+28)</f>
        <v>43429</v>
      </c>
      <c r="J6" s="51"/>
      <c r="K6" s="42"/>
      <c r="L6" s="43"/>
    </row>
    <row r="7" spans="1:12" ht="30" customHeight="1" x14ac:dyDescent="0.25">
      <c r="A7" s="14"/>
      <c r="C7" s="7">
        <f ca="1">IF(DAY(DimNov1)=1,DimNov1+22,DimNov1+29)</f>
        <v>43430</v>
      </c>
      <c r="D7" s="7">
        <f ca="1">IF(DAY(DimNov1)=1,DimNov1+23,DimNov1+30)</f>
        <v>43431</v>
      </c>
      <c r="E7" s="7">
        <f ca="1">IF(DAY(DimNov1)=1,DimNov1+24,DimNov1+31)</f>
        <v>43432</v>
      </c>
      <c r="F7" s="7">
        <f ca="1">IF(DAY(DimNov1)=1,DimNov1+25,DimNov1+32)</f>
        <v>43433</v>
      </c>
      <c r="G7" s="7">
        <f ca="1">IF(DAY(DimNov1)=1,DimNov1+26,DimNov1+33)</f>
        <v>43434</v>
      </c>
      <c r="H7" s="7">
        <f ca="1">IF(DAY(DimNov1)=1,DimNov1+27,DimNov1+34)</f>
        <v>43435</v>
      </c>
      <c r="I7" s="7">
        <f ca="1">IF(DAY(DimNov1)=1,DimNov1+28,DimNov1+35)</f>
        <v>43436</v>
      </c>
      <c r="J7" s="22"/>
      <c r="K7" s="20"/>
      <c r="L7" s="19"/>
    </row>
    <row r="8" spans="1:12" ht="30" customHeight="1" x14ac:dyDescent="0.25">
      <c r="A8" s="14"/>
      <c r="B8" s="19"/>
      <c r="C8" s="7">
        <f ca="1">IF(DAY(DimNov1)=1,DimNov1+29,DimNov1+36)</f>
        <v>43437</v>
      </c>
      <c r="D8" s="7">
        <f ca="1">IF(DAY(DimNov1)=1,DimNov1+30,DimNov1+37)</f>
        <v>43438</v>
      </c>
      <c r="E8" s="7">
        <f ca="1">IF(DAY(DimNov1)=1,DimNov1+31,DimNov1+38)</f>
        <v>43439</v>
      </c>
      <c r="F8" s="7">
        <f ca="1">IF(DAY(DimNov1)=1,DimNov1+32,DimNov1+39)</f>
        <v>43440</v>
      </c>
      <c r="G8" s="7">
        <f ca="1">IF(DAY(DimNov1)=1,DimNov1+33,DimNov1+40)</f>
        <v>43441</v>
      </c>
      <c r="H8" s="7">
        <f ca="1">IF(DAY(DimNov1)=1,DimNov1+34,DimNov1+41)</f>
        <v>43442</v>
      </c>
      <c r="I8" s="7">
        <f ca="1">IF(DAY(DimNov1)=1,DimNov1+35,DimNov1+42)</f>
        <v>43443</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9"/>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14" priority="6" stopIfTrue="1">
      <formula>DAY(C3)&gt;8</formula>
    </cfRule>
  </conditionalFormatting>
  <conditionalFormatting sqref="C7:I8">
    <cfRule type="expression" dxfId="13" priority="5" stopIfTrue="1">
      <formula>AND(DAY(C7)&gt;=1,DAY(C7)&lt;=15)</formula>
    </cfRule>
  </conditionalFormatting>
  <conditionalFormatting sqref="C3:I8">
    <cfRule type="expression" dxfId="12" priority="7">
      <formula>VLOOKUP(DAY(C3),AssignmentDays,1,FALSE)=DAY(C3)</formula>
    </cfRule>
  </conditionalFormatting>
  <conditionalFormatting sqref="B13:I13 B15:I15 B17:I17 B19:I19 B21:I21 B23:I23 B25:I25 B27:I27 B29:I29 B31:I31">
    <cfRule type="expression" dxfId="11" priority="4">
      <formula>B13&lt;&gt;""</formula>
    </cfRule>
  </conditionalFormatting>
  <conditionalFormatting sqref="B12:I12 B14:I14 B16:I16 B18:I18 B20:I20 B22:I22 B24:I24 B26:I26 B28:I28 B30:I30">
    <cfRule type="expression" dxfId="10" priority="3">
      <formula>B12&lt;&gt;""</formula>
    </cfRule>
  </conditionalFormatting>
  <conditionalFormatting sqref="B13:I13 B15:I15 B17:I17 B19:I19 B21:I21 B23:I23 B25:I25 B27:I27 B29:I29">
    <cfRule type="expression" dxfId="9" priority="2">
      <formula>COLUMN(B13)&gt;=2</formula>
    </cfRule>
  </conditionalFormatting>
  <conditionalFormatting sqref="B12:I31">
    <cfRule type="expression" dxfId="8" priority="1">
      <formula>COLUMN(B12)&gt;2</formula>
    </cfRule>
  </conditionalFormatting>
  <dataValidations xWindow="136" yWindow="382" count="13">
    <dataValidation allowBlank="1" showInputMessage="1" showErrorMessage="1" prompt="Entrez la matière dans cette ligne pour les colonnes B à I" sqref="B13" xr:uid="{00000000-0002-0000-0A00-000000000000}"/>
    <dataValidation allowBlank="1" showInputMessage="1" showErrorMessage="1" prompt="Entrez l’heure dans cette ligne pour les colonnes B à I" sqref="B12" xr:uid="{00000000-0002-0000-0A00-000001000000}"/>
    <dataValidation allowBlank="1" showInputMessage="1" showErrorMessage="1" prompt="Si les nombres de cette ligne sont inférieurs au nombre précédent ou à la ligne de nombres précédente, il s’agit des dates du mois suivant" sqref="C8" xr:uid="{00000000-0002-0000-0A00-000002000000}"/>
    <dataValidation allowBlank="1" showInputMessage="1" showErrorMessage="1" prompt="Si cette cellule ne contient pas le numéro 1, c’est qu’il s’agit d’un jour du mois précédent Les cellules C3 à I8 contiennent les dates du mois en cours" sqref="C3" xr:uid="{00000000-0002-0000-0A00-000003000000}"/>
    <dataValidation allowBlank="1" showInputMessage="1" showErrorMessage="1" prompt="Les cellules C2 à I2 contiennent les jours de la semaine" sqref="C2" xr:uid="{00000000-0002-0000-0A00-000004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A00-000005000000}"/>
    <dataValidation allowBlank="1" showInputMessage="1" showErrorMessage="1" prompt="Année automatiquement mise à jour Pour modifier l’année, modifiez la cellule B1 de la feuille de calcul Jan" sqref="B1" xr:uid="{00000000-0002-0000-0A00-000006000000}"/>
    <dataValidation allowBlank="1" showInputMessage="1" showErrorMessage="1" prompt="Le calendrier de novembre met automatiquement en surbrillance les entrées de la liste de devoirs pour le mois. Une police foncée indique les devoirs. Une police plus claire indique les jours du mois précédent ou suivant" sqref="B2" xr:uid="{00000000-0002-0000-0A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A00-000008000000}"/>
    <dataValidation allowBlank="1" showInputMessage="1" showErrorMessage="1" prompt="Entrez dans cette colonne les détails du devoir associé au jour de la semaine dans la colonne J et à la date dans la colonne K pour le mois indiqué à gauche" sqref="L1" xr:uid="{00000000-0002-0000-0A00-000009000000}"/>
    <dataValidation allowBlank="1" showInputMessage="1" showErrorMessage="1" prompt="Entrez dans cette colonne la date du devoir correspondant au jour de la semaine dans la colonne J. Cette date est mise en surbrillance dans le calendrier à gauche" sqref="K1" xr:uid="{00000000-0002-0000-0A00-00000A000000}"/>
    <dataValidation allowBlank="1" showInputMessage="1" showErrorMessage="1" prompt="Les jours de la semaine figurent dans cette ligne, du lundi au vendredi" sqref="B11" xr:uid="{00000000-0002-0000-0A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A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0">
    <tabColor theme="4"/>
    <pageSetUpPr fitToPage="1"/>
  </sheetPr>
  <dimension ref="A1:L31"/>
  <sheetViews>
    <sheetView showGridLines="0" zoomScaleNormal="100" zoomScalePageLayoutView="84" workbookViewId="0"/>
  </sheetViews>
  <sheetFormatPr baseColWidth="10" defaultColWidth="8.625" defaultRowHeight="30" customHeight="1" x14ac:dyDescent="0.2"/>
  <cols>
    <col min="1" max="1" width="2.625" style="1" customWidth="1"/>
    <col min="2" max="2" width="20.625" style="18" customWidth="1"/>
    <col min="3" max="8" width="10.625" style="1" customWidth="1"/>
    <col min="9" max="9" width="20.625" style="1" customWidth="1"/>
    <col min="10" max="10" width="10.625" style="18" customWidth="1"/>
    <col min="11" max="11" width="10.625" style="3" customWidth="1"/>
    <col min="12" max="12" width="70.625" style="1" customWidth="1"/>
    <col min="13" max="13" width="2.625" customWidth="1"/>
  </cols>
  <sheetData>
    <row r="1" spans="1:12" ht="30" customHeight="1" x14ac:dyDescent="0.2">
      <c r="A1" s="18"/>
      <c r="B1" s="13">
        <f ca="1">Année</f>
        <v>2018</v>
      </c>
      <c r="J1" s="21" t="s">
        <v>0</v>
      </c>
      <c r="K1" s="21" t="s">
        <v>19</v>
      </c>
      <c r="L1" s="12" t="s">
        <v>20</v>
      </c>
    </row>
    <row r="2" spans="1:12" ht="30" customHeight="1" x14ac:dyDescent="0.25">
      <c r="A2" s="14"/>
      <c r="B2" s="26" t="s">
        <v>29</v>
      </c>
      <c r="C2" s="8" t="s">
        <v>4</v>
      </c>
      <c r="D2" s="8" t="s">
        <v>10</v>
      </c>
      <c r="E2" s="8" t="s">
        <v>14</v>
      </c>
      <c r="F2" s="8" t="s">
        <v>15</v>
      </c>
      <c r="G2" s="8" t="s">
        <v>16</v>
      </c>
      <c r="H2" s="8" t="s">
        <v>17</v>
      </c>
      <c r="I2" s="8" t="s">
        <v>18</v>
      </c>
      <c r="J2" s="51" t="s">
        <v>4</v>
      </c>
      <c r="K2" s="42"/>
      <c r="L2" s="43"/>
    </row>
    <row r="3" spans="1:12" ht="30" customHeight="1" x14ac:dyDescent="0.25">
      <c r="A3" s="14"/>
      <c r="C3" s="7">
        <f ca="1">IF(DAY(DimDéc1)=1,DimDéc1-6,DimDéc1+1)</f>
        <v>43430</v>
      </c>
      <c r="D3" s="7">
        <f ca="1">IF(DAY(DimDéc1)=1,DimDéc1-5,DimDéc1+2)</f>
        <v>43431</v>
      </c>
      <c r="E3" s="7">
        <f ca="1">IF(DAY(DimDéc1)=1,DimDéc1-4,DimDéc1+3)</f>
        <v>43432</v>
      </c>
      <c r="F3" s="7">
        <f ca="1">IF(DAY(DimDéc1)=1,DimDéc1-3,DimDéc1+4)</f>
        <v>43433</v>
      </c>
      <c r="G3" s="7">
        <f ca="1">IF(DAY(DimDéc1)=1,DimDéc1-2,DimDéc1+5)</f>
        <v>43434</v>
      </c>
      <c r="H3" s="7">
        <f ca="1">IF(DAY(DimDéc1)=1,DimDéc1-1,DimDéc1+6)</f>
        <v>43435</v>
      </c>
      <c r="I3" s="7">
        <f ca="1">IF(DAY(DimDéc1)=1,DimDéc1,DimDéc1+7)</f>
        <v>43436</v>
      </c>
      <c r="J3" s="51"/>
      <c r="K3" s="42"/>
      <c r="L3" s="43"/>
    </row>
    <row r="4" spans="1:12" ht="30" customHeight="1" x14ac:dyDescent="0.25">
      <c r="A4" s="14"/>
      <c r="C4" s="7">
        <f ca="1">IF(DAY(DimDéc1)=1,DimDéc1+1,DimDéc1+8)</f>
        <v>43437</v>
      </c>
      <c r="D4" s="7">
        <f ca="1">IF(DAY(DimDéc1)=1,DimDéc1+2,DimDéc1+9)</f>
        <v>43438</v>
      </c>
      <c r="E4" s="7">
        <f ca="1">IF(DAY(DimDéc1)=1,DimDéc1+3,DimDéc1+10)</f>
        <v>43439</v>
      </c>
      <c r="F4" s="7">
        <f ca="1">IF(DAY(DimDéc1)=1,DimDéc1+4,DimDéc1+11)</f>
        <v>43440</v>
      </c>
      <c r="G4" s="7">
        <f ca="1">IF(DAY(DimDéc1)=1,DimDéc1+5,DimDéc1+12)</f>
        <v>43441</v>
      </c>
      <c r="H4" s="7">
        <f ca="1">IF(DAY(DimDéc1)=1,DimDéc1+6,DimDéc1+13)</f>
        <v>43442</v>
      </c>
      <c r="I4" s="7">
        <f ca="1">IF(DAY(DimDéc1)=1,DimDéc1+7,DimDéc1+14)</f>
        <v>43443</v>
      </c>
      <c r="J4" s="51"/>
      <c r="K4" s="42"/>
      <c r="L4" s="43"/>
    </row>
    <row r="5" spans="1:12" ht="30" customHeight="1" x14ac:dyDescent="0.25">
      <c r="A5" s="14"/>
      <c r="C5" s="7">
        <f ca="1">IF(DAY(DimDéc1)=1,DimDéc1+8,DimDéc1+15)</f>
        <v>43444</v>
      </c>
      <c r="D5" s="7">
        <f ca="1">IF(DAY(DimDéc1)=1,DimDéc1+9,DimDéc1+16)</f>
        <v>43445</v>
      </c>
      <c r="E5" s="7">
        <f ca="1">IF(DAY(DimDéc1)=1,DimDéc1+10,DimDéc1+17)</f>
        <v>43446</v>
      </c>
      <c r="F5" s="7">
        <f ca="1">IF(DAY(DimDéc1)=1,DimDéc1+11,DimDéc1+18)</f>
        <v>43447</v>
      </c>
      <c r="G5" s="7">
        <f ca="1">IF(DAY(DimDéc1)=1,DimDéc1+12,DimDéc1+19)</f>
        <v>43448</v>
      </c>
      <c r="H5" s="7">
        <f ca="1">IF(DAY(DimDéc1)=1,DimDéc1+13,DimDéc1+20)</f>
        <v>43449</v>
      </c>
      <c r="I5" s="7">
        <f ca="1">IF(DAY(DimDéc1)=1,DimDéc1+14,DimDéc1+21)</f>
        <v>43450</v>
      </c>
      <c r="J5" s="51"/>
      <c r="K5" s="42"/>
      <c r="L5" s="43"/>
    </row>
    <row r="6" spans="1:12" ht="30" customHeight="1" x14ac:dyDescent="0.25">
      <c r="A6" s="14"/>
      <c r="C6" s="7">
        <f ca="1">IF(DAY(DimDéc1)=1,DimDéc1+15,DimDéc1+22)</f>
        <v>43451</v>
      </c>
      <c r="D6" s="7">
        <f ca="1">IF(DAY(DimDéc1)=1,DimDéc1+16,DimDéc1+23)</f>
        <v>43452</v>
      </c>
      <c r="E6" s="7">
        <f ca="1">IF(DAY(DimDéc1)=1,DimDéc1+17,DimDéc1+24)</f>
        <v>43453</v>
      </c>
      <c r="F6" s="7">
        <f ca="1">IF(DAY(DimDéc1)=1,DimDéc1+18,DimDéc1+25)</f>
        <v>43454</v>
      </c>
      <c r="G6" s="7">
        <f ca="1">IF(DAY(DimDéc1)=1,DimDéc1+19,DimDéc1+26)</f>
        <v>43455</v>
      </c>
      <c r="H6" s="7">
        <f ca="1">IF(DAY(DimDéc1)=1,DimDéc1+20,DimDéc1+27)</f>
        <v>43456</v>
      </c>
      <c r="I6" s="7">
        <f ca="1">IF(DAY(DimDéc1)=1,DimDéc1+21,DimDéc1+28)</f>
        <v>43457</v>
      </c>
      <c r="J6" s="51"/>
      <c r="K6" s="42"/>
      <c r="L6" s="43"/>
    </row>
    <row r="7" spans="1:12" ht="30" customHeight="1" x14ac:dyDescent="0.25">
      <c r="A7" s="14"/>
      <c r="C7" s="7">
        <f ca="1">IF(DAY(DimDéc1)=1,DimDéc1+22,DimDéc1+29)</f>
        <v>43458</v>
      </c>
      <c r="D7" s="7">
        <f ca="1">IF(DAY(DimDéc1)=1,DimDéc1+23,DimDéc1+30)</f>
        <v>43459</v>
      </c>
      <c r="E7" s="7">
        <f ca="1">IF(DAY(DimDéc1)=1,DimDéc1+24,DimDéc1+31)</f>
        <v>43460</v>
      </c>
      <c r="F7" s="7">
        <f ca="1">IF(DAY(DimDéc1)=1,DimDéc1+25,DimDéc1+32)</f>
        <v>43461</v>
      </c>
      <c r="G7" s="7">
        <f ca="1">IF(DAY(DimDéc1)=1,DimDéc1+26,DimDéc1+33)</f>
        <v>43462</v>
      </c>
      <c r="H7" s="7">
        <f ca="1">IF(DAY(DimDéc1)=1,DimDéc1+27,DimDéc1+34)</f>
        <v>43463</v>
      </c>
      <c r="I7" s="7">
        <f ca="1">IF(DAY(DimDéc1)=1,DimDéc1+28,DimDéc1+35)</f>
        <v>43464</v>
      </c>
      <c r="J7" s="22"/>
      <c r="K7" s="20"/>
      <c r="L7" s="19"/>
    </row>
    <row r="8" spans="1:12" ht="30" customHeight="1" x14ac:dyDescent="0.25">
      <c r="A8" s="14"/>
      <c r="B8" s="19"/>
      <c r="C8" s="7">
        <f ca="1">IF(DAY(DimDéc1)=1,DimDéc1+29,DimDéc1+36)</f>
        <v>43465</v>
      </c>
      <c r="D8" s="7">
        <f ca="1">IF(DAY(DimDéc1)=1,DimDéc1+30,DimDéc1+37)</f>
        <v>43466</v>
      </c>
      <c r="E8" s="7">
        <f ca="1">IF(DAY(DimDéc1)=1,DimDéc1+31,DimDéc1+38)</f>
        <v>43467</v>
      </c>
      <c r="F8" s="7">
        <f ca="1">IF(DAY(DimDéc1)=1,DimDéc1+32,DimDéc1+39)</f>
        <v>43468</v>
      </c>
      <c r="G8" s="7">
        <f ca="1">IF(DAY(DimDéc1)=1,DimDéc1+33,DimDéc1+40)</f>
        <v>43469</v>
      </c>
      <c r="H8" s="7">
        <f ca="1">IF(DAY(DimDéc1)=1,DimDéc1+34,DimDéc1+41)</f>
        <v>43470</v>
      </c>
      <c r="I8" s="7">
        <f ca="1">IF(DAY(DimDéc1)=1,DimDéc1+35,DimDéc1+42)</f>
        <v>43471</v>
      </c>
      <c r="J8" s="35" t="s">
        <v>10</v>
      </c>
      <c r="K8" s="23"/>
      <c r="L8" s="45"/>
    </row>
    <row r="9" spans="1:12" ht="30" customHeight="1" x14ac:dyDescent="0.25">
      <c r="A9" s="14"/>
      <c r="C9" s="5"/>
      <c r="D9" s="5"/>
      <c r="E9" s="5"/>
      <c r="F9" s="5"/>
      <c r="G9" s="5"/>
      <c r="H9" s="5"/>
      <c r="I9" s="5"/>
      <c r="J9" s="51"/>
      <c r="K9" s="42"/>
      <c r="L9" s="43"/>
    </row>
    <row r="10" spans="1:12" ht="30" customHeight="1" x14ac:dyDescent="0.25">
      <c r="A10" s="14"/>
      <c r="B10" s="17" t="s">
        <v>3</v>
      </c>
      <c r="C10" s="10"/>
      <c r="D10" s="10"/>
      <c r="E10" s="10"/>
      <c r="F10" s="10"/>
      <c r="G10" s="10"/>
      <c r="H10" s="10"/>
      <c r="I10" s="10"/>
      <c r="J10" s="51"/>
      <c r="K10" s="42"/>
      <c r="L10" s="43"/>
    </row>
    <row r="11" spans="1:12" ht="30" customHeight="1" x14ac:dyDescent="0.25">
      <c r="A11" s="29" t="s">
        <v>0</v>
      </c>
      <c r="B11" s="28" t="s">
        <v>4</v>
      </c>
      <c r="C11" s="80" t="s">
        <v>10</v>
      </c>
      <c r="D11" s="81"/>
      <c r="E11" s="80" t="s">
        <v>14</v>
      </c>
      <c r="F11" s="81"/>
      <c r="G11" s="80" t="s">
        <v>15</v>
      </c>
      <c r="H11" s="81"/>
      <c r="I11" s="4" t="s">
        <v>16</v>
      </c>
      <c r="J11" s="51"/>
      <c r="K11" s="42"/>
      <c r="L11" s="43"/>
    </row>
    <row r="12" spans="1:12" ht="30" customHeight="1" x14ac:dyDescent="0.25">
      <c r="A12" s="29" t="s">
        <v>1</v>
      </c>
      <c r="B12" s="24" t="s">
        <v>5</v>
      </c>
      <c r="C12" s="78"/>
      <c r="D12" s="78"/>
      <c r="E12" s="78" t="s">
        <v>5</v>
      </c>
      <c r="F12" s="78"/>
      <c r="G12" s="78"/>
      <c r="H12" s="78"/>
      <c r="I12" s="25" t="s">
        <v>5</v>
      </c>
      <c r="J12" s="51"/>
      <c r="K12" s="42"/>
      <c r="L12" s="43"/>
    </row>
    <row r="13" spans="1:12" ht="30" customHeight="1" x14ac:dyDescent="0.25">
      <c r="A13" s="29" t="s">
        <v>2</v>
      </c>
      <c r="B13" s="30" t="s">
        <v>6</v>
      </c>
      <c r="C13" s="79"/>
      <c r="D13" s="79"/>
      <c r="E13" s="79" t="s">
        <v>6</v>
      </c>
      <c r="F13" s="79"/>
      <c r="G13" s="79"/>
      <c r="H13" s="79"/>
      <c r="I13" s="33" t="s">
        <v>6</v>
      </c>
      <c r="J13" s="22"/>
      <c r="K13" s="20"/>
      <c r="L13" s="19"/>
    </row>
    <row r="14" spans="1:12" ht="30" customHeight="1" x14ac:dyDescent="0.25">
      <c r="A14" s="29" t="s">
        <v>1</v>
      </c>
      <c r="B14" s="24"/>
      <c r="C14" s="78" t="s">
        <v>11</v>
      </c>
      <c r="D14" s="78"/>
      <c r="E14" s="78"/>
      <c r="F14" s="78"/>
      <c r="G14" s="78" t="s">
        <v>11</v>
      </c>
      <c r="H14" s="78"/>
      <c r="I14" s="25"/>
      <c r="J14" s="35" t="s">
        <v>14</v>
      </c>
      <c r="K14" s="23"/>
      <c r="L14" s="45"/>
    </row>
    <row r="15" spans="1:12" ht="30" customHeight="1" x14ac:dyDescent="0.25">
      <c r="A15" s="29" t="s">
        <v>2</v>
      </c>
      <c r="B15" s="30"/>
      <c r="C15" s="79" t="s">
        <v>12</v>
      </c>
      <c r="D15" s="79"/>
      <c r="E15" s="79"/>
      <c r="F15" s="79"/>
      <c r="G15" s="79" t="s">
        <v>12</v>
      </c>
      <c r="H15" s="79"/>
      <c r="I15" s="33"/>
      <c r="J15" s="51"/>
      <c r="K15" s="42"/>
      <c r="L15" s="43"/>
    </row>
    <row r="16" spans="1:12" ht="30" customHeight="1" x14ac:dyDescent="0.25">
      <c r="A16" s="29" t="s">
        <v>1</v>
      </c>
      <c r="B16" s="24" t="s">
        <v>7</v>
      </c>
      <c r="C16" s="78"/>
      <c r="D16" s="78"/>
      <c r="E16" s="78" t="s">
        <v>7</v>
      </c>
      <c r="F16" s="78"/>
      <c r="G16" s="78"/>
      <c r="H16" s="78"/>
      <c r="I16" s="27" t="s">
        <v>7</v>
      </c>
      <c r="J16" s="51"/>
      <c r="K16" s="42"/>
      <c r="L16" s="43"/>
    </row>
    <row r="17" spans="1:12" ht="30" customHeight="1" x14ac:dyDescent="0.25">
      <c r="A17" s="29" t="s">
        <v>2</v>
      </c>
      <c r="B17" s="30" t="s">
        <v>8</v>
      </c>
      <c r="C17" s="79"/>
      <c r="D17" s="79"/>
      <c r="E17" s="79" t="s">
        <v>8</v>
      </c>
      <c r="F17" s="79"/>
      <c r="G17" s="79"/>
      <c r="H17" s="79"/>
      <c r="I17" s="33" t="s">
        <v>8</v>
      </c>
      <c r="J17" s="51"/>
      <c r="K17" s="42"/>
      <c r="L17" s="43"/>
    </row>
    <row r="18" spans="1:12" ht="30" customHeight="1" x14ac:dyDescent="0.25">
      <c r="A18" s="29" t="s">
        <v>1</v>
      </c>
      <c r="B18" s="24"/>
      <c r="C18" s="78"/>
      <c r="D18" s="78"/>
      <c r="E18" s="78"/>
      <c r="F18" s="78"/>
      <c r="G18" s="78"/>
      <c r="H18" s="78"/>
      <c r="I18" s="25"/>
      <c r="J18" s="51"/>
      <c r="K18" s="42"/>
      <c r="L18" s="43"/>
    </row>
    <row r="19" spans="1:12" ht="30" customHeight="1" x14ac:dyDescent="0.25">
      <c r="A19" s="29" t="s">
        <v>2</v>
      </c>
      <c r="B19" s="30"/>
      <c r="C19" s="79"/>
      <c r="D19" s="79"/>
      <c r="E19" s="79"/>
      <c r="F19" s="79"/>
      <c r="G19" s="79"/>
      <c r="H19" s="79"/>
      <c r="I19" s="60"/>
      <c r="J19" s="22"/>
      <c r="K19" s="20"/>
      <c r="L19" s="19"/>
    </row>
    <row r="20" spans="1:12" ht="30" customHeight="1" x14ac:dyDescent="0.25">
      <c r="A20" s="29" t="s">
        <v>1</v>
      </c>
      <c r="B20" s="24"/>
      <c r="C20" s="78"/>
      <c r="D20" s="78"/>
      <c r="E20" s="78"/>
      <c r="F20" s="78"/>
      <c r="G20" s="78"/>
      <c r="H20" s="78"/>
      <c r="I20" s="25"/>
      <c r="J20" s="35" t="s">
        <v>15</v>
      </c>
      <c r="K20" s="23"/>
      <c r="L20" s="45"/>
    </row>
    <row r="21" spans="1:12" ht="30" customHeight="1" x14ac:dyDescent="0.25">
      <c r="A21" s="29" t="s">
        <v>2</v>
      </c>
      <c r="B21" s="30"/>
      <c r="C21" s="79"/>
      <c r="D21" s="79"/>
      <c r="E21" s="79"/>
      <c r="F21" s="79"/>
      <c r="G21" s="79"/>
      <c r="H21" s="79"/>
      <c r="I21" s="33"/>
      <c r="J21" s="51"/>
      <c r="K21" s="42"/>
      <c r="L21" s="43"/>
    </row>
    <row r="22" spans="1:12" ht="30" customHeight="1" x14ac:dyDescent="0.25">
      <c r="A22" s="29" t="s">
        <v>1</v>
      </c>
      <c r="B22" s="24"/>
      <c r="C22" s="78"/>
      <c r="D22" s="78"/>
      <c r="E22" s="78"/>
      <c r="F22" s="78"/>
      <c r="G22" s="78"/>
      <c r="H22" s="78"/>
      <c r="I22" s="25"/>
      <c r="J22" s="51"/>
      <c r="K22" s="42"/>
      <c r="L22" s="43"/>
    </row>
    <row r="23" spans="1:12" ht="30" customHeight="1" x14ac:dyDescent="0.25">
      <c r="A23" s="29" t="s">
        <v>2</v>
      </c>
      <c r="B23" s="30"/>
      <c r="C23" s="79"/>
      <c r="D23" s="79"/>
      <c r="E23" s="79"/>
      <c r="F23" s="79"/>
      <c r="G23" s="79"/>
      <c r="H23" s="79"/>
      <c r="I23" s="33"/>
      <c r="J23" s="51"/>
      <c r="K23" s="42"/>
      <c r="L23" s="43"/>
    </row>
    <row r="24" spans="1:12" ht="30" customHeight="1" x14ac:dyDescent="0.25">
      <c r="A24" s="29" t="s">
        <v>1</v>
      </c>
      <c r="B24" s="24">
        <v>0.58333333333333337</v>
      </c>
      <c r="C24" s="78"/>
      <c r="D24" s="78"/>
      <c r="E24" s="78">
        <v>0.58333333333333337</v>
      </c>
      <c r="F24" s="78"/>
      <c r="G24" s="78"/>
      <c r="H24" s="78"/>
      <c r="I24" s="25">
        <v>0.58333333333333337</v>
      </c>
      <c r="J24" s="51"/>
      <c r="K24" s="42"/>
      <c r="L24" s="43"/>
    </row>
    <row r="25" spans="1:12" ht="30" customHeight="1" x14ac:dyDescent="0.25">
      <c r="A25" s="29" t="s">
        <v>2</v>
      </c>
      <c r="B25" s="30" t="s">
        <v>9</v>
      </c>
      <c r="C25" s="79"/>
      <c r="D25" s="79"/>
      <c r="E25" s="79" t="s">
        <v>9</v>
      </c>
      <c r="F25" s="79"/>
      <c r="G25" s="79"/>
      <c r="H25" s="79"/>
      <c r="I25" s="33" t="s">
        <v>9</v>
      </c>
      <c r="J25" s="22"/>
      <c r="K25" s="20"/>
      <c r="L25" s="19"/>
    </row>
    <row r="26" spans="1:12" ht="30" customHeight="1" x14ac:dyDescent="0.25">
      <c r="A26" s="29" t="s">
        <v>1</v>
      </c>
      <c r="B26" s="24"/>
      <c r="C26" s="78"/>
      <c r="D26" s="78"/>
      <c r="E26" s="78"/>
      <c r="F26" s="78"/>
      <c r="G26" s="78"/>
      <c r="H26" s="78"/>
      <c r="I26" s="25"/>
      <c r="J26" s="11" t="s">
        <v>16</v>
      </c>
      <c r="K26" s="2"/>
      <c r="L26" s="18"/>
    </row>
    <row r="27" spans="1:12" ht="30" customHeight="1" x14ac:dyDescent="0.25">
      <c r="A27" s="29" t="s">
        <v>2</v>
      </c>
      <c r="B27" s="30"/>
      <c r="C27" s="79"/>
      <c r="D27" s="79"/>
      <c r="E27" s="79"/>
      <c r="F27" s="79"/>
      <c r="G27" s="79"/>
      <c r="H27" s="79"/>
      <c r="I27" s="33"/>
      <c r="J27" s="11"/>
      <c r="K27" s="2"/>
      <c r="L27" s="18"/>
    </row>
    <row r="28" spans="1:12" ht="30" customHeight="1" x14ac:dyDescent="0.25">
      <c r="A28" s="29" t="s">
        <v>1</v>
      </c>
      <c r="B28" s="24"/>
      <c r="C28" s="78">
        <v>0.66666666666666663</v>
      </c>
      <c r="D28" s="78"/>
      <c r="E28" s="78"/>
      <c r="F28" s="78"/>
      <c r="G28" s="78">
        <v>0.66666666666666663</v>
      </c>
      <c r="H28" s="78"/>
      <c r="I28" s="25"/>
      <c r="J28" s="11"/>
      <c r="K28" s="2"/>
      <c r="L28" s="18"/>
    </row>
    <row r="29" spans="1:12" ht="30" customHeight="1" x14ac:dyDescent="0.25">
      <c r="A29" s="29" t="s">
        <v>2</v>
      </c>
      <c r="B29" s="30"/>
      <c r="C29" s="79" t="s">
        <v>13</v>
      </c>
      <c r="D29" s="79"/>
      <c r="E29" s="79"/>
      <c r="F29" s="79"/>
      <c r="G29" s="79" t="s">
        <v>13</v>
      </c>
      <c r="H29" s="79"/>
      <c r="I29" s="33"/>
      <c r="J29" s="11"/>
      <c r="K29" s="2"/>
      <c r="L29" s="18"/>
    </row>
    <row r="30" spans="1:12" ht="30" customHeight="1" x14ac:dyDescent="0.25">
      <c r="A30" s="29" t="s">
        <v>1</v>
      </c>
      <c r="B30" s="24"/>
      <c r="C30" s="78"/>
      <c r="D30" s="78"/>
      <c r="E30" s="78"/>
      <c r="F30" s="78"/>
      <c r="G30" s="78"/>
      <c r="H30" s="78"/>
      <c r="I30" s="25"/>
      <c r="J30" s="11"/>
      <c r="K30" s="2"/>
      <c r="L30" s="18"/>
    </row>
    <row r="31" spans="1:12" ht="30" customHeight="1" x14ac:dyDescent="0.25">
      <c r="A31" s="29" t="s">
        <v>2</v>
      </c>
      <c r="B31" s="31"/>
      <c r="C31" s="82"/>
      <c r="D31" s="82"/>
      <c r="E31" s="82"/>
      <c r="F31" s="82"/>
      <c r="G31" s="82"/>
      <c r="H31" s="82"/>
      <c r="I31" s="32"/>
      <c r="J31" s="11"/>
      <c r="K31" s="2"/>
      <c r="L31" s="18"/>
    </row>
  </sheetData>
  <mergeCells count="63">
    <mergeCell ref="C31:D31"/>
    <mergeCell ref="E31:F31"/>
    <mergeCell ref="G31:H31"/>
    <mergeCell ref="C29:D29"/>
    <mergeCell ref="E29:F29"/>
    <mergeCell ref="G29:H29"/>
    <mergeCell ref="C30:D30"/>
    <mergeCell ref="E30:F30"/>
    <mergeCell ref="G30:H30"/>
    <mergeCell ref="C27:D27"/>
    <mergeCell ref="E27:F27"/>
    <mergeCell ref="G27:H27"/>
    <mergeCell ref="C28:D28"/>
    <mergeCell ref="E28:F28"/>
    <mergeCell ref="G28:H28"/>
    <mergeCell ref="C25:D25"/>
    <mergeCell ref="E25:F25"/>
    <mergeCell ref="G25:H25"/>
    <mergeCell ref="C26:D26"/>
    <mergeCell ref="E26:F26"/>
    <mergeCell ref="G26:H26"/>
    <mergeCell ref="C23:D23"/>
    <mergeCell ref="E23:F23"/>
    <mergeCell ref="G23:H23"/>
    <mergeCell ref="C24:D24"/>
    <mergeCell ref="E24:F24"/>
    <mergeCell ref="G24:H24"/>
    <mergeCell ref="C21:D21"/>
    <mergeCell ref="E21:F21"/>
    <mergeCell ref="G21:H21"/>
    <mergeCell ref="C22:D22"/>
    <mergeCell ref="E22:F22"/>
    <mergeCell ref="G22:H22"/>
    <mergeCell ref="C19:D19"/>
    <mergeCell ref="E19:F19"/>
    <mergeCell ref="G19:H19"/>
    <mergeCell ref="C20:D20"/>
    <mergeCell ref="E20:F20"/>
    <mergeCell ref="G20:H20"/>
    <mergeCell ref="C17:D17"/>
    <mergeCell ref="E17:F17"/>
    <mergeCell ref="G17:H17"/>
    <mergeCell ref="C18:D18"/>
    <mergeCell ref="E18:F18"/>
    <mergeCell ref="G18:H18"/>
    <mergeCell ref="C15:D15"/>
    <mergeCell ref="E15:F15"/>
    <mergeCell ref="G15:H15"/>
    <mergeCell ref="C16:D16"/>
    <mergeCell ref="E16:F16"/>
    <mergeCell ref="G16:H16"/>
    <mergeCell ref="C13:D13"/>
    <mergeCell ref="E13:F13"/>
    <mergeCell ref="G13:H13"/>
    <mergeCell ref="C14:D14"/>
    <mergeCell ref="E14:F14"/>
    <mergeCell ref="G14:H14"/>
    <mergeCell ref="C11:D11"/>
    <mergeCell ref="E11:F11"/>
    <mergeCell ref="G11:H11"/>
    <mergeCell ref="C12:D12"/>
    <mergeCell ref="E12:F12"/>
    <mergeCell ref="G12:H12"/>
  </mergeCells>
  <conditionalFormatting sqref="C3:H3">
    <cfRule type="expression" dxfId="7" priority="6" stopIfTrue="1">
      <formula>DAY(C3)&gt;8</formula>
    </cfRule>
  </conditionalFormatting>
  <conditionalFormatting sqref="C7:I8">
    <cfRule type="expression" dxfId="6" priority="5" stopIfTrue="1">
      <formula>AND(DAY(C7)&gt;=1,DAY(C7)&lt;=15)</formula>
    </cfRule>
  </conditionalFormatting>
  <conditionalFormatting sqref="C3:I8">
    <cfRule type="expression" dxfId="5" priority="7">
      <formula>VLOOKUP(DAY(C3),AssignmentDays,1,FALSE)=DAY(C3)</formula>
    </cfRule>
  </conditionalFormatting>
  <conditionalFormatting sqref="B13:I13 B15:I15 B17:I17 B19:I19 B21:I21 B23:I23 B25:I25 B27:I27 B29:I29 B31:I31">
    <cfRule type="expression" dxfId="4" priority="4">
      <formula>B13&lt;&gt;""</formula>
    </cfRule>
  </conditionalFormatting>
  <conditionalFormatting sqref="B12:I12 B14:I14 B16:I16 B18:I18 B20:I20 B22:I22 B24:I24 B26:I26 B28:I28 B30:I30">
    <cfRule type="expression" dxfId="3" priority="3">
      <formula>B12&lt;&gt;""</formula>
    </cfRule>
  </conditionalFormatting>
  <conditionalFormatting sqref="B13:I13 B15:I15 B17:I17 B19:I19 B21:I21 B23:I23 B25:I25 B27:I27 B29:I29">
    <cfRule type="expression" dxfId="2" priority="2">
      <formula>COLUMN(B13)&gt;=2</formula>
    </cfRule>
  </conditionalFormatting>
  <conditionalFormatting sqref="B12:I31">
    <cfRule type="expression" dxfId="1" priority="1">
      <formula>COLUMN(B12)&gt;2</formula>
    </cfRule>
  </conditionalFormatting>
  <dataValidations xWindow="282" yWindow="695" count="13">
    <dataValidation allowBlank="1" showInputMessage="1" showErrorMessage="1" prompt="Le calendrier de décembre met automatiquement en surbrillance les entrées de la liste de devoirs pour le mois. Une police foncée indique les devoirs. Une police plus claire indique les jours du mois précédent ou suivant" sqref="B2" xr:uid="{00000000-0002-0000-0B00-000000000000}"/>
    <dataValidation allowBlank="1" showInputMessage="1" showErrorMessage="1" prompt="Année automatiquement mise à jour Pour modifier l’année, modifiez la cellule B1 de la feuille de calcul Jan" sqref="B1" xr:uid="{00000000-0002-0000-0B00-000001000000}"/>
    <dataValidation allowBlank="1" showInputMessage="1" showErrorMessage="1" prompt="Préparez un emploi du temps hebdomadaire et créez une liste de devoirs dans cette feuille de calcul. Les devoirs sont automatiquement mis en surbrillance dans le calendrier mensuel pour l’année entrée en B1 sur la feuille de calcul Jan" sqref="A1" xr:uid="{00000000-0002-0000-0B00-000002000000}"/>
    <dataValidation allowBlank="1" showInputMessage="1" showErrorMessage="1" prompt="Les cellules C2 à I2 contiennent les jours de la semaine" sqref="C2" xr:uid="{00000000-0002-0000-0B00-000003000000}"/>
    <dataValidation allowBlank="1" showInputMessage="1" showErrorMessage="1" prompt="Si cette cellule ne contient pas le numéro 1, c’est qu’il s’agit d’un jour du mois précédent Les cellules C3 à I8 contiennent les dates du mois en cours" sqref="C3" xr:uid="{00000000-0002-0000-0B00-000004000000}"/>
    <dataValidation allowBlank="1" showInputMessage="1" showErrorMessage="1" prompt="Si les nombres de cette ligne sont inférieurs au nombre précédent ou à la ligne de nombres précédente, il s’agit des dates du mois suivant" sqref="C8" xr:uid="{00000000-0002-0000-0B00-000005000000}"/>
    <dataValidation allowBlank="1" showInputMessage="1" showErrorMessage="1" prompt="Entrez l’heure dans cette ligne pour les colonnes B à I" sqref="B12" xr:uid="{00000000-0002-0000-0B00-000006000000}"/>
    <dataValidation allowBlank="1" showInputMessage="1" showErrorMessage="1" prompt="Entrez la matière dans cette ligne pour les colonnes B à I" sqref="B13" xr:uid="{00000000-0002-0000-0B00-000007000000}"/>
    <dataValidation allowBlank="1" showInputMessage="1" showErrorMessage="1" prompt="Les jours du mois sont regroupés par jour de la semaine dans cette colonne, chacun contenant 6 lignes pour les devoirs. Insérez des lignes pour ajouter des devoirs. Les éléments sont mis en surbrillance dans le calendrier à gauche" sqref="J1" xr:uid="{00000000-0002-0000-0B00-000008000000}"/>
    <dataValidation allowBlank="1" showInputMessage="1" showErrorMessage="1" prompt="Entrez dans cette colonne les détails du devoir associé au jour de la semaine dans la colonne J et à la date dans la colonne K pour le mois indiqué à gauche" sqref="L1" xr:uid="{00000000-0002-0000-0B00-000009000000}"/>
    <dataValidation allowBlank="1" showInputMessage="1" showErrorMessage="1" prompt="Entrez dans cette colonne la date du devoir correspondant au jour de la semaine dans la colonne J. Cette date est mise en surbrillance dans le calendrier à gauche" sqref="K1" xr:uid="{00000000-0002-0000-0B00-00000A000000}"/>
    <dataValidation allowBlank="1" showInputMessage="1" showErrorMessage="1" prompt="Les jours de la semaine figurent dans cette ligne, du lundi au vendredi" sqref="B11" xr:uid="{00000000-0002-0000-0B00-00000B000000}"/>
    <dataValidation allowBlank="1" showInputMessage="1" showErrorMessage="1" prompt="Entrez l’heure de votre cours et, dans la ligne en dessous, le nom du cours pour chaque jour de la semaine dans les colonnes B à I. Répétez ces étapes pour les autres cours dans les lignes suivantes" sqref="B10" xr:uid="{00000000-0002-0000-0B00-00000C000000}"/>
  </dataValidations>
  <printOptions horizontalCentered="1" verticalCentered="1"/>
  <pageMargins left="0.5" right="0.5" top="0.5" bottom="0.5" header="0.3" footer="0.3"/>
  <pageSetup paperSize="9" scale="58" orientation="landscape" r:id="rId1"/>
  <headerFooter differentFirst="1">
    <oddFooter>Page &amp;P of &amp;N</oddFooter>
  </headerFooter>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ED7F48-8476-4BAE-AC8E-49A383924FC1}">
  <sheetPr codeName="Feuil11"/>
  <dimension ref="A1:J2"/>
  <sheetViews>
    <sheetView workbookViewId="0">
      <selection activeCell="J3" sqref="J3"/>
    </sheetView>
  </sheetViews>
  <sheetFormatPr baseColWidth="10" defaultRowHeight="14.25" x14ac:dyDescent="0.2"/>
  <cols>
    <col min="3" max="3" width="11" style="18"/>
    <col min="4" max="4" width="13.125" customWidth="1"/>
    <col min="5" max="5" width="13.25" customWidth="1"/>
  </cols>
  <sheetData>
    <row r="1" spans="1:10" x14ac:dyDescent="0.2">
      <c r="A1" t="s">
        <v>37</v>
      </c>
      <c r="B1" t="s">
        <v>36</v>
      </c>
      <c r="C1" s="18" t="s">
        <v>74</v>
      </c>
      <c r="D1" s="64" t="s">
        <v>38</v>
      </c>
      <c r="E1" s="64" t="s">
        <v>39</v>
      </c>
      <c r="F1" s="64" t="s">
        <v>42</v>
      </c>
      <c r="G1" s="64" t="s">
        <v>43</v>
      </c>
      <c r="H1" t="s">
        <v>81</v>
      </c>
      <c r="I1" t="s">
        <v>67</v>
      </c>
      <c r="J1" s="64" t="s">
        <v>76</v>
      </c>
    </row>
    <row r="2" spans="1:10" x14ac:dyDescent="0.2">
      <c r="C2" s="18" t="s">
        <v>68</v>
      </c>
      <c r="J2">
        <v>500</v>
      </c>
    </row>
  </sheetData>
  <dataValidations count="1">
    <dataValidation type="list" allowBlank="1" showInputMessage="1" showErrorMessage="1" sqref="C2:C1048576" xr:uid="{331C8C23-C4CE-4ABF-B172-D46AE8E7E361}">
      <formula1>#REF!</formula1>
    </dataValidation>
  </dataValidations>
  <pageMargins left="0.7" right="0.7" top="0.75" bottom="0.75" header="0.3" footer="0.3"/>
  <tableParts count="1">
    <tablePart r:id="rId1"/>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E3E191-9589-4538-966D-7AFC96BBA77D}">
  <dimension ref="A1:E366"/>
  <sheetViews>
    <sheetView workbookViewId="0">
      <selection activeCell="E1" sqref="E1"/>
    </sheetView>
  </sheetViews>
  <sheetFormatPr baseColWidth="10" defaultRowHeight="14.25" x14ac:dyDescent="0.2"/>
  <sheetData>
    <row r="1" spans="1:5" x14ac:dyDescent="0.2">
      <c r="B1" t="s">
        <v>82</v>
      </c>
      <c r="C1" t="s">
        <v>84</v>
      </c>
      <c r="D1" t="s">
        <v>85</v>
      </c>
      <c r="E1" t="s">
        <v>86</v>
      </c>
    </row>
    <row r="2" spans="1:5" x14ac:dyDescent="0.2">
      <c r="A2" s="65">
        <v>43101</v>
      </c>
    </row>
    <row r="3" spans="1:5" x14ac:dyDescent="0.2">
      <c r="A3" s="65">
        <v>43102</v>
      </c>
      <c r="B3" s="18"/>
    </row>
    <row r="4" spans="1:5" x14ac:dyDescent="0.2">
      <c r="A4" s="65">
        <v>43103</v>
      </c>
      <c r="B4" s="18"/>
    </row>
    <row r="5" spans="1:5" x14ac:dyDescent="0.2">
      <c r="A5" s="65">
        <v>43104</v>
      </c>
      <c r="B5" s="18"/>
    </row>
    <row r="6" spans="1:5" x14ac:dyDescent="0.2">
      <c r="A6" s="65">
        <v>43105</v>
      </c>
      <c r="B6" s="18"/>
    </row>
    <row r="7" spans="1:5" x14ac:dyDescent="0.2">
      <c r="A7" s="65">
        <v>43106</v>
      </c>
      <c r="B7" s="18"/>
    </row>
    <row r="8" spans="1:5" x14ac:dyDescent="0.2">
      <c r="A8" s="65">
        <v>43107</v>
      </c>
      <c r="B8" s="18"/>
    </row>
    <row r="9" spans="1:5" x14ac:dyDescent="0.2">
      <c r="A9" s="65">
        <v>43108</v>
      </c>
      <c r="B9" s="18"/>
    </row>
    <row r="10" spans="1:5" x14ac:dyDescent="0.2">
      <c r="A10" s="65">
        <v>43109</v>
      </c>
      <c r="B10" s="18"/>
    </row>
    <row r="11" spans="1:5" x14ac:dyDescent="0.2">
      <c r="A11" s="65">
        <v>43110</v>
      </c>
      <c r="B11" s="18"/>
    </row>
    <row r="12" spans="1:5" x14ac:dyDescent="0.2">
      <c r="A12" s="65">
        <v>43111</v>
      </c>
      <c r="B12" s="18"/>
    </row>
    <row r="13" spans="1:5" x14ac:dyDescent="0.2">
      <c r="A13" s="65">
        <v>43112</v>
      </c>
      <c r="B13" s="18"/>
    </row>
    <row r="14" spans="1:5" x14ac:dyDescent="0.2">
      <c r="A14" s="65">
        <v>43113</v>
      </c>
      <c r="B14" s="18"/>
    </row>
    <row r="15" spans="1:5" x14ac:dyDescent="0.2">
      <c r="A15" s="65">
        <v>43114</v>
      </c>
      <c r="B15" s="18"/>
    </row>
    <row r="16" spans="1:5" x14ac:dyDescent="0.2">
      <c r="A16" s="65">
        <v>43115</v>
      </c>
      <c r="B16" s="18"/>
    </row>
    <row r="17" spans="1:2" x14ac:dyDescent="0.2">
      <c r="A17" s="65">
        <v>43116</v>
      </c>
      <c r="B17" s="18"/>
    </row>
    <row r="18" spans="1:2" x14ac:dyDescent="0.2">
      <c r="A18" s="65">
        <v>43117</v>
      </c>
      <c r="B18" s="18"/>
    </row>
    <row r="19" spans="1:2" x14ac:dyDescent="0.2">
      <c r="A19" s="65">
        <v>43118</v>
      </c>
      <c r="B19" s="18"/>
    </row>
    <row r="20" spans="1:2" x14ac:dyDescent="0.2">
      <c r="A20" s="65">
        <v>43119</v>
      </c>
      <c r="B20" s="18"/>
    </row>
    <row r="21" spans="1:2" x14ac:dyDescent="0.2">
      <c r="A21" s="65">
        <v>43120</v>
      </c>
      <c r="B21" s="18"/>
    </row>
    <row r="22" spans="1:2" x14ac:dyDescent="0.2">
      <c r="A22" s="65">
        <v>43121</v>
      </c>
      <c r="B22" s="18"/>
    </row>
    <row r="23" spans="1:2" x14ac:dyDescent="0.2">
      <c r="A23" s="65">
        <v>43122</v>
      </c>
      <c r="B23" s="18"/>
    </row>
    <row r="24" spans="1:2" x14ac:dyDescent="0.2">
      <c r="A24" s="65">
        <v>43123</v>
      </c>
      <c r="B24" s="18"/>
    </row>
    <row r="25" spans="1:2" x14ac:dyDescent="0.2">
      <c r="A25" s="65">
        <v>43124</v>
      </c>
      <c r="B25" s="18"/>
    </row>
    <row r="26" spans="1:2" x14ac:dyDescent="0.2">
      <c r="A26" s="65">
        <v>43125</v>
      </c>
      <c r="B26" s="18"/>
    </row>
    <row r="27" spans="1:2" x14ac:dyDescent="0.2">
      <c r="A27" s="65">
        <v>43126</v>
      </c>
      <c r="B27" s="18"/>
    </row>
    <row r="28" spans="1:2" x14ac:dyDescent="0.2">
      <c r="A28" s="65">
        <v>43127</v>
      </c>
      <c r="B28" s="18"/>
    </row>
    <row r="29" spans="1:2" x14ac:dyDescent="0.2">
      <c r="A29" s="65">
        <v>43128</v>
      </c>
      <c r="B29" s="18"/>
    </row>
    <row r="30" spans="1:2" x14ac:dyDescent="0.2">
      <c r="A30" s="65">
        <v>43129</v>
      </c>
      <c r="B30" s="18"/>
    </row>
    <row r="31" spans="1:2" x14ac:dyDescent="0.2">
      <c r="A31" s="65">
        <v>43130</v>
      </c>
      <c r="B31" s="18"/>
    </row>
    <row r="32" spans="1:2" x14ac:dyDescent="0.2">
      <c r="A32" s="65">
        <v>43131</v>
      </c>
      <c r="B32" s="18"/>
    </row>
    <row r="33" spans="1:2" x14ac:dyDescent="0.2">
      <c r="A33" s="65">
        <v>43132</v>
      </c>
      <c r="B33" s="18"/>
    </row>
    <row r="34" spans="1:2" x14ac:dyDescent="0.2">
      <c r="A34" s="65">
        <v>43133</v>
      </c>
      <c r="B34" s="18"/>
    </row>
    <row r="35" spans="1:2" x14ac:dyDescent="0.2">
      <c r="A35" s="65">
        <v>43134</v>
      </c>
      <c r="B35" s="18"/>
    </row>
    <row r="36" spans="1:2" x14ac:dyDescent="0.2">
      <c r="A36" s="65">
        <v>43135</v>
      </c>
      <c r="B36" s="18"/>
    </row>
    <row r="37" spans="1:2" x14ac:dyDescent="0.2">
      <c r="A37" s="65">
        <v>43136</v>
      </c>
      <c r="B37" s="18"/>
    </row>
    <row r="38" spans="1:2" x14ac:dyDescent="0.2">
      <c r="A38" s="65">
        <v>43137</v>
      </c>
      <c r="B38" s="18"/>
    </row>
    <row r="39" spans="1:2" x14ac:dyDescent="0.2">
      <c r="A39" s="65">
        <v>43138</v>
      </c>
      <c r="B39" s="18"/>
    </row>
    <row r="40" spans="1:2" x14ac:dyDescent="0.2">
      <c r="A40" s="65">
        <v>43139</v>
      </c>
      <c r="B40" s="18"/>
    </row>
    <row r="41" spans="1:2" x14ac:dyDescent="0.2">
      <c r="A41" s="65">
        <v>43140</v>
      </c>
      <c r="B41" s="18"/>
    </row>
    <row r="42" spans="1:2" x14ac:dyDescent="0.2">
      <c r="A42" s="65">
        <v>43141</v>
      </c>
      <c r="B42" s="18"/>
    </row>
    <row r="43" spans="1:2" x14ac:dyDescent="0.2">
      <c r="A43" s="65">
        <v>43142</v>
      </c>
      <c r="B43" s="18"/>
    </row>
    <row r="44" spans="1:2" x14ac:dyDescent="0.2">
      <c r="A44" s="65">
        <v>43143</v>
      </c>
      <c r="B44" s="18"/>
    </row>
    <row r="45" spans="1:2" x14ac:dyDescent="0.2">
      <c r="A45" s="65">
        <v>43144</v>
      </c>
      <c r="B45" s="18"/>
    </row>
    <row r="46" spans="1:2" x14ac:dyDescent="0.2">
      <c r="A46" s="65">
        <v>43145</v>
      </c>
      <c r="B46" s="18"/>
    </row>
    <row r="47" spans="1:2" x14ac:dyDescent="0.2">
      <c r="A47" s="65">
        <v>43146</v>
      </c>
      <c r="B47" s="18"/>
    </row>
    <row r="48" spans="1:2" x14ac:dyDescent="0.2">
      <c r="A48" s="65">
        <v>43147</v>
      </c>
      <c r="B48" s="18"/>
    </row>
    <row r="49" spans="1:2" x14ac:dyDescent="0.2">
      <c r="A49" s="65">
        <v>43148</v>
      </c>
      <c r="B49" s="18"/>
    </row>
    <row r="50" spans="1:2" x14ac:dyDescent="0.2">
      <c r="A50" s="65">
        <v>43149</v>
      </c>
      <c r="B50" s="18"/>
    </row>
    <row r="51" spans="1:2" x14ac:dyDescent="0.2">
      <c r="A51" s="65">
        <v>43150</v>
      </c>
      <c r="B51" s="18"/>
    </row>
    <row r="52" spans="1:2" x14ac:dyDescent="0.2">
      <c r="A52" s="65">
        <v>43151</v>
      </c>
      <c r="B52" s="18"/>
    </row>
    <row r="53" spans="1:2" x14ac:dyDescent="0.2">
      <c r="A53" s="65">
        <v>43152</v>
      </c>
      <c r="B53" s="18"/>
    </row>
    <row r="54" spans="1:2" x14ac:dyDescent="0.2">
      <c r="A54" s="65">
        <v>43153</v>
      </c>
      <c r="B54" s="18"/>
    </row>
    <row r="55" spans="1:2" x14ac:dyDescent="0.2">
      <c r="A55" s="65">
        <v>43154</v>
      </c>
      <c r="B55" s="18"/>
    </row>
    <row r="56" spans="1:2" x14ac:dyDescent="0.2">
      <c r="A56" s="65">
        <v>43155</v>
      </c>
      <c r="B56" s="18"/>
    </row>
    <row r="57" spans="1:2" x14ac:dyDescent="0.2">
      <c r="A57" s="65">
        <v>43156</v>
      </c>
      <c r="B57" s="18"/>
    </row>
    <row r="58" spans="1:2" x14ac:dyDescent="0.2">
      <c r="A58" s="65">
        <v>43157</v>
      </c>
      <c r="B58" s="18"/>
    </row>
    <row r="59" spans="1:2" x14ac:dyDescent="0.2">
      <c r="A59" s="65">
        <v>43158</v>
      </c>
      <c r="B59" s="18"/>
    </row>
    <row r="60" spans="1:2" x14ac:dyDescent="0.2">
      <c r="A60" s="65">
        <v>43159</v>
      </c>
      <c r="B60" s="18"/>
    </row>
    <row r="61" spans="1:2" x14ac:dyDescent="0.2">
      <c r="A61" s="65">
        <v>43160</v>
      </c>
      <c r="B61" s="18"/>
    </row>
    <row r="62" spans="1:2" x14ac:dyDescent="0.2">
      <c r="A62" s="65">
        <v>43161</v>
      </c>
      <c r="B62" s="18"/>
    </row>
    <row r="63" spans="1:2" x14ac:dyDescent="0.2">
      <c r="A63" s="65">
        <v>43162</v>
      </c>
      <c r="B63" s="18"/>
    </row>
    <row r="64" spans="1:2" x14ac:dyDescent="0.2">
      <c r="A64" s="65">
        <v>43163</v>
      </c>
      <c r="B64" s="18"/>
    </row>
    <row r="65" spans="1:2" x14ac:dyDescent="0.2">
      <c r="A65" s="65">
        <v>43164</v>
      </c>
      <c r="B65" s="18"/>
    </row>
    <row r="66" spans="1:2" x14ac:dyDescent="0.2">
      <c r="A66" s="65">
        <v>43165</v>
      </c>
      <c r="B66" s="18"/>
    </row>
    <row r="67" spans="1:2" x14ac:dyDescent="0.2">
      <c r="A67" s="65">
        <v>43166</v>
      </c>
      <c r="B67" s="18"/>
    </row>
    <row r="68" spans="1:2" x14ac:dyDescent="0.2">
      <c r="A68" s="65">
        <v>43167</v>
      </c>
      <c r="B68" s="18"/>
    </row>
    <row r="69" spans="1:2" x14ac:dyDescent="0.2">
      <c r="A69" s="65">
        <v>43168</v>
      </c>
      <c r="B69" s="18"/>
    </row>
    <row r="70" spans="1:2" x14ac:dyDescent="0.2">
      <c r="A70" s="65">
        <v>43169</v>
      </c>
      <c r="B70" s="18"/>
    </row>
    <row r="71" spans="1:2" x14ac:dyDescent="0.2">
      <c r="A71" s="65">
        <v>43170</v>
      </c>
      <c r="B71" s="18"/>
    </row>
    <row r="72" spans="1:2" x14ac:dyDescent="0.2">
      <c r="A72" s="65">
        <v>43171</v>
      </c>
      <c r="B72" s="18"/>
    </row>
    <row r="73" spans="1:2" x14ac:dyDescent="0.2">
      <c r="A73" s="65">
        <v>43172</v>
      </c>
      <c r="B73" s="18"/>
    </row>
    <row r="74" spans="1:2" x14ac:dyDescent="0.2">
      <c r="A74" s="65">
        <v>43173</v>
      </c>
      <c r="B74" s="18"/>
    </row>
    <row r="75" spans="1:2" x14ac:dyDescent="0.2">
      <c r="A75" s="65">
        <v>43174</v>
      </c>
      <c r="B75" s="18"/>
    </row>
    <row r="76" spans="1:2" x14ac:dyDescent="0.2">
      <c r="A76" s="65">
        <v>43175</v>
      </c>
      <c r="B76" s="18"/>
    </row>
    <row r="77" spans="1:2" x14ac:dyDescent="0.2">
      <c r="A77" s="65">
        <v>43176</v>
      </c>
      <c r="B77" s="18"/>
    </row>
    <row r="78" spans="1:2" x14ac:dyDescent="0.2">
      <c r="A78" s="65">
        <v>43177</v>
      </c>
      <c r="B78" s="18"/>
    </row>
    <row r="79" spans="1:2" x14ac:dyDescent="0.2">
      <c r="A79" s="65">
        <v>43178</v>
      </c>
      <c r="B79" s="18"/>
    </row>
    <row r="80" spans="1:2" x14ac:dyDescent="0.2">
      <c r="A80" s="65">
        <v>43179</v>
      </c>
      <c r="B80" s="18"/>
    </row>
    <row r="81" spans="1:2" x14ac:dyDescent="0.2">
      <c r="A81" s="65">
        <v>43180</v>
      </c>
      <c r="B81" s="18"/>
    </row>
    <row r="82" spans="1:2" x14ac:dyDescent="0.2">
      <c r="A82" s="65">
        <v>43181</v>
      </c>
      <c r="B82" s="18"/>
    </row>
    <row r="83" spans="1:2" x14ac:dyDescent="0.2">
      <c r="A83" s="65">
        <v>43182</v>
      </c>
      <c r="B83" s="18"/>
    </row>
    <row r="84" spans="1:2" x14ac:dyDescent="0.2">
      <c r="A84" s="65">
        <v>43183</v>
      </c>
      <c r="B84" s="18"/>
    </row>
    <row r="85" spans="1:2" x14ac:dyDescent="0.2">
      <c r="A85" s="65">
        <v>43184</v>
      </c>
      <c r="B85" s="18"/>
    </row>
    <row r="86" spans="1:2" x14ac:dyDescent="0.2">
      <c r="A86" s="65">
        <v>43185</v>
      </c>
      <c r="B86" s="18"/>
    </row>
    <row r="87" spans="1:2" x14ac:dyDescent="0.2">
      <c r="A87" s="65">
        <v>43186</v>
      </c>
      <c r="B87" s="18"/>
    </row>
    <row r="88" spans="1:2" x14ac:dyDescent="0.2">
      <c r="A88" s="65">
        <v>43187</v>
      </c>
      <c r="B88" s="18"/>
    </row>
    <row r="89" spans="1:2" x14ac:dyDescent="0.2">
      <c r="A89" s="65">
        <v>43188</v>
      </c>
      <c r="B89" s="18"/>
    </row>
    <row r="90" spans="1:2" x14ac:dyDescent="0.2">
      <c r="A90" s="65">
        <v>43189</v>
      </c>
      <c r="B90" s="18"/>
    </row>
    <row r="91" spans="1:2" x14ac:dyDescent="0.2">
      <c r="A91" s="65">
        <v>43190</v>
      </c>
      <c r="B91" s="18"/>
    </row>
    <row r="92" spans="1:2" x14ac:dyDescent="0.2">
      <c r="A92" s="65">
        <v>43191</v>
      </c>
      <c r="B92" s="18"/>
    </row>
    <row r="93" spans="1:2" x14ac:dyDescent="0.2">
      <c r="A93" s="65">
        <v>43192</v>
      </c>
      <c r="B93" s="18"/>
    </row>
    <row r="94" spans="1:2" x14ac:dyDescent="0.2">
      <c r="A94" s="65">
        <v>43193</v>
      </c>
      <c r="B94" s="18"/>
    </row>
    <row r="95" spans="1:2" x14ac:dyDescent="0.2">
      <c r="A95" s="65">
        <v>43194</v>
      </c>
      <c r="B95" s="18"/>
    </row>
    <row r="96" spans="1:2" x14ac:dyDescent="0.2">
      <c r="A96" s="65">
        <v>43195</v>
      </c>
      <c r="B96" s="18"/>
    </row>
    <row r="97" spans="1:2" x14ac:dyDescent="0.2">
      <c r="A97" s="65">
        <v>43196</v>
      </c>
      <c r="B97" s="18"/>
    </row>
    <row r="98" spans="1:2" x14ac:dyDescent="0.2">
      <c r="A98" s="65">
        <v>43197</v>
      </c>
      <c r="B98" s="18"/>
    </row>
    <row r="99" spans="1:2" x14ac:dyDescent="0.2">
      <c r="A99" s="65">
        <v>43198</v>
      </c>
      <c r="B99" s="18"/>
    </row>
    <row r="100" spans="1:2" x14ac:dyDescent="0.2">
      <c r="A100" s="65">
        <v>43199</v>
      </c>
      <c r="B100" s="18"/>
    </row>
    <row r="101" spans="1:2" x14ac:dyDescent="0.2">
      <c r="A101" s="65">
        <v>43200</v>
      </c>
      <c r="B101" s="18"/>
    </row>
    <row r="102" spans="1:2" x14ac:dyDescent="0.2">
      <c r="A102" s="65">
        <v>43201</v>
      </c>
      <c r="B102" s="18"/>
    </row>
    <row r="103" spans="1:2" x14ac:dyDescent="0.2">
      <c r="A103" s="65">
        <v>43202</v>
      </c>
      <c r="B103" s="18"/>
    </row>
    <row r="104" spans="1:2" x14ac:dyDescent="0.2">
      <c r="A104" s="65">
        <v>43203</v>
      </c>
      <c r="B104" s="18"/>
    </row>
    <row r="105" spans="1:2" x14ac:dyDescent="0.2">
      <c r="A105" s="65">
        <v>43204</v>
      </c>
      <c r="B105" s="18"/>
    </row>
    <row r="106" spans="1:2" x14ac:dyDescent="0.2">
      <c r="A106" s="65">
        <v>43205</v>
      </c>
      <c r="B106" s="18"/>
    </row>
    <row r="107" spans="1:2" x14ac:dyDescent="0.2">
      <c r="A107" s="65">
        <v>43206</v>
      </c>
      <c r="B107" s="18"/>
    </row>
    <row r="108" spans="1:2" x14ac:dyDescent="0.2">
      <c r="A108" s="65">
        <v>43207</v>
      </c>
      <c r="B108" s="18"/>
    </row>
    <row r="109" spans="1:2" x14ac:dyDescent="0.2">
      <c r="A109" s="65">
        <v>43208</v>
      </c>
      <c r="B109" s="18"/>
    </row>
    <row r="110" spans="1:2" x14ac:dyDescent="0.2">
      <c r="A110" s="65">
        <v>43209</v>
      </c>
      <c r="B110" s="18"/>
    </row>
    <row r="111" spans="1:2" x14ac:dyDescent="0.2">
      <c r="A111" s="65">
        <v>43210</v>
      </c>
      <c r="B111" s="18"/>
    </row>
    <row r="112" spans="1:2" x14ac:dyDescent="0.2">
      <c r="A112" s="65">
        <v>43211</v>
      </c>
      <c r="B112" s="18"/>
    </row>
    <row r="113" spans="1:2" x14ac:dyDescent="0.2">
      <c r="A113" s="65">
        <v>43212</v>
      </c>
      <c r="B113" s="18"/>
    </row>
    <row r="114" spans="1:2" x14ac:dyDescent="0.2">
      <c r="A114" s="65">
        <v>43213</v>
      </c>
      <c r="B114" s="18"/>
    </row>
    <row r="115" spans="1:2" x14ac:dyDescent="0.2">
      <c r="A115" s="65">
        <v>43214</v>
      </c>
      <c r="B115" s="18"/>
    </row>
    <row r="116" spans="1:2" x14ac:dyDescent="0.2">
      <c r="A116" s="65">
        <v>43215</v>
      </c>
      <c r="B116" s="18"/>
    </row>
    <row r="117" spans="1:2" x14ac:dyDescent="0.2">
      <c r="A117" s="65">
        <v>43216</v>
      </c>
      <c r="B117" s="18"/>
    </row>
    <row r="118" spans="1:2" x14ac:dyDescent="0.2">
      <c r="A118" s="65">
        <v>43217</v>
      </c>
      <c r="B118" s="18"/>
    </row>
    <row r="119" spans="1:2" x14ac:dyDescent="0.2">
      <c r="A119" s="65">
        <v>43218</v>
      </c>
      <c r="B119" s="18"/>
    </row>
    <row r="120" spans="1:2" x14ac:dyDescent="0.2">
      <c r="A120" s="65">
        <v>43219</v>
      </c>
      <c r="B120" s="18"/>
    </row>
    <row r="121" spans="1:2" x14ac:dyDescent="0.2">
      <c r="A121" s="65">
        <v>43220</v>
      </c>
      <c r="B121" s="18"/>
    </row>
    <row r="122" spans="1:2" x14ac:dyDescent="0.2">
      <c r="A122" s="65">
        <v>43221</v>
      </c>
      <c r="B122" s="18"/>
    </row>
    <row r="123" spans="1:2" x14ac:dyDescent="0.2">
      <c r="A123" s="65">
        <v>43222</v>
      </c>
      <c r="B123" s="18"/>
    </row>
    <row r="124" spans="1:2" x14ac:dyDescent="0.2">
      <c r="A124" s="65">
        <v>43223</v>
      </c>
      <c r="B124" s="18"/>
    </row>
    <row r="125" spans="1:2" x14ac:dyDescent="0.2">
      <c r="A125" s="65">
        <v>43224</v>
      </c>
      <c r="B125" s="18"/>
    </row>
    <row r="126" spans="1:2" x14ac:dyDescent="0.2">
      <c r="A126" s="65">
        <v>43225</v>
      </c>
      <c r="B126" s="18"/>
    </row>
    <row r="127" spans="1:2" x14ac:dyDescent="0.2">
      <c r="A127" s="65">
        <v>43226</v>
      </c>
      <c r="B127" s="18"/>
    </row>
    <row r="128" spans="1:2" x14ac:dyDescent="0.2">
      <c r="A128" s="65">
        <v>43227</v>
      </c>
      <c r="B128" s="18"/>
    </row>
    <row r="129" spans="1:2" x14ac:dyDescent="0.2">
      <c r="A129" s="65">
        <v>43228</v>
      </c>
      <c r="B129" s="18"/>
    </row>
    <row r="130" spans="1:2" x14ac:dyDescent="0.2">
      <c r="A130" s="65">
        <v>43229</v>
      </c>
      <c r="B130" s="18"/>
    </row>
    <row r="131" spans="1:2" x14ac:dyDescent="0.2">
      <c r="A131" s="65">
        <v>43230</v>
      </c>
      <c r="B131" s="18"/>
    </row>
    <row r="132" spans="1:2" x14ac:dyDescent="0.2">
      <c r="A132" s="65">
        <v>43231</v>
      </c>
      <c r="B132" s="18"/>
    </row>
    <row r="133" spans="1:2" x14ac:dyDescent="0.2">
      <c r="A133" s="65">
        <v>43232</v>
      </c>
      <c r="B133" s="18"/>
    </row>
    <row r="134" spans="1:2" x14ac:dyDescent="0.2">
      <c r="A134" s="65">
        <v>43233</v>
      </c>
      <c r="B134" s="18"/>
    </row>
    <row r="135" spans="1:2" x14ac:dyDescent="0.2">
      <c r="A135" s="65">
        <v>43234</v>
      </c>
      <c r="B135" s="18"/>
    </row>
    <row r="136" spans="1:2" x14ac:dyDescent="0.2">
      <c r="A136" s="65">
        <v>43235</v>
      </c>
      <c r="B136" s="18"/>
    </row>
    <row r="137" spans="1:2" x14ac:dyDescent="0.2">
      <c r="A137" s="65">
        <v>43236</v>
      </c>
      <c r="B137" s="18"/>
    </row>
    <row r="138" spans="1:2" x14ac:dyDescent="0.2">
      <c r="A138" s="65">
        <v>43237</v>
      </c>
      <c r="B138" s="18"/>
    </row>
    <row r="139" spans="1:2" x14ac:dyDescent="0.2">
      <c r="A139" s="65">
        <v>43238</v>
      </c>
      <c r="B139" s="18"/>
    </row>
    <row r="140" spans="1:2" x14ac:dyDescent="0.2">
      <c r="A140" s="65">
        <v>43239</v>
      </c>
      <c r="B140" s="18"/>
    </row>
    <row r="141" spans="1:2" x14ac:dyDescent="0.2">
      <c r="A141" s="65">
        <v>43240</v>
      </c>
      <c r="B141" s="18"/>
    </row>
    <row r="142" spans="1:2" x14ac:dyDescent="0.2">
      <c r="A142" s="65">
        <v>43241</v>
      </c>
      <c r="B142" s="18"/>
    </row>
    <row r="143" spans="1:2" x14ac:dyDescent="0.2">
      <c r="A143" s="65">
        <v>43242</v>
      </c>
      <c r="B143" s="18"/>
    </row>
    <row r="144" spans="1:2" x14ac:dyDescent="0.2">
      <c r="A144" s="65">
        <v>43243</v>
      </c>
      <c r="B144" s="18"/>
    </row>
    <row r="145" spans="1:2" x14ac:dyDescent="0.2">
      <c r="A145" s="65">
        <v>43244</v>
      </c>
      <c r="B145" s="18"/>
    </row>
    <row r="146" spans="1:2" x14ac:dyDescent="0.2">
      <c r="A146" s="65">
        <v>43245</v>
      </c>
      <c r="B146" s="18"/>
    </row>
    <row r="147" spans="1:2" x14ac:dyDescent="0.2">
      <c r="A147" s="65">
        <v>43246</v>
      </c>
      <c r="B147" s="18"/>
    </row>
    <row r="148" spans="1:2" x14ac:dyDescent="0.2">
      <c r="A148" s="65">
        <v>43247</v>
      </c>
      <c r="B148" s="18"/>
    </row>
    <row r="149" spans="1:2" x14ac:dyDescent="0.2">
      <c r="A149" s="65">
        <v>43248</v>
      </c>
      <c r="B149" s="18"/>
    </row>
    <row r="150" spans="1:2" x14ac:dyDescent="0.2">
      <c r="A150" s="65">
        <v>43249</v>
      </c>
      <c r="B150" s="18"/>
    </row>
    <row r="151" spans="1:2" x14ac:dyDescent="0.2">
      <c r="A151" s="65">
        <v>43250</v>
      </c>
      <c r="B151" s="18"/>
    </row>
    <row r="152" spans="1:2" x14ac:dyDescent="0.2">
      <c r="A152" s="65">
        <v>43251</v>
      </c>
      <c r="B152" s="18"/>
    </row>
    <row r="153" spans="1:2" x14ac:dyDescent="0.2">
      <c r="A153" s="65">
        <v>43252</v>
      </c>
      <c r="B153" s="18"/>
    </row>
    <row r="154" spans="1:2" x14ac:dyDescent="0.2">
      <c r="A154" s="65">
        <v>43253</v>
      </c>
      <c r="B154" s="18"/>
    </row>
    <row r="155" spans="1:2" x14ac:dyDescent="0.2">
      <c r="A155" s="65">
        <v>43254</v>
      </c>
      <c r="B155" s="18"/>
    </row>
    <row r="156" spans="1:2" x14ac:dyDescent="0.2">
      <c r="A156" s="65">
        <v>43255</v>
      </c>
      <c r="B156" s="18"/>
    </row>
    <row r="157" spans="1:2" x14ac:dyDescent="0.2">
      <c r="A157" s="65">
        <v>43256</v>
      </c>
      <c r="B157" s="18"/>
    </row>
    <row r="158" spans="1:2" x14ac:dyDescent="0.2">
      <c r="A158" s="65">
        <v>43257</v>
      </c>
      <c r="B158" s="18"/>
    </row>
    <row r="159" spans="1:2" x14ac:dyDescent="0.2">
      <c r="A159" s="65">
        <v>43258</v>
      </c>
      <c r="B159" s="18"/>
    </row>
    <row r="160" spans="1:2" x14ac:dyDescent="0.2">
      <c r="A160" s="65">
        <v>43259</v>
      </c>
      <c r="B160" s="18"/>
    </row>
    <row r="161" spans="1:2" x14ac:dyDescent="0.2">
      <c r="A161" s="65">
        <v>43260</v>
      </c>
      <c r="B161" s="18"/>
    </row>
    <row r="162" spans="1:2" x14ac:dyDescent="0.2">
      <c r="A162" s="65">
        <v>43261</v>
      </c>
      <c r="B162" s="18"/>
    </row>
    <row r="163" spans="1:2" x14ac:dyDescent="0.2">
      <c r="A163" s="65">
        <v>43262</v>
      </c>
      <c r="B163" s="18"/>
    </row>
    <row r="164" spans="1:2" x14ac:dyDescent="0.2">
      <c r="A164" s="65">
        <v>43263</v>
      </c>
      <c r="B164" s="18"/>
    </row>
    <row r="165" spans="1:2" x14ac:dyDescent="0.2">
      <c r="A165" s="65">
        <v>43264</v>
      </c>
      <c r="B165" s="18"/>
    </row>
    <row r="166" spans="1:2" x14ac:dyDescent="0.2">
      <c r="A166" s="65">
        <v>43265</v>
      </c>
      <c r="B166" s="18"/>
    </row>
    <row r="167" spans="1:2" x14ac:dyDescent="0.2">
      <c r="A167" s="65">
        <v>43266</v>
      </c>
      <c r="B167" s="18"/>
    </row>
    <row r="168" spans="1:2" x14ac:dyDescent="0.2">
      <c r="A168" s="65">
        <v>43267</v>
      </c>
      <c r="B168" s="18"/>
    </row>
    <row r="169" spans="1:2" x14ac:dyDescent="0.2">
      <c r="A169" s="65">
        <v>43268</v>
      </c>
      <c r="B169" s="18"/>
    </row>
    <row r="170" spans="1:2" x14ac:dyDescent="0.2">
      <c r="A170" s="65">
        <v>43269</v>
      </c>
      <c r="B170" s="18"/>
    </row>
    <row r="171" spans="1:2" x14ac:dyDescent="0.2">
      <c r="A171" s="65">
        <v>43270</v>
      </c>
      <c r="B171" s="18"/>
    </row>
    <row r="172" spans="1:2" x14ac:dyDescent="0.2">
      <c r="A172" s="65">
        <v>43271</v>
      </c>
      <c r="B172" s="18"/>
    </row>
    <row r="173" spans="1:2" x14ac:dyDescent="0.2">
      <c r="A173" s="65">
        <v>43272</v>
      </c>
      <c r="B173" s="18"/>
    </row>
    <row r="174" spans="1:2" x14ac:dyDescent="0.2">
      <c r="A174" s="65">
        <v>43273</v>
      </c>
      <c r="B174" s="18"/>
    </row>
    <row r="175" spans="1:2" x14ac:dyDescent="0.2">
      <c r="A175" s="65">
        <v>43274</v>
      </c>
      <c r="B175" s="18"/>
    </row>
    <row r="176" spans="1:2" x14ac:dyDescent="0.2">
      <c r="A176" s="65">
        <v>43275</v>
      </c>
      <c r="B176" s="18"/>
    </row>
    <row r="177" spans="1:2" x14ac:dyDescent="0.2">
      <c r="A177" s="65">
        <v>43276</v>
      </c>
      <c r="B177" s="18"/>
    </row>
    <row r="178" spans="1:2" x14ac:dyDescent="0.2">
      <c r="A178" s="65">
        <v>43277</v>
      </c>
      <c r="B178" s="18"/>
    </row>
    <row r="179" spans="1:2" x14ac:dyDescent="0.2">
      <c r="A179" s="65">
        <v>43278</v>
      </c>
      <c r="B179" s="18"/>
    </row>
    <row r="180" spans="1:2" x14ac:dyDescent="0.2">
      <c r="A180" s="65">
        <v>43279</v>
      </c>
      <c r="B180" s="18"/>
    </row>
    <row r="181" spans="1:2" x14ac:dyDescent="0.2">
      <c r="A181" s="65">
        <v>43280</v>
      </c>
      <c r="B181" s="18"/>
    </row>
    <row r="182" spans="1:2" x14ac:dyDescent="0.2">
      <c r="A182" s="65">
        <v>43281</v>
      </c>
      <c r="B182" s="18"/>
    </row>
    <row r="183" spans="1:2" x14ac:dyDescent="0.2">
      <c r="A183" s="65">
        <v>43282</v>
      </c>
      <c r="B183" s="18"/>
    </row>
    <row r="184" spans="1:2" x14ac:dyDescent="0.2">
      <c r="A184" s="65">
        <v>43283</v>
      </c>
      <c r="B184" s="18"/>
    </row>
    <row r="185" spans="1:2" x14ac:dyDescent="0.2">
      <c r="A185" s="65">
        <v>43284</v>
      </c>
      <c r="B185" s="18"/>
    </row>
    <row r="186" spans="1:2" x14ac:dyDescent="0.2">
      <c r="A186" s="65">
        <v>43285</v>
      </c>
      <c r="B186" s="18"/>
    </row>
    <row r="187" spans="1:2" x14ac:dyDescent="0.2">
      <c r="A187" s="65">
        <v>43286</v>
      </c>
      <c r="B187" s="18"/>
    </row>
    <row r="188" spans="1:2" x14ac:dyDescent="0.2">
      <c r="A188" s="65">
        <v>43287</v>
      </c>
      <c r="B188" s="18"/>
    </row>
    <row r="189" spans="1:2" x14ac:dyDescent="0.2">
      <c r="A189" s="65">
        <v>43288</v>
      </c>
      <c r="B189" s="18"/>
    </row>
    <row r="190" spans="1:2" x14ac:dyDescent="0.2">
      <c r="A190" s="65">
        <v>43289</v>
      </c>
      <c r="B190" s="18"/>
    </row>
    <row r="191" spans="1:2" x14ac:dyDescent="0.2">
      <c r="A191" s="65">
        <v>43290</v>
      </c>
      <c r="B191" s="18"/>
    </row>
    <row r="192" spans="1:2" x14ac:dyDescent="0.2">
      <c r="A192" s="65">
        <v>43291</v>
      </c>
      <c r="B192" s="18"/>
    </row>
    <row r="193" spans="1:2" x14ac:dyDescent="0.2">
      <c r="A193" s="65">
        <v>43292</v>
      </c>
      <c r="B193" s="18"/>
    </row>
    <row r="194" spans="1:2" x14ac:dyDescent="0.2">
      <c r="A194" s="65">
        <v>43293</v>
      </c>
      <c r="B194" s="18"/>
    </row>
    <row r="195" spans="1:2" x14ac:dyDescent="0.2">
      <c r="A195" s="65">
        <v>43294</v>
      </c>
      <c r="B195" s="18"/>
    </row>
    <row r="196" spans="1:2" x14ac:dyDescent="0.2">
      <c r="A196" s="65">
        <v>43295</v>
      </c>
      <c r="B196" s="18"/>
    </row>
    <row r="197" spans="1:2" x14ac:dyDescent="0.2">
      <c r="A197" s="65">
        <v>43296</v>
      </c>
      <c r="B197" s="18"/>
    </row>
    <row r="198" spans="1:2" x14ac:dyDescent="0.2">
      <c r="A198" s="65">
        <v>43297</v>
      </c>
      <c r="B198" s="18"/>
    </row>
    <row r="199" spans="1:2" x14ac:dyDescent="0.2">
      <c r="A199" s="65">
        <v>43298</v>
      </c>
      <c r="B199" s="18"/>
    </row>
    <row r="200" spans="1:2" x14ac:dyDescent="0.2">
      <c r="A200" s="65">
        <v>43299</v>
      </c>
      <c r="B200" s="18"/>
    </row>
    <row r="201" spans="1:2" x14ac:dyDescent="0.2">
      <c r="A201" s="65">
        <v>43300</v>
      </c>
      <c r="B201" s="18"/>
    </row>
    <row r="202" spans="1:2" x14ac:dyDescent="0.2">
      <c r="A202" s="65">
        <v>43301</v>
      </c>
      <c r="B202" s="18"/>
    </row>
    <row r="203" spans="1:2" x14ac:dyDescent="0.2">
      <c r="A203" s="65">
        <v>43302</v>
      </c>
      <c r="B203" s="18"/>
    </row>
    <row r="204" spans="1:2" x14ac:dyDescent="0.2">
      <c r="A204" s="65">
        <v>43303</v>
      </c>
      <c r="B204" s="18"/>
    </row>
    <row r="205" spans="1:2" x14ac:dyDescent="0.2">
      <c r="A205" s="65">
        <v>43304</v>
      </c>
      <c r="B205" s="18"/>
    </row>
    <row r="206" spans="1:2" x14ac:dyDescent="0.2">
      <c r="A206" s="65">
        <v>43305</v>
      </c>
      <c r="B206" s="18"/>
    </row>
    <row r="207" spans="1:2" x14ac:dyDescent="0.2">
      <c r="A207" s="65">
        <v>43306</v>
      </c>
      <c r="B207" s="18"/>
    </row>
    <row r="208" spans="1:2" x14ac:dyDescent="0.2">
      <c r="A208" s="65">
        <v>43307</v>
      </c>
      <c r="B208" s="18"/>
    </row>
    <row r="209" spans="1:2" x14ac:dyDescent="0.2">
      <c r="A209" s="65">
        <v>43308</v>
      </c>
      <c r="B209" s="18"/>
    </row>
    <row r="210" spans="1:2" x14ac:dyDescent="0.2">
      <c r="A210" s="65">
        <v>43309</v>
      </c>
      <c r="B210" s="18"/>
    </row>
    <row r="211" spans="1:2" x14ac:dyDescent="0.2">
      <c r="A211" s="65">
        <v>43310</v>
      </c>
      <c r="B211" s="18"/>
    </row>
    <row r="212" spans="1:2" x14ac:dyDescent="0.2">
      <c r="A212" s="65">
        <v>43311</v>
      </c>
      <c r="B212" s="18"/>
    </row>
    <row r="213" spans="1:2" x14ac:dyDescent="0.2">
      <c r="A213" s="65">
        <v>43312</v>
      </c>
      <c r="B213" s="18"/>
    </row>
    <row r="214" spans="1:2" x14ac:dyDescent="0.2">
      <c r="A214" s="65">
        <v>43313</v>
      </c>
      <c r="B214" s="18"/>
    </row>
    <row r="215" spans="1:2" x14ac:dyDescent="0.2">
      <c r="A215" s="65">
        <v>43314</v>
      </c>
      <c r="B215" s="18"/>
    </row>
    <row r="216" spans="1:2" x14ac:dyDescent="0.2">
      <c r="A216" s="65">
        <v>43315</v>
      </c>
      <c r="B216" s="18"/>
    </row>
    <row r="217" spans="1:2" x14ac:dyDescent="0.2">
      <c r="A217" s="65">
        <v>43316</v>
      </c>
      <c r="B217" s="18"/>
    </row>
    <row r="218" spans="1:2" x14ac:dyDescent="0.2">
      <c r="A218" s="65">
        <v>43317</v>
      </c>
      <c r="B218" s="18"/>
    </row>
    <row r="219" spans="1:2" x14ac:dyDescent="0.2">
      <c r="A219" s="65">
        <v>43318</v>
      </c>
      <c r="B219" s="18"/>
    </row>
    <row r="220" spans="1:2" x14ac:dyDescent="0.2">
      <c r="A220" s="65">
        <v>43319</v>
      </c>
      <c r="B220" s="18"/>
    </row>
    <row r="221" spans="1:2" x14ac:dyDescent="0.2">
      <c r="A221" s="65">
        <v>43320</v>
      </c>
      <c r="B221" s="18"/>
    </row>
    <row r="222" spans="1:2" x14ac:dyDescent="0.2">
      <c r="A222" s="65">
        <v>43321</v>
      </c>
      <c r="B222" s="18"/>
    </row>
    <row r="223" spans="1:2" x14ac:dyDescent="0.2">
      <c r="A223" s="65">
        <v>43322</v>
      </c>
      <c r="B223" s="18"/>
    </row>
    <row r="224" spans="1:2" x14ac:dyDescent="0.2">
      <c r="A224" s="65">
        <v>43323</v>
      </c>
      <c r="B224" s="18"/>
    </row>
    <row r="225" spans="1:2" x14ac:dyDescent="0.2">
      <c r="A225" s="65">
        <v>43324</v>
      </c>
      <c r="B225" s="18"/>
    </row>
    <row r="226" spans="1:2" x14ac:dyDescent="0.2">
      <c r="A226" s="65">
        <v>43325</v>
      </c>
      <c r="B226" s="18"/>
    </row>
    <row r="227" spans="1:2" x14ac:dyDescent="0.2">
      <c r="A227" s="65">
        <v>43326</v>
      </c>
      <c r="B227" s="18"/>
    </row>
    <row r="228" spans="1:2" x14ac:dyDescent="0.2">
      <c r="A228" s="65">
        <v>43327</v>
      </c>
      <c r="B228" s="18"/>
    </row>
    <row r="229" spans="1:2" x14ac:dyDescent="0.2">
      <c r="A229" s="65">
        <v>43328</v>
      </c>
      <c r="B229" s="18"/>
    </row>
    <row r="230" spans="1:2" x14ac:dyDescent="0.2">
      <c r="A230" s="65">
        <v>43329</v>
      </c>
      <c r="B230" s="18"/>
    </row>
    <row r="231" spans="1:2" x14ac:dyDescent="0.2">
      <c r="A231" s="65">
        <v>43330</v>
      </c>
      <c r="B231" s="18"/>
    </row>
    <row r="232" spans="1:2" x14ac:dyDescent="0.2">
      <c r="A232" s="65">
        <v>43331</v>
      </c>
      <c r="B232" s="18"/>
    </row>
    <row r="233" spans="1:2" x14ac:dyDescent="0.2">
      <c r="A233" s="65">
        <v>43332</v>
      </c>
      <c r="B233" s="18"/>
    </row>
    <row r="234" spans="1:2" x14ac:dyDescent="0.2">
      <c r="A234" s="65">
        <v>43333</v>
      </c>
      <c r="B234" s="18"/>
    </row>
    <row r="235" spans="1:2" x14ac:dyDescent="0.2">
      <c r="A235" s="65">
        <v>43334</v>
      </c>
      <c r="B235" s="18"/>
    </row>
    <row r="236" spans="1:2" x14ac:dyDescent="0.2">
      <c r="A236" s="65">
        <v>43335</v>
      </c>
      <c r="B236" s="18"/>
    </row>
    <row r="237" spans="1:2" x14ac:dyDescent="0.2">
      <c r="A237" s="65">
        <v>43336</v>
      </c>
      <c r="B237" s="18"/>
    </row>
    <row r="238" spans="1:2" x14ac:dyDescent="0.2">
      <c r="A238" s="65">
        <v>43337</v>
      </c>
      <c r="B238" s="18"/>
    </row>
    <row r="239" spans="1:2" x14ac:dyDescent="0.2">
      <c r="A239" s="65">
        <v>43338</v>
      </c>
      <c r="B239" s="18"/>
    </row>
    <row r="240" spans="1:2" x14ac:dyDescent="0.2">
      <c r="A240" s="65">
        <v>43339</v>
      </c>
      <c r="B240" s="18"/>
    </row>
    <row r="241" spans="1:2" x14ac:dyDescent="0.2">
      <c r="A241" s="65">
        <v>43340</v>
      </c>
      <c r="B241" s="18"/>
    </row>
    <row r="242" spans="1:2" x14ac:dyDescent="0.2">
      <c r="A242" s="65">
        <v>43341</v>
      </c>
      <c r="B242" s="18"/>
    </row>
    <row r="243" spans="1:2" x14ac:dyDescent="0.2">
      <c r="A243" s="65">
        <v>43342</v>
      </c>
      <c r="B243" s="18"/>
    </row>
    <row r="244" spans="1:2" x14ac:dyDescent="0.2">
      <c r="A244" s="65">
        <v>43343</v>
      </c>
      <c r="B244" s="18"/>
    </row>
    <row r="245" spans="1:2" x14ac:dyDescent="0.2">
      <c r="A245" s="65">
        <v>43344</v>
      </c>
      <c r="B245" s="18"/>
    </row>
    <row r="246" spans="1:2" x14ac:dyDescent="0.2">
      <c r="A246" s="65">
        <v>43345</v>
      </c>
      <c r="B246" s="18"/>
    </row>
    <row r="247" spans="1:2" x14ac:dyDescent="0.2">
      <c r="A247" s="65">
        <v>43346</v>
      </c>
      <c r="B247" s="18"/>
    </row>
    <row r="248" spans="1:2" x14ac:dyDescent="0.2">
      <c r="A248" s="65">
        <v>43347</v>
      </c>
      <c r="B248" s="18"/>
    </row>
    <row r="249" spans="1:2" x14ac:dyDescent="0.2">
      <c r="A249" s="65">
        <v>43348</v>
      </c>
      <c r="B249" s="18"/>
    </row>
    <row r="250" spans="1:2" x14ac:dyDescent="0.2">
      <c r="A250" s="65">
        <v>43349</v>
      </c>
      <c r="B250" s="18"/>
    </row>
    <row r="251" spans="1:2" x14ac:dyDescent="0.2">
      <c r="A251" s="65">
        <v>43350</v>
      </c>
      <c r="B251" s="18"/>
    </row>
    <row r="252" spans="1:2" x14ac:dyDescent="0.2">
      <c r="A252" s="65">
        <v>43351</v>
      </c>
      <c r="B252" s="18"/>
    </row>
    <row r="253" spans="1:2" x14ac:dyDescent="0.2">
      <c r="A253" s="65">
        <v>43352</v>
      </c>
      <c r="B253" s="18"/>
    </row>
    <row r="254" spans="1:2" x14ac:dyDescent="0.2">
      <c r="A254" s="65">
        <v>43353</v>
      </c>
      <c r="B254" s="18"/>
    </row>
    <row r="255" spans="1:2" x14ac:dyDescent="0.2">
      <c r="A255" s="65">
        <v>43354</v>
      </c>
      <c r="B255" s="18"/>
    </row>
    <row r="256" spans="1:2" x14ac:dyDescent="0.2">
      <c r="A256" s="65">
        <v>43355</v>
      </c>
      <c r="B256" s="18"/>
    </row>
    <row r="257" spans="1:2" x14ac:dyDescent="0.2">
      <c r="A257" s="65">
        <v>43356</v>
      </c>
      <c r="B257" s="18"/>
    </row>
    <row r="258" spans="1:2" x14ac:dyDescent="0.2">
      <c r="A258" s="65">
        <v>43357</v>
      </c>
      <c r="B258" s="18"/>
    </row>
    <row r="259" spans="1:2" x14ac:dyDescent="0.2">
      <c r="A259" s="65">
        <v>43358</v>
      </c>
      <c r="B259" s="18"/>
    </row>
    <row r="260" spans="1:2" x14ac:dyDescent="0.2">
      <c r="A260" s="65">
        <v>43359</v>
      </c>
      <c r="B260" s="18"/>
    </row>
    <row r="261" spans="1:2" x14ac:dyDescent="0.2">
      <c r="A261" s="65">
        <v>43360</v>
      </c>
      <c r="B261" s="18"/>
    </row>
    <row r="262" spans="1:2" x14ac:dyDescent="0.2">
      <c r="A262" s="65">
        <v>43361</v>
      </c>
      <c r="B262" s="18"/>
    </row>
    <row r="263" spans="1:2" x14ac:dyDescent="0.2">
      <c r="A263" s="65">
        <v>43362</v>
      </c>
      <c r="B263" s="18"/>
    </row>
    <row r="264" spans="1:2" x14ac:dyDescent="0.2">
      <c r="A264" s="65">
        <v>43363</v>
      </c>
      <c r="B264" s="18"/>
    </row>
    <row r="265" spans="1:2" x14ac:dyDescent="0.2">
      <c r="A265" s="65">
        <v>43364</v>
      </c>
      <c r="B265" s="18"/>
    </row>
    <row r="266" spans="1:2" x14ac:dyDescent="0.2">
      <c r="A266" s="65">
        <v>43365</v>
      </c>
      <c r="B266" s="18"/>
    </row>
    <row r="267" spans="1:2" x14ac:dyDescent="0.2">
      <c r="A267" s="65">
        <v>43366</v>
      </c>
      <c r="B267" s="18"/>
    </row>
    <row r="268" spans="1:2" x14ac:dyDescent="0.2">
      <c r="A268" s="65">
        <v>43367</v>
      </c>
      <c r="B268" s="18"/>
    </row>
    <row r="269" spans="1:2" x14ac:dyDescent="0.2">
      <c r="A269" s="65">
        <v>43368</v>
      </c>
      <c r="B269" s="18"/>
    </row>
    <row r="270" spans="1:2" x14ac:dyDescent="0.2">
      <c r="A270" s="65">
        <v>43369</v>
      </c>
      <c r="B270" s="18"/>
    </row>
    <row r="271" spans="1:2" x14ac:dyDescent="0.2">
      <c r="A271" s="65">
        <v>43370</v>
      </c>
      <c r="B271" s="18"/>
    </row>
    <row r="272" spans="1:2" x14ac:dyDescent="0.2">
      <c r="A272" s="65">
        <v>43371</v>
      </c>
      <c r="B272" s="18"/>
    </row>
    <row r="273" spans="1:2" x14ac:dyDescent="0.2">
      <c r="A273" s="65">
        <v>43372</v>
      </c>
      <c r="B273" s="18"/>
    </row>
    <row r="274" spans="1:2" x14ac:dyDescent="0.2">
      <c r="A274" s="65">
        <v>43373</v>
      </c>
      <c r="B274" s="18"/>
    </row>
    <row r="275" spans="1:2" x14ac:dyDescent="0.2">
      <c r="A275" s="65">
        <v>43374</v>
      </c>
      <c r="B275" s="18"/>
    </row>
    <row r="276" spans="1:2" x14ac:dyDescent="0.2">
      <c r="A276" s="65">
        <v>43375</v>
      </c>
      <c r="B276" s="18"/>
    </row>
    <row r="277" spans="1:2" x14ac:dyDescent="0.2">
      <c r="A277" s="65">
        <v>43376</v>
      </c>
      <c r="B277" s="18"/>
    </row>
    <row r="278" spans="1:2" x14ac:dyDescent="0.2">
      <c r="A278" s="65">
        <v>43377</v>
      </c>
      <c r="B278" s="18"/>
    </row>
    <row r="279" spans="1:2" x14ac:dyDescent="0.2">
      <c r="A279" s="65">
        <v>43378</v>
      </c>
      <c r="B279" s="18"/>
    </row>
    <row r="280" spans="1:2" x14ac:dyDescent="0.2">
      <c r="A280" s="65">
        <v>43379</v>
      </c>
      <c r="B280" s="18"/>
    </row>
    <row r="281" spans="1:2" x14ac:dyDescent="0.2">
      <c r="A281" s="65">
        <v>43380</v>
      </c>
      <c r="B281" s="18"/>
    </row>
    <row r="282" spans="1:2" x14ac:dyDescent="0.2">
      <c r="A282" s="65">
        <v>43381</v>
      </c>
      <c r="B282" s="18"/>
    </row>
    <row r="283" spans="1:2" x14ac:dyDescent="0.2">
      <c r="A283" s="65">
        <v>43382</v>
      </c>
      <c r="B283" s="18"/>
    </row>
    <row r="284" spans="1:2" x14ac:dyDescent="0.2">
      <c r="A284" s="65">
        <v>43383</v>
      </c>
      <c r="B284" s="18"/>
    </row>
    <row r="285" spans="1:2" x14ac:dyDescent="0.2">
      <c r="A285" s="65">
        <v>43384</v>
      </c>
      <c r="B285" s="18"/>
    </row>
    <row r="286" spans="1:2" x14ac:dyDescent="0.2">
      <c r="A286" s="65">
        <v>43385</v>
      </c>
      <c r="B286" s="18"/>
    </row>
    <row r="287" spans="1:2" x14ac:dyDescent="0.2">
      <c r="A287" s="65">
        <v>43386</v>
      </c>
      <c r="B287" s="18"/>
    </row>
    <row r="288" spans="1:2" x14ac:dyDescent="0.2">
      <c r="A288" s="65">
        <v>43387</v>
      </c>
      <c r="B288" s="18"/>
    </row>
    <row r="289" spans="1:2" x14ac:dyDescent="0.2">
      <c r="A289" s="65">
        <v>43388</v>
      </c>
      <c r="B289" s="18"/>
    </row>
    <row r="290" spans="1:2" x14ac:dyDescent="0.2">
      <c r="A290" s="65">
        <v>43389</v>
      </c>
      <c r="B290" s="18"/>
    </row>
    <row r="291" spans="1:2" x14ac:dyDescent="0.2">
      <c r="A291" s="65">
        <v>43390</v>
      </c>
      <c r="B291" s="18"/>
    </row>
    <row r="292" spans="1:2" x14ac:dyDescent="0.2">
      <c r="A292" s="65">
        <v>43391</v>
      </c>
      <c r="B292" s="18"/>
    </row>
    <row r="293" spans="1:2" x14ac:dyDescent="0.2">
      <c r="A293" s="65">
        <v>43392</v>
      </c>
      <c r="B293" s="18"/>
    </row>
    <row r="294" spans="1:2" x14ac:dyDescent="0.2">
      <c r="A294" s="65">
        <v>43393</v>
      </c>
      <c r="B294" s="18"/>
    </row>
    <row r="295" spans="1:2" x14ac:dyDescent="0.2">
      <c r="A295" s="65">
        <v>43394</v>
      </c>
      <c r="B295" s="18"/>
    </row>
    <row r="296" spans="1:2" x14ac:dyDescent="0.2">
      <c r="A296" s="65">
        <v>43395</v>
      </c>
      <c r="B296" s="18"/>
    </row>
    <row r="297" spans="1:2" x14ac:dyDescent="0.2">
      <c r="A297" s="65">
        <v>43396</v>
      </c>
      <c r="B297" s="18"/>
    </row>
    <row r="298" spans="1:2" x14ac:dyDescent="0.2">
      <c r="A298" s="65">
        <v>43397</v>
      </c>
      <c r="B298" s="18"/>
    </row>
    <row r="299" spans="1:2" x14ac:dyDescent="0.2">
      <c r="A299" s="65">
        <v>43398</v>
      </c>
      <c r="B299" s="18"/>
    </row>
    <row r="300" spans="1:2" x14ac:dyDescent="0.2">
      <c r="A300" s="65">
        <v>43399</v>
      </c>
      <c r="B300" s="18"/>
    </row>
    <row r="301" spans="1:2" x14ac:dyDescent="0.2">
      <c r="A301" s="65">
        <v>43400</v>
      </c>
      <c r="B301" s="18"/>
    </row>
    <row r="302" spans="1:2" x14ac:dyDescent="0.2">
      <c r="A302" s="65">
        <v>43401</v>
      </c>
      <c r="B302" s="18"/>
    </row>
    <row r="303" spans="1:2" x14ac:dyDescent="0.2">
      <c r="A303" s="65">
        <v>43402</v>
      </c>
      <c r="B303" s="18"/>
    </row>
    <row r="304" spans="1:2" x14ac:dyDescent="0.2">
      <c r="A304" s="65">
        <v>43403</v>
      </c>
      <c r="B304" s="18"/>
    </row>
    <row r="305" spans="1:2" x14ac:dyDescent="0.2">
      <c r="A305" s="65">
        <v>43404</v>
      </c>
      <c r="B305" s="18"/>
    </row>
    <row r="306" spans="1:2" x14ac:dyDescent="0.2">
      <c r="A306" s="65">
        <v>43405</v>
      </c>
      <c r="B306" s="18"/>
    </row>
    <row r="307" spans="1:2" x14ac:dyDescent="0.2">
      <c r="A307" s="65">
        <v>43406</v>
      </c>
      <c r="B307" s="18"/>
    </row>
    <row r="308" spans="1:2" x14ac:dyDescent="0.2">
      <c r="A308" s="65">
        <v>43407</v>
      </c>
      <c r="B308" s="18"/>
    </row>
    <row r="309" spans="1:2" x14ac:dyDescent="0.2">
      <c r="A309" s="65">
        <v>43408</v>
      </c>
      <c r="B309" s="18"/>
    </row>
    <row r="310" spans="1:2" x14ac:dyDescent="0.2">
      <c r="A310" s="65">
        <v>43409</v>
      </c>
      <c r="B310" s="18"/>
    </row>
    <row r="311" spans="1:2" x14ac:dyDescent="0.2">
      <c r="A311" s="65">
        <v>43410</v>
      </c>
      <c r="B311" s="18"/>
    </row>
    <row r="312" spans="1:2" x14ac:dyDescent="0.2">
      <c r="A312" s="65">
        <v>43411</v>
      </c>
      <c r="B312" s="18"/>
    </row>
    <row r="313" spans="1:2" x14ac:dyDescent="0.2">
      <c r="A313" s="65">
        <v>43412</v>
      </c>
      <c r="B313" s="18"/>
    </row>
    <row r="314" spans="1:2" x14ac:dyDescent="0.2">
      <c r="A314" s="65">
        <v>43413</v>
      </c>
      <c r="B314" s="18"/>
    </row>
    <row r="315" spans="1:2" x14ac:dyDescent="0.2">
      <c r="A315" s="65">
        <v>43414</v>
      </c>
      <c r="B315" s="18"/>
    </row>
    <row r="316" spans="1:2" x14ac:dyDescent="0.2">
      <c r="A316" s="65">
        <v>43415</v>
      </c>
      <c r="B316" s="18"/>
    </row>
    <row r="317" spans="1:2" x14ac:dyDescent="0.2">
      <c r="A317" s="65">
        <v>43416</v>
      </c>
      <c r="B317" s="18"/>
    </row>
    <row r="318" spans="1:2" x14ac:dyDescent="0.2">
      <c r="A318" s="65">
        <v>43417</v>
      </c>
      <c r="B318" s="18"/>
    </row>
    <row r="319" spans="1:2" x14ac:dyDescent="0.2">
      <c r="A319" s="65">
        <v>43418</v>
      </c>
      <c r="B319" s="18"/>
    </row>
    <row r="320" spans="1:2" x14ac:dyDescent="0.2">
      <c r="A320" s="65">
        <v>43419</v>
      </c>
      <c r="B320" s="18"/>
    </row>
    <row r="321" spans="1:2" x14ac:dyDescent="0.2">
      <c r="A321" s="65">
        <v>43420</v>
      </c>
      <c r="B321" s="18"/>
    </row>
    <row r="322" spans="1:2" x14ac:dyDescent="0.2">
      <c r="A322" s="65">
        <v>43421</v>
      </c>
      <c r="B322" s="18"/>
    </row>
    <row r="323" spans="1:2" x14ac:dyDescent="0.2">
      <c r="A323" s="65">
        <v>43422</v>
      </c>
      <c r="B323" s="18"/>
    </row>
    <row r="324" spans="1:2" x14ac:dyDescent="0.2">
      <c r="A324" s="65">
        <v>43423</v>
      </c>
      <c r="B324" s="18"/>
    </row>
    <row r="325" spans="1:2" x14ac:dyDescent="0.2">
      <c r="A325" s="65">
        <v>43424</v>
      </c>
      <c r="B325" s="18"/>
    </row>
    <row r="326" spans="1:2" x14ac:dyDescent="0.2">
      <c r="A326" s="65">
        <v>43425</v>
      </c>
      <c r="B326" s="18"/>
    </row>
    <row r="327" spans="1:2" x14ac:dyDescent="0.2">
      <c r="A327" s="65">
        <v>43426</v>
      </c>
      <c r="B327" s="18"/>
    </row>
    <row r="328" spans="1:2" x14ac:dyDescent="0.2">
      <c r="A328" s="65">
        <v>43427</v>
      </c>
      <c r="B328" s="18"/>
    </row>
    <row r="329" spans="1:2" x14ac:dyDescent="0.2">
      <c r="A329" s="65">
        <v>43428</v>
      </c>
      <c r="B329" s="18"/>
    </row>
    <row r="330" spans="1:2" x14ac:dyDescent="0.2">
      <c r="A330" s="65">
        <v>43429</v>
      </c>
      <c r="B330" s="18"/>
    </row>
    <row r="331" spans="1:2" x14ac:dyDescent="0.2">
      <c r="A331" s="65">
        <v>43430</v>
      </c>
      <c r="B331" s="18"/>
    </row>
    <row r="332" spans="1:2" x14ac:dyDescent="0.2">
      <c r="A332" s="65">
        <v>43431</v>
      </c>
      <c r="B332" s="18"/>
    </row>
    <row r="333" spans="1:2" x14ac:dyDescent="0.2">
      <c r="A333" s="65">
        <v>43432</v>
      </c>
      <c r="B333" s="18"/>
    </row>
    <row r="334" spans="1:2" x14ac:dyDescent="0.2">
      <c r="A334" s="65">
        <v>43433</v>
      </c>
      <c r="B334" s="18"/>
    </row>
    <row r="335" spans="1:2" x14ac:dyDescent="0.2">
      <c r="A335" s="65">
        <v>43434</v>
      </c>
      <c r="B335" s="18"/>
    </row>
    <row r="336" spans="1:2" x14ac:dyDescent="0.2">
      <c r="A336" s="65">
        <v>43435</v>
      </c>
      <c r="B336" s="18"/>
    </row>
    <row r="337" spans="1:2" x14ac:dyDescent="0.2">
      <c r="A337" s="65">
        <v>43436</v>
      </c>
      <c r="B337" s="18"/>
    </row>
    <row r="338" spans="1:2" x14ac:dyDescent="0.2">
      <c r="A338" s="65">
        <v>43437</v>
      </c>
      <c r="B338" s="18"/>
    </row>
    <row r="339" spans="1:2" x14ac:dyDescent="0.2">
      <c r="A339" s="65">
        <v>43438</v>
      </c>
      <c r="B339" s="18"/>
    </row>
    <row r="340" spans="1:2" x14ac:dyDescent="0.2">
      <c r="A340" s="65">
        <v>43439</v>
      </c>
      <c r="B340" s="18"/>
    </row>
    <row r="341" spans="1:2" x14ac:dyDescent="0.2">
      <c r="A341" s="65">
        <v>43440</v>
      </c>
      <c r="B341" s="18"/>
    </row>
    <row r="342" spans="1:2" x14ac:dyDescent="0.2">
      <c r="A342" s="65">
        <v>43441</v>
      </c>
      <c r="B342" s="18"/>
    </row>
    <row r="343" spans="1:2" x14ac:dyDescent="0.2">
      <c r="A343" s="65">
        <v>43442</v>
      </c>
      <c r="B343" s="18"/>
    </row>
    <row r="344" spans="1:2" x14ac:dyDescent="0.2">
      <c r="A344" s="65">
        <v>43443</v>
      </c>
      <c r="B344" s="18"/>
    </row>
    <row r="345" spans="1:2" x14ac:dyDescent="0.2">
      <c r="A345" s="65">
        <v>43444</v>
      </c>
      <c r="B345" s="18"/>
    </row>
    <row r="346" spans="1:2" x14ac:dyDescent="0.2">
      <c r="A346" s="65">
        <v>43445</v>
      </c>
      <c r="B346" s="18"/>
    </row>
    <row r="347" spans="1:2" x14ac:dyDescent="0.2">
      <c r="A347" s="65">
        <v>43446</v>
      </c>
      <c r="B347" s="18"/>
    </row>
    <row r="348" spans="1:2" x14ac:dyDescent="0.2">
      <c r="A348" s="65">
        <v>43447</v>
      </c>
      <c r="B348" s="18"/>
    </row>
    <row r="349" spans="1:2" x14ac:dyDescent="0.2">
      <c r="A349" s="65">
        <v>43448</v>
      </c>
      <c r="B349" s="18"/>
    </row>
    <row r="350" spans="1:2" x14ac:dyDescent="0.2">
      <c r="A350" s="65">
        <v>43449</v>
      </c>
      <c r="B350" s="18"/>
    </row>
    <row r="351" spans="1:2" x14ac:dyDescent="0.2">
      <c r="A351" s="65">
        <v>43450</v>
      </c>
      <c r="B351" s="18"/>
    </row>
    <row r="352" spans="1:2" x14ac:dyDescent="0.2">
      <c r="A352" s="65">
        <v>43451</v>
      </c>
      <c r="B352" s="18"/>
    </row>
    <row r="353" spans="1:2" x14ac:dyDescent="0.2">
      <c r="A353" s="65">
        <v>43452</v>
      </c>
      <c r="B353" s="18"/>
    </row>
    <row r="354" spans="1:2" x14ac:dyDescent="0.2">
      <c r="A354" s="65">
        <v>43453</v>
      </c>
      <c r="B354" s="18"/>
    </row>
    <row r="355" spans="1:2" x14ac:dyDescent="0.2">
      <c r="A355" s="65">
        <v>43454</v>
      </c>
      <c r="B355" s="18"/>
    </row>
    <row r="356" spans="1:2" x14ac:dyDescent="0.2">
      <c r="A356" s="65">
        <v>43455</v>
      </c>
      <c r="B356" s="18"/>
    </row>
    <row r="357" spans="1:2" x14ac:dyDescent="0.2">
      <c r="A357" s="65">
        <v>43456</v>
      </c>
      <c r="B357" s="18"/>
    </row>
    <row r="358" spans="1:2" x14ac:dyDescent="0.2">
      <c r="A358" s="65">
        <v>43457</v>
      </c>
      <c r="B358" s="18"/>
    </row>
    <row r="359" spans="1:2" x14ac:dyDescent="0.2">
      <c r="A359" s="65">
        <v>43458</v>
      </c>
      <c r="B359" s="18"/>
    </row>
    <row r="360" spans="1:2" x14ac:dyDescent="0.2">
      <c r="A360" s="65">
        <v>43459</v>
      </c>
      <c r="B360" s="18"/>
    </row>
    <row r="361" spans="1:2" x14ac:dyDescent="0.2">
      <c r="A361" s="65">
        <v>43460</v>
      </c>
      <c r="B361" s="18"/>
    </row>
    <row r="362" spans="1:2" x14ac:dyDescent="0.2">
      <c r="A362" s="65">
        <v>43461</v>
      </c>
      <c r="B362" s="18"/>
    </row>
    <row r="363" spans="1:2" x14ac:dyDescent="0.2">
      <c r="A363" s="65">
        <v>43462</v>
      </c>
      <c r="B363" s="18"/>
    </row>
    <row r="364" spans="1:2" x14ac:dyDescent="0.2">
      <c r="A364" s="65">
        <v>43463</v>
      </c>
      <c r="B364" s="18"/>
    </row>
    <row r="365" spans="1:2" x14ac:dyDescent="0.2">
      <c r="A365" s="65">
        <v>43464</v>
      </c>
      <c r="B365" s="18"/>
    </row>
    <row r="366" spans="1:2" x14ac:dyDescent="0.2">
      <c r="A366" s="65">
        <v>43465</v>
      </c>
      <c r="B366"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9C88A-1538-4357-A007-FAB8910837C0}">
  <sheetPr codeName="Feuil12"/>
  <dimension ref="A1:P19"/>
  <sheetViews>
    <sheetView tabSelected="1" workbookViewId="0">
      <selection activeCell="F2" sqref="F2"/>
    </sheetView>
  </sheetViews>
  <sheetFormatPr baseColWidth="10" defaultRowHeight="14.25" x14ac:dyDescent="0.2"/>
  <cols>
    <col min="1" max="1" width="12.625" customWidth="1"/>
    <col min="2" max="2" width="11" style="18"/>
    <col min="3" max="3" width="21.5" style="18" customWidth="1"/>
    <col min="4" max="4" width="15" customWidth="1"/>
    <col min="7" max="7" width="16.5" customWidth="1"/>
    <col min="15" max="15" width="14.75" customWidth="1"/>
  </cols>
  <sheetData>
    <row r="1" spans="1:16" x14ac:dyDescent="0.2">
      <c r="A1" t="s">
        <v>44</v>
      </c>
      <c r="B1" s="18" t="s">
        <v>66</v>
      </c>
      <c r="C1" s="18" t="s">
        <v>57</v>
      </c>
      <c r="D1" t="s">
        <v>45</v>
      </c>
      <c r="E1" t="s">
        <v>46</v>
      </c>
      <c r="F1" t="s">
        <v>53</v>
      </c>
      <c r="G1" s="63" t="s">
        <v>54</v>
      </c>
    </row>
    <row r="2" spans="1:16" x14ac:dyDescent="0.2">
      <c r="B2" s="18" t="s">
        <v>68</v>
      </c>
      <c r="C2" s="18" t="s">
        <v>59</v>
      </c>
      <c r="D2" t="s">
        <v>47</v>
      </c>
      <c r="E2" s="65">
        <v>43230</v>
      </c>
      <c r="F2" s="65">
        <v>43230</v>
      </c>
      <c r="G2" t="s">
        <v>56</v>
      </c>
      <c r="P2" t="str">
        <f>IF(C2=P19,"Créneau","")</f>
        <v/>
      </c>
    </row>
    <row r="4" spans="1:16" x14ac:dyDescent="0.2">
      <c r="O4" s="66" t="s">
        <v>55</v>
      </c>
      <c r="P4" s="65">
        <f ca="1">TODAY()</f>
        <v>43268</v>
      </c>
    </row>
    <row r="5" spans="1:16" x14ac:dyDescent="0.2">
      <c r="O5" t="s">
        <v>56</v>
      </c>
    </row>
    <row r="9" spans="1:16" x14ac:dyDescent="0.2">
      <c r="P9" t="s">
        <v>47</v>
      </c>
    </row>
    <row r="10" spans="1:16" x14ac:dyDescent="0.2">
      <c r="P10" t="s">
        <v>48</v>
      </c>
    </row>
    <row r="11" spans="1:16" x14ac:dyDescent="0.2">
      <c r="P11" t="s">
        <v>49</v>
      </c>
    </row>
    <row r="12" spans="1:16" x14ac:dyDescent="0.2">
      <c r="P12" t="s">
        <v>50</v>
      </c>
    </row>
    <row r="13" spans="1:16" x14ac:dyDescent="0.2">
      <c r="P13" t="s">
        <v>40</v>
      </c>
    </row>
    <row r="14" spans="1:16" x14ac:dyDescent="0.2">
      <c r="P14" t="s">
        <v>41</v>
      </c>
    </row>
    <row r="15" spans="1:16" x14ac:dyDescent="0.2">
      <c r="P15" t="s">
        <v>51</v>
      </c>
    </row>
    <row r="16" spans="1:16" x14ac:dyDescent="0.2">
      <c r="P16" t="s">
        <v>52</v>
      </c>
    </row>
    <row r="18" spans="16:16" x14ac:dyDescent="0.2">
      <c r="P18" t="s">
        <v>59</v>
      </c>
    </row>
    <row r="19" spans="16:16" x14ac:dyDescent="0.2">
      <c r="P19" t="s">
        <v>58</v>
      </c>
    </row>
  </sheetData>
  <dataValidations count="6">
    <dataValidation type="date" operator="lessThan" allowBlank="1" showInputMessage="1" showErrorMessage="1" sqref="E1:F1048576" xr:uid="{1A26BD33-6280-4E57-ADF9-3EB984432D8A}">
      <formula1>P4</formula1>
    </dataValidation>
    <dataValidation type="list" allowBlank="1" showInputMessage="1" showErrorMessage="1" sqref="C2:C1048576" xr:uid="{7DA4354F-074C-45A0-A1AA-FFB9BBA76B1D}">
      <formula1>$P$18:$P$19</formula1>
    </dataValidation>
    <dataValidation type="list" allowBlank="1" showInputMessage="1" showErrorMessage="1" sqref="D1" xr:uid="{12950B14-67CA-4901-8244-2CD5F7F1F885}">
      <formula1>INDIRECT(C2)</formula1>
    </dataValidation>
    <dataValidation type="list" allowBlank="1" showInputMessage="1" showErrorMessage="1" sqref="D2:D1048576" xr:uid="{F4DDE0CB-B979-4089-8823-34501516DA82}">
      <formula1>INDIRECT(C2)</formula1>
    </dataValidation>
    <dataValidation type="list" allowBlank="1" showInputMessage="1" showErrorMessage="1" sqref="G2:G1048576" xr:uid="{A8D2FD35-E5D6-4EA3-A5E2-E35D0E14E18E}">
      <formula1>INDIRECT(P2)</formula1>
    </dataValidation>
    <dataValidation type="list" allowBlank="1" showInputMessage="1" showErrorMessage="1" sqref="B2:B1048576" xr:uid="{48E16594-172B-477E-86AE-F019D14294C2}">
      <formula1>#REF!</formula1>
    </dataValidation>
  </dataValidations>
  <pageMargins left="0.7" right="0.7" top="0.75" bottom="0.75" header="0.3" footer="0.3"/>
  <tableParts count="1">
    <tablePart r:id="rId1"/>
  </tablePart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AF97D6-90A9-4A39-8DF6-E847879C85FD}">
  <sheetPr codeName="Feuil13"/>
  <dimension ref="A1:H3"/>
  <sheetViews>
    <sheetView workbookViewId="0">
      <selection activeCell="H5" sqref="H5"/>
    </sheetView>
  </sheetViews>
  <sheetFormatPr baseColWidth="10" defaultRowHeight="14.25" x14ac:dyDescent="0.2"/>
  <cols>
    <col min="7" max="7" width="11" style="76"/>
  </cols>
  <sheetData>
    <row r="1" spans="1:8" ht="30" x14ac:dyDescent="0.25">
      <c r="A1" s="67" t="s">
        <v>60</v>
      </c>
      <c r="B1" s="68" t="s">
        <v>61</v>
      </c>
      <c r="C1" s="68" t="s">
        <v>62</v>
      </c>
      <c r="D1" s="68" t="s">
        <v>63</v>
      </c>
      <c r="E1" s="68" t="s">
        <v>64</v>
      </c>
      <c r="F1" s="68" t="s">
        <v>65</v>
      </c>
      <c r="G1" s="74" t="s">
        <v>75</v>
      </c>
      <c r="H1" s="69" t="s">
        <v>67</v>
      </c>
    </row>
    <row r="2" spans="1:8" x14ac:dyDescent="0.2">
      <c r="A2" s="70">
        <v>1110</v>
      </c>
      <c r="B2" s="71" t="s">
        <v>68</v>
      </c>
      <c r="C2" s="71" t="s">
        <v>69</v>
      </c>
      <c r="D2" s="71"/>
      <c r="E2" s="71"/>
      <c r="F2" s="71"/>
      <c r="G2" s="75">
        <f>-VLOOKUP(B2,Fact!C:J,8,FALSE)+VLOOKUP(B2,Réglements!B:D,3,FALSE)</f>
        <v>-300</v>
      </c>
      <c r="H2" s="72"/>
    </row>
    <row r="3" spans="1:8" x14ac:dyDescent="0.2">
      <c r="A3" s="70"/>
      <c r="B3" s="71" t="s">
        <v>70</v>
      </c>
      <c r="C3" s="71"/>
      <c r="D3" s="71"/>
      <c r="E3" s="71"/>
      <c r="F3" s="71"/>
      <c r="G3" s="75" t="e">
        <f>-VLOOKUP(#REF!,Fact!C:J,8,FALSE)</f>
        <v>#REF!</v>
      </c>
      <c r="H3" s="72"/>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A57901-72B6-4010-9943-6A4DBC30B667}">
  <sheetPr codeName="Feuil14"/>
  <dimension ref="A1:E25"/>
  <sheetViews>
    <sheetView workbookViewId="0">
      <selection activeCell="D9" sqref="D9"/>
    </sheetView>
  </sheetViews>
  <sheetFormatPr baseColWidth="10" defaultRowHeight="14.25" x14ac:dyDescent="0.2"/>
  <cols>
    <col min="1" max="1" width="19.375" style="65" customWidth="1"/>
  </cols>
  <sheetData>
    <row r="1" spans="1:5" s="77" customFormat="1" x14ac:dyDescent="0.2">
      <c r="A1" s="65"/>
      <c r="B1" s="77" t="s">
        <v>77</v>
      </c>
      <c r="C1" s="77" t="s">
        <v>78</v>
      </c>
      <c r="D1" s="77" t="s">
        <v>79</v>
      </c>
      <c r="E1" s="77" t="s">
        <v>80</v>
      </c>
    </row>
    <row r="2" spans="1:5" x14ac:dyDescent="0.2">
      <c r="A2" s="65">
        <v>43230</v>
      </c>
    </row>
    <row r="25" spans="3:3" x14ac:dyDescent="0.2">
      <c r="C25">
        <v>1</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86AE7C-0F88-462E-8C04-D373BF5A27A7}">
  <sheetPr codeName="Feuil15"/>
  <dimension ref="A1:D2"/>
  <sheetViews>
    <sheetView workbookViewId="0">
      <selection activeCell="B2" sqref="B2"/>
    </sheetView>
  </sheetViews>
  <sheetFormatPr baseColWidth="10" defaultRowHeight="14.25" x14ac:dyDescent="0.2"/>
  <cols>
    <col min="2" max="2" width="11.75" customWidth="1"/>
    <col min="3" max="3" width="17" customWidth="1"/>
    <col min="4" max="4" width="11" style="73"/>
  </cols>
  <sheetData>
    <row r="1" spans="1:4" ht="20.25" customHeight="1" x14ac:dyDescent="0.2">
      <c r="A1" t="s">
        <v>71</v>
      </c>
      <c r="B1" t="s">
        <v>74</v>
      </c>
      <c r="C1" t="s">
        <v>72</v>
      </c>
      <c r="D1" s="73" t="s">
        <v>73</v>
      </c>
    </row>
    <row r="2" spans="1:4" x14ac:dyDescent="0.2">
      <c r="A2">
        <v>1</v>
      </c>
      <c r="B2" t="s">
        <v>68</v>
      </c>
      <c r="C2" s="65">
        <v>43226</v>
      </c>
      <c r="D2" s="73">
        <v>200</v>
      </c>
    </row>
  </sheetData>
  <dataValidations count="1">
    <dataValidation type="list" allowBlank="1" showInputMessage="1" showErrorMessage="1" sqref="B2:B1048576" xr:uid="{2701E65C-4961-4461-829F-405B4A04A893}">
      <formula1>#REF!</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65</vt:i4>
      </vt:variant>
    </vt:vector>
  </HeadingPairs>
  <TitlesOfParts>
    <vt:vector size="83" baseType="lpstr">
      <vt:lpstr>Janv.</vt:lpstr>
      <vt:lpstr>Févr.</vt:lpstr>
      <vt:lpstr>Mars</vt:lpstr>
      <vt:lpstr>Avr.</vt:lpstr>
      <vt:lpstr>Mai</vt:lpstr>
      <vt:lpstr>Juin</vt:lpstr>
      <vt:lpstr>Juil.</vt:lpstr>
      <vt:lpstr>Août</vt:lpstr>
      <vt:lpstr>Sept.</vt:lpstr>
      <vt:lpstr>Oct.</vt:lpstr>
      <vt:lpstr>Nov.</vt:lpstr>
      <vt:lpstr>Déc.</vt:lpstr>
      <vt:lpstr>Fact</vt:lpstr>
      <vt:lpstr>BD CAL</vt:lpstr>
      <vt:lpstr>Reservation</vt:lpstr>
      <vt:lpstr>Client</vt:lpstr>
      <vt:lpstr>Activité</vt:lpstr>
      <vt:lpstr>Réglements</vt:lpstr>
      <vt:lpstr>Activités</vt:lpstr>
      <vt:lpstr>Année</vt:lpstr>
      <vt:lpstr>Août!AssignmentDays</vt:lpstr>
      <vt:lpstr>Avr.!AssignmentDays</vt:lpstr>
      <vt:lpstr>Déc.!AssignmentDays</vt:lpstr>
      <vt:lpstr>Févr.!AssignmentDays</vt:lpstr>
      <vt:lpstr>Juil.!AssignmentDays</vt:lpstr>
      <vt:lpstr>Juin!AssignmentDays</vt:lpstr>
      <vt:lpstr>Mai!AssignmentDays</vt:lpstr>
      <vt:lpstr>Mars!AssignmentDays</vt:lpstr>
      <vt:lpstr>Nov.!AssignmentDays</vt:lpstr>
      <vt:lpstr>Oct.!AssignmentDays</vt:lpstr>
      <vt:lpstr>Sept.!AssignmentDays</vt:lpstr>
      <vt:lpstr>AssignmentDays</vt:lpstr>
      <vt:lpstr>Créneau</vt:lpstr>
      <vt:lpstr>FACTURATION</vt:lpstr>
      <vt:lpstr>Août!ImportantDatesTable</vt:lpstr>
      <vt:lpstr>Avr.!ImportantDatesTable</vt:lpstr>
      <vt:lpstr>Déc.!ImportantDatesTable</vt:lpstr>
      <vt:lpstr>Févr.!ImportantDatesTable</vt:lpstr>
      <vt:lpstr>Juil.!ImportantDatesTable</vt:lpstr>
      <vt:lpstr>Juin!ImportantDatesTable</vt:lpstr>
      <vt:lpstr>Mai!ImportantDatesTable</vt:lpstr>
      <vt:lpstr>Mars!ImportantDatesTable</vt:lpstr>
      <vt:lpstr>Nov.!ImportantDatesTable</vt:lpstr>
      <vt:lpstr>Oct.!ImportantDatesTable</vt:lpstr>
      <vt:lpstr>Sept.!ImportantDatesTable</vt:lpstr>
      <vt:lpstr>ImportantDatesTable</vt:lpstr>
      <vt:lpstr>RégionTitre2...I31.1</vt:lpstr>
      <vt:lpstr>RégionTitre2...I31.10</vt:lpstr>
      <vt:lpstr>RégionTitre2...I31.11</vt:lpstr>
      <vt:lpstr>RégionTitre2...I31.12</vt:lpstr>
      <vt:lpstr>RégionTitre2...I31.2</vt:lpstr>
      <vt:lpstr>RégionTitre2...I31.3</vt:lpstr>
      <vt:lpstr>RégionTitre2...I31.4</vt:lpstr>
      <vt:lpstr>RégionTitre2...I31.5</vt:lpstr>
      <vt:lpstr>RégionTitre2...I31.6</vt:lpstr>
      <vt:lpstr>RégionTitre2...I31.7</vt:lpstr>
      <vt:lpstr>RégionTitre2...I31.8</vt:lpstr>
      <vt:lpstr>RégionTitre2...I31.9</vt:lpstr>
      <vt:lpstr>RégionTitreColonne1...I8.1</vt:lpstr>
      <vt:lpstr>RégionTitreColonne1...I8.10</vt:lpstr>
      <vt:lpstr>RégionTitreColonne1...I8.11</vt:lpstr>
      <vt:lpstr>RégionTitreColonne1...I8.12</vt:lpstr>
      <vt:lpstr>RégionTitreColonne1...I8.2</vt:lpstr>
      <vt:lpstr>RégionTitreColonne1...I8.3</vt:lpstr>
      <vt:lpstr>RégionTitreColonne1...I8.4</vt:lpstr>
      <vt:lpstr>RégionTitreColonne1...I8.5</vt:lpstr>
      <vt:lpstr>RégionTitreColonne1...I8.6</vt:lpstr>
      <vt:lpstr>RégionTitreColonne1...I8.7</vt:lpstr>
      <vt:lpstr>RégionTitreColonne1...I8.8</vt:lpstr>
      <vt:lpstr>RégionTitreColonne1...I8.9</vt:lpstr>
      <vt:lpstr>Séjours</vt:lpstr>
      <vt:lpstr>TitreColonne1</vt:lpstr>
      <vt:lpstr>TitreColonne10</vt:lpstr>
      <vt:lpstr>TitreColonne11</vt:lpstr>
      <vt:lpstr>TitreColonne12</vt:lpstr>
      <vt:lpstr>TitreColonne2</vt:lpstr>
      <vt:lpstr>TitreColonne3</vt:lpstr>
      <vt:lpstr>TitreColonne4</vt:lpstr>
      <vt:lpstr>TitreColonne5</vt:lpstr>
      <vt:lpstr>TitreColonne6</vt:lpstr>
      <vt:lpstr>TitreColonne7</vt:lpstr>
      <vt:lpstr>TitreColonne8</vt:lpstr>
      <vt:lpstr>TitreColonne9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karim bertal</dc:creator>
  <cp:lastModifiedBy>BERTAL Karim</cp:lastModifiedBy>
  <dcterms:created xsi:type="dcterms:W3CDTF">2016-12-22T23:12:27Z</dcterms:created>
  <dcterms:modified xsi:type="dcterms:W3CDTF">2018-06-17T19:04:31Z</dcterms:modified>
</cp:coreProperties>
</file>