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niri.maguru\Documents\Saint Martin\"/>
    </mc:Choice>
  </mc:AlternateContent>
  <bookViews>
    <workbookView xWindow="0" yWindow="465" windowWidth="28800" windowHeight="17535" activeTab="3"/>
  </bookViews>
  <sheets>
    <sheet name="ACQUISITION FINANCEMENT" sheetId="2" r:id="rId1"/>
    <sheet name="LOCATION" sheetId="3" r:id="rId2"/>
    <sheet name="ETAT SURFACE - EVALUATION TRVX" sheetId="4" r:id="rId3"/>
    <sheet name="TRI " sheetId="1" r:id="rId4"/>
    <sheet name="TAM" sheetId="15" r:id="rId5"/>
  </sheets>
  <externalReferences>
    <externalReference r:id="rId6"/>
    <externalReference r:id="rId7"/>
    <externalReference r:id="rId8"/>
  </externalReferences>
  <definedNames>
    <definedName name="__FDS_HYPERLINK_TOGGLE_STATE__" hidden="1">"ON"</definedName>
    <definedName name="__PRN2" hidden="1">{"adj95mult",#N/A,FALSE,"COMPCO";"adj95est",#N/A,FALSE,"COMPCO"}</definedName>
    <definedName name="_1__FDSAUDITLINK__" hidden="1">{"fdsup://directions/FAT Viewer?action=UPDATE&amp;creator=factset&amp;DYN_ARGS=TRUE&amp;DOC_NAME=FAT:FQL_AUDITING_CLIENT_TEMPLATE.FAT&amp;display_string=Audit&amp;VAR:KEY=QDWBINOJIH&amp;VAR:QUERY=UkdGX1BCS19UQU5HKFFUUiwwLCwsLCwsTk9BVURJVCk=&amp;WINDOW=FIRST_POPUP&amp;HEIGHT=450&amp;WIDTH=450&amp;","START_MAXIMIZED=FALSE&amp;VAR:CALENDAR=US&amp;VAR:SYMBOL=PACW&amp;VAR:INDEX=0"}</definedName>
    <definedName name="_2__FDSAUDITLINK__" hidden="1">{"fdsup://directions/FAT Viewer?action=UPDATE&amp;creator=factset&amp;DYN_ARGS=TRUE&amp;DOC_NAME=FAT:FQL_AUDITING_CLIENT_TEMPLATE.FAT&amp;display_string=Audit&amp;VAR:KEY=UJYLERKLUR&amp;VAR:QUERY=SlVMSUFOKElDX0VTVElNQVRFKEVQUygpLE1FRCxBTk4sMjAxMSw0MDgxNCwwKS5kYXRlcyk=&amp;WINDOW=FIRST","_POPUP&amp;HEIGHT=450&amp;WIDTH=450&amp;START_MAXIMIZED=FALSE&amp;VAR:CALENDAR=US&amp;VAR:SYMBOL=CYN&amp;VAR:INDEX=0"}</definedName>
    <definedName name="_3__FDSAUDITLINK__" hidden="1">{"fdsup://directions/FAT Viewer?action=UPDATE&amp;creator=factset&amp;DYN_ARGS=TRUE&amp;DOC_NAME=FAT:FQL_AUDITING_CLIENT_TEMPLATE.FAT&amp;display_string=Audit&amp;VAR:KEY=OJEJONYJWR&amp;VAR:QUERY=SlVMSUFOKElDX0VTVElNQVRFKEVQUygpLE1FRCxBTk4sMjAxMSwwLDApLmRhdGVzKQ==&amp;WINDOW=FIRST_POP","UP&amp;HEIGHT=450&amp;WIDTH=450&amp;START_MAXIMIZED=FALSE&amp;VAR:CALENDAR=US&amp;VAR:SYMBOL=CYN&amp;VAR:INDEX=0"}</definedName>
    <definedName name="_4__FDSAUDITLINK__" hidden="1">{"fdsup://directions/FAT Viewer?action=UPDATE&amp;creator=factset&amp;DYN_ARGS=TRUE&amp;DOC_NAME=FAT:FQL_AUDITING_CLIENT_TEMPLATE.FAT&amp;display_string=Audit&amp;VAR:KEY=OJEJONYJWR&amp;VAR:QUERY=SlVMSUFOKElDX0VTVElNQVRFKEVQUygpLE1FRCxBTk4sMjAxMSwwLDApLmRhdGVzKQ==&amp;WINDOW=FIRST_POP","UP&amp;HEIGHT=450&amp;WIDTH=450&amp;START_MAXIMIZED=FALSE&amp;VAR:CALENDAR=US&amp;VAR:SYMBOL=CYN&amp;VAR:INDEX=0"}</definedName>
    <definedName name="_5__FDSAUDITLINK__" hidden="1">{"fdsup://directions/FAT Viewer?action=UPDATE&amp;creator=factset&amp;DYN_ARGS=TRUE&amp;DOC_NAME=FAT:FQL_AUDITING_CLIENT_TEMPLATE.FAT&amp;display_string=Audit&amp;VAR:KEY=UJYLERKLUR&amp;VAR:QUERY=SlVMSUFOKElDX0VTVElNQVRFKEVQUygpLE1FRCxBTk4sMjAxMSw0MDgxNCwwKS5kYXRlcyk=&amp;WINDOW=FIRST","_POPUP&amp;HEIGHT=450&amp;WIDTH=450&amp;START_MAXIMIZED=FALSE&amp;VAR:CALENDAR=US&amp;VAR:SYMBOL=CYN&amp;VAR:INDEX=0"}</definedName>
    <definedName name="_Fill" hidden="1">'[1]Dual A'!#REF!</definedName>
    <definedName name="_xlnm._FilterDatabase" localSheetId="4" hidden="1">TAM!$J$13:$J$447</definedName>
    <definedName name="_Key1" hidden="1">#REF!</definedName>
    <definedName name="_Order1" hidden="1">255</definedName>
    <definedName name="_Order2" hidden="1">255</definedName>
    <definedName name="_Parse_Out" hidden="1">#REF!</definedName>
    <definedName name="_PRN2" hidden="1">{"adj95mult",#N/A,FALSE,"COMPCO";"adj95est",#N/A,FALSE,"COMPCO"}</definedName>
    <definedName name="aa" hidden="1">{"DCF1",#N/A,FALSE,"SIERRA DCF";"MATRIX1",#N/A,FALSE,"SIERRA DCF"}</definedName>
    <definedName name="aaa" hidden="1">{"adj95mult",#N/A,FALSE,"COMPCO";"adj95est",#N/A,FALSE,"COMPCO"}</definedName>
    <definedName name="abcd" hidden="1">{#N/A,#N/A,FALSE,"Cashflow Analysis";#N/A,#N/A,FALSE,"Sensitivity Analysis";#N/A,#N/A,FALSE,"PV";#N/A,#N/A,FALSE,"Pro Forma"}</definedName>
    <definedName name="Anniversaire" localSheetId="4">TAM!$B$27:$F$27,TAM!$B$39:$F$39,TAM!$B$51:$F$51,TAM!$B$63:$F$63</definedName>
    <definedName name="Anniversaire">#REF!,#REF!,#REF!,#REF!</definedName>
    <definedName name="CAP1E" localSheetId="4">TAM!$S$6</definedName>
    <definedName name="CAP1E">#REF!</definedName>
    <definedName name="CapitFIXE" localSheetId="4">TAM!#REF!</definedName>
    <definedName name="CapitFIXE">#REF!</definedName>
    <definedName name="casds" hidden="1">{"DCF1",#N/A,FALSE,"SIERRA DCF";"MATRIX1",#N/A,FALSE,"SIERRA DCF"}</definedName>
    <definedName name="cb_sChart10D6460A_opts" hidden="1">"1, 1, 1, False, 2, True, False, , 0, False, False, 1, 1"</definedName>
    <definedName name="cb_sChart10D65256_opts" hidden="1">"1, 1, 1, False, 2, True, False, , 0, False, False, 1, 1"</definedName>
    <definedName name="cb_sChart10D653EB_opts" hidden="1">"1, 1, 1, False, 2, True, False, , 0, False, False, 1, 1"</definedName>
    <definedName name="cb_sChart10D65893_opts" hidden="1">"1, 1, 1, False, 2, True, False, , 0, False, False, 1, 1"</definedName>
    <definedName name="cb_sChartEE4CE1B_opts" hidden="1">"1, 4, 1, False, 2, False, False, , 0, False, False, 1, 1"</definedName>
    <definedName name="cb_sChartEE4CF99_opts" hidden="1">"1, 1, 1, False, 2, False, False, , 0, False, False, 1, 1"</definedName>
    <definedName name="cb_sChartEE4DD06_opts" hidden="1">"1, 1, 1, False, 2, False, False, , 0, False, False, 1, 2"</definedName>
    <definedName name="cb_sChartEE4E93B_opts" hidden="1">"1, 1, 1, False, 2, False, False, , 0, False, False, 1, 1"</definedName>
    <definedName name="cb_sChartEE51E95_opts" hidden="1">"1, 1, 1, False, 2, False, False, , 0, False, False, 1, 1"</definedName>
    <definedName name="cb_sChartEED7645_opts" hidden="1">"1, 1, 1, False, 2, False, False, , 0, False, False, 1, 1"</definedName>
    <definedName name="cb_sChartEEDA195_opts" hidden="1">"1, 1, 1, False, 2, False, False, , 0, False, False, 1, 1"</definedName>
    <definedName name="cb_sChartEEDC338_opts" hidden="1">"1, 1, 1, False, 2, False, False, , 0, False, False, 1, 1"</definedName>
    <definedName name="cb_sChartEEDEDB8_opts" hidden="1">"1, 1, 1, False, 2, False, False, , 0, False, True, 1, 1"</definedName>
    <definedName name="cb_sChartEEDEE5A_opts" hidden="1">"1, 3, 1, False, 2, True, False, , 0, False, True, 1, 1"</definedName>
    <definedName name="cb_sChartEEDF178_opts" hidden="1">"1, 3, 1, False, 2, False, False, , 0, False, True, 1, 1"</definedName>
    <definedName name="cb_sChartF6A6B11_opts" hidden="1">"1, 1, 1, False, 2, True, False, , 0, False, False, 1, 1"</definedName>
    <definedName name="cb_sChartFD191DC_opts" hidden="1">"1, 3, 1, False, 2, True, False, , 0, False, True, 1, 1"</definedName>
    <definedName name="cb_sChartFD1A245_opts" hidden="1">"1, 3, 1, False, 2, True, False, , 0, False, True, 1, 1"</definedName>
    <definedName name="cb_sChartFD3F0E9_opts" hidden="1">"1, 3, 1, False, 2, True, False, , 0, False, False, 1, 1"</definedName>
    <definedName name="cb_sChartFD3F27E_opts" hidden="1">"1, 3, 1, False, 2, True, False, , 0, False, True, 1, 1"</definedName>
    <definedName name="cb_sChartFD58483_opts" hidden="1">"1, 1, 1, False, 2, True, False, , 0, False, False, 1, 1"</definedName>
    <definedName name="cb_sChartFD5C4CD_opts" hidden="1">"1, 1, 1, False, 2, True, False, , 0, False, False, 1, 1"</definedName>
    <definedName name="cb_sChartFD5D4CE_opts" hidden="1">"1, 1, 1, False, 2, True, False, , 0, False, False, 1, 1"</definedName>
    <definedName name="cb_sChartFD5DF34_opts" hidden="1">"1, 1, 1, False, 2, True, False, , 0, False, False, 1, 1"</definedName>
    <definedName name="cb_sChartFD5EFC0_opts" hidden="1">"1, 1, 1, False, 2, True, False, , 0, False, False, 1, 1"</definedName>
    <definedName name="cb_sChartFD5FDB9_opts" hidden="1">"1, 1, 1, False, 2, True, False, , 0, False, False, 1, 1"</definedName>
    <definedName name="cb_sChartFE54712_opts" hidden="1">"1, 3, 1, False, 2, True, False, , 0, False, True, 1, 1"</definedName>
    <definedName name="Changement_de_taux" localSheetId="4">TAM!$B$15:$B$315</definedName>
    <definedName name="Changement_de_taux">#REF!</definedName>
    <definedName name="CIQWBGuid" hidden="1">"2013 Operating Budget - 12-5-2012v10.xlsx"</definedName>
    <definedName name="Cout_Total" localSheetId="4">TAM!$P$8</definedName>
    <definedName name="Cout_Total">#REF!</definedName>
    <definedName name="dafdsf" hidden="1">{"qchm_dcf",#N/A,FALSE,"QCHMDCF2";"qchm_terminal",#N/A,FALSE,"QCHMDCF2"}</definedName>
    <definedName name="DATDB" localSheetId="4">TAM!$S$7</definedName>
    <definedName name="DATDB">#REF!</definedName>
    <definedName name="DebAmort" localSheetId="4">TAM!$F$6</definedName>
    <definedName name="DebAmort">#REF!</definedName>
    <definedName name="dfa" hidden="1">{"Acq_matrix",#N/A,FALSE,"Acquisition Matrix"}</definedName>
    <definedName name="dfhgfgdjgd" hidden="1">{"Matrix",#N/A,FALSE,"ACQMTRX";"Fees",#N/A,FALSE,"ACQMTRX"}</definedName>
    <definedName name="Diff">#REF!</definedName>
    <definedName name="Différé" localSheetId="4">TAM!$V$8</definedName>
    <definedName name="Différé">[2]TAM!$I$13</definedName>
    <definedName name="DiffSimple" localSheetId="4">TAM!$V$6</definedName>
    <definedName name="DiffSimple">#REF!</definedName>
    <definedName name="DiffTotal" localSheetId="4">TAM!$V$7</definedName>
    <definedName name="DiffTotal">#REF!</definedName>
    <definedName name="Div_Industrial" hidden="1">{"adj95mult",#N/A,FALSE,"COMPCO";"adj95est",#N/A,FALSE,"COMPCO"}</definedName>
    <definedName name="EchFIXE" localSheetId="4">TAM!$S$2</definedName>
    <definedName name="EchFIXE">#REF!</definedName>
    <definedName name="EV__LASTREFTIME__" hidden="1">39902.6937962963</definedName>
    <definedName name="fgefgef" hidden="1">{"qchm_dcf",#N/A,FALSE,"QCHMDCF2";"qchm_terminal",#N/A,FALSE,"QCHMDCF2"}</definedName>
    <definedName name="fhrghgrd" hidden="1">{"DCF1",#N/A,FALSE,"SIERRA DCF";"MATRIX1",#N/A,FALSE,"SIERRA DCF"}</definedName>
    <definedName name="FraisF" localSheetId="4">TAM!$M$3</definedName>
    <definedName name="FraisF">[2]TAM!$D$12</definedName>
    <definedName name="FraisV" localSheetId="4">TAM!$M$4</definedName>
    <definedName name="FraisV">[2]TAM!$D$13</definedName>
    <definedName name="fsdfdfa" hidden="1">{"page1",#N/A,FALSE,"BHCOMPC5";"page2",#N/A,FALSE,"BHCOMPC5";"page3",#N/A,FALSE,"BHCOMPC5";"page4",#N/A,FALSE,"BHCOMPC5"}</definedName>
    <definedName name="g" hidden="1">{"page1",#N/A,FALSE,"BHCOMPC5";"page2",#N/A,FALSE,"BHCOMPC5";"page3",#N/A,FALSE,"BHCOMPC5";"page4",#N/A,FALSE,"BHCOMPC5"}</definedName>
    <definedName name="gfd" hidden="1">{#N/A,#N/A,FALSE,"Cashflow Analysis";#N/A,#N/A,FALSE,"Sensitivity Analysis";#N/A,#N/A,FALSE,"PV";#N/A,#N/A,FALSE,"Pro Forma"}</definedName>
    <definedName name="hhgjghj" hidden="1">{"DCF1",#N/A,FALSE,"SIERRA DCF";"MATRIX1",#N/A,FALSE,"SIERRA DCF"}</definedName>
    <definedName name="htgrer" hidden="1">{"page1",#N/A,FALSE,"BHCOMPC5";"page2",#N/A,FALSE,"BHCOMPC5";"page3",#N/A,FALSE,"BHCOMPC5";"page4",#N/A,FALSE,"BHCOMPC5"}</definedName>
    <definedName name="i" hidden="1">{"DCF1",#N/A,FALSE,"SIERRA DCF";"MATRIX1",#N/A,FALSE,"SIERRA DCF"}</definedName>
    <definedName name="Ijour" localSheetId="4">TAM!$T$6</definedName>
    <definedName name="Ijour">#REF!</definedName>
    <definedName name="Imois" localSheetId="4">TAM!$T$5</definedName>
    <definedName name="Imois">#REF!</definedName>
    <definedName name="Input_FX">#REF!</definedName>
    <definedName name="INT1E" localSheetId="4">TAM!$S$5</definedName>
    <definedName name="INT1E">#REF!</definedName>
    <definedName name="IntroPrintArea" hidden="1">#REF!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COUNT_CHANGE" hidden="1">"c413"</definedName>
    <definedName name="IQ_ACCOUNTS_PAY" hidden="1">"c32"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"c8"</definedName>
    <definedName name="IQ_ACCUM_DEP" hidden="1">"c7"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RE_ASSETS" hidden="1">"c1628"</definedName>
    <definedName name="IQ_AD" hidden="1">"c7"</definedName>
    <definedName name="IQ_ADD_PAID_IN" hidden="1">"c39"</definedName>
    <definedName name="IQ_ADDIN" hidden="1">"AUTO"</definedName>
    <definedName name="IQ_ADDITIONAL_NON_INT_INC_FDIC" hidden="1">"c6574"</definedName>
    <definedName name="IQ_ADJUSTABLE_RATE_LOANS_FDIC" hidden="1">"c6375"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LLOW_BORROW_CONST" hidden="1">"c15"</definedName>
    <definedName name="IQ_ALLOW_CONST" hidden="1">"c16"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ENSE_FDIC" hidden="1">"c6677"</definedName>
    <definedName name="IQ_AMORTIZATION" hidden="1">"c1471"</definedName>
    <definedName name="IQ_AMORTIZED_COST_FDIC" hidden="1">"c6426"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HELD_FDIC" hidden="1">"c6305"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UDITOR_NAME" hidden="1">"c1539"</definedName>
    <definedName name="IQ_AUDITOR_OPINION" hidden="1">"c1540"</definedName>
    <definedName name="IQ_AUTO_WRITTEN" hidden="1">"c62"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"c65"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"c88"</definedName>
    <definedName name="IQ_BIG_INT_BEAR_CD" hidden="1">"c89"</definedName>
    <definedName name="IQ_BOARD_MEMBER" hidden="1">"c96"</definedName>
    <definedName name="IQ_BOARD_MEMBER_TITLE" hidden="1">"c97"</definedName>
    <definedName name="IQ_BONDRATING_FITCH" hidden="1">"IQ_BONDRATING_FITCH"</definedName>
    <definedName name="IQ_BONDRATING_SP" hidden="1">"IQ_BONDRATING_SP"</definedName>
    <definedName name="IQ_BOOK_VALUE" hidden="1">"IQ_BOOK_VALUE"</definedName>
    <definedName name="IQ_BROK_COMISSION" hidden="1">"c98"</definedName>
    <definedName name="IQ_BROKERED_DEPOSITS_FDIC" hidden="1">"c6486"</definedName>
    <definedName name="IQ_BUILDINGS" hidden="1">"c99"</definedName>
    <definedName name="IQ_BUSINESS_DESCRIPTION" hidden="1">"c322"</definedName>
    <definedName name="IQ_BV_OVER_SHARES" hidden="1">"c100"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"c115"</definedName>
    <definedName name="IQ_CAPITAL_LEASES" hidden="1">"c115"</definedName>
    <definedName name="IQ_CASH" hidden="1">"c118"</definedName>
    <definedName name="IQ_CASH_ACQUIRE_CF" hidden="1">"c1630"</definedName>
    <definedName name="IQ_CASH_CONVERSION" hidden="1">"c117"</definedName>
    <definedName name="IQ_CASH_DIVIDENDS_NET_INCOME_FDIC" hidden="1">"c6738"</definedName>
    <definedName name="IQ_CASH_DUE_BANKS" hidden="1">"c118"</definedName>
    <definedName name="IQ_CASH_EQUIV" hidden="1">"c118"</definedName>
    <definedName name="IQ_CASH_FINAN" hidden="1">"c119"</definedName>
    <definedName name="IQ_CASH_IN_PROCESS_FDIC" hidden="1">"c6386"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T" hidden="1">"c124"</definedName>
    <definedName name="IQ_CASH_ST_INVEST" hidden="1">"c124"</definedName>
    <definedName name="IQ_CASH_TAXES" hidden="1">"c125"</definedName>
    <definedName name="IQ_CCE_FDIC" hidden="1">"c6296"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OTHER_NET_OPER_ASSETS_BR" hidden="1">"c3595"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"c161"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OSEPRICE" hidden="1">"c174"</definedName>
    <definedName name="IQ_CMO_FDIC" hidden="1">"c6406"</definedName>
    <definedName name="IQ_COGS" hidden="1">"c175"</definedName>
    <definedName name="IQ_COLLECTION_DOMESTIC_FDIC" hidden="1">"c6387"</definedName>
    <definedName name="IQ_COMBINED_RATIO" hidden="1">"c176"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SS_FEES" hidden="1">"c180"</definedName>
    <definedName name="IQ_COMMISSION_DEF" hidden="1">"c181"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"c182"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REET1" hidden="1">"c217"</definedName>
    <definedName name="IQ_COMPANY_STREET2" hidden="1">"c218"</definedName>
    <definedName name="IQ_COMPANY_TICKER" hidden="1">"c219"</definedName>
    <definedName name="IQ_COMPANY_WEBSITE" hidden="1">"c220"</definedName>
    <definedName name="IQ_COMPANY_ZIP" hidden="1">"c221"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OANS" hidden="1">"c222"</definedName>
    <definedName name="IQ_CONSUMER_LOANS" hidden="1">"c223"</definedName>
    <definedName name="IQ_CONTRACTS_OTHER_COMMODITIES_EQUITIES_FDIC" hidden="1">"c6522"</definedName>
    <definedName name="IQ_CONVEYED_TO_OTHERS_FDIC" hidden="1">"c6534"</definedName>
    <definedName name="IQ_CORE_CAPITAL_RATIO_FDIC" hidden="1">"c6745"</definedName>
    <definedName name="IQ_COST_BORROWINGS" hidden="1">"c225"</definedName>
    <definedName name="IQ_COST_OF_FUNDING_ASSETS_FDIC" hidden="1">"c6725"</definedName>
    <definedName name="IQ_COST_REV" hidden="1">"c226"</definedName>
    <definedName name="IQ_COST_REVENUE" hidden="1">"c226"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Q" hidden="1">5000</definedName>
    <definedName name="IQ_CREDIT_CARD_CHARGE_OFFS_FDIC" hidden="1">"c6652"</definedName>
    <definedName name="IQ_CREDIT_CARD_FEE_BNK" hidden="1">"c231"</definedName>
    <definedName name="IQ_CREDIT_CARD_FEE_FIN" hidden="1">"c1583"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CF" hidden="1">"c232"</definedName>
    <definedName name="IQ_CREDIT_LOSS_PROVISION_NET_CHARGE_OFFS_FDIC" hidden="1">"c6734"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YS_COVER_SHORT" hidden="1">"c1578"</definedName>
    <definedName name="IQ_DAYS_INVENTORY_OUT" hidden="1">"c273"</definedName>
    <definedName name="IQ_DAYS_PAY_OUTST" hidden="1">"c274"</definedName>
    <definedName name="IQ_DAYS_PAYABLE_OUT" hidden="1">"c274"</definedName>
    <definedName name="IQ_DAYS_SALES_OUT" hidden="1">"c275"</definedName>
    <definedName name="IQ_DAYS_SALES_OUTST" hidden="1">"c275"</definedName>
    <definedName name="IQ_DEF_ACQ_CST" hidden="1">"c301"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"c313"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INC_TAX" hidden="1">"c315"</definedName>
    <definedName name="IQ_DEFERRED_TAXES" hidden="1">"c147"</definedName>
    <definedName name="IQ_DEMAND_DEP" hidden="1">"c320"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FIN" hidden="1">"c321"</definedName>
    <definedName name="IQ_DEPOSITS_HELD_DOMESTIC_FDIC" hidden="1">"c6340"</definedName>
    <definedName name="IQ_DEPOSITS_HELD_FOREIGN_FDIC" hidden="1">"c6341"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"c247"</definedName>
    <definedName name="IQ_DEPRE_AMORT_SUPPL" hidden="1">"c1593"</definedName>
    <definedName name="IQ_DEPRE_DEPLE" hidden="1">"c261"</definedName>
    <definedName name="IQ_DEPRE_SUPP" hidden="1">"c1443"</definedName>
    <definedName name="IQ_DERIVATIVES_FDIC" hidden="1">"c6523"</definedName>
    <definedName name="IQ_DESCRIPTION_LONG" hidden="1">"c322"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NORMAL_EPS" hidden="1">"c1594"</definedName>
    <definedName name="IQ_DILUT_WEIGHT" hidden="1">"c326"</definedName>
    <definedName name="IQ_DISCONT_OPER" hidden="1">"c333"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SHARE" hidden="1">"c330"</definedName>
    <definedName name="IQ_DIVEST_CF" hidden="1">"c331"</definedName>
    <definedName name="IQ_DIVID_SHARE" hidden="1">"c330"</definedName>
    <definedName name="IQ_DIVIDEND_YIELD" hidden="1">"c332"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EARNING_ASSET_YIELD" hidden="1">"c343"</definedName>
    <definedName name="IQ_EARNING_ASSETS_FDIC" hidden="1">"c6360"</definedName>
    <definedName name="IQ_EARNING_ASSETS_YIELD_FDIC" hidden="1">"c6724"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COVERAGE_NET_CHARGE_OFFS_FDIC" hidden="1">"c6735"</definedName>
    <definedName name="IQ_EBIT" hidden="1">"c352"</definedName>
    <definedName name="IQ_EBIT_10K" hidden="1">"IQ_EBIT_10K"</definedName>
    <definedName name="IQ_EBIT_10Q" hidden="1">"IQ_EBIT_10Q"</definedName>
    <definedName name="IQ_EBIT_10Q1" hidden="1">"IQ_EBIT_10Q1"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GROWTH_1" hidden="1">"IQ_EBIT_GROWTH_1"</definedName>
    <definedName name="IQ_EBIT_GROWTH_2" hidden="1">"IQ_EBIT_GROWTH_2"</definedName>
    <definedName name="IQ_EBIT_INT" hidden="1">"c360"</definedName>
    <definedName name="IQ_EBIT_MARGIN" hidden="1">"c359"</definedName>
    <definedName name="IQ_EBIT_OVER_IE" hidden="1">"c360"</definedName>
    <definedName name="IQ_EBITDA" hidden="1">"c361"</definedName>
    <definedName name="IQ_EBITDA_10K" hidden="1">"IQ_EBITDA_10K"</definedName>
    <definedName name="IQ_EBITDA_10Q" hidden="1">"IQ_EBITDA_10Q"</definedName>
    <definedName name="IQ_EBITDA_10Q1" hidden="1">"IQ_EBITDA_10Q1"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"c368"</definedName>
    <definedName name="IQ_EBITDA_EST" hidden="1">"c252"</definedName>
    <definedName name="IQ_EBITDA_GROWTH_1" hidden="1">"IQ_EBITDA_GROWTH_1"</definedName>
    <definedName name="IQ_EBITDA_GROWTH_2" hidden="1">"IQ_EBITDA_GROWTH_2"</definedName>
    <definedName name="IQ_EBITDA_HIGH_EST" hidden="1">"c265"</definedName>
    <definedName name="IQ_EBITDA_INT" hidden="1">"c373"</definedName>
    <definedName name="IQ_EBITDA_LOW_EST" hidden="1">"c266"</definedName>
    <definedName name="IQ_EBITDA_MARGIN" hidden="1">"c372"</definedName>
    <definedName name="IQ_EBITDA_NUM_EST" hidden="1">"c267"</definedName>
    <definedName name="IQ_EBITDA_OVER_TOTAL_IE" hidden="1">"c373"</definedName>
    <definedName name="IQ_EBITDA_STDDEV_EST" hidden="1">"c268"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ICIENCY_RATIO" hidden="1">"c391"</definedName>
    <definedName name="IQ_EFFICIENCY_RATIO_FDIC" hidden="1">"c6736"</definedName>
    <definedName name="IQ_EMPLOYEES" hidden="1">"c392"</definedName>
    <definedName name="IQ_ENTERPRISE_VALUE" hidden="1">"c84"</definedName>
    <definedName name="IQ_EPS" hidden="1">"IQ_EPS"</definedName>
    <definedName name="IQ_EPS_10K" hidden="1">"IQ_EPS_10K"</definedName>
    <definedName name="IQ_EPS_10Q" hidden="1">"IQ_EPS_10Q"</definedName>
    <definedName name="IQ_EPS_10Q1" hidden="1">"IQ_EPS_10Q1"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EST_1" hidden="1">"IQ_EPS_EST_1"</definedName>
    <definedName name="IQ_EPS_HIGH_EST" hidden="1">"c400"</definedName>
    <definedName name="IQ_EPS_LOW_EST" hidden="1">"c401"</definedName>
    <definedName name="IQ_EPS_NUM_EST" hidden="1">"c402"</definedName>
    <definedName name="IQ_EPS_STDDEV_EST" hidden="1">"c403"</definedName>
    <definedName name="IQ_EQUITY_AFFIL" hidden="1">"c552"</definedName>
    <definedName name="IQ_EQUITY_CAPITAL_ASSETS_FDIC" hidden="1">"c6744"</definedName>
    <definedName name="IQ_EQUITY_FDIC" hidden="1">"c6353"</definedName>
    <definedName name="IQ_EQUITY_METHOD" hidden="1">"c404"</definedName>
    <definedName name="IQ_EQUITY_SECURITIES_FDIC" hidden="1">"c6304"</definedName>
    <definedName name="IQ_EQUITY_SECURITY_EXPOSURES_FDIC" hidden="1">"c6664"</definedName>
    <definedName name="IQ_EQV_OVER_BV" hidden="1">"c1596"</definedName>
    <definedName name="IQ_EQV_OVER_LTM_PRETAX_INC" hidden="1">"c739"</definedName>
    <definedName name="IQ_ESOP_DEBT" hidden="1">"c1597"</definedName>
    <definedName name="IQ_EST_ACT_EPS" hidden="1">"c1648"</definedName>
    <definedName name="IQ_EST_DATE" hidden="1">"c1634"</definedName>
    <definedName name="IQ_EST_EPS_GROWTH_1YR" hidden="1">"c1636"</definedName>
    <definedName name="IQ_EST_EPS_GROWTH_Q_1YR" hidden="1">"c1641"</definedName>
    <definedName name="IQ_ESTIMATED_ASSESSABLE_DEPOSITS_FDIC" hidden="1">"c6490"</definedName>
    <definedName name="IQ_ESTIMATED_INSURED_DEPOSITS_FDIC" hidden="1">"c6491"</definedName>
    <definedName name="IQ_EV_OVER_EMPLOYEE" hidden="1">"c1225"</definedName>
    <definedName name="IQ_EV_OVER_LTM_EBIT" hidden="1">"c1221"</definedName>
    <definedName name="IQ_EV_OVER_LTM_EBITDA" hidden="1">"c1223"</definedName>
    <definedName name="IQ_EV_OVER_LTM_REVENUE" hidden="1">"c1227"</definedName>
    <definedName name="IQ_EV_OVER_REVENUE_EST" hidden="1">"IQ_EV_OVER_REVENUE_EST"</definedName>
    <definedName name="IQ_EV_OVER_REVENUE_EST_1" hidden="1">"IQ_EV_OVER_REVENUE_EST_1"</definedName>
    <definedName name="IQ_EXCHANGE" hidden="1">"c405"</definedName>
    <definedName name="IQ_EXERCISE_PRICE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"c413"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DIC" hidden="1">"c417"</definedName>
    <definedName name="IQ_FED_FUNDS_PURCHASED_FDIC" hidden="1">"c6343"</definedName>
    <definedName name="IQ_FED_FUNDS_SOLD_FDIC" hidden="1">"c6307"</definedName>
    <definedName name="IQ_FFO" hidden="1">"c1574"</definedName>
    <definedName name="IQ_FFO_EST" hidden="1">"c273"</definedName>
    <definedName name="IQ_FFO_HIGH_EST" hidden="1">"c274"</definedName>
    <definedName name="IQ_FFO_LOW_EST" hidden="1">"c275"</definedName>
    <definedName name="IQ_FFO_NUM_EST" hidden="1">"c276"</definedName>
    <definedName name="IQ_FFO_STDDEV_EST" hidden="1">"c277"</definedName>
    <definedName name="IQ_FH" hidden="1">100000</definedName>
    <definedName name="IQ_FHLB_ADVANCES_FDIC" hidden="1">"c6366"</definedName>
    <definedName name="IQ_FHLB_DEBT" hidden="1">"c423"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"c893"</definedName>
    <definedName name="IQ_FINANCING_CASH_SUPPL" hidden="1">"c899"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NONTRANSACTION_ACCOUNTS_FDIC" hidden="1">"c6549"</definedName>
    <definedName name="IQ_FOREIGN_DEPOSITS_TRANSACTION_ACCOUNTS_FDIC" hidden="1">"c6541"</definedName>
    <definedName name="IQ_FOREIGN_EXCHANGE" hidden="1">"c451"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" hidden="1">"LTM"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WD_Q3" hidden="1">"504"</definedName>
    <definedName name="IQ_FWD_Q4" hidden="1">"505"</definedName>
    <definedName name="IQ_FWD_Q5" hidden="1">"506"</definedName>
    <definedName name="IQ_FWD_Q6" hidden="1">"507"</definedName>
    <definedName name="IQ_FWD_Q7" hidden="1">"508"</definedName>
    <definedName name="IQ_FWD1" hidden="1">"LTM"</definedName>
    <definedName name="IQ_FX" hidden="1">"c451"</definedName>
    <definedName name="IQ_FX_CONTRACTS_FDIC" hidden="1">"c6517"</definedName>
    <definedName name="IQ_FX_CONTRACTS_SPOT_FDIC" hidden="1">"c6356"</definedName>
    <definedName name="IQ_FY" hidden="1">1000</definedName>
    <definedName name="IQ_FY_DATE" hidden="1">"IQ_FY_DATE"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"c452"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OODWILL_NET" hidden="1">"c530"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"c192"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"c511"</definedName>
    <definedName name="IQ_GW" hidden="1">"c530"</definedName>
    <definedName name="IQ_GW_AMORT_BR" hidden="1">"c532"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ELD_MATURITY_FDIC" hidden="1">"c6408"</definedName>
    <definedName name="IQ_HIGHPRICE" hidden="1">"c545"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"c789"</definedName>
    <definedName name="IQ_INC_AVAIL_INCL" hidden="1">"c791"</definedName>
    <definedName name="IQ_INC_BEFORE_TAX" hidden="1">"c386"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EX_PROVIDED_DIVIDEND" hidden="1">"c19252"</definedName>
    <definedName name="IQ_INDEXCONSTITUENT_CLOSEPRICE" hidden="1">"c19241"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LOANS_FDIC" hidden="1">"c6365"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UNDERWRITING_INCOME_FDIC" hidden="1">"c6671"</definedName>
    <definedName name="IQ_INT_BORROW" hidden="1">"c583"</definedName>
    <definedName name="IQ_INT_DEMAND_NOTES_FDIC" hidden="1">"c6567"</definedName>
    <definedName name="IQ_INT_DEPOSITS" hidden="1">"c584"</definedName>
    <definedName name="IQ_INT_DIV_INC" hidden="1">"c585"</definedName>
    <definedName name="IQ_INT_DOMESTIC_DEPOSITS_FDIC" hidden="1">"c6564"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REIT" hidden="1">"c590"</definedName>
    <definedName name="IQ_INT_EXP_TOTAL" hidden="1">"c591"</definedName>
    <definedName name="IQ_INT_EXP_TOTAL_FDIC" hidden="1">"c6569"</definedName>
    <definedName name="IQ_INT_EXP_UTI" hidden="1">"c592"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IT" hidden="1">"c597"</definedName>
    <definedName name="IQ_INT_INC_SECURITIES_FDIC" hidden="1">"c6559"</definedName>
    <definedName name="IQ_INT_INC_TOTAL" hidden="1">"c598"</definedName>
    <definedName name="IQ_INT_INC_TOTAL_FDIC" hidden="1">"c6563"</definedName>
    <definedName name="IQ_INT_INC_TRADING_ACCOUNTS_FDIC" hidden="1">"c6560"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_SUB_NOTES_FDIC" hidden="1">"c6568"</definedName>
    <definedName name="IQ_INTANGIBLES_NET" hidden="1">"c907"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EXP" hidden="1">"c618"</definedName>
    <definedName name="IQ_INTEREST_EXP_NET" hidden="1">"c1450"</definedName>
    <definedName name="IQ_INTEREST_EXP_NON" hidden="1">"c618"</definedName>
    <definedName name="IQ_INTEREST_EXP_SUPPL" hidden="1">"c1460"</definedName>
    <definedName name="IQ_INTEREST_INC" hidden="1">"c769"</definedName>
    <definedName name="IQ_INTEREST_INC_10K" hidden="1">"IQ_INTEREST_INC_10K"</definedName>
    <definedName name="IQ_INTEREST_INC_10Q" hidden="1">"IQ_INTEREST_INC_10Q"</definedName>
    <definedName name="IQ_INTEREST_INC_10Q1" hidden="1">"IQ_INTEREST_INC_10Q1"</definedName>
    <definedName name="IQ_INTEREST_INC_NON" hidden="1">"c619"</definedName>
    <definedName name="IQ_INTEREST_INVEST_INC" hidden="1">"c619"</definedName>
    <definedName name="IQ_INTEREST_RATE_CONTRACTS_FDIC" hidden="1">"c6512"</definedName>
    <definedName name="IQ_INTEREST_RATE_EXPOSURES_FDIC" hidden="1">"c6662"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MENT_BANKING_OTHER_FEES_FDIC" hidden="1">"c6666"</definedName>
    <definedName name="IQ_IPRD" hidden="1">"c644"</definedName>
    <definedName name="IQ_IRA_KEOGH_ACCOUNTS_FDIC" hidden="1">"c6496"</definedName>
    <definedName name="IQ_ISS_DEBT_NET" hidden="1">"c751"</definedName>
    <definedName name="IQ_ISS_STOCK_NET" hidden="1">"c1601"</definedName>
    <definedName name="IQ_ISSUED_GUARANTEED_US_FDIC" hidden="1">"c6404"</definedName>
    <definedName name="IQ_LAND" hidden="1">"c645"</definedName>
    <definedName name="IQ_LAST_EBIT_MARGIN" hidden="1">"IQ_LAST_EBIT_MARGIN"</definedName>
    <definedName name="IQ_LAST_EBITDA_MARGIN" hidden="1">"IQ_LAST_EBITDA_MARGIN"</definedName>
    <definedName name="IQ_LAST_GROSS_MARGIN" hidden="1">"IQ_LAST_GROSS_MARGIN"</definedName>
    <definedName name="IQ_LAST_NET_INC_MARGIN" hidden="1">"IQ_LAST_NET_INC_MARGIN"</definedName>
    <definedName name="IQ_LASTSALEPRICE" hidden="1">"c646"</definedName>
    <definedName name="IQ_LATEST" hidden="1">"1"</definedName>
    <definedName name="IQ_LATESTK" hidden="1">1000</definedName>
    <definedName name="IQ_LATESTKFR" hidden="1">"100"</definedName>
    <definedName name="IQ_LATESTQ" hidden="1">500</definedName>
    <definedName name="IQ_LATESTQFR" hidden="1">"50"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IFE_INSURANCE_ASSETS_FDIC" hidden="1">"c6372"</definedName>
    <definedName name="IQ_LIFOR" hidden="1">"c655"</definedName>
    <definedName name="IQ_LL" hidden="1">"c656"</definedName>
    <definedName name="IQ_LOAN_COMMITMENTS_REVOLVING_FDIC" hidden="1">"c6524"</definedName>
    <definedName name="IQ_LOAN_LEASE_RECEIV" hidden="1">"c657"</definedName>
    <definedName name="IQ_LOAN_LOSS" hidden="1">"c656"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_SERVICE_REV" hidden="1">"c658"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DEPOSITORY_INSTITUTIONS_FDIC" hidden="1">"c6382"</definedName>
    <definedName name="IQ_LOANS_FOR_SALE" hidden="1">"c666"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NG_TERM_DEBT" hidden="1">"c674"</definedName>
    <definedName name="IQ_LONG_TERM_DEBT_OVER_TOTAL_CAP" hidden="1">"c677"</definedName>
    <definedName name="IQ_LONG_TERM_GROWTH" hidden="1">"c671"</definedName>
    <definedName name="IQ_LONG_TERM_INV" hidden="1">"c697"</definedName>
    <definedName name="IQ_LOSS_ALLOWANCE_LOANS_FDIC" hidden="1">"c6739"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DATE" hidden="1">"IQ_LTM_DATE"</definedName>
    <definedName name="IQ_LTM_REVENUE_OVER_EMPLOYEES" hidden="1">"c1304"</definedName>
    <definedName name="IQ_LTMMONTH" hidden="1">120000</definedName>
    <definedName name="IQ_MACHINERY" hidden="1">"c711"</definedName>
    <definedName name="IQ_MARKETCAP" hidden="1">"c712"</definedName>
    <definedName name="IQ_MATURITY_ONE_YEAR_LESS_FDIC" hidden="1">"c6425"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NEY_MARKET_DEPOSIT_ACCOUNTS_FDIC" hidden="1">"c6553"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SERVICING_FDIC" hidden="1">"c6335"</definedName>
    <definedName name="IQ_MTD" hidden="1">800000</definedName>
    <definedName name="IQ_MULTIFAMILY_RESIDENTIAL_LOANS_FDIC" hidden="1">"c6311"</definedName>
    <definedName name="IQ_NAMES_REVISION_DATE_" hidden="1">41168.7019791667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"c781"</definedName>
    <definedName name="IQ_NET_INC_10K" hidden="1">"IQ_NET_INC_10K"</definedName>
    <definedName name="IQ_NET_INC_10Q" hidden="1">"IQ_NET_INC_10Q"</definedName>
    <definedName name="IQ_NET_INC_10Q1" hidden="1">"IQ_NET_INC_10Q1"</definedName>
    <definedName name="IQ_NET_INC_BEFORE" hidden="1">"c344"</definedName>
    <definedName name="IQ_NET_INC_CF" hidden="1">"c793"</definedName>
    <definedName name="IQ_NET_INC_GROWTH_1" hidden="1">"IQ_NET_INC_GROWTH_1"</definedName>
    <definedName name="IQ_NET_INC_GROWTH_2" hidden="1">"IQ_NET_INC_GROWTH_2"</definedName>
    <definedName name="IQ_NET_INC_MARGIN" hidden="1">"c794"</definedName>
    <definedName name="IQ_NET_INCOME_FDIC" hidden="1">"c6587"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NK_FDIC" hidden="1">"c6570"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"c764"</definedName>
    <definedName name="IQ_NET_INTEREST_INC_AFTER_LL" hidden="1">"c1604"</definedName>
    <definedName name="IQ_NET_INTEREST_MARGIN_FDIC" hidden="1">"c6726"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OPERATING_INCOME_ASSETS_FDIC" hidden="1">"c6729"</definedName>
    <definedName name="IQ_NET_RENTAL_EXP_FN" hidden="1">"c780"</definedName>
    <definedName name="IQ_NET_SECURITIZATION_INCOME_FDIC" hidden="1">"c6669"</definedName>
    <definedName name="IQ_NET_SERVICING_FEES_FDIC" hidden="1">"c6668"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SFAS" hidden="1">"c795"</definedName>
    <definedName name="IQ_NON_ACCRUAL_LOANS" hidden="1">"c796"</definedName>
    <definedName name="IQ_NON_CASH" hidden="1">"c797"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EXP_FDIC" hidden="1">"c6579"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_INC_FDIC" hidden="1">"c6575"</definedName>
    <definedName name="IQ_NON_INTEREST_EXP" hidden="1">"c801"</definedName>
    <definedName name="IQ_NON_INTEREST_INC" hidden="1">"c802"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TRANSACTION_ACCOUNTS_FDIC" hidden="1">"c6552"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"c1176"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BER_DEPOSITS_LESS_THAN_100K_FDIC" hidden="1">"c6495"</definedName>
    <definedName name="IQ_NUMBER_DEPOSITS_MORE_THAN_100K_FDIC" hidden="1">"c6493"</definedName>
    <definedName name="IQ_OBLIGATIONS_OF_STATES_TOTAL_LOANS_FOREIGN_FDIC" hidden="1">"c6447"</definedName>
    <definedName name="IQ_OBLIGATIONS_STATES_FDIC" hidden="1">"c6431"</definedName>
    <definedName name="IQ_OCCUPY_EXP" hidden="1">"c839"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"c362"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ISSUED" hidden="1">"c857"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DJUST_GROSS_LOANS" hidden="1">"c859"</definedName>
    <definedName name="IQ_OTHER_AMORT_BR" hidden="1">"c5566"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BORROWED_FUNDS_FDIC" hidden="1">"c6345"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URRENT_ASSETS" hidden="1">"c868"</definedName>
    <definedName name="IQ_OTHER_CURRENT_LIAB" hidden="1">"c877"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SURANCE_FEES_FDIC" hidden="1">"c6672"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"c916"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OANS" hidden="1">"c945"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ONG_TERM" hidden="1">"c946"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"c959"</definedName>
    <definedName name="IQ_OTHER_NON_INT_EXP" hidden="1">"c953"</definedName>
    <definedName name="IQ_OTHER_NON_INT_EXP_FDIC" hidden="1">"c6578"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PC_WRITTEN" hidden="1">"c1006"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"c1010"</definedName>
    <definedName name="IQ_OTHER_SAVINGS_DEPOSITS_FDIC" hidden="1">"c6554"</definedName>
    <definedName name="IQ_OTHER_TRANSACTIONS_FDIC" hidden="1">"c6504"</definedName>
    <definedName name="IQ_OTHER_UNUSED_COMMITMENTS_FDIC" hidden="1">"c6530"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"c1022"</definedName>
    <definedName name="IQ_OUTSTANDING_FILING_DATE" hidden="1">"c1023"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PART_TIME" hidden="1">"c1024"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Y_ACCRUED" hidden="1">"c8"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NSION" hidden="1">"c1031"</definedName>
    <definedName name="IQ_PERCENT_INSURED_FDIC" hidden="1">"c6374"</definedName>
    <definedName name="IQ_PERIODDATE" hidden="1">"c1034"</definedName>
    <definedName name="IQ_PERIODDATE_BS" hidden="1">"c1032"</definedName>
    <definedName name="IQ_PERIODDATE_CF" hidden="1">"c1033"</definedName>
    <definedName name="IQ_PERIODDATE_FDIC" hidden="1">"c13646"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EDGED_SECURITIES_FDIC" hidden="1">"c6401"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RE_OPEN_COST" hidden="1">"c1040"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"c1052"</definedName>
    <definedName name="IQ_PREF_TOT" hidden="1">"c1044"</definedName>
    <definedName name="IQ_PREFERRED_FDIC" hidden="1">"c6349"</definedName>
    <definedName name="IQ_PREMISES_EQUIPMENT_FDIC" hidden="1">"c6577"</definedName>
    <definedName name="IQ_PREMIUMS_ANNUITY_REV" hidden="1">"c1067"</definedName>
    <definedName name="IQ_PREPAID_EXP" hidden="1">"c1068"</definedName>
    <definedName name="IQ_PREPAID_EXPEN" hidden="1">"c1068"</definedName>
    <definedName name="IQ_PRETAX_INC" hidden="1">"IQ_PRETAX_INC"</definedName>
    <definedName name="IQ_PRETAX_INC_10K" hidden="1">"IQ_PRETAX_INC_10K"</definedName>
    <definedName name="IQ_PRETAX_INC_10Q" hidden="1">"IQ_PRETAX_INC_10Q"</definedName>
    <definedName name="IQ_PRETAX_INC_10Q1" hidden="1">"IQ_PRETAX_INC_10Q1"</definedName>
    <definedName name="IQ_PRETAX_RETURN_ASSETS_FDIC" hidden="1">"c6731"</definedName>
    <definedName name="IQ_PRICE_OVER_BVPS" hidden="1">"c1026"</definedName>
    <definedName name="IQ_PRICE_OVER_EPS_EST" hidden="1">"IQ_PRICE_OVER_EPS_EST"</definedName>
    <definedName name="IQ_PRICE_OVER_EPS_EST_1" hidden="1">"IQ_PRICE_OVER_EPS_EST_1"</definedName>
    <definedName name="IQ_PRICE_OVER_LTM_EPS" hidden="1">"c1029"</definedName>
    <definedName name="IQ_PRICEDATE" hidden="1">"c1069"</definedName>
    <definedName name="IQ_PRICEDATETIME" hidden="1">"IQ_PRICEDATETIME"</definedName>
    <definedName name="IQ_PRICING_DATE" hidden="1">"c1613"</definedName>
    <definedName name="IQ_PRIMARY_INDUSTRY" hidden="1">"c1070"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"c795"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"c518"</definedName>
    <definedName name="IQ_PROPERTY_MGMT_FEE" hidden="1">"c1074"</definedName>
    <definedName name="IQ_PROPERTY_NET" hidden="1">"c829"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AL_ESTATE" hidden="1">"c1093"</definedName>
    <definedName name="IQ_REAL_ESTATE_ASSETS" hidden="1">"c1094"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DEEM_PREF_STOCK" hidden="1">"c1059"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LATED_PLANS_FDIC" hidden="1">"c6320"</definedName>
    <definedName name="IQ_RENTAL_REV" hidden="1">"c1101"</definedName>
    <definedName name="IQ_RESEARCH_DEV" hidden="1">"c1090"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NET_FDIC" hidden="1">"c6500"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DEPOSITS_FDIC" hidden="1">"c6488"</definedName>
    <definedName name="IQ_RETAINED_EARN" hidden="1">"c1092"</definedName>
    <definedName name="IQ_RETAINED_EARNINGS_AVERAGE_EQUITY_FDIC" hidden="1">"c6733"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DIC" hidden="1">"c6730"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DIC" hidden="1">"c6732"</definedName>
    <definedName name="IQ_RETURN_EQUITY_FS" hidden="1">"c1121"</definedName>
    <definedName name="IQ_RETURN_INVESTMENT" hidden="1">"c1117"</definedName>
    <definedName name="IQ_REV" hidden="1">"c1122"</definedName>
    <definedName name="IQ_REV_BEFORE_LL" hidden="1">"c1123"</definedName>
    <definedName name="IQ_REV_STDDEV_EST" hidden="1">"c264"</definedName>
    <definedName name="IQ_REV_UTI" hidden="1">"c1125"</definedName>
    <definedName name="IQ_REVALUATION_GAINS_FDIC" hidden="1">"c6428"</definedName>
    <definedName name="IQ_REVALUATION_LOSSES_FDIC" hidden="1">"c6429"</definedName>
    <definedName name="IQ_REVENUE" hidden="1">"c1122"</definedName>
    <definedName name="IQ_REVENUE_10K" hidden="1">"IQ_REVENUE_10K"</definedName>
    <definedName name="IQ_REVENUE_10Q" hidden="1">"IQ_REVENUE_10Q"</definedName>
    <definedName name="IQ_REVENUE_10Q1" hidden="1">"IQ_REVENUE_10Q1"</definedName>
    <definedName name="IQ_REVENUE_EST" hidden="1">"c188"</definedName>
    <definedName name="IQ_REVENUE_EST_1" hidden="1">"IQ_REVENUE_EST_1"</definedName>
    <definedName name="IQ_REVENUE_GROWTH_1" hidden="1">"IQ_REVENUE_GROWTH_1"</definedName>
    <definedName name="IQ_REVENUE_GROWTH_2" hidden="1">"IQ_REVENUE_GROWTH_2"</definedName>
    <definedName name="IQ_REVENUE_HIGH_EST" hidden="1">"c261"</definedName>
    <definedName name="IQ_REVENUE_LOW_EST" hidden="1">"c262"</definedName>
    <definedName name="IQ_REVENUE_NUM_EST" hidden="1">"c263"</definedName>
    <definedName name="IQ_REVOLVING_SECURED_1_–4_NON_ACCRUAL_FFIEC" hidden="1">"c13314"</definedName>
    <definedName name="IQ_RISK_WEIGHTED_ASSETS_FDIC" hidden="1">"c6370"</definedName>
    <definedName name="IQ_SALARY" hidden="1">"c1130"</definedName>
    <definedName name="IQ_SALARY_FDIC" hidden="1">"c6576"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FDIC" hidden="1">"c6572"</definedName>
    <definedName name="IQ_SGA" hidden="1">"c1158"</definedName>
    <definedName name="IQ_SGA_BNK" hidden="1">"c1159"</definedName>
    <definedName name="IQ_SGA_INS" hidden="1">"c1160"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"c83"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"c1197"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DEBT_FDIC" hidden="1">"c6346"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RPLUS_FDIC" hidden="1">"c6351"</definedName>
    <definedName name="IQ_SVA" hidden="1">"c1214"</definedName>
    <definedName name="IQ_TAX_BENEFIT_OPTIONS" hidden="1">"c1215"</definedName>
    <definedName name="IQ_TAX_EQUIV_NET_INT_INC" hidden="1">"c1216"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FDIC" hidden="1">"c6369"</definedName>
    <definedName name="IQ_TIER_ONE_RATIO" hidden="1">"c1229"</definedName>
    <definedName name="IQ_TIME_DEP" hidden="1">"c1230"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SSETS_FDIC" hidden="1">"c6339"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"c1266"</definedName>
    <definedName name="IQ_TOTAL_CASH_FINAN" hidden="1">"c119"</definedName>
    <definedName name="IQ_TOTAL_CASH_INVEST" hidden="1">"c121"</definedName>
    <definedName name="IQ_TOTAL_CASH_OPER" hidden="1">"c122"</definedName>
    <definedName name="IQ_TOTAL_CHARGE_OFFS_FDIC" hidden="1">"c6603"</definedName>
    <definedName name="IQ_TOTAL_CL" hidden="1">"c1245"</definedName>
    <definedName name="IQ_TOTAL_COMMON" hidden="1">"c1022"</definedName>
    <definedName name="IQ_TOTAL_COMMON_EQUITY" hidden="1">"c1246"</definedName>
    <definedName name="IQ_TOTAL_CURRENT_ASSETS" hidden="1">"c1243"</definedName>
    <definedName name="IQ_TOTAL_CURRENT_LIAB" hidden="1">"c1245"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"c1249"</definedName>
    <definedName name="IQ_TOTAL_DEBT_OVER_TOTAL_BV" hidden="1">"c1250"</definedName>
    <definedName name="IQ_TOTAL_DEBT_OVER_TOTAL_CAP" hidden="1">"c1248"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POSITS" hidden="1">"c1265"</definedName>
    <definedName name="IQ_TOTAL_DEPOSITS_FDIC" hidden="1">"c6342"</definedName>
    <definedName name="IQ_TOTAL_DIV_PAID_CF" hidden="1">"c1266"</definedName>
    <definedName name="IQ_TOTAL_EMPLOYEE" hidden="1">"c1522"</definedName>
    <definedName name="IQ_TOTAL_EMPLOYEES_FDIC" hidden="1">"c6355"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"c591"</definedName>
    <definedName name="IQ_TOTAL_INVENTORY" hidden="1">"c622"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"c1279"</definedName>
    <definedName name="IQ_TOTAL_LIAB_TOTAL_ASSETS" hidden="1">"c1283"</definedName>
    <definedName name="IQ_TOTAL_LIABILITIES_FDIC" hidden="1">"c6348"</definedName>
    <definedName name="IQ_TOTAL_LONG_DEBT" hidden="1">"c1617"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RECEIV" hidden="1">"c1293"</definedName>
    <definedName name="IQ_TOTAL_RECOVERIES_FDIC" hidden="1">"c6622"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UTI" hidden="1">"c1308"</definedName>
    <definedName name="IQ_TOTAL_REVENUE" hidden="1">"c1294"</definedName>
    <definedName name="IQ_TOTAL_RISK_BASED_CAPITAL_RATIO_FDIC" hidden="1">"c6747"</definedName>
    <definedName name="IQ_TOTAL_SECURITIES_FDIC" hidden="1">"c6306"</definedName>
    <definedName name="IQ_TOTAL_SPECIAL" hidden="1">"c1618"</definedName>
    <definedName name="IQ_TOTAL_ST_BORROW" hidden="1">"c1177"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" hidden="1">"c1508"</definedName>
    <definedName name="IQ_TOTAL_UNUSUAL_BR" hidden="1">"c5517"</definedName>
    <definedName name="IQ_TRADE_AR" hidden="1">"c40"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DIC" hidden="1">"c6328"</definedName>
    <definedName name="IQ_TRADING_LIABILITIES_FDIC" hidden="1">"c6344"</definedName>
    <definedName name="IQ_TRANSACTION_ACCOUNTS_FDIC" hidden="1">"c6544"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"c1311"</definedName>
    <definedName name="IQ_TREASURY_STOCK_TRANSACTIONS_FDIC" hidden="1">"c6501"</definedName>
    <definedName name="IQ_TRUST_INC" hidden="1">"c1319"</definedName>
    <definedName name="IQ_TRUST_PREF" hidden="1">"c1320"</definedName>
    <definedName name="IQ_TWELVE_MONTHS_FIXED_AND_FLOATING_FDIC" hidden="1">"c6420"</definedName>
    <definedName name="IQ_TWELVE_MONTHS_MORTGAGE_PASS_THROUGHS_FDIC" hidden="1">"c6412"</definedName>
    <definedName name="IQ_UNDIVIDED_PROFITS_FDIC" hidden="1">"c6352"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USED_LOAN_COMMITMENTS_FDIC" hidden="1">"c6368"</definedName>
    <definedName name="IQ_UNUSUAL_EXP" hidden="1">"c18"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UTIL_PPE_NET" hidden="1">"c1620"</definedName>
    <definedName name="IQ_UV_PENSION_LIAB" hidden="1">"c1332"</definedName>
    <definedName name="IQ_VALUATION_ALLOWANCES_FDIC" hidden="1">"c6400"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C_REVENUE_FDIC" hidden="1">"c6667"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WEEK" hidden="1">50000</definedName>
    <definedName name="IQ_WEIGHTED_AVG_PRICE" hidden="1">"c1334"</definedName>
    <definedName name="IQ_WIP_INV" hidden="1">"c1335"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YEARHIGH" hidden="1">"c1337"</definedName>
    <definedName name="IQ_YEARLOW" hidden="1">"c1338"</definedName>
    <definedName name="IQ_YTD" hidden="1">3000</definedName>
    <definedName name="IQ_YTDMONTH" hidden="1">130000</definedName>
    <definedName name="IQ_Z_SCORE" hidden="1">"c1339"</definedName>
    <definedName name="j" hidden="1">{"EVA",#N/A,FALSE,"EVA";"WACC",#N/A,FALSE,"WACC"}</definedName>
    <definedName name="Jour1" localSheetId="4">TAM!$T$7</definedName>
    <definedName name="Jour1">#REF!</definedName>
    <definedName name="Jour2" localSheetId="4">TAM!$T$8</definedName>
    <definedName name="Jour2">#REF!</definedName>
    <definedName name="k" hidden="1">{"DCF","UPSIDE CASE",FALSE,"Sheet1";"DCF","BASE CASE",FALSE,"Sheet1";"DCF","DOWNSIDE CASE",FALSE,"Sheet1"}</definedName>
    <definedName name="KeyAssump" hidden="1">{#N/A,#N/A,FALSE,"Input";#N/A,#N/A,FALSE,"Assumptions";#N/A,#N/A,FALSE,"Valuation";#N/A,#N/A,FALSE,"Financial Alternatives";#N/A,#N/A,FALSE,"Cash Flow"}</definedName>
    <definedName name="M_PlaceofPath" hidden="1">"F:\MREGAN\win\EXL\CO\HVAC\WLV\WLV_vdf.xls"</definedName>
    <definedName name="me" hidden="1">{#N/A,#N/A,FALSE,"Input";#N/A,#N/A,FALSE,"Assumptions";#N/A,#N/A,FALSE,"Valuation";#N/A,#N/A,FALSE,"Financial Alternatives";#N/A,#N/A,FALSE,"Cash Flow"}</definedName>
    <definedName name="MoisD" localSheetId="4">TAM!$T$9</definedName>
    <definedName name="MoisD">#REF!</definedName>
    <definedName name="MtEch" localSheetId="4">TAM!$D$8</definedName>
    <definedName name="MtEch">[2]TAM!$I$6</definedName>
    <definedName name="MtEmprunt" localSheetId="4">TAM!$V$12</definedName>
    <definedName name="MtEmprunt">[2]TAM!$D$5</definedName>
    <definedName name="NbDeci" localSheetId="4">TAM!$S$1</definedName>
    <definedName name="NbDeci">2</definedName>
    <definedName name="NbEch" localSheetId="4">TAM!$T$2</definedName>
    <definedName name="NbEch">[2]TAM!$I$11</definedName>
    <definedName name="NbEchAn" localSheetId="4">TAM!$T$1</definedName>
    <definedName name="NbEchAn">[2]TAM!$I$10</definedName>
    <definedName name="nhjythh" hidden="1">{"DCF","UPSIDE CASE",FALSE,"Sheet1";"DCF","BASE CASE",FALSE,"Sheet1";"DCF","DOWNSIDE CASE",FALSE,"Sheet1"}</definedName>
    <definedName name="NoEchMaxi" localSheetId="4">TAM!$S$3</definedName>
    <definedName name="NoEchMaxi">#REF!</definedName>
    <definedName name="NoEchRemb" localSheetId="4">TAM!$S$4</definedName>
    <definedName name="NoEchRemb">#REF!</definedName>
    <definedName name="Nombre_échéances" localSheetId="4">TAM!$P$4</definedName>
    <definedName name="Nombre_échéances">#REF!</definedName>
    <definedName name="nSkip">15</definedName>
    <definedName name="Periodicite" localSheetId="4">TAM!$W$10</definedName>
    <definedName name="Periodicite">#REF!</definedName>
    <definedName name="RVDebit" localSheetId="4">TAM!#REF!</definedName>
    <definedName name="RVDebit">#REF!</definedName>
    <definedName name="sadd" hidden="1">{"DCF","UPSIDE CASE",FALSE,"Sheet1";"DCF","BASE CASE",FALSE,"Sheet1";"DCF","DOWNSIDE CASE",FALSE,"Sheet1"}</definedName>
    <definedName name="SAPBEXrevision" hidden="1">2</definedName>
    <definedName name="SAPBEXsysID" hidden="1">"EFW"</definedName>
    <definedName name="SAPBEXwbID" hidden="1">"3RR8IAJVHLH9NP8M0N2ZFKJDS"</definedName>
    <definedName name="sdasd" hidden="1">{"EVA",#N/A,FALSE,"EVA";"WACC",#N/A,FALSE,"WACC"}</definedName>
    <definedName name="segfsdvgfsd" hidden="1">{"page1",#N/A,FALSE,"BHCOMPC5";"page2",#N/A,FALSE,"BHCOMPC5";"page3",#N/A,FALSE,"BHCOMPC5";"page4",#N/A,FALSE,"BHCOMPC5"}</definedName>
    <definedName name="sfads" hidden="1">{"EVA",#N/A,FALSE,"EVA";"WACC",#N/A,FALSE,"WACC"}</definedName>
    <definedName name="sgag" hidden="1">{"page1",#N/A,FALSE,"BHCOMPC5";"page2",#N/A,FALSE,"BHCOMPC5";"page3",#N/A,FALSE,"BHCOMPC5";"page4",#N/A,FALSE,"BHCOMPC5"}</definedName>
    <definedName name="ss" hidden="1">{"DCF1",#N/A,FALSE,"SIERRA DCF";"MATRIX1",#N/A,FALSE,"SIERRA DCF"}</definedName>
    <definedName name="TauxActuariel" localSheetId="4">TAM!$V$3</definedName>
    <definedName name="TauxActuariel">#REF!</definedName>
    <definedName name="Total_Capital" localSheetId="4">TAM!$P$6</definedName>
    <definedName name="Total_Capital">#REF!</definedName>
    <definedName name="Total_Frais" localSheetId="4">TAM!$P$7</definedName>
    <definedName name="Total_Frais">#REF!</definedName>
    <definedName name="Total_Intérêts" localSheetId="4">TAM!$P$5</definedName>
    <definedName name="Total_Intérêts">#REF!</definedName>
    <definedName name="TVDebit" localSheetId="4">TAM!$B$2:$B$8</definedName>
    <definedName name="TVDebit">#REF!</definedName>
    <definedName name="TxPer" localSheetId="4">TAM!$T$4</definedName>
    <definedName name="TxPer">[2]TAM!$I$8</definedName>
    <definedName name="value1" hidden="1">{#N/A,#N/A,FALSE,"Cashflow Analysis";#N/A,#N/A,FALSE,"Sensitivity Analysis";#N/A,#N/A,FALSE,"PV";#N/A,#N/A,FALSE,"Pro Forma"}</definedName>
    <definedName name="w" hidden="1">{"DCF1",#N/A,FALSE,"SIERRA DCF";"MATRIX1",#N/A,FALSE,"SIERRA DCF"}</definedName>
    <definedName name="WACC3" hidden="1">{"adj95mult",#N/A,FALSE,"COMPCO";"adj95est",#N/A,FALSE,"COMPCO"}</definedName>
    <definedName name="wrn.Acquisition_matrix." hidden="1">{"Acq_matrix",#N/A,FALSE,"Acquisition Matrix"}</definedName>
    <definedName name="wrn.adj95." hidden="1">{"adj95mult",#N/A,FALSE,"COMPCO";"adj95est",#N/A,FALSE,"COMPCO"}</definedName>
    <definedName name="wrn.All." hidden="1">{"Matrix",#N/A,FALSE,"ACQMTRX";"Fees",#N/A,FALSE,"ACQMTRX"}</definedName>
    <definedName name="wrn.AQUIROR._.DCF." hidden="1">{"AQUIRORDCF",#N/A,FALSE,"Merger consequences";"Acquirorassns",#N/A,FALSE,"Merger consequences"}</definedName>
    <definedName name="wrn.backup." hidden="1">{"background",#N/A,FALSE,"CS First Boston Merger Model";"inputs",#N/A,FALSE,"CS First Boston Merger Model"}</definedName>
    <definedName name="wrn.compco." hidden="1">{"mult96",#N/A,FALSE,"PETCOMP";"est96",#N/A,FALSE,"PETCOMP";"mult95",#N/A,FALSE,"PETCOMP";"est95",#N/A,FALSE,"PETCOMP";"multltm",#N/A,FALSE,"PETCOMP";"resultltm",#N/A,FALSE,"PETCOMP"}</definedName>
    <definedName name="wrn.compco2" hidden="1">{"page1",#N/A,FALSE,"BHCOMPC5";"page2",#N/A,FALSE,"BHCOMPC5";"page3",#N/A,FALSE,"BHCOMPC5";"page4",#N/A,FALSE,"BHCOMPC5"}</definedName>
    <definedName name="wrn.DCF." hidden="1">{"DCF1",#N/A,FALSE,"SIERRA DCF";"MATRIX1",#N/A,FALSE,"SIERRA DCF"}</definedName>
    <definedName name="wrn.DCF_Terminal_Value_qchm." hidden="1">{"qchm_dcf",#N/A,FALSE,"QCHMDCF2";"qchm_terminal",#N/A,FALSE,"QCHMDCF2"}</definedName>
    <definedName name="wrn.dcf2" hidden="1">{"DCF1",#N/A,FALSE,"SIERRA DCF";"MATRIX1",#N/A,FALSE,"SIERRA DCF"}</definedName>
    <definedName name="wrn.Development._.Model." hidden="1">{#N/A,#N/A,FALSE,"Input";#N/A,#N/A,FALSE,"Assumptions";#N/A,#N/A,FALSE,"Valuation";#N/A,#N/A,FALSE,"Financial Alternatives";#N/A,#N/A,FALSE,"Cash Flow"}</definedName>
    <definedName name="wrn.Economic._.Value._.Added._.Analysis." hidden="1">{"EVA",#N/A,FALSE,"EVA";"WACC",#N/A,FALSE,"WACC"}</definedName>
    <definedName name="wrn.Ferro." hidden="1">{"matt","zero",FALSE,"CS First Boston Merger Model";"matt","twenty",FALSE,"CS First Boston Merger Model";"matt","forty",FALSE,"CS First Boston Merger Model";"matt","sixty",FALSE,"CS First Boston Merger Model";"matt","eighty",FALSE,"CS First Boston Merger Model";"matt","hundred",FALSE,"CS First Boston Merger Model"}</definedName>
    <definedName name="wrn.FOUR._.CASES." hidden="1">{"MODEL","ALL STOCK",FALSE,"CS First Boston Merger Model";"MODEL","ALL CASH",FALSE,"CS First Boston Merger Model";"MODEL","ALL CASH WITH EQUITY OFFERING",FALSE,"CS First Boston Merger Model";"MODEL","HALF CASH/HALF STOCK",FALSE,"CS First Boston Merger Model"}</definedName>
    <definedName name="wrn.Full." hidden="1">{"Comp1",#N/A,FALSE,"COMP";"Comp2",#N/A,FALSE,"COMP";"Comp3",#N/A,FALSE,"COMP";"Comp4",#N/A,FALSE,"COMP"}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newoutput" hidden="1">{"DCF","UPSIDE CASE",FALSE,"Sheet1";"DCF","BASE CASE",FALSE,"Sheet1";"DCF","DOWNSIDE CASE",FALSE,"Sheet1"}</definedName>
    <definedName name="wrn.OUTPUT." hidden="1">{"DCF","UPSIDE CASE",FALSE,"Sheet1";"DCF","BASE CASE",FALSE,"Sheet1";"DCF","DOWNSIDE CASE",FALSE,"Sheet1"}</definedName>
    <definedName name="wrn.sales." hidden="1">{"sales",#N/A,FALSE,"Sales";"sales existing",#N/A,FALSE,"Sales";"sales rd1",#N/A,FALSE,"Sales";"sales rd2",#N/A,FALSE,"Sales"}</definedName>
    <definedName name="wrn.TARGET._.DCF." hidden="1">{"targetdcf",#N/A,FALSE,"Merger consequences";"TARGETASSU",#N/A,FALSE,"Merger consequences";"TERMINAL VALUE",#N/A,FALSE,"Merger consequences"}</definedName>
    <definedName name="wrn.Textron." hidden="1">{#N/A,#N/A,FALSE,"IS";#N/A,#N/A,FALSE,"SG";#N/A,#N/A,FALSE,"FF";#N/A,#N/A,FALSE,"BS";#N/A,#N/A,FALSE,"DCF";#N/A,#N/A,FALSE,"EVA";#N/A,#N/A,FALSE,"Air";#N/A,#N/A,FALSE,"Car";#N/A,#N/A,FALSE,"Ind";#N/A,#N/A,FALSE,"Sys";#N/A,#N/A,FALSE,"Fin";#N/A,#N/A,FALSE,"Ces";#N/A,#N/A,FALSE,"Bell"}</definedName>
    <definedName name="wrn.three" hidden="1">{"EVA",#N/A,FALSE,"EVA";"WACC",#N/A,FALSE,"WACC"}</definedName>
    <definedName name="wrn.Value." hidden="1">{#N/A,#N/A,FALSE,"Cashflow Analysis";#N/A,#N/A,FALSE,"Sensitivity Analysis";#N/A,#N/A,FALSE,"PV";#N/A,#N/A,FALSE,"Pro Forma"}</definedName>
    <definedName name="x" hidden="1">{#N/A,#N/A,FALSE,"Cashflow Analysis";#N/A,#N/A,FALSE,"Sensitivity Analysis";#N/A,#N/A,FALSE,"PV";#N/A,#N/A,FALSE,"Pro Forma"}</definedName>
    <definedName name="Yes" hidden="1">{"adj95mult",#N/A,FALSE,"COMPCO";"adj95est",#N/A,FALSE,"COMPCO"}</definedName>
    <definedName name="z" hidden="1">{"EVA",#N/A,FALSE,"EVA";"WACC",#N/A,FALSE,"WACC"}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" i="1" l="1"/>
  <c r="T17" i="1"/>
  <c r="S17" i="1"/>
  <c r="R17" i="1"/>
  <c r="Q17" i="1"/>
  <c r="P17" i="1"/>
  <c r="O17" i="1"/>
  <c r="N17" i="1"/>
  <c r="M17" i="1"/>
  <c r="K17" i="1"/>
  <c r="L17" i="1"/>
  <c r="G17" i="1"/>
  <c r="H17" i="1"/>
  <c r="I17" i="1"/>
  <c r="J17" i="1"/>
  <c r="F14" i="1"/>
  <c r="L11" i="1"/>
  <c r="F4" i="15"/>
  <c r="O8" i="1"/>
  <c r="O12" i="1"/>
  <c r="AE16" i="1"/>
  <c r="AE40" i="1"/>
  <c r="AD16" i="1"/>
  <c r="AD40" i="1"/>
  <c r="AC16" i="1"/>
  <c r="AC40" i="1"/>
  <c r="AB16" i="1"/>
  <c r="AB40" i="1"/>
  <c r="AA16" i="1"/>
  <c r="AA40" i="1"/>
  <c r="Z16" i="1"/>
  <c r="Z40" i="1"/>
  <c r="Y16" i="1"/>
  <c r="Y40" i="1"/>
  <c r="X16" i="1"/>
  <c r="X40" i="1"/>
  <c r="W16" i="1"/>
  <c r="W40" i="1"/>
  <c r="V16" i="1"/>
  <c r="V40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S40" i="1"/>
  <c r="R40" i="1"/>
  <c r="Q40" i="1"/>
  <c r="O14" i="1"/>
  <c r="K8" i="1"/>
  <c r="O9" i="1"/>
  <c r="P9" i="1"/>
  <c r="K11" i="1"/>
  <c r="O10" i="1"/>
  <c r="P10" i="1"/>
  <c r="P14" i="1"/>
  <c r="P40" i="1"/>
  <c r="O40" i="1"/>
  <c r="N40" i="1"/>
  <c r="M40" i="1"/>
  <c r="L40" i="1"/>
  <c r="K40" i="1"/>
  <c r="J40" i="1"/>
  <c r="I40" i="1"/>
  <c r="G40" i="1"/>
  <c r="T16" i="1"/>
  <c r="T40" i="1"/>
  <c r="U16" i="1"/>
  <c r="U40" i="1"/>
  <c r="I7" i="3"/>
  <c r="I8" i="3"/>
  <c r="I9" i="3"/>
  <c r="I10" i="3"/>
  <c r="I14" i="3"/>
  <c r="R9" i="1"/>
  <c r="O15" i="1"/>
  <c r="P15" i="1"/>
  <c r="D3" i="15"/>
  <c r="V10" i="15"/>
  <c r="V12" i="15"/>
  <c r="F3" i="15"/>
  <c r="T3" i="15"/>
  <c r="T2" i="15"/>
  <c r="D8" i="15"/>
  <c r="S15" i="15"/>
  <c r="C14" i="15"/>
  <c r="N14" i="15"/>
  <c r="L15" i="15"/>
  <c r="S5" i="15"/>
  <c r="M15" i="15"/>
  <c r="S6" i="15"/>
  <c r="N15" i="15"/>
  <c r="E36" i="1"/>
  <c r="O13" i="1"/>
  <c r="B38" i="1"/>
  <c r="E38" i="1"/>
  <c r="E37" i="1"/>
  <c r="E39" i="1"/>
  <c r="B24" i="1"/>
  <c r="E24" i="1"/>
  <c r="B25" i="1"/>
  <c r="E25" i="1"/>
  <c r="E28" i="1"/>
  <c r="E41" i="1"/>
  <c r="J44" i="1"/>
  <c r="K44" i="1"/>
  <c r="L44" i="1"/>
  <c r="M44" i="1"/>
  <c r="N44" i="1"/>
  <c r="N18" i="1"/>
  <c r="N21" i="1"/>
  <c r="N25" i="1"/>
  <c r="B26" i="1"/>
  <c r="N26" i="1"/>
  <c r="L16" i="15"/>
  <c r="H15" i="15"/>
  <c r="H16" i="15"/>
  <c r="S16" i="15"/>
  <c r="M16" i="15"/>
  <c r="N16" i="15"/>
  <c r="L17" i="15"/>
  <c r="H17" i="15"/>
  <c r="S17" i="15"/>
  <c r="M17" i="15"/>
  <c r="N17" i="15"/>
  <c r="L18" i="15"/>
  <c r="H18" i="15"/>
  <c r="S18" i="15"/>
  <c r="M18" i="15"/>
  <c r="N18" i="15"/>
  <c r="L19" i="15"/>
  <c r="H19" i="15"/>
  <c r="S19" i="15"/>
  <c r="M19" i="15"/>
  <c r="N19" i="15"/>
  <c r="L20" i="15"/>
  <c r="H20" i="15"/>
  <c r="S20" i="15"/>
  <c r="M20" i="15"/>
  <c r="N20" i="15"/>
  <c r="L21" i="15"/>
  <c r="H21" i="15"/>
  <c r="S21" i="15"/>
  <c r="M21" i="15"/>
  <c r="N21" i="15"/>
  <c r="L22" i="15"/>
  <c r="H22" i="15"/>
  <c r="S22" i="15"/>
  <c r="M22" i="15"/>
  <c r="N22" i="15"/>
  <c r="L23" i="15"/>
  <c r="H23" i="15"/>
  <c r="S23" i="15"/>
  <c r="M23" i="15"/>
  <c r="N23" i="15"/>
  <c r="L24" i="15"/>
  <c r="H24" i="15"/>
  <c r="S24" i="15"/>
  <c r="M24" i="15"/>
  <c r="N24" i="15"/>
  <c r="N36" i="1"/>
  <c r="N37" i="1"/>
  <c r="N38" i="1"/>
  <c r="N39" i="1"/>
  <c r="O43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L25" i="15"/>
  <c r="H25" i="15"/>
  <c r="S25" i="15"/>
  <c r="M25" i="15"/>
  <c r="N25" i="15"/>
  <c r="L26" i="15"/>
  <c r="H26" i="15"/>
  <c r="S26" i="15"/>
  <c r="M26" i="15"/>
  <c r="N26" i="15"/>
  <c r="L27" i="15"/>
  <c r="H27" i="15"/>
  <c r="S27" i="15"/>
  <c r="M27" i="15"/>
  <c r="N27" i="15"/>
  <c r="L28" i="15"/>
  <c r="H28" i="15"/>
  <c r="S28" i="15"/>
  <c r="M28" i="15"/>
  <c r="N28" i="15"/>
  <c r="L29" i="15"/>
  <c r="H29" i="15"/>
  <c r="S29" i="15"/>
  <c r="M29" i="15"/>
  <c r="N29" i="15"/>
  <c r="L30" i="15"/>
  <c r="H30" i="15"/>
  <c r="S30" i="15"/>
  <c r="M30" i="15"/>
  <c r="N30" i="15"/>
  <c r="L31" i="15"/>
  <c r="H31" i="15"/>
  <c r="S31" i="15"/>
  <c r="M31" i="15"/>
  <c r="N31" i="15"/>
  <c r="L32" i="15"/>
  <c r="H32" i="15"/>
  <c r="S32" i="15"/>
  <c r="M32" i="15"/>
  <c r="N32" i="15"/>
  <c r="L33" i="15"/>
  <c r="H33" i="15"/>
  <c r="N33" i="15"/>
  <c r="L34" i="15"/>
  <c r="H34" i="15"/>
  <c r="N34" i="15"/>
  <c r="L35" i="15"/>
  <c r="H35" i="15"/>
  <c r="N35" i="15"/>
  <c r="L36" i="15"/>
  <c r="H36" i="15"/>
  <c r="N36" i="15"/>
  <c r="L37" i="15"/>
  <c r="H37" i="15"/>
  <c r="N37" i="15"/>
  <c r="L38" i="15"/>
  <c r="H38" i="15"/>
  <c r="N38" i="15"/>
  <c r="L39" i="15"/>
  <c r="H39" i="15"/>
  <c r="N39" i="15"/>
  <c r="L40" i="15"/>
  <c r="H40" i="15"/>
  <c r="N40" i="15"/>
  <c r="L41" i="15"/>
  <c r="H41" i="15"/>
  <c r="M41" i="15"/>
  <c r="AE37" i="1"/>
  <c r="M40" i="15"/>
  <c r="AD37" i="1"/>
  <c r="M39" i="15"/>
  <c r="AC37" i="1"/>
  <c r="M38" i="15"/>
  <c r="AB37" i="1"/>
  <c r="M37" i="15"/>
  <c r="AA37" i="1"/>
  <c r="M36" i="15"/>
  <c r="Z37" i="1"/>
  <c r="M35" i="15"/>
  <c r="Y37" i="1"/>
  <c r="M34" i="15"/>
  <c r="X37" i="1"/>
  <c r="M33" i="15"/>
  <c r="W37" i="1"/>
  <c r="V37" i="1"/>
  <c r="U37" i="1"/>
  <c r="T37" i="1"/>
  <c r="S37" i="1"/>
  <c r="R37" i="1"/>
  <c r="Q37" i="1"/>
  <c r="P37" i="1"/>
  <c r="O37" i="1"/>
  <c r="M37" i="1"/>
  <c r="L37" i="1"/>
  <c r="K37" i="1"/>
  <c r="J37" i="1"/>
  <c r="I37" i="1"/>
  <c r="H37" i="1"/>
  <c r="G37" i="1"/>
  <c r="F37" i="1"/>
  <c r="E42" i="1"/>
  <c r="E43" i="1"/>
  <c r="E44" i="1"/>
  <c r="E47" i="1"/>
  <c r="E20" i="1"/>
  <c r="E21" i="1"/>
  <c r="E48" i="1"/>
  <c r="F5" i="2"/>
  <c r="F6" i="2"/>
  <c r="C14" i="2"/>
  <c r="D19" i="1"/>
  <c r="D21" i="1"/>
  <c r="D22" i="1"/>
  <c r="B23" i="1"/>
  <c r="D23" i="1"/>
  <c r="D24" i="1"/>
  <c r="D27" i="1"/>
  <c r="D41" i="1"/>
  <c r="D48" i="1"/>
  <c r="D49" i="1"/>
  <c r="E49" i="1"/>
  <c r="F36" i="1"/>
  <c r="F38" i="1"/>
  <c r="F39" i="1"/>
  <c r="C7" i="3"/>
  <c r="D7" i="3"/>
  <c r="D14" i="3"/>
  <c r="F17" i="1"/>
  <c r="F18" i="1"/>
  <c r="F21" i="1"/>
  <c r="F25" i="1"/>
  <c r="F26" i="1"/>
  <c r="F41" i="1"/>
  <c r="F45" i="1"/>
  <c r="F48" i="1"/>
  <c r="G38" i="1"/>
  <c r="G36" i="1"/>
  <c r="G39" i="1"/>
  <c r="E7" i="3"/>
  <c r="E8" i="3"/>
  <c r="E9" i="3"/>
  <c r="E14" i="3"/>
  <c r="G18" i="1"/>
  <c r="G21" i="1"/>
  <c r="G25" i="1"/>
  <c r="G26" i="1"/>
  <c r="G23" i="1"/>
  <c r="G41" i="1"/>
  <c r="G48" i="1"/>
  <c r="H38" i="1"/>
  <c r="H36" i="1"/>
  <c r="H39" i="1"/>
  <c r="F7" i="3"/>
  <c r="F8" i="3"/>
  <c r="F9" i="3"/>
  <c r="F14" i="3"/>
  <c r="H18" i="1"/>
  <c r="H21" i="1"/>
  <c r="H25" i="1"/>
  <c r="H26" i="1"/>
  <c r="H40" i="1"/>
  <c r="H23" i="1"/>
  <c r="H41" i="1"/>
  <c r="H48" i="1"/>
  <c r="I38" i="1"/>
  <c r="I36" i="1"/>
  <c r="I39" i="1"/>
  <c r="G7" i="3"/>
  <c r="G8" i="3"/>
  <c r="G9" i="3"/>
  <c r="G14" i="3"/>
  <c r="I18" i="1"/>
  <c r="I21" i="1"/>
  <c r="I25" i="1"/>
  <c r="I26" i="1"/>
  <c r="I23" i="1"/>
  <c r="I41" i="1"/>
  <c r="I48" i="1"/>
  <c r="J38" i="1"/>
  <c r="J36" i="1"/>
  <c r="J39" i="1"/>
  <c r="H7" i="3"/>
  <c r="H8" i="3"/>
  <c r="H9" i="3"/>
  <c r="H14" i="3"/>
  <c r="J18" i="1"/>
  <c r="J21" i="1"/>
  <c r="J25" i="1"/>
  <c r="J26" i="1"/>
  <c r="J41" i="1"/>
  <c r="J48" i="1"/>
  <c r="K38" i="1"/>
  <c r="K36" i="1"/>
  <c r="K39" i="1"/>
  <c r="K18" i="1"/>
  <c r="K21" i="1"/>
  <c r="K25" i="1"/>
  <c r="K26" i="1"/>
  <c r="A40" i="1"/>
  <c r="K41" i="1"/>
  <c r="K45" i="1"/>
  <c r="K48" i="1"/>
  <c r="L38" i="1"/>
  <c r="L36" i="1"/>
  <c r="L39" i="1"/>
  <c r="L18" i="1"/>
  <c r="L21" i="1"/>
  <c r="L25" i="1"/>
  <c r="L26" i="1"/>
  <c r="L41" i="1"/>
  <c r="L45" i="1"/>
  <c r="L48" i="1"/>
  <c r="M38" i="1"/>
  <c r="M36" i="1"/>
  <c r="M39" i="1"/>
  <c r="M18" i="1"/>
  <c r="M21" i="1"/>
  <c r="M25" i="1"/>
  <c r="M26" i="1"/>
  <c r="M41" i="1"/>
  <c r="M48" i="1"/>
  <c r="N41" i="1"/>
  <c r="N48" i="1"/>
  <c r="O38" i="1"/>
  <c r="O36" i="1"/>
  <c r="O39" i="1"/>
  <c r="O18" i="1"/>
  <c r="O21" i="1"/>
  <c r="O25" i="1"/>
  <c r="O26" i="1"/>
  <c r="O41" i="1"/>
  <c r="O48" i="1"/>
  <c r="P38" i="1"/>
  <c r="P36" i="1"/>
  <c r="P39" i="1"/>
  <c r="P18" i="1"/>
  <c r="P21" i="1"/>
  <c r="P25" i="1"/>
  <c r="P26" i="1"/>
  <c r="P41" i="1"/>
  <c r="P45" i="1"/>
  <c r="P48" i="1"/>
  <c r="Q38" i="1"/>
  <c r="Q36" i="1"/>
  <c r="Q39" i="1"/>
  <c r="Q18" i="1"/>
  <c r="Q21" i="1"/>
  <c r="Q25" i="1"/>
  <c r="Q26" i="1"/>
  <c r="Q41" i="1"/>
  <c r="Q48" i="1"/>
  <c r="R38" i="1"/>
  <c r="R36" i="1"/>
  <c r="R39" i="1"/>
  <c r="R18" i="1"/>
  <c r="R21" i="1"/>
  <c r="R25" i="1"/>
  <c r="R26" i="1"/>
  <c r="R41" i="1"/>
  <c r="R45" i="1"/>
  <c r="R48" i="1"/>
  <c r="S38" i="1"/>
  <c r="S36" i="1"/>
  <c r="S39" i="1"/>
  <c r="S18" i="1"/>
  <c r="S21" i="1"/>
  <c r="S25" i="1"/>
  <c r="S26" i="1"/>
  <c r="S41" i="1"/>
  <c r="S48" i="1"/>
  <c r="T38" i="1"/>
  <c r="T36" i="1"/>
  <c r="T39" i="1"/>
  <c r="T18" i="1"/>
  <c r="T21" i="1"/>
  <c r="T25" i="1"/>
  <c r="T26" i="1"/>
  <c r="T41" i="1"/>
  <c r="T48" i="1"/>
  <c r="U38" i="1"/>
  <c r="U36" i="1"/>
  <c r="U39" i="1"/>
  <c r="U18" i="1"/>
  <c r="U21" i="1"/>
  <c r="U25" i="1"/>
  <c r="U26" i="1"/>
  <c r="U41" i="1"/>
  <c r="V18" i="1"/>
  <c r="V21" i="1"/>
  <c r="W18" i="1"/>
  <c r="W21" i="1"/>
  <c r="X18" i="1"/>
  <c r="X21" i="1"/>
  <c r="Y18" i="1"/>
  <c r="Y21" i="1"/>
  <c r="Z18" i="1"/>
  <c r="Z21" i="1"/>
  <c r="AA18" i="1"/>
  <c r="AA21" i="1"/>
  <c r="AB18" i="1"/>
  <c r="AB21" i="1"/>
  <c r="AC18" i="1"/>
  <c r="AC21" i="1"/>
  <c r="AD18" i="1"/>
  <c r="AD21" i="1"/>
  <c r="AE18" i="1"/>
  <c r="AE21" i="1"/>
  <c r="B46" i="1"/>
  <c r="U45" i="1"/>
  <c r="U48" i="1"/>
  <c r="V39" i="1"/>
  <c r="V41" i="1"/>
  <c r="V48" i="1"/>
  <c r="W39" i="1"/>
  <c r="W41" i="1"/>
  <c r="W48" i="1"/>
  <c r="X39" i="1"/>
  <c r="X41" i="1"/>
  <c r="X48" i="1"/>
  <c r="Y39" i="1"/>
  <c r="Y41" i="1"/>
  <c r="Y48" i="1"/>
  <c r="Z39" i="1"/>
  <c r="Z41" i="1"/>
  <c r="Z48" i="1"/>
  <c r="AA39" i="1"/>
  <c r="AA41" i="1"/>
  <c r="AA48" i="1"/>
  <c r="AB39" i="1"/>
  <c r="AB41" i="1"/>
  <c r="AB48" i="1"/>
  <c r="AC39" i="1"/>
  <c r="AC41" i="1"/>
  <c r="AC48" i="1"/>
  <c r="AD39" i="1"/>
  <c r="AD41" i="1"/>
  <c r="AD48" i="1"/>
  <c r="AE41" i="1"/>
  <c r="AE48" i="1"/>
  <c r="E51" i="1"/>
  <c r="E52" i="1"/>
  <c r="S3" i="15"/>
  <c r="S4" i="15"/>
  <c r="S2" i="15"/>
  <c r="S1" i="15"/>
  <c r="S33" i="15"/>
  <c r="S34" i="15"/>
  <c r="S35" i="15"/>
  <c r="S36" i="15"/>
  <c r="S37" i="15"/>
  <c r="S38" i="15"/>
  <c r="S39" i="15"/>
  <c r="N41" i="15"/>
  <c r="AE36" i="1"/>
  <c r="AD36" i="1"/>
  <c r="AC36" i="1"/>
  <c r="AB36" i="1"/>
  <c r="AA36" i="1"/>
  <c r="Z36" i="1"/>
  <c r="Y36" i="1"/>
  <c r="X36" i="1"/>
  <c r="W36" i="1"/>
  <c r="V36" i="1"/>
  <c r="LF36" i="1"/>
  <c r="LE36" i="1"/>
  <c r="LD36" i="1"/>
  <c r="LC36" i="1"/>
  <c r="LB36" i="1"/>
  <c r="LA36" i="1"/>
  <c r="KZ36" i="1"/>
  <c r="KY36" i="1"/>
  <c r="KX36" i="1"/>
  <c r="KW36" i="1"/>
  <c r="KV36" i="1"/>
  <c r="KU36" i="1"/>
  <c r="KT36" i="1"/>
  <c r="KS36" i="1"/>
  <c r="KR36" i="1"/>
  <c r="KQ36" i="1"/>
  <c r="KP36" i="1"/>
  <c r="KO36" i="1"/>
  <c r="KN36" i="1"/>
  <c r="KM36" i="1"/>
  <c r="KL36" i="1"/>
  <c r="KK36" i="1"/>
  <c r="KJ36" i="1"/>
  <c r="KI36" i="1"/>
  <c r="KH36" i="1"/>
  <c r="KG36" i="1"/>
  <c r="KF36" i="1"/>
  <c r="KE36" i="1"/>
  <c r="KD36" i="1"/>
  <c r="KC36" i="1"/>
  <c r="KB36" i="1"/>
  <c r="KA36" i="1"/>
  <c r="JZ36" i="1"/>
  <c r="JY36" i="1"/>
  <c r="JX36" i="1"/>
  <c r="JW36" i="1"/>
  <c r="JV36" i="1"/>
  <c r="JU36" i="1"/>
  <c r="JT36" i="1"/>
  <c r="JS36" i="1"/>
  <c r="JR36" i="1"/>
  <c r="JQ36" i="1"/>
  <c r="JP36" i="1"/>
  <c r="JO36" i="1"/>
  <c r="JN36" i="1"/>
  <c r="JM36" i="1"/>
  <c r="JL36" i="1"/>
  <c r="JK36" i="1"/>
  <c r="JJ36" i="1"/>
  <c r="JI36" i="1"/>
  <c r="JH36" i="1"/>
  <c r="JG36" i="1"/>
  <c r="JF36" i="1"/>
  <c r="JE36" i="1"/>
  <c r="JD36" i="1"/>
  <c r="JC36" i="1"/>
  <c r="JB36" i="1"/>
  <c r="JA36" i="1"/>
  <c r="IZ36" i="1"/>
  <c r="IY36" i="1"/>
  <c r="IX36" i="1"/>
  <c r="IW36" i="1"/>
  <c r="IV36" i="1"/>
  <c r="IU36" i="1"/>
  <c r="IT36" i="1"/>
  <c r="IS36" i="1"/>
  <c r="IR36" i="1"/>
  <c r="IQ36" i="1"/>
  <c r="IP36" i="1"/>
  <c r="IO36" i="1"/>
  <c r="IN36" i="1"/>
  <c r="IM36" i="1"/>
  <c r="IL36" i="1"/>
  <c r="IK36" i="1"/>
  <c r="IJ36" i="1"/>
  <c r="II36" i="1"/>
  <c r="IH36" i="1"/>
  <c r="IG36" i="1"/>
  <c r="IF36" i="1"/>
  <c r="IE36" i="1"/>
  <c r="ID36" i="1"/>
  <c r="IC36" i="1"/>
  <c r="IB36" i="1"/>
  <c r="IA36" i="1"/>
  <c r="HZ36" i="1"/>
  <c r="HY36" i="1"/>
  <c r="HX36" i="1"/>
  <c r="HW36" i="1"/>
  <c r="HV36" i="1"/>
  <c r="HU36" i="1"/>
  <c r="HT36" i="1"/>
  <c r="HS36" i="1"/>
  <c r="HR36" i="1"/>
  <c r="HQ36" i="1"/>
  <c r="HP36" i="1"/>
  <c r="HO36" i="1"/>
  <c r="HN36" i="1"/>
  <c r="HM36" i="1"/>
  <c r="HL36" i="1"/>
  <c r="HK36" i="1"/>
  <c r="HJ36" i="1"/>
  <c r="HI36" i="1"/>
  <c r="HH36" i="1"/>
  <c r="HG36" i="1"/>
  <c r="HF36" i="1"/>
  <c r="HE36" i="1"/>
  <c r="HD36" i="1"/>
  <c r="HC36" i="1"/>
  <c r="HB36" i="1"/>
  <c r="HA36" i="1"/>
  <c r="GZ36" i="1"/>
  <c r="GY36" i="1"/>
  <c r="GX36" i="1"/>
  <c r="GW36" i="1"/>
  <c r="GV36" i="1"/>
  <c r="GU36" i="1"/>
  <c r="GT36" i="1"/>
  <c r="GS36" i="1"/>
  <c r="GR36" i="1"/>
  <c r="GQ36" i="1"/>
  <c r="GP36" i="1"/>
  <c r="GO36" i="1"/>
  <c r="GN36" i="1"/>
  <c r="GM36" i="1"/>
  <c r="GL36" i="1"/>
  <c r="GK36" i="1"/>
  <c r="GJ36" i="1"/>
  <c r="GI36" i="1"/>
  <c r="GH36" i="1"/>
  <c r="GG36" i="1"/>
  <c r="GF36" i="1"/>
  <c r="GE36" i="1"/>
  <c r="GD36" i="1"/>
  <c r="GC36" i="1"/>
  <c r="GB36" i="1"/>
  <c r="GA36" i="1"/>
  <c r="FZ36" i="1"/>
  <c r="FY36" i="1"/>
  <c r="FX36" i="1"/>
  <c r="FW36" i="1"/>
  <c r="FV36" i="1"/>
  <c r="FU36" i="1"/>
  <c r="FT36" i="1"/>
  <c r="FS36" i="1"/>
  <c r="FR36" i="1"/>
  <c r="FQ36" i="1"/>
  <c r="FP36" i="1"/>
  <c r="FO36" i="1"/>
  <c r="FN36" i="1"/>
  <c r="FM36" i="1"/>
  <c r="FL36" i="1"/>
  <c r="FK36" i="1"/>
  <c r="FJ36" i="1"/>
  <c r="FI36" i="1"/>
  <c r="FH36" i="1"/>
  <c r="FG36" i="1"/>
  <c r="FF36" i="1"/>
  <c r="FE36" i="1"/>
  <c r="FD36" i="1"/>
  <c r="FC36" i="1"/>
  <c r="FB36" i="1"/>
  <c r="FA36" i="1"/>
  <c r="EZ36" i="1"/>
  <c r="EY36" i="1"/>
  <c r="EX36" i="1"/>
  <c r="EW36" i="1"/>
  <c r="EV36" i="1"/>
  <c r="EU36" i="1"/>
  <c r="ET36" i="1"/>
  <c r="ES36" i="1"/>
  <c r="ER36" i="1"/>
  <c r="EQ36" i="1"/>
  <c r="EP36" i="1"/>
  <c r="EO36" i="1"/>
  <c r="EN36" i="1"/>
  <c r="EM36" i="1"/>
  <c r="EL36" i="1"/>
  <c r="EK36" i="1"/>
  <c r="EJ36" i="1"/>
  <c r="EI36" i="1"/>
  <c r="EH36" i="1"/>
  <c r="EG36" i="1"/>
  <c r="EF36" i="1"/>
  <c r="EE36" i="1"/>
  <c r="ED36" i="1"/>
  <c r="S40" i="15"/>
  <c r="S41" i="15"/>
  <c r="S42" i="15"/>
  <c r="S43" i="15"/>
  <c r="S44" i="15"/>
  <c r="L42" i="15"/>
  <c r="H42" i="15"/>
  <c r="N42" i="15"/>
  <c r="L43" i="15"/>
  <c r="H43" i="15"/>
  <c r="N43" i="15"/>
  <c r="L44" i="15"/>
  <c r="H44" i="15"/>
  <c r="M44" i="15"/>
  <c r="N44" i="15"/>
  <c r="O44" i="15"/>
  <c r="P44" i="15"/>
  <c r="K44" i="15"/>
  <c r="J44" i="15"/>
  <c r="I44" i="15"/>
  <c r="LL36" i="1"/>
  <c r="LK36" i="1"/>
  <c r="LJ36" i="1"/>
  <c r="LI36" i="1"/>
  <c r="LH36" i="1"/>
  <c r="LG36" i="1"/>
  <c r="V25" i="1"/>
  <c r="V26" i="1"/>
  <c r="V38" i="1"/>
  <c r="W25" i="1"/>
  <c r="W26" i="1"/>
  <c r="W38" i="1"/>
  <c r="X25" i="1"/>
  <c r="X26" i="1"/>
  <c r="X38" i="1"/>
  <c r="Y25" i="1"/>
  <c r="Y26" i="1"/>
  <c r="Y38" i="1"/>
  <c r="Z25" i="1"/>
  <c r="Z26" i="1"/>
  <c r="Z38" i="1"/>
  <c r="AA25" i="1"/>
  <c r="AA26" i="1"/>
  <c r="AA38" i="1"/>
  <c r="AB25" i="1"/>
  <c r="AB26" i="1"/>
  <c r="AB38" i="1"/>
  <c r="AC25" i="1"/>
  <c r="AC26" i="1"/>
  <c r="AC38" i="1"/>
  <c r="AD25" i="1"/>
  <c r="AD26" i="1"/>
  <c r="AD38" i="1"/>
  <c r="AE25" i="1"/>
  <c r="AE26" i="1"/>
  <c r="AE45" i="1"/>
  <c r="L45" i="15"/>
  <c r="H45" i="15"/>
  <c r="N45" i="15"/>
  <c r="L46" i="15"/>
  <c r="H46" i="15"/>
  <c r="N46" i="15"/>
  <c r="L47" i="15"/>
  <c r="H47" i="15"/>
  <c r="N47" i="15"/>
  <c r="L48" i="15"/>
  <c r="H48" i="15"/>
  <c r="N48" i="15"/>
  <c r="L49" i="15"/>
  <c r="H49" i="15"/>
  <c r="N49" i="15"/>
  <c r="L50" i="15"/>
  <c r="H50" i="15"/>
  <c r="N50" i="15"/>
  <c r="L51" i="15"/>
  <c r="H51" i="15"/>
  <c r="N51" i="15"/>
  <c r="L52" i="15"/>
  <c r="H52" i="15"/>
  <c r="N52" i="15"/>
  <c r="L53" i="15"/>
  <c r="H53" i="15"/>
  <c r="N53" i="15"/>
  <c r="L54" i="15"/>
  <c r="H54" i="15"/>
  <c r="N54" i="15"/>
  <c r="L55" i="15"/>
  <c r="H55" i="15"/>
  <c r="N55" i="15"/>
  <c r="L56" i="15"/>
  <c r="H56" i="15"/>
  <c r="N56" i="15"/>
  <c r="L57" i="15"/>
  <c r="H57" i="15"/>
  <c r="N57" i="15"/>
  <c r="L58" i="15"/>
  <c r="H58" i="15"/>
  <c r="N58" i="15"/>
  <c r="L59" i="15"/>
  <c r="H59" i="15"/>
  <c r="N59" i="15"/>
  <c r="L60" i="15"/>
  <c r="H60" i="15"/>
  <c r="N60" i="15"/>
  <c r="L61" i="15"/>
  <c r="H61" i="15"/>
  <c r="N61" i="15"/>
  <c r="L62" i="15"/>
  <c r="H62" i="15"/>
  <c r="N62" i="15"/>
  <c r="L63" i="15"/>
  <c r="H63" i="15"/>
  <c r="N63" i="15"/>
  <c r="L64" i="15"/>
  <c r="H64" i="15"/>
  <c r="N64" i="15"/>
  <c r="L65" i="15"/>
  <c r="H65" i="15"/>
  <c r="N65" i="15"/>
  <c r="L66" i="15"/>
  <c r="H66" i="15"/>
  <c r="N66" i="15"/>
  <c r="L67" i="15"/>
  <c r="H67" i="15"/>
  <c r="N67" i="15"/>
  <c r="L68" i="15"/>
  <c r="H68" i="15"/>
  <c r="N68" i="15"/>
  <c r="L69" i="15"/>
  <c r="H69" i="15"/>
  <c r="N69" i="15"/>
  <c r="L70" i="15"/>
  <c r="H70" i="15"/>
  <c r="N70" i="15"/>
  <c r="L71" i="15"/>
  <c r="H71" i="15"/>
  <c r="N71" i="15"/>
  <c r="L72" i="15"/>
  <c r="H72" i="15"/>
  <c r="N72" i="15"/>
  <c r="L73" i="15"/>
  <c r="H73" i="15"/>
  <c r="N73" i="15"/>
  <c r="L74" i="15"/>
  <c r="H74" i="15"/>
  <c r="N74" i="15"/>
  <c r="L75" i="15"/>
  <c r="H75" i="15"/>
  <c r="N75" i="15"/>
  <c r="L76" i="15"/>
  <c r="H76" i="15"/>
  <c r="N76" i="15"/>
  <c r="L77" i="15"/>
  <c r="H77" i="15"/>
  <c r="N77" i="15"/>
  <c r="L78" i="15"/>
  <c r="H78" i="15"/>
  <c r="N78" i="15"/>
  <c r="L79" i="15"/>
  <c r="H79" i="15"/>
  <c r="N79" i="15"/>
  <c r="L80" i="15"/>
  <c r="H80" i="15"/>
  <c r="N80" i="15"/>
  <c r="L81" i="15"/>
  <c r="H81" i="15"/>
  <c r="N81" i="15"/>
  <c r="L82" i="15"/>
  <c r="H82" i="15"/>
  <c r="N82" i="15"/>
  <c r="L83" i="15"/>
  <c r="H83" i="15"/>
  <c r="N83" i="15"/>
  <c r="L84" i="15"/>
  <c r="H84" i="15"/>
  <c r="N84" i="15"/>
  <c r="L85" i="15"/>
  <c r="H85" i="15"/>
  <c r="N85" i="15"/>
  <c r="L86" i="15"/>
  <c r="H86" i="15"/>
  <c r="N86" i="15"/>
  <c r="L87" i="15"/>
  <c r="H87" i="15"/>
  <c r="N87" i="15"/>
  <c r="L88" i="15"/>
  <c r="H88" i="15"/>
  <c r="N88" i="15"/>
  <c r="L89" i="15"/>
  <c r="H89" i="15"/>
  <c r="N89" i="15"/>
  <c r="L90" i="15"/>
  <c r="H90" i="15"/>
  <c r="N90" i="15"/>
  <c r="L91" i="15"/>
  <c r="H91" i="15"/>
  <c r="N91" i="15"/>
  <c r="L92" i="15"/>
  <c r="H92" i="15"/>
  <c r="N92" i="15"/>
  <c r="L93" i="15"/>
  <c r="H93" i="15"/>
  <c r="N93" i="15"/>
  <c r="L94" i="15"/>
  <c r="H94" i="15"/>
  <c r="N94" i="15"/>
  <c r="L95" i="15"/>
  <c r="H95" i="15"/>
  <c r="N95" i="15"/>
  <c r="L96" i="15"/>
  <c r="H96" i="15"/>
  <c r="N96" i="15"/>
  <c r="L97" i="15"/>
  <c r="H97" i="15"/>
  <c r="N97" i="15"/>
  <c r="L98" i="15"/>
  <c r="H98" i="15"/>
  <c r="N98" i="15"/>
  <c r="L99" i="15"/>
  <c r="H99" i="15"/>
  <c r="N99" i="15"/>
  <c r="L100" i="15"/>
  <c r="H100" i="15"/>
  <c r="N100" i="15"/>
  <c r="L101" i="15"/>
  <c r="H101" i="15"/>
  <c r="N101" i="15"/>
  <c r="L102" i="15"/>
  <c r="H102" i="15"/>
  <c r="N102" i="15"/>
  <c r="L103" i="15"/>
  <c r="H103" i="15"/>
  <c r="N103" i="15"/>
  <c r="L104" i="15"/>
  <c r="H104" i="15"/>
  <c r="N104" i="15"/>
  <c r="L105" i="15"/>
  <c r="H105" i="15"/>
  <c r="N105" i="15"/>
  <c r="L106" i="15"/>
  <c r="H106" i="15"/>
  <c r="N106" i="15"/>
  <c r="L107" i="15"/>
  <c r="H107" i="15"/>
  <c r="N107" i="15"/>
  <c r="L108" i="15"/>
  <c r="H108" i="15"/>
  <c r="N108" i="15"/>
  <c r="L109" i="15"/>
  <c r="H109" i="15"/>
  <c r="N109" i="15"/>
  <c r="L110" i="15"/>
  <c r="H110" i="15"/>
  <c r="N110" i="15"/>
  <c r="L111" i="15"/>
  <c r="H111" i="15"/>
  <c r="N111" i="15"/>
  <c r="L112" i="15"/>
  <c r="H112" i="15"/>
  <c r="N112" i="15"/>
  <c r="L113" i="15"/>
  <c r="H113" i="15"/>
  <c r="N113" i="15"/>
  <c r="L114" i="15"/>
  <c r="H114" i="15"/>
  <c r="N114" i="15"/>
  <c r="L115" i="15"/>
  <c r="H115" i="15"/>
  <c r="N115" i="15"/>
  <c r="L116" i="15"/>
  <c r="H116" i="15"/>
  <c r="N116" i="15"/>
  <c r="L117" i="15"/>
  <c r="H117" i="15"/>
  <c r="N117" i="15"/>
  <c r="L118" i="15"/>
  <c r="H118" i="15"/>
  <c r="N118" i="15"/>
  <c r="L119" i="15"/>
  <c r="H119" i="15"/>
  <c r="N119" i="15"/>
  <c r="L120" i="15"/>
  <c r="H120" i="15"/>
  <c r="N120" i="15"/>
  <c r="L121" i="15"/>
  <c r="H121" i="15"/>
  <c r="N121" i="15"/>
  <c r="L122" i="15"/>
  <c r="H122" i="15"/>
  <c r="N122" i="15"/>
  <c r="L123" i="15"/>
  <c r="H123" i="15"/>
  <c r="N123" i="15"/>
  <c r="L124" i="15"/>
  <c r="H124" i="15"/>
  <c r="N124" i="15"/>
  <c r="L125" i="15"/>
  <c r="H125" i="15"/>
  <c r="N125" i="15"/>
  <c r="L126" i="15"/>
  <c r="H126" i="15"/>
  <c r="N126" i="15"/>
  <c r="L127" i="15"/>
  <c r="H127" i="15"/>
  <c r="N127" i="15"/>
  <c r="L128" i="15"/>
  <c r="H128" i="15"/>
  <c r="N128" i="15"/>
  <c r="L129" i="15"/>
  <c r="H129" i="15"/>
  <c r="N129" i="15"/>
  <c r="L130" i="15"/>
  <c r="H130" i="15"/>
  <c r="N130" i="15"/>
  <c r="L131" i="15"/>
  <c r="H131" i="15"/>
  <c r="N131" i="15"/>
  <c r="L132" i="15"/>
  <c r="H132" i="15"/>
  <c r="N132" i="15"/>
  <c r="L133" i="15"/>
  <c r="H133" i="15"/>
  <c r="N133" i="15"/>
  <c r="L134" i="15"/>
  <c r="H134" i="15"/>
  <c r="N134" i="15"/>
  <c r="L135" i="15"/>
  <c r="H135" i="15"/>
  <c r="N135" i="15"/>
  <c r="L136" i="15"/>
  <c r="H136" i="15"/>
  <c r="N136" i="15"/>
  <c r="L137" i="15"/>
  <c r="H137" i="15"/>
  <c r="N137" i="15"/>
  <c r="L138" i="15"/>
  <c r="H138" i="15"/>
  <c r="N138" i="15"/>
  <c r="L139" i="15"/>
  <c r="H139" i="15"/>
  <c r="N139" i="15"/>
  <c r="L140" i="15"/>
  <c r="H140" i="15"/>
  <c r="N140" i="15"/>
  <c r="L141" i="15"/>
  <c r="H141" i="15"/>
  <c r="N141" i="15"/>
  <c r="L142" i="15"/>
  <c r="H142" i="15"/>
  <c r="N142" i="15"/>
  <c r="L143" i="15"/>
  <c r="H143" i="15"/>
  <c r="N143" i="15"/>
  <c r="L144" i="15"/>
  <c r="H144" i="15"/>
  <c r="N144" i="15"/>
  <c r="L145" i="15"/>
  <c r="H145" i="15"/>
  <c r="N145" i="15"/>
  <c r="L146" i="15"/>
  <c r="H146" i="15"/>
  <c r="N146" i="15"/>
  <c r="L147" i="15"/>
  <c r="H147" i="15"/>
  <c r="N147" i="15"/>
  <c r="L148" i="15"/>
  <c r="H148" i="15"/>
  <c r="N148" i="15"/>
  <c r="L149" i="15"/>
  <c r="H149" i="15"/>
  <c r="N149" i="15"/>
  <c r="L150" i="15"/>
  <c r="H150" i="15"/>
  <c r="N150" i="15"/>
  <c r="L151" i="15"/>
  <c r="H151" i="15"/>
  <c r="N151" i="15"/>
  <c r="L152" i="15"/>
  <c r="H152" i="15"/>
  <c r="N152" i="15"/>
  <c r="L153" i="15"/>
  <c r="H153" i="15"/>
  <c r="N153" i="15"/>
  <c r="L154" i="15"/>
  <c r="H154" i="15"/>
  <c r="N154" i="15"/>
  <c r="L155" i="15"/>
  <c r="H155" i="15"/>
  <c r="N155" i="15"/>
  <c r="L156" i="15"/>
  <c r="H156" i="15"/>
  <c r="N156" i="15"/>
  <c r="L157" i="15"/>
  <c r="H157" i="15"/>
  <c r="N157" i="15"/>
  <c r="L158" i="15"/>
  <c r="H158" i="15"/>
  <c r="N158" i="15"/>
  <c r="L159" i="15"/>
  <c r="H159" i="15"/>
  <c r="N159" i="15"/>
  <c r="L160" i="15"/>
  <c r="H160" i="15"/>
  <c r="N160" i="15"/>
  <c r="L161" i="15"/>
  <c r="H161" i="15"/>
  <c r="N161" i="15"/>
  <c r="L162" i="15"/>
  <c r="H162" i="15"/>
  <c r="N162" i="15"/>
  <c r="L163" i="15"/>
  <c r="H163" i="15"/>
  <c r="N163" i="15"/>
  <c r="L164" i="15"/>
  <c r="H164" i="15"/>
  <c r="N164" i="15"/>
  <c r="L165" i="15"/>
  <c r="H165" i="15"/>
  <c r="N165" i="15"/>
  <c r="L166" i="15"/>
  <c r="H166" i="15"/>
  <c r="N166" i="15"/>
  <c r="L167" i="15"/>
  <c r="H167" i="15"/>
  <c r="N167" i="15"/>
  <c r="L168" i="15"/>
  <c r="H168" i="15"/>
  <c r="N168" i="15"/>
  <c r="L169" i="15"/>
  <c r="H169" i="15"/>
  <c r="N169" i="15"/>
  <c r="L170" i="15"/>
  <c r="H170" i="15"/>
  <c r="N170" i="15"/>
  <c r="L171" i="15"/>
  <c r="H171" i="15"/>
  <c r="N171" i="15"/>
  <c r="L172" i="15"/>
  <c r="H172" i="15"/>
  <c r="N172" i="15"/>
  <c r="L173" i="15"/>
  <c r="H173" i="15"/>
  <c r="N173" i="15"/>
  <c r="L174" i="15"/>
  <c r="H174" i="15"/>
  <c r="N174" i="15"/>
  <c r="L175" i="15"/>
  <c r="H175" i="15"/>
  <c r="N175" i="15"/>
  <c r="L176" i="15"/>
  <c r="H176" i="15"/>
  <c r="N176" i="15"/>
  <c r="L177" i="15"/>
  <c r="H177" i="15"/>
  <c r="N177" i="15"/>
  <c r="L178" i="15"/>
  <c r="H178" i="15"/>
  <c r="N178" i="15"/>
  <c r="L179" i="15"/>
  <c r="H179" i="15"/>
  <c r="N179" i="15"/>
  <c r="L180" i="15"/>
  <c r="H180" i="15"/>
  <c r="N180" i="15"/>
  <c r="L181" i="15"/>
  <c r="H181" i="15"/>
  <c r="N181" i="15"/>
  <c r="L182" i="15"/>
  <c r="H182" i="15"/>
  <c r="N182" i="15"/>
  <c r="L183" i="15"/>
  <c r="H183" i="15"/>
  <c r="N183" i="15"/>
  <c r="L184" i="15"/>
  <c r="H184" i="15"/>
  <c r="N184" i="15"/>
  <c r="L185" i="15"/>
  <c r="H185" i="15"/>
  <c r="N185" i="15"/>
  <c r="L186" i="15"/>
  <c r="H186" i="15"/>
  <c r="N186" i="15"/>
  <c r="L187" i="15"/>
  <c r="H187" i="15"/>
  <c r="N187" i="15"/>
  <c r="L188" i="15"/>
  <c r="H188" i="15"/>
  <c r="N188" i="15"/>
  <c r="L189" i="15"/>
  <c r="H189" i="15"/>
  <c r="N189" i="15"/>
  <c r="L190" i="15"/>
  <c r="H190" i="15"/>
  <c r="N190" i="15"/>
  <c r="L191" i="15"/>
  <c r="H191" i="15"/>
  <c r="N191" i="15"/>
  <c r="L192" i="15"/>
  <c r="H192" i="15"/>
  <c r="N192" i="15"/>
  <c r="L193" i="15"/>
  <c r="H193" i="15"/>
  <c r="N193" i="15"/>
  <c r="L194" i="15"/>
  <c r="H194" i="15"/>
  <c r="N194" i="15"/>
  <c r="L195" i="15"/>
  <c r="H195" i="15"/>
  <c r="N195" i="15"/>
  <c r="L196" i="15"/>
  <c r="H196" i="15"/>
  <c r="N196" i="15"/>
  <c r="L197" i="15"/>
  <c r="H197" i="15"/>
  <c r="N197" i="15"/>
  <c r="L198" i="15"/>
  <c r="H198" i="15"/>
  <c r="N198" i="15"/>
  <c r="L199" i="15"/>
  <c r="H199" i="15"/>
  <c r="N199" i="15"/>
  <c r="L200" i="15"/>
  <c r="H200" i="15"/>
  <c r="N200" i="15"/>
  <c r="L201" i="15"/>
  <c r="H201" i="15"/>
  <c r="N201" i="15"/>
  <c r="L202" i="15"/>
  <c r="H202" i="15"/>
  <c r="N202" i="15"/>
  <c r="L203" i="15"/>
  <c r="H203" i="15"/>
  <c r="N203" i="15"/>
  <c r="L204" i="15"/>
  <c r="H204" i="15"/>
  <c r="N204" i="15"/>
  <c r="L205" i="15"/>
  <c r="H205" i="15"/>
  <c r="N205" i="15"/>
  <c r="L206" i="15"/>
  <c r="H206" i="15"/>
  <c r="N206" i="15"/>
  <c r="L207" i="15"/>
  <c r="H207" i="15"/>
  <c r="N207" i="15"/>
  <c r="L208" i="15"/>
  <c r="H208" i="15"/>
  <c r="N208" i="15"/>
  <c r="L209" i="15"/>
  <c r="H209" i="15"/>
  <c r="N209" i="15"/>
  <c r="L210" i="15"/>
  <c r="H210" i="15"/>
  <c r="N210" i="15"/>
  <c r="L211" i="15"/>
  <c r="H211" i="15"/>
  <c r="N211" i="15"/>
  <c r="L212" i="15"/>
  <c r="H212" i="15"/>
  <c r="N212" i="15"/>
  <c r="L213" i="15"/>
  <c r="H213" i="15"/>
  <c r="N213" i="15"/>
  <c r="L214" i="15"/>
  <c r="H214" i="15"/>
  <c r="N214" i="15"/>
  <c r="L215" i="15"/>
  <c r="H215" i="15"/>
  <c r="N215" i="15"/>
  <c r="L216" i="15"/>
  <c r="H216" i="15"/>
  <c r="N216" i="15"/>
  <c r="L217" i="15"/>
  <c r="H217" i="15"/>
  <c r="N217" i="15"/>
  <c r="L218" i="15"/>
  <c r="H218" i="15"/>
  <c r="N218" i="15"/>
  <c r="L219" i="15"/>
  <c r="H219" i="15"/>
  <c r="N219" i="15"/>
  <c r="L220" i="15"/>
  <c r="H220" i="15"/>
  <c r="N220" i="15"/>
  <c r="L221" i="15"/>
  <c r="H221" i="15"/>
  <c r="N221" i="15"/>
  <c r="L222" i="15"/>
  <c r="H222" i="15"/>
  <c r="N222" i="15"/>
  <c r="L223" i="15"/>
  <c r="H223" i="15"/>
  <c r="N223" i="15"/>
  <c r="L224" i="15"/>
  <c r="H224" i="15"/>
  <c r="N224" i="15"/>
  <c r="L225" i="15"/>
  <c r="H225" i="15"/>
  <c r="N225" i="15"/>
  <c r="L226" i="15"/>
  <c r="H226" i="15"/>
  <c r="N226" i="15"/>
  <c r="L227" i="15"/>
  <c r="H227" i="15"/>
  <c r="N227" i="15"/>
  <c r="L228" i="15"/>
  <c r="H228" i="15"/>
  <c r="N228" i="15"/>
  <c r="L229" i="15"/>
  <c r="H229" i="15"/>
  <c r="N229" i="15"/>
  <c r="L230" i="15"/>
  <c r="H230" i="15"/>
  <c r="N230" i="15"/>
  <c r="L231" i="15"/>
  <c r="H231" i="15"/>
  <c r="N231" i="15"/>
  <c r="L232" i="15"/>
  <c r="H232" i="15"/>
  <c r="N232" i="15"/>
  <c r="L233" i="15"/>
  <c r="H233" i="15"/>
  <c r="N233" i="15"/>
  <c r="L234" i="15"/>
  <c r="H234" i="15"/>
  <c r="N234" i="15"/>
  <c r="L235" i="15"/>
  <c r="H235" i="15"/>
  <c r="N235" i="15"/>
  <c r="L236" i="15"/>
  <c r="H236" i="15"/>
  <c r="N236" i="15"/>
  <c r="L237" i="15"/>
  <c r="H237" i="15"/>
  <c r="N237" i="15"/>
  <c r="L238" i="15"/>
  <c r="H238" i="15"/>
  <c r="N238" i="15"/>
  <c r="L239" i="15"/>
  <c r="H239" i="15"/>
  <c r="N239" i="15"/>
  <c r="L240" i="15"/>
  <c r="H240" i="15"/>
  <c r="N240" i="15"/>
  <c r="L241" i="15"/>
  <c r="H241" i="15"/>
  <c r="N241" i="15"/>
  <c r="L242" i="15"/>
  <c r="H242" i="15"/>
  <c r="N242" i="15"/>
  <c r="L243" i="15"/>
  <c r="H243" i="15"/>
  <c r="N243" i="15"/>
  <c r="L244" i="15"/>
  <c r="H244" i="15"/>
  <c r="N244" i="15"/>
  <c r="L245" i="15"/>
  <c r="H245" i="15"/>
  <c r="N245" i="15"/>
  <c r="L246" i="15"/>
  <c r="H246" i="15"/>
  <c r="N246" i="15"/>
  <c r="L247" i="15"/>
  <c r="H247" i="15"/>
  <c r="N247" i="15"/>
  <c r="L248" i="15"/>
  <c r="H248" i="15"/>
  <c r="N248" i="15"/>
  <c r="L249" i="15"/>
  <c r="H249" i="15"/>
  <c r="N249" i="15"/>
  <c r="L250" i="15"/>
  <c r="H250" i="15"/>
  <c r="N250" i="15"/>
  <c r="L251" i="15"/>
  <c r="H251" i="15"/>
  <c r="N251" i="15"/>
  <c r="L252" i="15"/>
  <c r="H252" i="15"/>
  <c r="N252" i="15"/>
  <c r="L253" i="15"/>
  <c r="H253" i="15"/>
  <c r="N253" i="15"/>
  <c r="L254" i="15"/>
  <c r="H254" i="15"/>
  <c r="N254" i="15"/>
  <c r="L255" i="15"/>
  <c r="H255" i="15"/>
  <c r="N255" i="15"/>
  <c r="L256" i="15"/>
  <c r="H256" i="15"/>
  <c r="N256" i="15"/>
  <c r="L257" i="15"/>
  <c r="H257" i="15"/>
  <c r="N257" i="15"/>
  <c r="L258" i="15"/>
  <c r="H258" i="15"/>
  <c r="N258" i="15"/>
  <c r="L259" i="15"/>
  <c r="H259" i="15"/>
  <c r="N259" i="15"/>
  <c r="L260" i="15"/>
  <c r="H260" i="15"/>
  <c r="N260" i="15"/>
  <c r="L261" i="15"/>
  <c r="H261" i="15"/>
  <c r="N261" i="15"/>
  <c r="L262" i="15"/>
  <c r="H262" i="15"/>
  <c r="N262" i="15"/>
  <c r="L263" i="15"/>
  <c r="H263" i="15"/>
  <c r="N263" i="15"/>
  <c r="L264" i="15"/>
  <c r="H264" i="15"/>
  <c r="N264" i="15"/>
  <c r="L265" i="15"/>
  <c r="H265" i="15"/>
  <c r="N265" i="15"/>
  <c r="L266" i="15"/>
  <c r="H266" i="15"/>
  <c r="N266" i="15"/>
  <c r="L267" i="15"/>
  <c r="H267" i="15"/>
  <c r="N267" i="15"/>
  <c r="L268" i="15"/>
  <c r="H268" i="15"/>
  <c r="N268" i="15"/>
  <c r="L269" i="15"/>
  <c r="H269" i="15"/>
  <c r="N269" i="15"/>
  <c r="L270" i="15"/>
  <c r="H270" i="15"/>
  <c r="N270" i="15"/>
  <c r="L271" i="15"/>
  <c r="H271" i="15"/>
  <c r="N271" i="15"/>
  <c r="L272" i="15"/>
  <c r="H272" i="15"/>
  <c r="N272" i="15"/>
  <c r="L273" i="15"/>
  <c r="H273" i="15"/>
  <c r="N273" i="15"/>
  <c r="L274" i="15"/>
  <c r="H274" i="15"/>
  <c r="N274" i="15"/>
  <c r="L275" i="15"/>
  <c r="H275" i="15"/>
  <c r="N275" i="15"/>
  <c r="L276" i="15"/>
  <c r="H276" i="15"/>
  <c r="N276" i="15"/>
  <c r="L277" i="15"/>
  <c r="H277" i="15"/>
  <c r="N277" i="15"/>
  <c r="L278" i="15"/>
  <c r="H278" i="15"/>
  <c r="N278" i="15"/>
  <c r="L279" i="15"/>
  <c r="H279" i="15"/>
  <c r="N279" i="15"/>
  <c r="L280" i="15"/>
  <c r="H280" i="15"/>
  <c r="N280" i="15"/>
  <c r="L281" i="15"/>
  <c r="H281" i="15"/>
  <c r="N281" i="15"/>
  <c r="L282" i="15"/>
  <c r="H282" i="15"/>
  <c r="N282" i="15"/>
  <c r="L283" i="15"/>
  <c r="H283" i="15"/>
  <c r="N283" i="15"/>
  <c r="L284" i="15"/>
  <c r="H284" i="15"/>
  <c r="N284" i="15"/>
  <c r="L285" i="15"/>
  <c r="H285" i="15"/>
  <c r="N285" i="15"/>
  <c r="L286" i="15"/>
  <c r="H286" i="15"/>
  <c r="N286" i="15"/>
  <c r="L287" i="15"/>
  <c r="H287" i="15"/>
  <c r="N287" i="15"/>
  <c r="L288" i="15"/>
  <c r="H288" i="15"/>
  <c r="N288" i="15"/>
  <c r="L289" i="15"/>
  <c r="H289" i="15"/>
  <c r="N289" i="15"/>
  <c r="L290" i="15"/>
  <c r="H290" i="15"/>
  <c r="N290" i="15"/>
  <c r="L291" i="15"/>
  <c r="H291" i="15"/>
  <c r="N291" i="15"/>
  <c r="L292" i="15"/>
  <c r="H292" i="15"/>
  <c r="N292" i="15"/>
  <c r="L293" i="15"/>
  <c r="H293" i="15"/>
  <c r="N293" i="15"/>
  <c r="L294" i="15"/>
  <c r="H294" i="15"/>
  <c r="N294" i="15"/>
  <c r="L295" i="15"/>
  <c r="H295" i="15"/>
  <c r="N295" i="15"/>
  <c r="L296" i="15"/>
  <c r="H296" i="15"/>
  <c r="N296" i="15"/>
  <c r="L297" i="15"/>
  <c r="H297" i="15"/>
  <c r="N297" i="15"/>
  <c r="L298" i="15"/>
  <c r="H298" i="15"/>
  <c r="N298" i="15"/>
  <c r="L299" i="15"/>
  <c r="H299" i="15"/>
  <c r="N299" i="15"/>
  <c r="L300" i="15"/>
  <c r="H300" i="15"/>
  <c r="N300" i="15"/>
  <c r="L301" i="15"/>
  <c r="H301" i="15"/>
  <c r="N301" i="15"/>
  <c r="L302" i="15"/>
  <c r="H302" i="15"/>
  <c r="N302" i="15"/>
  <c r="L303" i="15"/>
  <c r="H303" i="15"/>
  <c r="N303" i="15"/>
  <c r="L304" i="15"/>
  <c r="H304" i="15"/>
  <c r="N304" i="15"/>
  <c r="L305" i="15"/>
  <c r="H305" i="15"/>
  <c r="N305" i="15"/>
  <c r="L306" i="15"/>
  <c r="H306" i="15"/>
  <c r="N306" i="15"/>
  <c r="L307" i="15"/>
  <c r="H307" i="15"/>
  <c r="N307" i="15"/>
  <c r="L308" i="15"/>
  <c r="H308" i="15"/>
  <c r="N308" i="15"/>
  <c r="L309" i="15"/>
  <c r="H309" i="15"/>
  <c r="N309" i="15"/>
  <c r="L310" i="15"/>
  <c r="H310" i="15"/>
  <c r="N310" i="15"/>
  <c r="L311" i="15"/>
  <c r="H311" i="15"/>
  <c r="N311" i="15"/>
  <c r="L312" i="15"/>
  <c r="H312" i="15"/>
  <c r="N312" i="15"/>
  <c r="L313" i="15"/>
  <c r="H313" i="15"/>
  <c r="N313" i="15"/>
  <c r="L314" i="15"/>
  <c r="H314" i="15"/>
  <c r="N314" i="15"/>
  <c r="L315" i="15"/>
  <c r="H315" i="15"/>
  <c r="N315" i="15"/>
  <c r="L316" i="15"/>
  <c r="H316" i="15"/>
  <c r="N316" i="15"/>
  <c r="L317" i="15"/>
  <c r="H317" i="15"/>
  <c r="N317" i="15"/>
  <c r="L318" i="15"/>
  <c r="H318" i="15"/>
  <c r="N318" i="15"/>
  <c r="L319" i="15"/>
  <c r="H319" i="15"/>
  <c r="N319" i="15"/>
  <c r="L320" i="15"/>
  <c r="H320" i="15"/>
  <c r="N320" i="15"/>
  <c r="L321" i="15"/>
  <c r="H321" i="15"/>
  <c r="N321" i="15"/>
  <c r="L322" i="15"/>
  <c r="H322" i="15"/>
  <c r="N322" i="15"/>
  <c r="L323" i="15"/>
  <c r="H323" i="15"/>
  <c r="N323" i="15"/>
  <c r="L324" i="15"/>
  <c r="H324" i="15"/>
  <c r="N324" i="15"/>
  <c r="L325" i="15"/>
  <c r="H325" i="15"/>
  <c r="N325" i="15"/>
  <c r="L326" i="15"/>
  <c r="H326" i="15"/>
  <c r="N326" i="15"/>
  <c r="L327" i="15"/>
  <c r="H327" i="15"/>
  <c r="N327" i="15"/>
  <c r="L328" i="15"/>
  <c r="H328" i="15"/>
  <c r="N328" i="15"/>
  <c r="L329" i="15"/>
  <c r="H329" i="15"/>
  <c r="N329" i="15"/>
  <c r="L330" i="15"/>
  <c r="H330" i="15"/>
  <c r="N330" i="15"/>
  <c r="L331" i="15"/>
  <c r="H331" i="15"/>
  <c r="N331" i="15"/>
  <c r="L332" i="15"/>
  <c r="H332" i="15"/>
  <c r="N332" i="15"/>
  <c r="L333" i="15"/>
  <c r="H333" i="15"/>
  <c r="N333" i="15"/>
  <c r="L334" i="15"/>
  <c r="H334" i="15"/>
  <c r="N334" i="15"/>
  <c r="E375" i="1"/>
  <c r="W10" i="15"/>
  <c r="T1" i="15"/>
  <c r="T6" i="15"/>
  <c r="T7" i="15"/>
  <c r="T8" i="15"/>
  <c r="T9" i="15"/>
  <c r="T5" i="15"/>
  <c r="S7" i="15"/>
  <c r="K14" i="15"/>
  <c r="K15" i="15"/>
  <c r="V8" i="15"/>
  <c r="V7" i="15"/>
  <c r="V3" i="15"/>
  <c r="T4" i="15"/>
  <c r="R15" i="15"/>
  <c r="K16" i="15"/>
  <c r="R16" i="15"/>
  <c r="K17" i="15"/>
  <c r="R17" i="15"/>
  <c r="K18" i="15"/>
  <c r="R18" i="15"/>
  <c r="K19" i="15"/>
  <c r="R19" i="15"/>
  <c r="K20" i="15"/>
  <c r="R20" i="15"/>
  <c r="K21" i="15"/>
  <c r="R21" i="15"/>
  <c r="K22" i="15"/>
  <c r="R22" i="15"/>
  <c r="K23" i="15"/>
  <c r="R23" i="15"/>
  <c r="K24" i="15"/>
  <c r="R24" i="15"/>
  <c r="K25" i="15"/>
  <c r="R25" i="15"/>
  <c r="K26" i="15"/>
  <c r="R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5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K309" i="15"/>
  <c r="K310" i="15"/>
  <c r="K311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K325" i="15"/>
  <c r="K326" i="15"/>
  <c r="K327" i="15"/>
  <c r="K328" i="15"/>
  <c r="K329" i="15"/>
  <c r="K330" i="15"/>
  <c r="K331" i="15"/>
  <c r="K332" i="15"/>
  <c r="K333" i="15"/>
  <c r="K334" i="15"/>
  <c r="L335" i="15"/>
  <c r="K335" i="15"/>
  <c r="H335" i="15"/>
  <c r="N335" i="15"/>
  <c r="L336" i="15"/>
  <c r="K336" i="15"/>
  <c r="H336" i="15"/>
  <c r="N336" i="15"/>
  <c r="L337" i="15"/>
  <c r="K337" i="15"/>
  <c r="H337" i="15"/>
  <c r="N337" i="15"/>
  <c r="L338" i="15"/>
  <c r="K338" i="15"/>
  <c r="H338" i="15"/>
  <c r="N338" i="15"/>
  <c r="L339" i="15"/>
  <c r="K339" i="15"/>
  <c r="H339" i="15"/>
  <c r="N339" i="15"/>
  <c r="L340" i="15"/>
  <c r="K340" i="15"/>
  <c r="H340" i="15"/>
  <c r="N340" i="15"/>
  <c r="L341" i="15"/>
  <c r="K341" i="15"/>
  <c r="H341" i="15"/>
  <c r="N341" i="15"/>
  <c r="L342" i="15"/>
  <c r="K342" i="15"/>
  <c r="H342" i="15"/>
  <c r="N342" i="15"/>
  <c r="L343" i="15"/>
  <c r="K343" i="15"/>
  <c r="H343" i="15"/>
  <c r="N343" i="15"/>
  <c r="L344" i="15"/>
  <c r="K344" i="15"/>
  <c r="H344" i="15"/>
  <c r="N344" i="15"/>
  <c r="L345" i="15"/>
  <c r="K345" i="15"/>
  <c r="H345" i="15"/>
  <c r="N345" i="15"/>
  <c r="L346" i="15"/>
  <c r="K346" i="15"/>
  <c r="H346" i="15"/>
  <c r="N346" i="15"/>
  <c r="L347" i="15"/>
  <c r="K347" i="15"/>
  <c r="H347" i="15"/>
  <c r="N347" i="15"/>
  <c r="L348" i="15"/>
  <c r="K348" i="15"/>
  <c r="H348" i="15"/>
  <c r="N348" i="15"/>
  <c r="L349" i="15"/>
  <c r="K349" i="15"/>
  <c r="H349" i="15"/>
  <c r="N349" i="15"/>
  <c r="L350" i="15"/>
  <c r="K350" i="15"/>
  <c r="H350" i="15"/>
  <c r="N350" i="15"/>
  <c r="L351" i="15"/>
  <c r="K351" i="15"/>
  <c r="H351" i="15"/>
  <c r="N351" i="15"/>
  <c r="L352" i="15"/>
  <c r="K352" i="15"/>
  <c r="H352" i="15"/>
  <c r="N352" i="15"/>
  <c r="L353" i="15"/>
  <c r="K353" i="15"/>
  <c r="H353" i="15"/>
  <c r="N353" i="15"/>
  <c r="L354" i="15"/>
  <c r="K354" i="15"/>
  <c r="H354" i="15"/>
  <c r="N354" i="15"/>
  <c r="L355" i="15"/>
  <c r="K355" i="15"/>
  <c r="H355" i="15"/>
  <c r="N355" i="15"/>
  <c r="L356" i="15"/>
  <c r="K356" i="15"/>
  <c r="H356" i="15"/>
  <c r="N356" i="15"/>
  <c r="L357" i="15"/>
  <c r="K357" i="15"/>
  <c r="H357" i="15"/>
  <c r="N357" i="15"/>
  <c r="L358" i="15"/>
  <c r="K358" i="15"/>
  <c r="H358" i="15"/>
  <c r="N358" i="15"/>
  <c r="L359" i="15"/>
  <c r="K359" i="15"/>
  <c r="H359" i="15"/>
  <c r="N359" i="15"/>
  <c r="L360" i="15"/>
  <c r="K360" i="15"/>
  <c r="H360" i="15"/>
  <c r="N360" i="15"/>
  <c r="L361" i="15"/>
  <c r="K361" i="15"/>
  <c r="H361" i="15"/>
  <c r="N361" i="15"/>
  <c r="L362" i="15"/>
  <c r="K362" i="15"/>
  <c r="H362" i="15"/>
  <c r="N362" i="15"/>
  <c r="L363" i="15"/>
  <c r="K363" i="15"/>
  <c r="H363" i="15"/>
  <c r="N363" i="15"/>
  <c r="L364" i="15"/>
  <c r="K364" i="15"/>
  <c r="H364" i="15"/>
  <c r="N364" i="15"/>
  <c r="L365" i="15"/>
  <c r="K365" i="15"/>
  <c r="H365" i="15"/>
  <c r="N365" i="15"/>
  <c r="L366" i="15"/>
  <c r="K366" i="15"/>
  <c r="H366" i="15"/>
  <c r="N366" i="15"/>
  <c r="L367" i="15"/>
  <c r="K367" i="15"/>
  <c r="H367" i="15"/>
  <c r="N367" i="15"/>
  <c r="L368" i="15"/>
  <c r="K368" i="15"/>
  <c r="H368" i="15"/>
  <c r="N368" i="15"/>
  <c r="L369" i="15"/>
  <c r="K369" i="15"/>
  <c r="H369" i="15"/>
  <c r="N369" i="15"/>
  <c r="L370" i="15"/>
  <c r="K370" i="15"/>
  <c r="H370" i="15"/>
  <c r="N370" i="15"/>
  <c r="L371" i="15"/>
  <c r="K371" i="15"/>
  <c r="H371" i="15"/>
  <c r="N371" i="15"/>
  <c r="L372" i="15"/>
  <c r="K372" i="15"/>
  <c r="H372" i="15"/>
  <c r="N372" i="15"/>
  <c r="L373" i="15"/>
  <c r="K373" i="15"/>
  <c r="H373" i="15"/>
  <c r="N373" i="15"/>
  <c r="L374" i="15"/>
  <c r="K374" i="15"/>
  <c r="H374" i="15"/>
  <c r="N374" i="15"/>
  <c r="L375" i="15"/>
  <c r="K375" i="15"/>
  <c r="H375" i="15"/>
  <c r="N375" i="15"/>
  <c r="L376" i="15"/>
  <c r="K376" i="15"/>
  <c r="H376" i="15"/>
  <c r="N376" i="15"/>
  <c r="L377" i="15"/>
  <c r="K377" i="15"/>
  <c r="H377" i="15"/>
  <c r="N377" i="15"/>
  <c r="L378" i="15"/>
  <c r="K378" i="15"/>
  <c r="H378" i="15"/>
  <c r="N378" i="15"/>
  <c r="L379" i="15"/>
  <c r="K379" i="15"/>
  <c r="H379" i="15"/>
  <c r="N379" i="15"/>
  <c r="L380" i="15"/>
  <c r="K380" i="15"/>
  <c r="H380" i="15"/>
  <c r="N380" i="15"/>
  <c r="L381" i="15"/>
  <c r="K381" i="15"/>
  <c r="H381" i="15"/>
  <c r="N381" i="15"/>
  <c r="L382" i="15"/>
  <c r="K382" i="15"/>
  <c r="H382" i="15"/>
  <c r="N382" i="15"/>
  <c r="L383" i="15"/>
  <c r="K383" i="15"/>
  <c r="H383" i="15"/>
  <c r="N383" i="15"/>
  <c r="L384" i="15"/>
  <c r="K384" i="15"/>
  <c r="H384" i="15"/>
  <c r="N384" i="15"/>
  <c r="L385" i="15"/>
  <c r="K385" i="15"/>
  <c r="H385" i="15"/>
  <c r="N385" i="15"/>
  <c r="L386" i="15"/>
  <c r="K386" i="15"/>
  <c r="H386" i="15"/>
  <c r="N386" i="15"/>
  <c r="L387" i="15"/>
  <c r="K387" i="15"/>
  <c r="H387" i="15"/>
  <c r="N387" i="15"/>
  <c r="L388" i="15"/>
  <c r="K388" i="15"/>
  <c r="H388" i="15"/>
  <c r="N388" i="15"/>
  <c r="L389" i="15"/>
  <c r="K389" i="15"/>
  <c r="H389" i="15"/>
  <c r="N389" i="15"/>
  <c r="L390" i="15"/>
  <c r="K390" i="15"/>
  <c r="H390" i="15"/>
  <c r="N390" i="15"/>
  <c r="L391" i="15"/>
  <c r="K391" i="15"/>
  <c r="H391" i="15"/>
  <c r="N391" i="15"/>
  <c r="L392" i="15"/>
  <c r="K392" i="15"/>
  <c r="H392" i="15"/>
  <c r="N392" i="15"/>
  <c r="L393" i="15"/>
  <c r="K393" i="15"/>
  <c r="H393" i="15"/>
  <c r="N393" i="15"/>
  <c r="L394" i="15"/>
  <c r="K394" i="15"/>
  <c r="H394" i="15"/>
  <c r="N394" i="15"/>
  <c r="L395" i="15"/>
  <c r="K395" i="15"/>
  <c r="H395" i="15"/>
  <c r="N395" i="15"/>
  <c r="L396" i="15"/>
  <c r="K396" i="15"/>
  <c r="H396" i="15"/>
  <c r="N396" i="15"/>
  <c r="L397" i="15"/>
  <c r="K397" i="15"/>
  <c r="H397" i="15"/>
  <c r="N397" i="15"/>
  <c r="L398" i="15"/>
  <c r="K398" i="15"/>
  <c r="H398" i="15"/>
  <c r="N398" i="15"/>
  <c r="L399" i="15"/>
  <c r="K399" i="15"/>
  <c r="H399" i="15"/>
  <c r="N399" i="15"/>
  <c r="L400" i="15"/>
  <c r="K400" i="15"/>
  <c r="H400" i="15"/>
  <c r="N400" i="15"/>
  <c r="L401" i="15"/>
  <c r="K401" i="15"/>
  <c r="H401" i="15"/>
  <c r="N401" i="15"/>
  <c r="L402" i="15"/>
  <c r="K402" i="15"/>
  <c r="H402" i="15"/>
  <c r="N402" i="15"/>
  <c r="L403" i="15"/>
  <c r="K403" i="15"/>
  <c r="H403" i="15"/>
  <c r="N403" i="15"/>
  <c r="L404" i="15"/>
  <c r="K404" i="15"/>
  <c r="H404" i="15"/>
  <c r="N404" i="15"/>
  <c r="L405" i="15"/>
  <c r="K405" i="15"/>
  <c r="H405" i="15"/>
  <c r="N405" i="15"/>
  <c r="L406" i="15"/>
  <c r="K406" i="15"/>
  <c r="H406" i="15"/>
  <c r="N406" i="15"/>
  <c r="L407" i="15"/>
  <c r="K407" i="15"/>
  <c r="H407" i="15"/>
  <c r="N407" i="15"/>
  <c r="L408" i="15"/>
  <c r="K408" i="15"/>
  <c r="H408" i="15"/>
  <c r="N408" i="15"/>
  <c r="L409" i="15"/>
  <c r="K409" i="15"/>
  <c r="H409" i="15"/>
  <c r="N409" i="15"/>
  <c r="L410" i="15"/>
  <c r="K410" i="15"/>
  <c r="H410" i="15"/>
  <c r="N410" i="15"/>
  <c r="L411" i="15"/>
  <c r="K411" i="15"/>
  <c r="H411" i="15"/>
  <c r="N411" i="15"/>
  <c r="L412" i="15"/>
  <c r="K412" i="15"/>
  <c r="H412" i="15"/>
  <c r="N412" i="15"/>
  <c r="L413" i="15"/>
  <c r="K413" i="15"/>
  <c r="H413" i="15"/>
  <c r="N413" i="15"/>
  <c r="L414" i="15"/>
  <c r="K414" i="15"/>
  <c r="H414" i="15"/>
  <c r="N414" i="15"/>
  <c r="L415" i="15"/>
  <c r="K415" i="15"/>
  <c r="H415" i="15"/>
  <c r="N415" i="15"/>
  <c r="L416" i="15"/>
  <c r="K416" i="15"/>
  <c r="H416" i="15"/>
  <c r="N416" i="15"/>
  <c r="L417" i="15"/>
  <c r="K417" i="15"/>
  <c r="H417" i="15"/>
  <c r="N417" i="15"/>
  <c r="L418" i="15"/>
  <c r="K418" i="15"/>
  <c r="H418" i="15"/>
  <c r="N418" i="15"/>
  <c r="L419" i="15"/>
  <c r="K419" i="15"/>
  <c r="H419" i="15"/>
  <c r="N419" i="15"/>
  <c r="L420" i="15"/>
  <c r="K420" i="15"/>
  <c r="H420" i="15"/>
  <c r="N420" i="15"/>
  <c r="L421" i="15"/>
  <c r="K421" i="15"/>
  <c r="H421" i="15"/>
  <c r="N421" i="15"/>
  <c r="L422" i="15"/>
  <c r="K422" i="15"/>
  <c r="H422" i="15"/>
  <c r="N422" i="15"/>
  <c r="L423" i="15"/>
  <c r="K423" i="15"/>
  <c r="H423" i="15"/>
  <c r="N423" i="15"/>
  <c r="L424" i="15"/>
  <c r="K424" i="15"/>
  <c r="H424" i="15"/>
  <c r="N424" i="15"/>
  <c r="L425" i="15"/>
  <c r="K425" i="15"/>
  <c r="H425" i="15"/>
  <c r="N425" i="15"/>
  <c r="L426" i="15"/>
  <c r="K426" i="15"/>
  <c r="H426" i="15"/>
  <c r="N426" i="15"/>
  <c r="L427" i="15"/>
  <c r="K427" i="15"/>
  <c r="H427" i="15"/>
  <c r="N427" i="15"/>
  <c r="L428" i="15"/>
  <c r="K428" i="15"/>
  <c r="H428" i="15"/>
  <c r="N428" i="15"/>
  <c r="L429" i="15"/>
  <c r="K429" i="15"/>
  <c r="H429" i="15"/>
  <c r="N429" i="15"/>
  <c r="L430" i="15"/>
  <c r="K430" i="15"/>
  <c r="H430" i="15"/>
  <c r="N430" i="15"/>
  <c r="L431" i="15"/>
  <c r="K431" i="15"/>
  <c r="H431" i="15"/>
  <c r="N431" i="15"/>
  <c r="L432" i="15"/>
  <c r="K432" i="15"/>
  <c r="H432" i="15"/>
  <c r="N432" i="15"/>
  <c r="L433" i="15"/>
  <c r="K433" i="15"/>
  <c r="H433" i="15"/>
  <c r="N433" i="15"/>
  <c r="L434" i="15"/>
  <c r="K434" i="15"/>
  <c r="H434" i="15"/>
  <c r="N434" i="15"/>
  <c r="L435" i="15"/>
  <c r="K435" i="15"/>
  <c r="H435" i="15"/>
  <c r="N435" i="15"/>
  <c r="L436" i="15"/>
  <c r="K436" i="15"/>
  <c r="H436" i="15"/>
  <c r="N436" i="15"/>
  <c r="L437" i="15"/>
  <c r="K437" i="15"/>
  <c r="H437" i="15"/>
  <c r="N437" i="15"/>
  <c r="L438" i="15"/>
  <c r="K438" i="15"/>
  <c r="H438" i="15"/>
  <c r="N438" i="15"/>
  <c r="L439" i="15"/>
  <c r="K439" i="15"/>
  <c r="H439" i="15"/>
  <c r="N439" i="15"/>
  <c r="L440" i="15"/>
  <c r="K440" i="15"/>
  <c r="H440" i="15"/>
  <c r="N440" i="15"/>
  <c r="L441" i="15"/>
  <c r="K441" i="15"/>
  <c r="H441" i="15"/>
  <c r="N441" i="15"/>
  <c r="L442" i="15"/>
  <c r="K442" i="15"/>
  <c r="H442" i="15"/>
  <c r="N442" i="15"/>
  <c r="L443" i="15"/>
  <c r="K443" i="15"/>
  <c r="H443" i="15"/>
  <c r="N443" i="15"/>
  <c r="L444" i="15"/>
  <c r="K444" i="15"/>
  <c r="H444" i="15"/>
  <c r="N444" i="15"/>
  <c r="L445" i="15"/>
  <c r="K445" i="15"/>
  <c r="H445" i="15"/>
  <c r="N445" i="15"/>
  <c r="L446" i="15"/>
  <c r="K446" i="15"/>
  <c r="H446" i="15"/>
  <c r="N446" i="15"/>
  <c r="L447" i="15"/>
  <c r="K447" i="15"/>
  <c r="P3" i="15"/>
  <c r="H447" i="15"/>
  <c r="P4" i="15"/>
  <c r="M42" i="15"/>
  <c r="M43" i="15"/>
  <c r="M45" i="15"/>
  <c r="M46" i="15"/>
  <c r="M47" i="15"/>
  <c r="M48" i="15"/>
  <c r="M49" i="15"/>
  <c r="M50" i="15"/>
  <c r="M51" i="15"/>
  <c r="M52" i="15"/>
  <c r="M53" i="15"/>
  <c r="M54" i="15"/>
  <c r="M55" i="15"/>
  <c r="M56" i="15"/>
  <c r="M57" i="15"/>
  <c r="M58" i="15"/>
  <c r="M59" i="15"/>
  <c r="M60" i="15"/>
  <c r="M61" i="15"/>
  <c r="M62" i="15"/>
  <c r="M63" i="15"/>
  <c r="M64" i="15"/>
  <c r="M65" i="15"/>
  <c r="M66" i="15"/>
  <c r="M67" i="15"/>
  <c r="M68" i="15"/>
  <c r="M69" i="15"/>
  <c r="M70" i="15"/>
  <c r="M71" i="15"/>
  <c r="M72" i="15"/>
  <c r="M73" i="15"/>
  <c r="M74" i="15"/>
  <c r="M75" i="15"/>
  <c r="M76" i="15"/>
  <c r="M77" i="15"/>
  <c r="M78" i="15"/>
  <c r="M79" i="15"/>
  <c r="M80" i="15"/>
  <c r="M81" i="15"/>
  <c r="M82" i="15"/>
  <c r="M83" i="15"/>
  <c r="M84" i="15"/>
  <c r="M85" i="15"/>
  <c r="M86" i="15"/>
  <c r="M87" i="15"/>
  <c r="M88" i="15"/>
  <c r="M89" i="15"/>
  <c r="M90" i="15"/>
  <c r="M91" i="15"/>
  <c r="M92" i="15"/>
  <c r="M93" i="15"/>
  <c r="M94" i="15"/>
  <c r="M95" i="15"/>
  <c r="M96" i="15"/>
  <c r="M97" i="15"/>
  <c r="M98" i="15"/>
  <c r="M99" i="15"/>
  <c r="M100" i="15"/>
  <c r="M101" i="15"/>
  <c r="M102" i="15"/>
  <c r="M103" i="15"/>
  <c r="M104" i="15"/>
  <c r="M105" i="15"/>
  <c r="M106" i="15"/>
  <c r="M107" i="15"/>
  <c r="M108" i="15"/>
  <c r="M109" i="15"/>
  <c r="M110" i="15"/>
  <c r="M111" i="15"/>
  <c r="M112" i="15"/>
  <c r="M113" i="15"/>
  <c r="M114" i="15"/>
  <c r="M115" i="15"/>
  <c r="M116" i="15"/>
  <c r="M117" i="15"/>
  <c r="M118" i="15"/>
  <c r="M119" i="15"/>
  <c r="M120" i="15"/>
  <c r="M121" i="15"/>
  <c r="M122" i="15"/>
  <c r="M123" i="15"/>
  <c r="M124" i="15"/>
  <c r="M125" i="15"/>
  <c r="M126" i="15"/>
  <c r="M127" i="15"/>
  <c r="M128" i="15"/>
  <c r="M129" i="15"/>
  <c r="M130" i="15"/>
  <c r="M131" i="15"/>
  <c r="M132" i="15"/>
  <c r="M133" i="15"/>
  <c r="M134" i="15"/>
  <c r="M135" i="15"/>
  <c r="M136" i="15"/>
  <c r="M137" i="15"/>
  <c r="M138" i="15"/>
  <c r="M139" i="15"/>
  <c r="M140" i="15"/>
  <c r="M141" i="15"/>
  <c r="M142" i="15"/>
  <c r="M143" i="15"/>
  <c r="M144" i="15"/>
  <c r="M145" i="15"/>
  <c r="M146" i="15"/>
  <c r="M147" i="15"/>
  <c r="M148" i="15"/>
  <c r="M149" i="15"/>
  <c r="M150" i="15"/>
  <c r="M151" i="15"/>
  <c r="M152" i="15"/>
  <c r="M153" i="15"/>
  <c r="M154" i="15"/>
  <c r="M155" i="15"/>
  <c r="M156" i="15"/>
  <c r="M157" i="15"/>
  <c r="M158" i="15"/>
  <c r="M159" i="15"/>
  <c r="M160" i="15"/>
  <c r="M161" i="15"/>
  <c r="M162" i="15"/>
  <c r="M163" i="15"/>
  <c r="M164" i="15"/>
  <c r="M165" i="15"/>
  <c r="M166" i="15"/>
  <c r="M167" i="15"/>
  <c r="M168" i="15"/>
  <c r="M169" i="15"/>
  <c r="M170" i="15"/>
  <c r="M171" i="15"/>
  <c r="M172" i="15"/>
  <c r="M173" i="15"/>
  <c r="M174" i="15"/>
  <c r="M175" i="15"/>
  <c r="M176" i="15"/>
  <c r="M177" i="15"/>
  <c r="M178" i="15"/>
  <c r="M179" i="15"/>
  <c r="M180" i="15"/>
  <c r="M181" i="15"/>
  <c r="M182" i="15"/>
  <c r="M183" i="15"/>
  <c r="M184" i="15"/>
  <c r="M185" i="15"/>
  <c r="M186" i="15"/>
  <c r="M187" i="15"/>
  <c r="M188" i="15"/>
  <c r="M189" i="15"/>
  <c r="M190" i="15"/>
  <c r="M191" i="15"/>
  <c r="M192" i="15"/>
  <c r="M193" i="15"/>
  <c r="M194" i="15"/>
  <c r="M195" i="15"/>
  <c r="M196" i="15"/>
  <c r="M197" i="15"/>
  <c r="M198" i="15"/>
  <c r="M199" i="15"/>
  <c r="M200" i="15"/>
  <c r="M201" i="15"/>
  <c r="M202" i="15"/>
  <c r="M203" i="15"/>
  <c r="M204" i="15"/>
  <c r="M205" i="15"/>
  <c r="M206" i="15"/>
  <c r="M207" i="15"/>
  <c r="M208" i="15"/>
  <c r="M209" i="15"/>
  <c r="M210" i="15"/>
  <c r="M211" i="15"/>
  <c r="M212" i="15"/>
  <c r="M213" i="15"/>
  <c r="M214" i="15"/>
  <c r="M215" i="15"/>
  <c r="M216" i="15"/>
  <c r="M217" i="15"/>
  <c r="M218" i="15"/>
  <c r="M219" i="15"/>
  <c r="M220" i="15"/>
  <c r="M221" i="15"/>
  <c r="M222" i="15"/>
  <c r="M223" i="15"/>
  <c r="M224" i="15"/>
  <c r="M225" i="15"/>
  <c r="M226" i="15"/>
  <c r="M227" i="15"/>
  <c r="M228" i="15"/>
  <c r="M229" i="15"/>
  <c r="M230" i="15"/>
  <c r="M231" i="15"/>
  <c r="M232" i="15"/>
  <c r="M233" i="15"/>
  <c r="M234" i="15"/>
  <c r="M235" i="15"/>
  <c r="M236" i="15"/>
  <c r="M237" i="15"/>
  <c r="M238" i="15"/>
  <c r="M239" i="15"/>
  <c r="M240" i="15"/>
  <c r="M241" i="15"/>
  <c r="M242" i="15"/>
  <c r="M243" i="15"/>
  <c r="M244" i="15"/>
  <c r="M245" i="15"/>
  <c r="M246" i="15"/>
  <c r="M247" i="15"/>
  <c r="M248" i="15"/>
  <c r="M249" i="15"/>
  <c r="M250" i="15"/>
  <c r="M251" i="15"/>
  <c r="M252" i="15"/>
  <c r="M253" i="15"/>
  <c r="M254" i="15"/>
  <c r="M255" i="15"/>
  <c r="M256" i="15"/>
  <c r="M257" i="15"/>
  <c r="M258" i="15"/>
  <c r="M259" i="15"/>
  <c r="M260" i="15"/>
  <c r="M261" i="15"/>
  <c r="M262" i="15"/>
  <c r="M263" i="15"/>
  <c r="M264" i="15"/>
  <c r="M265" i="15"/>
  <c r="M266" i="15"/>
  <c r="M267" i="15"/>
  <c r="M268" i="15"/>
  <c r="M269" i="15"/>
  <c r="M270" i="15"/>
  <c r="M271" i="15"/>
  <c r="M272" i="15"/>
  <c r="M273" i="15"/>
  <c r="M274" i="15"/>
  <c r="M275" i="15"/>
  <c r="M276" i="15"/>
  <c r="M277" i="15"/>
  <c r="M278" i="15"/>
  <c r="M279" i="15"/>
  <c r="M280" i="15"/>
  <c r="M281" i="15"/>
  <c r="M282" i="15"/>
  <c r="M283" i="15"/>
  <c r="M284" i="15"/>
  <c r="M285" i="15"/>
  <c r="M286" i="15"/>
  <c r="M287" i="15"/>
  <c r="M288" i="15"/>
  <c r="M289" i="15"/>
  <c r="M290" i="15"/>
  <c r="M291" i="15"/>
  <c r="M292" i="15"/>
  <c r="M293" i="15"/>
  <c r="M294" i="15"/>
  <c r="M295" i="15"/>
  <c r="M296" i="15"/>
  <c r="M297" i="15"/>
  <c r="M298" i="15"/>
  <c r="M299" i="15"/>
  <c r="M300" i="15"/>
  <c r="M301" i="15"/>
  <c r="M302" i="15"/>
  <c r="M303" i="15"/>
  <c r="M304" i="15"/>
  <c r="M305" i="15"/>
  <c r="M306" i="15"/>
  <c r="M307" i="15"/>
  <c r="M308" i="15"/>
  <c r="M309" i="15"/>
  <c r="M310" i="15"/>
  <c r="M311" i="15"/>
  <c r="M312" i="15"/>
  <c r="M313" i="15"/>
  <c r="M314" i="15"/>
  <c r="M315" i="15"/>
  <c r="M316" i="15"/>
  <c r="M317" i="15"/>
  <c r="M318" i="15"/>
  <c r="M319" i="15"/>
  <c r="M320" i="15"/>
  <c r="M321" i="15"/>
  <c r="M322" i="15"/>
  <c r="M323" i="15"/>
  <c r="M324" i="15"/>
  <c r="M325" i="15"/>
  <c r="M326" i="15"/>
  <c r="M327" i="15"/>
  <c r="M328" i="15"/>
  <c r="M329" i="15"/>
  <c r="M330" i="15"/>
  <c r="M331" i="15"/>
  <c r="M332" i="15"/>
  <c r="M333" i="15"/>
  <c r="M334" i="15"/>
  <c r="M335" i="15"/>
  <c r="M336" i="15"/>
  <c r="M337" i="15"/>
  <c r="M338" i="15"/>
  <c r="M339" i="15"/>
  <c r="M340" i="15"/>
  <c r="M341" i="15"/>
  <c r="M342" i="15"/>
  <c r="M343" i="15"/>
  <c r="M344" i="15"/>
  <c r="M345" i="15"/>
  <c r="M346" i="15"/>
  <c r="M347" i="15"/>
  <c r="M348" i="15"/>
  <c r="M349" i="15"/>
  <c r="M350" i="15"/>
  <c r="M351" i="15"/>
  <c r="M352" i="15"/>
  <c r="M353" i="15"/>
  <c r="M354" i="15"/>
  <c r="M355" i="15"/>
  <c r="M356" i="15"/>
  <c r="M357" i="15"/>
  <c r="M358" i="15"/>
  <c r="M359" i="15"/>
  <c r="M360" i="15"/>
  <c r="M361" i="15"/>
  <c r="M362" i="15"/>
  <c r="M363" i="15"/>
  <c r="M364" i="15"/>
  <c r="M365" i="15"/>
  <c r="M366" i="15"/>
  <c r="M367" i="15"/>
  <c r="M368" i="15"/>
  <c r="M369" i="15"/>
  <c r="M370" i="15"/>
  <c r="M371" i="15"/>
  <c r="M372" i="15"/>
  <c r="M373" i="15"/>
  <c r="M374" i="15"/>
  <c r="M375" i="15"/>
  <c r="M376" i="15"/>
  <c r="M377" i="15"/>
  <c r="M378" i="15"/>
  <c r="M379" i="15"/>
  <c r="M380" i="15"/>
  <c r="M381" i="15"/>
  <c r="M382" i="15"/>
  <c r="M383" i="15"/>
  <c r="M384" i="15"/>
  <c r="M385" i="15"/>
  <c r="M386" i="15"/>
  <c r="M387" i="15"/>
  <c r="M388" i="15"/>
  <c r="M389" i="15"/>
  <c r="M390" i="15"/>
  <c r="M391" i="15"/>
  <c r="M392" i="15"/>
  <c r="M393" i="15"/>
  <c r="M394" i="15"/>
  <c r="M395" i="15"/>
  <c r="M396" i="15"/>
  <c r="M397" i="15"/>
  <c r="M398" i="15"/>
  <c r="M399" i="15"/>
  <c r="M400" i="15"/>
  <c r="M401" i="15"/>
  <c r="M402" i="15"/>
  <c r="M403" i="15"/>
  <c r="M404" i="15"/>
  <c r="M405" i="15"/>
  <c r="M406" i="15"/>
  <c r="M407" i="15"/>
  <c r="M408" i="15"/>
  <c r="M409" i="15"/>
  <c r="M410" i="15"/>
  <c r="M411" i="15"/>
  <c r="M412" i="15"/>
  <c r="M413" i="15"/>
  <c r="M414" i="15"/>
  <c r="M415" i="15"/>
  <c r="M416" i="15"/>
  <c r="M417" i="15"/>
  <c r="M418" i="15"/>
  <c r="M419" i="15"/>
  <c r="M420" i="15"/>
  <c r="M421" i="15"/>
  <c r="M422" i="15"/>
  <c r="M423" i="15"/>
  <c r="M424" i="15"/>
  <c r="M425" i="15"/>
  <c r="M426" i="15"/>
  <c r="M427" i="15"/>
  <c r="M428" i="15"/>
  <c r="M429" i="15"/>
  <c r="M430" i="15"/>
  <c r="M431" i="15"/>
  <c r="M432" i="15"/>
  <c r="M433" i="15"/>
  <c r="M434" i="15"/>
  <c r="M435" i="15"/>
  <c r="M436" i="15"/>
  <c r="M437" i="15"/>
  <c r="M438" i="15"/>
  <c r="M439" i="15"/>
  <c r="M440" i="15"/>
  <c r="M441" i="15"/>
  <c r="M442" i="15"/>
  <c r="M443" i="15"/>
  <c r="M444" i="15"/>
  <c r="M445" i="15"/>
  <c r="M446" i="15"/>
  <c r="M447" i="15"/>
  <c r="P5" i="15"/>
  <c r="N447" i="15"/>
  <c r="P6" i="15"/>
  <c r="V6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5" i="15"/>
  <c r="O46" i="15"/>
  <c r="O47" i="15"/>
  <c r="O48" i="15"/>
  <c r="O49" i="15"/>
  <c r="O50" i="15"/>
  <c r="O51" i="15"/>
  <c r="O52" i="15"/>
  <c r="O53" i="15"/>
  <c r="O54" i="15"/>
  <c r="O55" i="15"/>
  <c r="O56" i="15"/>
  <c r="O57" i="15"/>
  <c r="O58" i="15"/>
  <c r="O59" i="15"/>
  <c r="O60" i="15"/>
  <c r="O61" i="15"/>
  <c r="O62" i="15"/>
  <c r="O63" i="15"/>
  <c r="O64" i="15"/>
  <c r="O65" i="15"/>
  <c r="O66" i="15"/>
  <c r="O67" i="15"/>
  <c r="O68" i="15"/>
  <c r="O69" i="15"/>
  <c r="O70" i="15"/>
  <c r="O71" i="15"/>
  <c r="O72" i="15"/>
  <c r="O73" i="15"/>
  <c r="O74" i="15"/>
  <c r="O75" i="15"/>
  <c r="O76" i="15"/>
  <c r="O77" i="15"/>
  <c r="O78" i="15"/>
  <c r="O79" i="15"/>
  <c r="O80" i="15"/>
  <c r="O81" i="15"/>
  <c r="O82" i="15"/>
  <c r="O83" i="15"/>
  <c r="O84" i="15"/>
  <c r="O85" i="15"/>
  <c r="O86" i="15"/>
  <c r="O87" i="15"/>
  <c r="O88" i="15"/>
  <c r="O89" i="15"/>
  <c r="O90" i="15"/>
  <c r="O91" i="15"/>
  <c r="O92" i="15"/>
  <c r="O93" i="15"/>
  <c r="O94" i="15"/>
  <c r="O95" i="15"/>
  <c r="O96" i="15"/>
  <c r="O97" i="15"/>
  <c r="O98" i="15"/>
  <c r="O99" i="15"/>
  <c r="O100" i="15"/>
  <c r="O101" i="15"/>
  <c r="O102" i="15"/>
  <c r="O103" i="15"/>
  <c r="O104" i="15"/>
  <c r="O105" i="15"/>
  <c r="O106" i="15"/>
  <c r="O107" i="15"/>
  <c r="O108" i="15"/>
  <c r="O109" i="15"/>
  <c r="O110" i="15"/>
  <c r="O111" i="15"/>
  <c r="O112" i="15"/>
  <c r="O113" i="15"/>
  <c r="O114" i="15"/>
  <c r="O115" i="15"/>
  <c r="O116" i="15"/>
  <c r="O117" i="15"/>
  <c r="O118" i="15"/>
  <c r="O119" i="15"/>
  <c r="O120" i="15"/>
  <c r="O121" i="15"/>
  <c r="O122" i="15"/>
  <c r="O123" i="15"/>
  <c r="O124" i="15"/>
  <c r="O125" i="15"/>
  <c r="O126" i="15"/>
  <c r="O127" i="15"/>
  <c r="O128" i="15"/>
  <c r="O129" i="15"/>
  <c r="O130" i="15"/>
  <c r="O131" i="15"/>
  <c r="O132" i="15"/>
  <c r="O133" i="15"/>
  <c r="O134" i="15"/>
  <c r="O135" i="15"/>
  <c r="O136" i="15"/>
  <c r="O137" i="15"/>
  <c r="O138" i="15"/>
  <c r="O139" i="15"/>
  <c r="O140" i="15"/>
  <c r="O141" i="15"/>
  <c r="O142" i="15"/>
  <c r="O143" i="15"/>
  <c r="O144" i="15"/>
  <c r="O145" i="15"/>
  <c r="O146" i="15"/>
  <c r="O147" i="15"/>
  <c r="O148" i="15"/>
  <c r="O149" i="15"/>
  <c r="O150" i="15"/>
  <c r="O151" i="15"/>
  <c r="O152" i="15"/>
  <c r="O153" i="15"/>
  <c r="O154" i="15"/>
  <c r="O155" i="15"/>
  <c r="O156" i="15"/>
  <c r="O157" i="15"/>
  <c r="O158" i="15"/>
  <c r="O159" i="15"/>
  <c r="O160" i="15"/>
  <c r="O161" i="15"/>
  <c r="O162" i="15"/>
  <c r="O163" i="15"/>
  <c r="O164" i="15"/>
  <c r="O165" i="15"/>
  <c r="O166" i="15"/>
  <c r="O167" i="15"/>
  <c r="O168" i="15"/>
  <c r="O169" i="15"/>
  <c r="O170" i="15"/>
  <c r="O171" i="15"/>
  <c r="O172" i="15"/>
  <c r="O173" i="15"/>
  <c r="O174" i="15"/>
  <c r="O175" i="15"/>
  <c r="O176" i="15"/>
  <c r="O177" i="15"/>
  <c r="O178" i="15"/>
  <c r="O179" i="15"/>
  <c r="O180" i="15"/>
  <c r="O181" i="15"/>
  <c r="O182" i="15"/>
  <c r="O183" i="15"/>
  <c r="O184" i="15"/>
  <c r="O185" i="15"/>
  <c r="O186" i="15"/>
  <c r="O187" i="15"/>
  <c r="O188" i="15"/>
  <c r="O189" i="15"/>
  <c r="O190" i="15"/>
  <c r="O191" i="15"/>
  <c r="O192" i="15"/>
  <c r="O193" i="15"/>
  <c r="O194" i="15"/>
  <c r="O195" i="15"/>
  <c r="O196" i="15"/>
  <c r="O197" i="15"/>
  <c r="O198" i="15"/>
  <c r="O199" i="15"/>
  <c r="O200" i="15"/>
  <c r="O201" i="15"/>
  <c r="O202" i="15"/>
  <c r="O203" i="15"/>
  <c r="O204" i="15"/>
  <c r="O205" i="15"/>
  <c r="O206" i="15"/>
  <c r="O207" i="15"/>
  <c r="O208" i="15"/>
  <c r="O209" i="15"/>
  <c r="O210" i="15"/>
  <c r="O211" i="15"/>
  <c r="O212" i="15"/>
  <c r="O213" i="15"/>
  <c r="O214" i="15"/>
  <c r="O215" i="15"/>
  <c r="O216" i="15"/>
  <c r="O217" i="15"/>
  <c r="O218" i="15"/>
  <c r="O219" i="15"/>
  <c r="O220" i="15"/>
  <c r="O221" i="15"/>
  <c r="O222" i="15"/>
  <c r="O223" i="15"/>
  <c r="O224" i="15"/>
  <c r="O225" i="15"/>
  <c r="O226" i="15"/>
  <c r="O227" i="15"/>
  <c r="O228" i="15"/>
  <c r="O229" i="15"/>
  <c r="O230" i="15"/>
  <c r="O231" i="15"/>
  <c r="O232" i="15"/>
  <c r="O233" i="15"/>
  <c r="O234" i="15"/>
  <c r="O235" i="15"/>
  <c r="O236" i="15"/>
  <c r="O237" i="15"/>
  <c r="O238" i="15"/>
  <c r="O239" i="15"/>
  <c r="O240" i="15"/>
  <c r="O241" i="15"/>
  <c r="O242" i="15"/>
  <c r="O243" i="15"/>
  <c r="O244" i="15"/>
  <c r="O245" i="15"/>
  <c r="O246" i="15"/>
  <c r="O247" i="15"/>
  <c r="O248" i="15"/>
  <c r="O249" i="15"/>
  <c r="O250" i="15"/>
  <c r="O251" i="15"/>
  <c r="O252" i="15"/>
  <c r="O253" i="15"/>
  <c r="O254" i="15"/>
  <c r="O255" i="15"/>
  <c r="O256" i="15"/>
  <c r="O257" i="15"/>
  <c r="O258" i="15"/>
  <c r="O259" i="15"/>
  <c r="O260" i="15"/>
  <c r="O261" i="15"/>
  <c r="O262" i="15"/>
  <c r="O263" i="15"/>
  <c r="O264" i="15"/>
  <c r="O265" i="15"/>
  <c r="O266" i="15"/>
  <c r="O267" i="15"/>
  <c r="O268" i="15"/>
  <c r="O269" i="15"/>
  <c r="O270" i="15"/>
  <c r="O271" i="15"/>
  <c r="O272" i="15"/>
  <c r="O273" i="15"/>
  <c r="O274" i="15"/>
  <c r="O275" i="15"/>
  <c r="O276" i="15"/>
  <c r="O277" i="15"/>
  <c r="O278" i="15"/>
  <c r="O279" i="15"/>
  <c r="O280" i="15"/>
  <c r="O281" i="15"/>
  <c r="O282" i="15"/>
  <c r="O283" i="15"/>
  <c r="O284" i="15"/>
  <c r="O285" i="15"/>
  <c r="O286" i="15"/>
  <c r="O287" i="15"/>
  <c r="O288" i="15"/>
  <c r="O289" i="15"/>
  <c r="O290" i="15"/>
  <c r="O291" i="15"/>
  <c r="O292" i="15"/>
  <c r="O293" i="15"/>
  <c r="O294" i="15"/>
  <c r="O295" i="15"/>
  <c r="O296" i="15"/>
  <c r="O297" i="15"/>
  <c r="O298" i="15"/>
  <c r="O299" i="15"/>
  <c r="O300" i="15"/>
  <c r="O301" i="15"/>
  <c r="O302" i="15"/>
  <c r="O303" i="15"/>
  <c r="O304" i="15"/>
  <c r="O305" i="15"/>
  <c r="O306" i="15"/>
  <c r="O307" i="15"/>
  <c r="O308" i="15"/>
  <c r="O309" i="15"/>
  <c r="O310" i="15"/>
  <c r="O311" i="15"/>
  <c r="O312" i="15"/>
  <c r="O313" i="15"/>
  <c r="O314" i="15"/>
  <c r="O315" i="15"/>
  <c r="O316" i="15"/>
  <c r="O317" i="15"/>
  <c r="O318" i="15"/>
  <c r="O319" i="15"/>
  <c r="O320" i="15"/>
  <c r="O321" i="15"/>
  <c r="O322" i="15"/>
  <c r="O323" i="15"/>
  <c r="O324" i="15"/>
  <c r="O325" i="15"/>
  <c r="O326" i="15"/>
  <c r="O327" i="15"/>
  <c r="O328" i="15"/>
  <c r="O329" i="15"/>
  <c r="O330" i="15"/>
  <c r="O331" i="15"/>
  <c r="O332" i="15"/>
  <c r="O333" i="15"/>
  <c r="O334" i="15"/>
  <c r="O335" i="15"/>
  <c r="O336" i="15"/>
  <c r="O337" i="15"/>
  <c r="O338" i="15"/>
  <c r="O339" i="15"/>
  <c r="O340" i="15"/>
  <c r="O341" i="15"/>
  <c r="O342" i="15"/>
  <c r="O343" i="15"/>
  <c r="O344" i="15"/>
  <c r="O345" i="15"/>
  <c r="O346" i="15"/>
  <c r="O347" i="15"/>
  <c r="O348" i="15"/>
  <c r="O349" i="15"/>
  <c r="O350" i="15"/>
  <c r="O351" i="15"/>
  <c r="O352" i="15"/>
  <c r="O353" i="15"/>
  <c r="O354" i="15"/>
  <c r="O355" i="15"/>
  <c r="O356" i="15"/>
  <c r="O357" i="15"/>
  <c r="O358" i="15"/>
  <c r="O359" i="15"/>
  <c r="O360" i="15"/>
  <c r="O361" i="15"/>
  <c r="O362" i="15"/>
  <c r="O363" i="15"/>
  <c r="O364" i="15"/>
  <c r="O365" i="15"/>
  <c r="O366" i="15"/>
  <c r="O367" i="15"/>
  <c r="O368" i="15"/>
  <c r="O369" i="15"/>
  <c r="O370" i="15"/>
  <c r="O371" i="15"/>
  <c r="O372" i="15"/>
  <c r="O373" i="15"/>
  <c r="O374" i="15"/>
  <c r="O375" i="15"/>
  <c r="O376" i="15"/>
  <c r="O377" i="15"/>
  <c r="O378" i="15"/>
  <c r="O379" i="15"/>
  <c r="O380" i="15"/>
  <c r="O381" i="15"/>
  <c r="O382" i="15"/>
  <c r="O383" i="15"/>
  <c r="O384" i="15"/>
  <c r="O385" i="15"/>
  <c r="O386" i="15"/>
  <c r="O387" i="15"/>
  <c r="O388" i="15"/>
  <c r="O389" i="15"/>
  <c r="O390" i="15"/>
  <c r="O391" i="15"/>
  <c r="O392" i="15"/>
  <c r="O393" i="15"/>
  <c r="O394" i="15"/>
  <c r="O395" i="15"/>
  <c r="O396" i="15"/>
  <c r="O397" i="15"/>
  <c r="O398" i="15"/>
  <c r="O399" i="15"/>
  <c r="O400" i="15"/>
  <c r="O401" i="15"/>
  <c r="O402" i="15"/>
  <c r="O403" i="15"/>
  <c r="O404" i="15"/>
  <c r="O405" i="15"/>
  <c r="O406" i="15"/>
  <c r="O407" i="15"/>
  <c r="O408" i="15"/>
  <c r="O409" i="15"/>
  <c r="O410" i="15"/>
  <c r="O411" i="15"/>
  <c r="O412" i="15"/>
  <c r="O413" i="15"/>
  <c r="O414" i="15"/>
  <c r="O415" i="15"/>
  <c r="O416" i="15"/>
  <c r="O417" i="15"/>
  <c r="O418" i="15"/>
  <c r="O419" i="15"/>
  <c r="O420" i="15"/>
  <c r="O421" i="15"/>
  <c r="O422" i="15"/>
  <c r="O423" i="15"/>
  <c r="O424" i="15"/>
  <c r="O425" i="15"/>
  <c r="O426" i="15"/>
  <c r="O427" i="15"/>
  <c r="O428" i="15"/>
  <c r="O429" i="15"/>
  <c r="O430" i="15"/>
  <c r="O431" i="15"/>
  <c r="O432" i="15"/>
  <c r="O433" i="15"/>
  <c r="O434" i="15"/>
  <c r="O435" i="15"/>
  <c r="O436" i="15"/>
  <c r="O437" i="15"/>
  <c r="O438" i="15"/>
  <c r="O439" i="15"/>
  <c r="O440" i="15"/>
  <c r="O441" i="15"/>
  <c r="O442" i="15"/>
  <c r="O443" i="15"/>
  <c r="O444" i="15"/>
  <c r="O445" i="15"/>
  <c r="O446" i="15"/>
  <c r="O447" i="15"/>
  <c r="P7" i="15"/>
  <c r="C8" i="15"/>
  <c r="P8" i="15"/>
  <c r="B11" i="15"/>
  <c r="C11" i="15"/>
  <c r="D11" i="15"/>
  <c r="E11" i="15"/>
  <c r="F11" i="15"/>
  <c r="V11" i="15"/>
  <c r="J14" i="15"/>
  <c r="P14" i="15"/>
  <c r="I15" i="15"/>
  <c r="J15" i="15"/>
  <c r="P15" i="15"/>
  <c r="I16" i="15"/>
  <c r="J16" i="15"/>
  <c r="P16" i="15"/>
  <c r="I17" i="15"/>
  <c r="J17" i="15"/>
  <c r="P17" i="15"/>
  <c r="I18" i="15"/>
  <c r="J18" i="15"/>
  <c r="P18" i="15"/>
  <c r="I19" i="15"/>
  <c r="J19" i="15"/>
  <c r="P19" i="15"/>
  <c r="I20" i="15"/>
  <c r="J20" i="15"/>
  <c r="P20" i="15"/>
  <c r="I21" i="15"/>
  <c r="J21" i="15"/>
  <c r="P21" i="15"/>
  <c r="I22" i="15"/>
  <c r="J22" i="15"/>
  <c r="P22" i="15"/>
  <c r="I23" i="15"/>
  <c r="J23" i="15"/>
  <c r="P23" i="15"/>
  <c r="I24" i="15"/>
  <c r="J24" i="15"/>
  <c r="P24" i="15"/>
  <c r="I25" i="15"/>
  <c r="J25" i="15"/>
  <c r="P25" i="15"/>
  <c r="I26" i="15"/>
  <c r="J26" i="15"/>
  <c r="P26" i="15"/>
  <c r="I27" i="15"/>
  <c r="J27" i="15"/>
  <c r="P27" i="15"/>
  <c r="R27" i="15"/>
  <c r="I28" i="15"/>
  <c r="J28" i="15"/>
  <c r="P28" i="15"/>
  <c r="R28" i="15"/>
  <c r="I29" i="15"/>
  <c r="J29" i="15"/>
  <c r="P29" i="15"/>
  <c r="R29" i="15"/>
  <c r="I30" i="15"/>
  <c r="J30" i="15"/>
  <c r="P30" i="15"/>
  <c r="R30" i="15"/>
  <c r="I31" i="15"/>
  <c r="J31" i="15"/>
  <c r="P31" i="15"/>
  <c r="R31" i="15"/>
  <c r="I32" i="15"/>
  <c r="J32" i="15"/>
  <c r="P32" i="15"/>
  <c r="R32" i="15"/>
  <c r="I33" i="15"/>
  <c r="J33" i="15"/>
  <c r="P33" i="15"/>
  <c r="R33" i="15"/>
  <c r="I34" i="15"/>
  <c r="J34" i="15"/>
  <c r="P34" i="15"/>
  <c r="R34" i="15"/>
  <c r="I35" i="15"/>
  <c r="J35" i="15"/>
  <c r="P35" i="15"/>
  <c r="R35" i="15"/>
  <c r="I36" i="15"/>
  <c r="J36" i="15"/>
  <c r="P36" i="15"/>
  <c r="R36" i="15"/>
  <c r="I37" i="15"/>
  <c r="J37" i="15"/>
  <c r="P37" i="15"/>
  <c r="R37" i="15"/>
  <c r="I38" i="15"/>
  <c r="J38" i="15"/>
  <c r="P38" i="15"/>
  <c r="R38" i="15"/>
  <c r="I39" i="15"/>
  <c r="J39" i="15"/>
  <c r="P39" i="15"/>
  <c r="R39" i="15"/>
  <c r="I40" i="15"/>
  <c r="J40" i="15"/>
  <c r="P40" i="15"/>
  <c r="R40" i="15"/>
  <c r="I41" i="15"/>
  <c r="J41" i="15"/>
  <c r="P41" i="15"/>
  <c r="R41" i="15"/>
  <c r="I42" i="15"/>
  <c r="J42" i="15"/>
  <c r="P42" i="15"/>
  <c r="R42" i="15"/>
  <c r="I43" i="15"/>
  <c r="J43" i="15"/>
  <c r="P43" i="15"/>
  <c r="R43" i="15"/>
  <c r="R44" i="15"/>
  <c r="I45" i="15"/>
  <c r="J45" i="15"/>
  <c r="P45" i="15"/>
  <c r="R45" i="15"/>
  <c r="S45" i="15"/>
  <c r="I46" i="15"/>
  <c r="J46" i="15"/>
  <c r="P46" i="15"/>
  <c r="R46" i="15"/>
  <c r="S46" i="15"/>
  <c r="I47" i="15"/>
  <c r="J47" i="15"/>
  <c r="P47" i="15"/>
  <c r="R47" i="15"/>
  <c r="S47" i="15"/>
  <c r="I48" i="15"/>
  <c r="J48" i="15"/>
  <c r="P48" i="15"/>
  <c r="R48" i="15"/>
  <c r="S48" i="15"/>
  <c r="I49" i="15"/>
  <c r="J49" i="15"/>
  <c r="P49" i="15"/>
  <c r="R49" i="15"/>
  <c r="S49" i="15"/>
  <c r="I50" i="15"/>
  <c r="J50" i="15"/>
  <c r="P50" i="15"/>
  <c r="R50" i="15"/>
  <c r="S50" i="15"/>
  <c r="I51" i="15"/>
  <c r="J51" i="15"/>
  <c r="P51" i="15"/>
  <c r="R51" i="15"/>
  <c r="S51" i="15"/>
  <c r="I52" i="15"/>
  <c r="J52" i="15"/>
  <c r="P52" i="15"/>
  <c r="R52" i="15"/>
  <c r="S52" i="15"/>
  <c r="I53" i="15"/>
  <c r="J53" i="15"/>
  <c r="P53" i="15"/>
  <c r="R53" i="15"/>
  <c r="S53" i="15"/>
  <c r="I54" i="15"/>
  <c r="J54" i="15"/>
  <c r="P54" i="15"/>
  <c r="R54" i="15"/>
  <c r="S54" i="15"/>
  <c r="I55" i="15"/>
  <c r="J55" i="15"/>
  <c r="P55" i="15"/>
  <c r="R55" i="15"/>
  <c r="S55" i="15"/>
  <c r="I56" i="15"/>
  <c r="J56" i="15"/>
  <c r="P56" i="15"/>
  <c r="R56" i="15"/>
  <c r="S56" i="15"/>
  <c r="I57" i="15"/>
  <c r="J57" i="15"/>
  <c r="P57" i="15"/>
  <c r="R57" i="15"/>
  <c r="S57" i="15"/>
  <c r="I58" i="15"/>
  <c r="J58" i="15"/>
  <c r="P58" i="15"/>
  <c r="R58" i="15"/>
  <c r="S58" i="15"/>
  <c r="I59" i="15"/>
  <c r="J59" i="15"/>
  <c r="P59" i="15"/>
  <c r="R59" i="15"/>
  <c r="S59" i="15"/>
  <c r="I60" i="15"/>
  <c r="J60" i="15"/>
  <c r="P60" i="15"/>
  <c r="R60" i="15"/>
  <c r="S60" i="15"/>
  <c r="I61" i="15"/>
  <c r="J61" i="15"/>
  <c r="P61" i="15"/>
  <c r="R61" i="15"/>
  <c r="S61" i="15"/>
  <c r="I62" i="15"/>
  <c r="J62" i="15"/>
  <c r="P62" i="15"/>
  <c r="R62" i="15"/>
  <c r="S62" i="15"/>
  <c r="I63" i="15"/>
  <c r="J63" i="15"/>
  <c r="P63" i="15"/>
  <c r="R63" i="15"/>
  <c r="S63" i="15"/>
  <c r="I64" i="15"/>
  <c r="J64" i="15"/>
  <c r="P64" i="15"/>
  <c r="R64" i="15"/>
  <c r="S64" i="15"/>
  <c r="I65" i="15"/>
  <c r="J65" i="15"/>
  <c r="P65" i="15"/>
  <c r="R65" i="15"/>
  <c r="S65" i="15"/>
  <c r="I66" i="15"/>
  <c r="J66" i="15"/>
  <c r="P66" i="15"/>
  <c r="R66" i="15"/>
  <c r="S66" i="15"/>
  <c r="I67" i="15"/>
  <c r="J67" i="15"/>
  <c r="P67" i="15"/>
  <c r="R67" i="15"/>
  <c r="S67" i="15"/>
  <c r="I68" i="15"/>
  <c r="J68" i="15"/>
  <c r="P68" i="15"/>
  <c r="R68" i="15"/>
  <c r="S68" i="15"/>
  <c r="I69" i="15"/>
  <c r="J69" i="15"/>
  <c r="P69" i="15"/>
  <c r="R69" i="15"/>
  <c r="S69" i="15"/>
  <c r="I70" i="15"/>
  <c r="J70" i="15"/>
  <c r="P70" i="15"/>
  <c r="R70" i="15"/>
  <c r="S70" i="15"/>
  <c r="I71" i="15"/>
  <c r="J71" i="15"/>
  <c r="P71" i="15"/>
  <c r="R71" i="15"/>
  <c r="S71" i="15"/>
  <c r="I72" i="15"/>
  <c r="J72" i="15"/>
  <c r="P72" i="15"/>
  <c r="R72" i="15"/>
  <c r="S72" i="15"/>
  <c r="I73" i="15"/>
  <c r="J73" i="15"/>
  <c r="P73" i="15"/>
  <c r="R73" i="15"/>
  <c r="S73" i="15"/>
  <c r="I74" i="15"/>
  <c r="J74" i="15"/>
  <c r="P74" i="15"/>
  <c r="R74" i="15"/>
  <c r="S74" i="15"/>
  <c r="I75" i="15"/>
  <c r="J75" i="15"/>
  <c r="P75" i="15"/>
  <c r="R75" i="15"/>
  <c r="S75" i="15"/>
  <c r="I76" i="15"/>
  <c r="J76" i="15"/>
  <c r="P76" i="15"/>
  <c r="R76" i="15"/>
  <c r="S76" i="15"/>
  <c r="I77" i="15"/>
  <c r="J77" i="15"/>
  <c r="P77" i="15"/>
  <c r="R77" i="15"/>
  <c r="S77" i="15"/>
  <c r="I78" i="15"/>
  <c r="J78" i="15"/>
  <c r="P78" i="15"/>
  <c r="R78" i="15"/>
  <c r="S78" i="15"/>
  <c r="I79" i="15"/>
  <c r="J79" i="15"/>
  <c r="P79" i="15"/>
  <c r="R79" i="15"/>
  <c r="S79" i="15"/>
  <c r="I80" i="15"/>
  <c r="J80" i="15"/>
  <c r="P80" i="15"/>
  <c r="R80" i="15"/>
  <c r="S80" i="15"/>
  <c r="I81" i="15"/>
  <c r="J81" i="15"/>
  <c r="P81" i="15"/>
  <c r="R81" i="15"/>
  <c r="S81" i="15"/>
  <c r="I82" i="15"/>
  <c r="J82" i="15"/>
  <c r="P82" i="15"/>
  <c r="R82" i="15"/>
  <c r="S82" i="15"/>
  <c r="I83" i="15"/>
  <c r="J83" i="15"/>
  <c r="P83" i="15"/>
  <c r="R83" i="15"/>
  <c r="S83" i="15"/>
  <c r="I84" i="15"/>
  <c r="J84" i="15"/>
  <c r="P84" i="15"/>
  <c r="R84" i="15"/>
  <c r="S84" i="15"/>
  <c r="I85" i="15"/>
  <c r="J85" i="15"/>
  <c r="P85" i="15"/>
  <c r="R85" i="15"/>
  <c r="S85" i="15"/>
  <c r="I86" i="15"/>
  <c r="J86" i="15"/>
  <c r="P86" i="15"/>
  <c r="R86" i="15"/>
  <c r="S86" i="15"/>
  <c r="I87" i="15"/>
  <c r="J87" i="15"/>
  <c r="P87" i="15"/>
  <c r="R87" i="15"/>
  <c r="S87" i="15"/>
  <c r="I88" i="15"/>
  <c r="J88" i="15"/>
  <c r="P88" i="15"/>
  <c r="R88" i="15"/>
  <c r="S88" i="15"/>
  <c r="I89" i="15"/>
  <c r="J89" i="15"/>
  <c r="P89" i="15"/>
  <c r="R89" i="15"/>
  <c r="S89" i="15"/>
  <c r="I90" i="15"/>
  <c r="J90" i="15"/>
  <c r="P90" i="15"/>
  <c r="R90" i="15"/>
  <c r="S90" i="15"/>
  <c r="I91" i="15"/>
  <c r="J91" i="15"/>
  <c r="P91" i="15"/>
  <c r="R91" i="15"/>
  <c r="S91" i="15"/>
  <c r="I92" i="15"/>
  <c r="J92" i="15"/>
  <c r="P92" i="15"/>
  <c r="R92" i="15"/>
  <c r="S92" i="15"/>
  <c r="I93" i="15"/>
  <c r="J93" i="15"/>
  <c r="P93" i="15"/>
  <c r="R93" i="15"/>
  <c r="S93" i="15"/>
  <c r="I94" i="15"/>
  <c r="J94" i="15"/>
  <c r="P94" i="15"/>
  <c r="R94" i="15"/>
  <c r="S94" i="15"/>
  <c r="I95" i="15"/>
  <c r="J95" i="15"/>
  <c r="P95" i="15"/>
  <c r="R95" i="15"/>
  <c r="S95" i="15"/>
  <c r="I96" i="15"/>
  <c r="J96" i="15"/>
  <c r="P96" i="15"/>
  <c r="R96" i="15"/>
  <c r="S96" i="15"/>
  <c r="I97" i="15"/>
  <c r="J97" i="15"/>
  <c r="P97" i="15"/>
  <c r="R97" i="15"/>
  <c r="S97" i="15"/>
  <c r="I98" i="15"/>
  <c r="J98" i="15"/>
  <c r="P98" i="15"/>
  <c r="R98" i="15"/>
  <c r="S98" i="15"/>
  <c r="I99" i="15"/>
  <c r="J99" i="15"/>
  <c r="P99" i="15"/>
  <c r="R99" i="15"/>
  <c r="S99" i="15"/>
  <c r="I100" i="15"/>
  <c r="J100" i="15"/>
  <c r="P100" i="15"/>
  <c r="R100" i="15"/>
  <c r="S100" i="15"/>
  <c r="I101" i="15"/>
  <c r="J101" i="15"/>
  <c r="P101" i="15"/>
  <c r="R101" i="15"/>
  <c r="S101" i="15"/>
  <c r="I102" i="15"/>
  <c r="J102" i="15"/>
  <c r="P102" i="15"/>
  <c r="R102" i="15"/>
  <c r="S102" i="15"/>
  <c r="I103" i="15"/>
  <c r="J103" i="15"/>
  <c r="P103" i="15"/>
  <c r="R103" i="15"/>
  <c r="S103" i="15"/>
  <c r="I104" i="15"/>
  <c r="J104" i="15"/>
  <c r="P104" i="15"/>
  <c r="R104" i="15"/>
  <c r="S104" i="15"/>
  <c r="I105" i="15"/>
  <c r="J105" i="15"/>
  <c r="P105" i="15"/>
  <c r="R105" i="15"/>
  <c r="S105" i="15"/>
  <c r="I106" i="15"/>
  <c r="J106" i="15"/>
  <c r="P106" i="15"/>
  <c r="R106" i="15"/>
  <c r="S106" i="15"/>
  <c r="I107" i="15"/>
  <c r="J107" i="15"/>
  <c r="P107" i="15"/>
  <c r="R107" i="15"/>
  <c r="S107" i="15"/>
  <c r="I108" i="15"/>
  <c r="J108" i="15"/>
  <c r="P108" i="15"/>
  <c r="R108" i="15"/>
  <c r="S108" i="15"/>
  <c r="I109" i="15"/>
  <c r="J109" i="15"/>
  <c r="P109" i="15"/>
  <c r="R109" i="15"/>
  <c r="S109" i="15"/>
  <c r="I110" i="15"/>
  <c r="J110" i="15"/>
  <c r="P110" i="15"/>
  <c r="R110" i="15"/>
  <c r="S110" i="15"/>
  <c r="I111" i="15"/>
  <c r="J111" i="15"/>
  <c r="P111" i="15"/>
  <c r="R111" i="15"/>
  <c r="S111" i="15"/>
  <c r="I112" i="15"/>
  <c r="J112" i="15"/>
  <c r="P112" i="15"/>
  <c r="R112" i="15"/>
  <c r="S112" i="15"/>
  <c r="I113" i="15"/>
  <c r="J113" i="15"/>
  <c r="P113" i="15"/>
  <c r="R113" i="15"/>
  <c r="S113" i="15"/>
  <c r="I114" i="15"/>
  <c r="J114" i="15"/>
  <c r="P114" i="15"/>
  <c r="R114" i="15"/>
  <c r="S114" i="15"/>
  <c r="I115" i="15"/>
  <c r="J115" i="15"/>
  <c r="P115" i="15"/>
  <c r="R115" i="15"/>
  <c r="S115" i="15"/>
  <c r="I116" i="15"/>
  <c r="J116" i="15"/>
  <c r="P116" i="15"/>
  <c r="R116" i="15"/>
  <c r="S116" i="15"/>
  <c r="I117" i="15"/>
  <c r="J117" i="15"/>
  <c r="P117" i="15"/>
  <c r="R117" i="15"/>
  <c r="S117" i="15"/>
  <c r="I118" i="15"/>
  <c r="J118" i="15"/>
  <c r="P118" i="15"/>
  <c r="R118" i="15"/>
  <c r="S118" i="15"/>
  <c r="I119" i="15"/>
  <c r="J119" i="15"/>
  <c r="P119" i="15"/>
  <c r="R119" i="15"/>
  <c r="S119" i="15"/>
  <c r="I120" i="15"/>
  <c r="J120" i="15"/>
  <c r="P120" i="15"/>
  <c r="R120" i="15"/>
  <c r="S120" i="15"/>
  <c r="I121" i="15"/>
  <c r="J121" i="15"/>
  <c r="P121" i="15"/>
  <c r="R121" i="15"/>
  <c r="S121" i="15"/>
  <c r="I122" i="15"/>
  <c r="J122" i="15"/>
  <c r="P122" i="15"/>
  <c r="R122" i="15"/>
  <c r="S122" i="15"/>
  <c r="I123" i="15"/>
  <c r="J123" i="15"/>
  <c r="P123" i="15"/>
  <c r="R123" i="15"/>
  <c r="S123" i="15"/>
  <c r="I124" i="15"/>
  <c r="J124" i="15"/>
  <c r="P124" i="15"/>
  <c r="R124" i="15"/>
  <c r="S124" i="15"/>
  <c r="I125" i="15"/>
  <c r="J125" i="15"/>
  <c r="P125" i="15"/>
  <c r="R125" i="15"/>
  <c r="S125" i="15"/>
  <c r="I126" i="15"/>
  <c r="J126" i="15"/>
  <c r="P126" i="15"/>
  <c r="R126" i="15"/>
  <c r="S126" i="15"/>
  <c r="I127" i="15"/>
  <c r="J127" i="15"/>
  <c r="P127" i="15"/>
  <c r="R127" i="15"/>
  <c r="S127" i="15"/>
  <c r="I128" i="15"/>
  <c r="J128" i="15"/>
  <c r="P128" i="15"/>
  <c r="R128" i="15"/>
  <c r="S128" i="15"/>
  <c r="I129" i="15"/>
  <c r="J129" i="15"/>
  <c r="P129" i="15"/>
  <c r="R129" i="15"/>
  <c r="S129" i="15"/>
  <c r="I130" i="15"/>
  <c r="J130" i="15"/>
  <c r="P130" i="15"/>
  <c r="R130" i="15"/>
  <c r="S130" i="15"/>
  <c r="I131" i="15"/>
  <c r="J131" i="15"/>
  <c r="P131" i="15"/>
  <c r="R131" i="15"/>
  <c r="S131" i="15"/>
  <c r="I132" i="15"/>
  <c r="J132" i="15"/>
  <c r="P132" i="15"/>
  <c r="R132" i="15"/>
  <c r="S132" i="15"/>
  <c r="I133" i="15"/>
  <c r="J133" i="15"/>
  <c r="P133" i="15"/>
  <c r="R133" i="15"/>
  <c r="S133" i="15"/>
  <c r="I134" i="15"/>
  <c r="J134" i="15"/>
  <c r="P134" i="15"/>
  <c r="R134" i="15"/>
  <c r="S134" i="15"/>
  <c r="I135" i="15"/>
  <c r="J135" i="15"/>
  <c r="P135" i="15"/>
  <c r="R135" i="15"/>
  <c r="S135" i="15"/>
  <c r="I136" i="15"/>
  <c r="J136" i="15"/>
  <c r="P136" i="15"/>
  <c r="R136" i="15"/>
  <c r="S136" i="15"/>
  <c r="I137" i="15"/>
  <c r="J137" i="15"/>
  <c r="P137" i="15"/>
  <c r="R137" i="15"/>
  <c r="S137" i="15"/>
  <c r="I138" i="15"/>
  <c r="J138" i="15"/>
  <c r="P138" i="15"/>
  <c r="R138" i="15"/>
  <c r="S138" i="15"/>
  <c r="I139" i="15"/>
  <c r="J139" i="15"/>
  <c r="P139" i="15"/>
  <c r="R139" i="15"/>
  <c r="S139" i="15"/>
  <c r="I140" i="15"/>
  <c r="J140" i="15"/>
  <c r="P140" i="15"/>
  <c r="R140" i="15"/>
  <c r="S140" i="15"/>
  <c r="I141" i="15"/>
  <c r="J141" i="15"/>
  <c r="P141" i="15"/>
  <c r="R141" i="15"/>
  <c r="S141" i="15"/>
  <c r="I142" i="15"/>
  <c r="J142" i="15"/>
  <c r="P142" i="15"/>
  <c r="R142" i="15"/>
  <c r="S142" i="15"/>
  <c r="I143" i="15"/>
  <c r="J143" i="15"/>
  <c r="P143" i="15"/>
  <c r="R143" i="15"/>
  <c r="S143" i="15"/>
  <c r="I144" i="15"/>
  <c r="J144" i="15"/>
  <c r="P144" i="15"/>
  <c r="R144" i="15"/>
  <c r="S144" i="15"/>
  <c r="I145" i="15"/>
  <c r="J145" i="15"/>
  <c r="P145" i="15"/>
  <c r="R145" i="15"/>
  <c r="S145" i="15"/>
  <c r="I146" i="15"/>
  <c r="J146" i="15"/>
  <c r="P146" i="15"/>
  <c r="R146" i="15"/>
  <c r="S146" i="15"/>
  <c r="I147" i="15"/>
  <c r="J147" i="15"/>
  <c r="P147" i="15"/>
  <c r="R147" i="15"/>
  <c r="S147" i="15"/>
  <c r="I148" i="15"/>
  <c r="J148" i="15"/>
  <c r="P148" i="15"/>
  <c r="R148" i="15"/>
  <c r="S148" i="15"/>
  <c r="I149" i="15"/>
  <c r="J149" i="15"/>
  <c r="P149" i="15"/>
  <c r="R149" i="15"/>
  <c r="S149" i="15"/>
  <c r="I150" i="15"/>
  <c r="J150" i="15"/>
  <c r="P150" i="15"/>
  <c r="R150" i="15"/>
  <c r="S150" i="15"/>
  <c r="I151" i="15"/>
  <c r="J151" i="15"/>
  <c r="P151" i="15"/>
  <c r="R151" i="15"/>
  <c r="S151" i="15"/>
  <c r="I152" i="15"/>
  <c r="J152" i="15"/>
  <c r="P152" i="15"/>
  <c r="R152" i="15"/>
  <c r="S152" i="15"/>
  <c r="I153" i="15"/>
  <c r="J153" i="15"/>
  <c r="P153" i="15"/>
  <c r="R153" i="15"/>
  <c r="S153" i="15"/>
  <c r="I154" i="15"/>
  <c r="J154" i="15"/>
  <c r="P154" i="15"/>
  <c r="R154" i="15"/>
  <c r="S154" i="15"/>
  <c r="I155" i="15"/>
  <c r="J155" i="15"/>
  <c r="P155" i="15"/>
  <c r="R155" i="15"/>
  <c r="S155" i="15"/>
  <c r="I156" i="15"/>
  <c r="J156" i="15"/>
  <c r="P156" i="15"/>
  <c r="R156" i="15"/>
  <c r="S156" i="15"/>
  <c r="I157" i="15"/>
  <c r="J157" i="15"/>
  <c r="P157" i="15"/>
  <c r="R157" i="15"/>
  <c r="S157" i="15"/>
  <c r="I158" i="15"/>
  <c r="J158" i="15"/>
  <c r="P158" i="15"/>
  <c r="R158" i="15"/>
  <c r="S158" i="15"/>
  <c r="I159" i="15"/>
  <c r="J159" i="15"/>
  <c r="P159" i="15"/>
  <c r="R159" i="15"/>
  <c r="S159" i="15"/>
  <c r="I160" i="15"/>
  <c r="J160" i="15"/>
  <c r="P160" i="15"/>
  <c r="R160" i="15"/>
  <c r="S160" i="15"/>
  <c r="I161" i="15"/>
  <c r="J161" i="15"/>
  <c r="P161" i="15"/>
  <c r="R161" i="15"/>
  <c r="S161" i="15"/>
  <c r="I162" i="15"/>
  <c r="J162" i="15"/>
  <c r="P162" i="15"/>
  <c r="R162" i="15"/>
  <c r="S162" i="15"/>
  <c r="I163" i="15"/>
  <c r="J163" i="15"/>
  <c r="P163" i="15"/>
  <c r="R163" i="15"/>
  <c r="S163" i="15"/>
  <c r="I164" i="15"/>
  <c r="J164" i="15"/>
  <c r="P164" i="15"/>
  <c r="R164" i="15"/>
  <c r="S164" i="15"/>
  <c r="I165" i="15"/>
  <c r="J165" i="15"/>
  <c r="P165" i="15"/>
  <c r="R165" i="15"/>
  <c r="S165" i="15"/>
  <c r="I166" i="15"/>
  <c r="J166" i="15"/>
  <c r="P166" i="15"/>
  <c r="R166" i="15"/>
  <c r="S166" i="15"/>
  <c r="I167" i="15"/>
  <c r="J167" i="15"/>
  <c r="P167" i="15"/>
  <c r="R167" i="15"/>
  <c r="S167" i="15"/>
  <c r="I168" i="15"/>
  <c r="J168" i="15"/>
  <c r="P168" i="15"/>
  <c r="R168" i="15"/>
  <c r="S168" i="15"/>
  <c r="I169" i="15"/>
  <c r="J169" i="15"/>
  <c r="P169" i="15"/>
  <c r="R169" i="15"/>
  <c r="S169" i="15"/>
  <c r="I170" i="15"/>
  <c r="J170" i="15"/>
  <c r="P170" i="15"/>
  <c r="R170" i="15"/>
  <c r="S170" i="15"/>
  <c r="I171" i="15"/>
  <c r="J171" i="15"/>
  <c r="P171" i="15"/>
  <c r="R171" i="15"/>
  <c r="S171" i="15"/>
  <c r="I172" i="15"/>
  <c r="J172" i="15"/>
  <c r="P172" i="15"/>
  <c r="R172" i="15"/>
  <c r="S172" i="15"/>
  <c r="I173" i="15"/>
  <c r="J173" i="15"/>
  <c r="P173" i="15"/>
  <c r="R173" i="15"/>
  <c r="S173" i="15"/>
  <c r="I174" i="15"/>
  <c r="J174" i="15"/>
  <c r="P174" i="15"/>
  <c r="R174" i="15"/>
  <c r="S174" i="15"/>
  <c r="I175" i="15"/>
  <c r="J175" i="15"/>
  <c r="P175" i="15"/>
  <c r="R175" i="15"/>
  <c r="S175" i="15"/>
  <c r="I176" i="15"/>
  <c r="J176" i="15"/>
  <c r="P176" i="15"/>
  <c r="R176" i="15"/>
  <c r="S176" i="15"/>
  <c r="I177" i="15"/>
  <c r="J177" i="15"/>
  <c r="P177" i="15"/>
  <c r="R177" i="15"/>
  <c r="S177" i="15"/>
  <c r="I178" i="15"/>
  <c r="J178" i="15"/>
  <c r="P178" i="15"/>
  <c r="R178" i="15"/>
  <c r="S178" i="15"/>
  <c r="I179" i="15"/>
  <c r="J179" i="15"/>
  <c r="P179" i="15"/>
  <c r="R179" i="15"/>
  <c r="S179" i="15"/>
  <c r="I180" i="15"/>
  <c r="J180" i="15"/>
  <c r="P180" i="15"/>
  <c r="R180" i="15"/>
  <c r="S180" i="15"/>
  <c r="I181" i="15"/>
  <c r="J181" i="15"/>
  <c r="P181" i="15"/>
  <c r="R181" i="15"/>
  <c r="S181" i="15"/>
  <c r="I182" i="15"/>
  <c r="J182" i="15"/>
  <c r="P182" i="15"/>
  <c r="R182" i="15"/>
  <c r="S182" i="15"/>
  <c r="I183" i="15"/>
  <c r="J183" i="15"/>
  <c r="P183" i="15"/>
  <c r="R183" i="15"/>
  <c r="S183" i="15"/>
  <c r="I184" i="15"/>
  <c r="J184" i="15"/>
  <c r="P184" i="15"/>
  <c r="R184" i="15"/>
  <c r="S184" i="15"/>
  <c r="I185" i="15"/>
  <c r="J185" i="15"/>
  <c r="P185" i="15"/>
  <c r="R185" i="15"/>
  <c r="S185" i="15"/>
  <c r="I186" i="15"/>
  <c r="J186" i="15"/>
  <c r="P186" i="15"/>
  <c r="R186" i="15"/>
  <c r="S186" i="15"/>
  <c r="I187" i="15"/>
  <c r="J187" i="15"/>
  <c r="P187" i="15"/>
  <c r="R187" i="15"/>
  <c r="S187" i="15"/>
  <c r="I188" i="15"/>
  <c r="J188" i="15"/>
  <c r="P188" i="15"/>
  <c r="R188" i="15"/>
  <c r="S188" i="15"/>
  <c r="I189" i="15"/>
  <c r="J189" i="15"/>
  <c r="P189" i="15"/>
  <c r="R189" i="15"/>
  <c r="S189" i="15"/>
  <c r="I190" i="15"/>
  <c r="J190" i="15"/>
  <c r="P190" i="15"/>
  <c r="R190" i="15"/>
  <c r="S190" i="15"/>
  <c r="I191" i="15"/>
  <c r="J191" i="15"/>
  <c r="P191" i="15"/>
  <c r="R191" i="15"/>
  <c r="S191" i="15"/>
  <c r="I192" i="15"/>
  <c r="J192" i="15"/>
  <c r="P192" i="15"/>
  <c r="R192" i="15"/>
  <c r="S192" i="15"/>
  <c r="I193" i="15"/>
  <c r="J193" i="15"/>
  <c r="P193" i="15"/>
  <c r="R193" i="15"/>
  <c r="S193" i="15"/>
  <c r="I194" i="15"/>
  <c r="J194" i="15"/>
  <c r="P194" i="15"/>
  <c r="R194" i="15"/>
  <c r="S194" i="15"/>
  <c r="I195" i="15"/>
  <c r="J195" i="15"/>
  <c r="P195" i="15"/>
  <c r="R195" i="15"/>
  <c r="S195" i="15"/>
  <c r="I196" i="15"/>
  <c r="J196" i="15"/>
  <c r="P196" i="15"/>
  <c r="R196" i="15"/>
  <c r="S196" i="15"/>
  <c r="I197" i="15"/>
  <c r="J197" i="15"/>
  <c r="P197" i="15"/>
  <c r="R197" i="15"/>
  <c r="S197" i="15"/>
  <c r="I198" i="15"/>
  <c r="J198" i="15"/>
  <c r="P198" i="15"/>
  <c r="R198" i="15"/>
  <c r="S198" i="15"/>
  <c r="I199" i="15"/>
  <c r="J199" i="15"/>
  <c r="P199" i="15"/>
  <c r="R199" i="15"/>
  <c r="S199" i="15"/>
  <c r="I200" i="15"/>
  <c r="J200" i="15"/>
  <c r="P200" i="15"/>
  <c r="R200" i="15"/>
  <c r="S200" i="15"/>
  <c r="I201" i="15"/>
  <c r="J201" i="15"/>
  <c r="P201" i="15"/>
  <c r="R201" i="15"/>
  <c r="S201" i="15"/>
  <c r="I202" i="15"/>
  <c r="J202" i="15"/>
  <c r="P202" i="15"/>
  <c r="R202" i="15"/>
  <c r="S202" i="15"/>
  <c r="I203" i="15"/>
  <c r="J203" i="15"/>
  <c r="P203" i="15"/>
  <c r="R203" i="15"/>
  <c r="S203" i="15"/>
  <c r="I204" i="15"/>
  <c r="J204" i="15"/>
  <c r="P204" i="15"/>
  <c r="R204" i="15"/>
  <c r="S204" i="15"/>
  <c r="I205" i="15"/>
  <c r="J205" i="15"/>
  <c r="P205" i="15"/>
  <c r="R205" i="15"/>
  <c r="S205" i="15"/>
  <c r="I206" i="15"/>
  <c r="J206" i="15"/>
  <c r="P206" i="15"/>
  <c r="R206" i="15"/>
  <c r="S206" i="15"/>
  <c r="I207" i="15"/>
  <c r="J207" i="15"/>
  <c r="P207" i="15"/>
  <c r="R207" i="15"/>
  <c r="S207" i="15"/>
  <c r="I208" i="15"/>
  <c r="J208" i="15"/>
  <c r="P208" i="15"/>
  <c r="R208" i="15"/>
  <c r="S208" i="15"/>
  <c r="I209" i="15"/>
  <c r="J209" i="15"/>
  <c r="P209" i="15"/>
  <c r="R209" i="15"/>
  <c r="S209" i="15"/>
  <c r="I210" i="15"/>
  <c r="J210" i="15"/>
  <c r="P210" i="15"/>
  <c r="R210" i="15"/>
  <c r="S210" i="15"/>
  <c r="I211" i="15"/>
  <c r="J211" i="15"/>
  <c r="P211" i="15"/>
  <c r="R211" i="15"/>
  <c r="S211" i="15"/>
  <c r="I212" i="15"/>
  <c r="J212" i="15"/>
  <c r="P212" i="15"/>
  <c r="R212" i="15"/>
  <c r="S212" i="15"/>
  <c r="I213" i="15"/>
  <c r="J213" i="15"/>
  <c r="P213" i="15"/>
  <c r="R213" i="15"/>
  <c r="S213" i="15"/>
  <c r="I214" i="15"/>
  <c r="J214" i="15"/>
  <c r="P214" i="15"/>
  <c r="R214" i="15"/>
  <c r="S214" i="15"/>
  <c r="I215" i="15"/>
  <c r="J215" i="15"/>
  <c r="P215" i="15"/>
  <c r="R215" i="15"/>
  <c r="S215" i="15"/>
  <c r="I216" i="15"/>
  <c r="J216" i="15"/>
  <c r="P216" i="15"/>
  <c r="R216" i="15"/>
  <c r="S216" i="15"/>
  <c r="I217" i="15"/>
  <c r="J217" i="15"/>
  <c r="P217" i="15"/>
  <c r="R217" i="15"/>
  <c r="S217" i="15"/>
  <c r="I218" i="15"/>
  <c r="J218" i="15"/>
  <c r="P218" i="15"/>
  <c r="R218" i="15"/>
  <c r="S218" i="15"/>
  <c r="I219" i="15"/>
  <c r="J219" i="15"/>
  <c r="P219" i="15"/>
  <c r="R219" i="15"/>
  <c r="S219" i="15"/>
  <c r="I220" i="15"/>
  <c r="J220" i="15"/>
  <c r="P220" i="15"/>
  <c r="R220" i="15"/>
  <c r="S220" i="15"/>
  <c r="I221" i="15"/>
  <c r="J221" i="15"/>
  <c r="P221" i="15"/>
  <c r="R221" i="15"/>
  <c r="S221" i="15"/>
  <c r="I222" i="15"/>
  <c r="J222" i="15"/>
  <c r="P222" i="15"/>
  <c r="R222" i="15"/>
  <c r="S222" i="15"/>
  <c r="I223" i="15"/>
  <c r="J223" i="15"/>
  <c r="P223" i="15"/>
  <c r="R223" i="15"/>
  <c r="S223" i="15"/>
  <c r="I224" i="15"/>
  <c r="J224" i="15"/>
  <c r="P224" i="15"/>
  <c r="R224" i="15"/>
  <c r="S224" i="15"/>
  <c r="I225" i="15"/>
  <c r="J225" i="15"/>
  <c r="P225" i="15"/>
  <c r="R225" i="15"/>
  <c r="S225" i="15"/>
  <c r="I226" i="15"/>
  <c r="J226" i="15"/>
  <c r="P226" i="15"/>
  <c r="R226" i="15"/>
  <c r="S226" i="15"/>
  <c r="I227" i="15"/>
  <c r="J227" i="15"/>
  <c r="P227" i="15"/>
  <c r="R227" i="15"/>
  <c r="S227" i="15"/>
  <c r="I228" i="15"/>
  <c r="J228" i="15"/>
  <c r="P228" i="15"/>
  <c r="R228" i="15"/>
  <c r="S228" i="15"/>
  <c r="I229" i="15"/>
  <c r="J229" i="15"/>
  <c r="P229" i="15"/>
  <c r="R229" i="15"/>
  <c r="S229" i="15"/>
  <c r="I230" i="15"/>
  <c r="J230" i="15"/>
  <c r="P230" i="15"/>
  <c r="R230" i="15"/>
  <c r="S230" i="15"/>
  <c r="I231" i="15"/>
  <c r="J231" i="15"/>
  <c r="P231" i="15"/>
  <c r="R231" i="15"/>
  <c r="S231" i="15"/>
  <c r="I232" i="15"/>
  <c r="J232" i="15"/>
  <c r="P232" i="15"/>
  <c r="R232" i="15"/>
  <c r="S232" i="15"/>
  <c r="I233" i="15"/>
  <c r="J233" i="15"/>
  <c r="P233" i="15"/>
  <c r="R233" i="15"/>
  <c r="S233" i="15"/>
  <c r="I234" i="15"/>
  <c r="J234" i="15"/>
  <c r="P234" i="15"/>
  <c r="R234" i="15"/>
  <c r="S234" i="15"/>
  <c r="I235" i="15"/>
  <c r="J235" i="15"/>
  <c r="P235" i="15"/>
  <c r="R235" i="15"/>
  <c r="S235" i="15"/>
  <c r="I236" i="15"/>
  <c r="J236" i="15"/>
  <c r="P236" i="15"/>
  <c r="R236" i="15"/>
  <c r="S236" i="15"/>
  <c r="I237" i="15"/>
  <c r="J237" i="15"/>
  <c r="P237" i="15"/>
  <c r="R237" i="15"/>
  <c r="S237" i="15"/>
  <c r="I238" i="15"/>
  <c r="J238" i="15"/>
  <c r="P238" i="15"/>
  <c r="R238" i="15"/>
  <c r="S238" i="15"/>
  <c r="I239" i="15"/>
  <c r="J239" i="15"/>
  <c r="P239" i="15"/>
  <c r="R239" i="15"/>
  <c r="S239" i="15"/>
  <c r="I240" i="15"/>
  <c r="J240" i="15"/>
  <c r="P240" i="15"/>
  <c r="R240" i="15"/>
  <c r="S240" i="15"/>
  <c r="I241" i="15"/>
  <c r="J241" i="15"/>
  <c r="P241" i="15"/>
  <c r="R241" i="15"/>
  <c r="S241" i="15"/>
  <c r="I242" i="15"/>
  <c r="J242" i="15"/>
  <c r="P242" i="15"/>
  <c r="R242" i="15"/>
  <c r="S242" i="15"/>
  <c r="I243" i="15"/>
  <c r="J243" i="15"/>
  <c r="P243" i="15"/>
  <c r="R243" i="15"/>
  <c r="S243" i="15"/>
  <c r="I244" i="15"/>
  <c r="J244" i="15"/>
  <c r="P244" i="15"/>
  <c r="R244" i="15"/>
  <c r="S244" i="15"/>
  <c r="I245" i="15"/>
  <c r="J245" i="15"/>
  <c r="P245" i="15"/>
  <c r="R245" i="15"/>
  <c r="S245" i="15"/>
  <c r="I246" i="15"/>
  <c r="J246" i="15"/>
  <c r="P246" i="15"/>
  <c r="R246" i="15"/>
  <c r="S246" i="15"/>
  <c r="I247" i="15"/>
  <c r="J247" i="15"/>
  <c r="P247" i="15"/>
  <c r="R247" i="15"/>
  <c r="S247" i="15"/>
  <c r="I248" i="15"/>
  <c r="J248" i="15"/>
  <c r="P248" i="15"/>
  <c r="R248" i="15"/>
  <c r="S248" i="15"/>
  <c r="I249" i="15"/>
  <c r="J249" i="15"/>
  <c r="P249" i="15"/>
  <c r="R249" i="15"/>
  <c r="S249" i="15"/>
  <c r="I250" i="15"/>
  <c r="J250" i="15"/>
  <c r="P250" i="15"/>
  <c r="R250" i="15"/>
  <c r="S250" i="15"/>
  <c r="I251" i="15"/>
  <c r="J251" i="15"/>
  <c r="P251" i="15"/>
  <c r="R251" i="15"/>
  <c r="S251" i="15"/>
  <c r="I252" i="15"/>
  <c r="J252" i="15"/>
  <c r="P252" i="15"/>
  <c r="R252" i="15"/>
  <c r="S252" i="15"/>
  <c r="I253" i="15"/>
  <c r="J253" i="15"/>
  <c r="P253" i="15"/>
  <c r="R253" i="15"/>
  <c r="S253" i="15"/>
  <c r="I254" i="15"/>
  <c r="J254" i="15"/>
  <c r="P254" i="15"/>
  <c r="R254" i="15"/>
  <c r="S254" i="15"/>
  <c r="I255" i="15"/>
  <c r="J255" i="15"/>
  <c r="P255" i="15"/>
  <c r="R255" i="15"/>
  <c r="S255" i="15"/>
  <c r="I256" i="15"/>
  <c r="J256" i="15"/>
  <c r="P256" i="15"/>
  <c r="R256" i="15"/>
  <c r="S256" i="15"/>
  <c r="I257" i="15"/>
  <c r="J257" i="15"/>
  <c r="P257" i="15"/>
  <c r="R257" i="15"/>
  <c r="S257" i="15"/>
  <c r="I258" i="15"/>
  <c r="J258" i="15"/>
  <c r="P258" i="15"/>
  <c r="R258" i="15"/>
  <c r="S258" i="15"/>
  <c r="I259" i="15"/>
  <c r="J259" i="15"/>
  <c r="P259" i="15"/>
  <c r="R259" i="15"/>
  <c r="S259" i="15"/>
  <c r="I260" i="15"/>
  <c r="J260" i="15"/>
  <c r="P260" i="15"/>
  <c r="R260" i="15"/>
  <c r="S260" i="15"/>
  <c r="I261" i="15"/>
  <c r="J261" i="15"/>
  <c r="P261" i="15"/>
  <c r="R261" i="15"/>
  <c r="S261" i="15"/>
  <c r="I262" i="15"/>
  <c r="J262" i="15"/>
  <c r="P262" i="15"/>
  <c r="R262" i="15"/>
  <c r="S262" i="15"/>
  <c r="I263" i="15"/>
  <c r="J263" i="15"/>
  <c r="P263" i="15"/>
  <c r="R263" i="15"/>
  <c r="S263" i="15"/>
  <c r="I264" i="15"/>
  <c r="J264" i="15"/>
  <c r="P264" i="15"/>
  <c r="R264" i="15"/>
  <c r="S264" i="15"/>
  <c r="I265" i="15"/>
  <c r="J265" i="15"/>
  <c r="P265" i="15"/>
  <c r="R265" i="15"/>
  <c r="S265" i="15"/>
  <c r="I266" i="15"/>
  <c r="J266" i="15"/>
  <c r="P266" i="15"/>
  <c r="R266" i="15"/>
  <c r="S266" i="15"/>
  <c r="I267" i="15"/>
  <c r="J267" i="15"/>
  <c r="P267" i="15"/>
  <c r="R267" i="15"/>
  <c r="S267" i="15"/>
  <c r="I268" i="15"/>
  <c r="J268" i="15"/>
  <c r="P268" i="15"/>
  <c r="R268" i="15"/>
  <c r="S268" i="15"/>
  <c r="I269" i="15"/>
  <c r="J269" i="15"/>
  <c r="P269" i="15"/>
  <c r="R269" i="15"/>
  <c r="S269" i="15"/>
  <c r="I270" i="15"/>
  <c r="J270" i="15"/>
  <c r="P270" i="15"/>
  <c r="R270" i="15"/>
  <c r="S270" i="15"/>
  <c r="I271" i="15"/>
  <c r="J271" i="15"/>
  <c r="P271" i="15"/>
  <c r="R271" i="15"/>
  <c r="S271" i="15"/>
  <c r="I272" i="15"/>
  <c r="J272" i="15"/>
  <c r="P272" i="15"/>
  <c r="R272" i="15"/>
  <c r="S272" i="15"/>
  <c r="I273" i="15"/>
  <c r="J273" i="15"/>
  <c r="P273" i="15"/>
  <c r="R273" i="15"/>
  <c r="S273" i="15"/>
  <c r="I274" i="15"/>
  <c r="J274" i="15"/>
  <c r="P274" i="15"/>
  <c r="R274" i="15"/>
  <c r="S274" i="15"/>
  <c r="I275" i="15"/>
  <c r="J275" i="15"/>
  <c r="P275" i="15"/>
  <c r="R275" i="15"/>
  <c r="S275" i="15"/>
  <c r="I276" i="15"/>
  <c r="J276" i="15"/>
  <c r="P276" i="15"/>
  <c r="R276" i="15"/>
  <c r="S276" i="15"/>
  <c r="I277" i="15"/>
  <c r="J277" i="15"/>
  <c r="P277" i="15"/>
  <c r="R277" i="15"/>
  <c r="S277" i="15"/>
  <c r="I278" i="15"/>
  <c r="J278" i="15"/>
  <c r="P278" i="15"/>
  <c r="R278" i="15"/>
  <c r="S278" i="15"/>
  <c r="I279" i="15"/>
  <c r="J279" i="15"/>
  <c r="P279" i="15"/>
  <c r="R279" i="15"/>
  <c r="S279" i="15"/>
  <c r="I280" i="15"/>
  <c r="J280" i="15"/>
  <c r="P280" i="15"/>
  <c r="R280" i="15"/>
  <c r="S280" i="15"/>
  <c r="I281" i="15"/>
  <c r="J281" i="15"/>
  <c r="P281" i="15"/>
  <c r="R281" i="15"/>
  <c r="S281" i="15"/>
  <c r="I282" i="15"/>
  <c r="J282" i="15"/>
  <c r="P282" i="15"/>
  <c r="R282" i="15"/>
  <c r="S282" i="15"/>
  <c r="I283" i="15"/>
  <c r="J283" i="15"/>
  <c r="P283" i="15"/>
  <c r="R283" i="15"/>
  <c r="S283" i="15"/>
  <c r="I284" i="15"/>
  <c r="J284" i="15"/>
  <c r="P284" i="15"/>
  <c r="R284" i="15"/>
  <c r="S284" i="15"/>
  <c r="I285" i="15"/>
  <c r="J285" i="15"/>
  <c r="P285" i="15"/>
  <c r="R285" i="15"/>
  <c r="S285" i="15"/>
  <c r="I286" i="15"/>
  <c r="J286" i="15"/>
  <c r="P286" i="15"/>
  <c r="R286" i="15"/>
  <c r="S286" i="15"/>
  <c r="I287" i="15"/>
  <c r="J287" i="15"/>
  <c r="P287" i="15"/>
  <c r="R287" i="15"/>
  <c r="S287" i="15"/>
  <c r="I288" i="15"/>
  <c r="J288" i="15"/>
  <c r="P288" i="15"/>
  <c r="R288" i="15"/>
  <c r="S288" i="15"/>
  <c r="I289" i="15"/>
  <c r="J289" i="15"/>
  <c r="P289" i="15"/>
  <c r="R289" i="15"/>
  <c r="S289" i="15"/>
  <c r="I290" i="15"/>
  <c r="J290" i="15"/>
  <c r="P290" i="15"/>
  <c r="R290" i="15"/>
  <c r="S290" i="15"/>
  <c r="I291" i="15"/>
  <c r="J291" i="15"/>
  <c r="P291" i="15"/>
  <c r="R291" i="15"/>
  <c r="S291" i="15"/>
  <c r="I292" i="15"/>
  <c r="J292" i="15"/>
  <c r="P292" i="15"/>
  <c r="R292" i="15"/>
  <c r="S292" i="15"/>
  <c r="I293" i="15"/>
  <c r="J293" i="15"/>
  <c r="P293" i="15"/>
  <c r="R293" i="15"/>
  <c r="S293" i="15"/>
  <c r="I294" i="15"/>
  <c r="J294" i="15"/>
  <c r="P294" i="15"/>
  <c r="R294" i="15"/>
  <c r="S294" i="15"/>
  <c r="I295" i="15"/>
  <c r="J295" i="15"/>
  <c r="P295" i="15"/>
  <c r="R295" i="15"/>
  <c r="S295" i="15"/>
  <c r="I296" i="15"/>
  <c r="J296" i="15"/>
  <c r="P296" i="15"/>
  <c r="R296" i="15"/>
  <c r="S296" i="15"/>
  <c r="I297" i="15"/>
  <c r="J297" i="15"/>
  <c r="P297" i="15"/>
  <c r="R297" i="15"/>
  <c r="S297" i="15"/>
  <c r="I298" i="15"/>
  <c r="J298" i="15"/>
  <c r="P298" i="15"/>
  <c r="R298" i="15"/>
  <c r="S298" i="15"/>
  <c r="I299" i="15"/>
  <c r="J299" i="15"/>
  <c r="P299" i="15"/>
  <c r="R299" i="15"/>
  <c r="S299" i="15"/>
  <c r="I300" i="15"/>
  <c r="J300" i="15"/>
  <c r="P300" i="15"/>
  <c r="R300" i="15"/>
  <c r="S300" i="15"/>
  <c r="I301" i="15"/>
  <c r="J301" i="15"/>
  <c r="P301" i="15"/>
  <c r="R301" i="15"/>
  <c r="S301" i="15"/>
  <c r="I302" i="15"/>
  <c r="J302" i="15"/>
  <c r="P302" i="15"/>
  <c r="R302" i="15"/>
  <c r="S302" i="15"/>
  <c r="I303" i="15"/>
  <c r="J303" i="15"/>
  <c r="P303" i="15"/>
  <c r="R303" i="15"/>
  <c r="S303" i="15"/>
  <c r="I304" i="15"/>
  <c r="J304" i="15"/>
  <c r="P304" i="15"/>
  <c r="R304" i="15"/>
  <c r="S304" i="15"/>
  <c r="I305" i="15"/>
  <c r="J305" i="15"/>
  <c r="P305" i="15"/>
  <c r="R305" i="15"/>
  <c r="S305" i="15"/>
  <c r="I306" i="15"/>
  <c r="J306" i="15"/>
  <c r="P306" i="15"/>
  <c r="R306" i="15"/>
  <c r="S306" i="15"/>
  <c r="I307" i="15"/>
  <c r="J307" i="15"/>
  <c r="P307" i="15"/>
  <c r="R307" i="15"/>
  <c r="S307" i="15"/>
  <c r="I308" i="15"/>
  <c r="J308" i="15"/>
  <c r="P308" i="15"/>
  <c r="R308" i="15"/>
  <c r="S308" i="15"/>
  <c r="I309" i="15"/>
  <c r="J309" i="15"/>
  <c r="P309" i="15"/>
  <c r="R309" i="15"/>
  <c r="S309" i="15"/>
  <c r="I310" i="15"/>
  <c r="J310" i="15"/>
  <c r="P310" i="15"/>
  <c r="R310" i="15"/>
  <c r="S310" i="15"/>
  <c r="I311" i="15"/>
  <c r="J311" i="15"/>
  <c r="P311" i="15"/>
  <c r="R311" i="15"/>
  <c r="S311" i="15"/>
  <c r="I312" i="15"/>
  <c r="J312" i="15"/>
  <c r="P312" i="15"/>
  <c r="R312" i="15"/>
  <c r="S312" i="15"/>
  <c r="I313" i="15"/>
  <c r="J313" i="15"/>
  <c r="P313" i="15"/>
  <c r="R313" i="15"/>
  <c r="S313" i="15"/>
  <c r="I314" i="15"/>
  <c r="J314" i="15"/>
  <c r="P314" i="15"/>
  <c r="R314" i="15"/>
  <c r="S314" i="15"/>
  <c r="I315" i="15"/>
  <c r="J315" i="15"/>
  <c r="P315" i="15"/>
  <c r="R315" i="15"/>
  <c r="S315" i="15"/>
  <c r="I316" i="15"/>
  <c r="J316" i="15"/>
  <c r="P316" i="15"/>
  <c r="R316" i="15"/>
  <c r="S316" i="15"/>
  <c r="I317" i="15"/>
  <c r="J317" i="15"/>
  <c r="P317" i="15"/>
  <c r="R317" i="15"/>
  <c r="S317" i="15"/>
  <c r="I318" i="15"/>
  <c r="J318" i="15"/>
  <c r="P318" i="15"/>
  <c r="R318" i="15"/>
  <c r="S318" i="15"/>
  <c r="I319" i="15"/>
  <c r="J319" i="15"/>
  <c r="P319" i="15"/>
  <c r="R319" i="15"/>
  <c r="S319" i="15"/>
  <c r="I320" i="15"/>
  <c r="J320" i="15"/>
  <c r="P320" i="15"/>
  <c r="R320" i="15"/>
  <c r="S320" i="15"/>
  <c r="I321" i="15"/>
  <c r="J321" i="15"/>
  <c r="P321" i="15"/>
  <c r="R321" i="15"/>
  <c r="S321" i="15"/>
  <c r="I322" i="15"/>
  <c r="J322" i="15"/>
  <c r="P322" i="15"/>
  <c r="R322" i="15"/>
  <c r="S322" i="15"/>
  <c r="I323" i="15"/>
  <c r="J323" i="15"/>
  <c r="P323" i="15"/>
  <c r="R323" i="15"/>
  <c r="S323" i="15"/>
  <c r="I324" i="15"/>
  <c r="J324" i="15"/>
  <c r="P324" i="15"/>
  <c r="R324" i="15"/>
  <c r="S324" i="15"/>
  <c r="I325" i="15"/>
  <c r="J325" i="15"/>
  <c r="P325" i="15"/>
  <c r="R325" i="15"/>
  <c r="S325" i="15"/>
  <c r="I326" i="15"/>
  <c r="J326" i="15"/>
  <c r="P326" i="15"/>
  <c r="R326" i="15"/>
  <c r="S326" i="15"/>
  <c r="I327" i="15"/>
  <c r="J327" i="15"/>
  <c r="P327" i="15"/>
  <c r="R327" i="15"/>
  <c r="S327" i="15"/>
  <c r="I328" i="15"/>
  <c r="J328" i="15"/>
  <c r="P328" i="15"/>
  <c r="R328" i="15"/>
  <c r="S328" i="15"/>
  <c r="I329" i="15"/>
  <c r="J329" i="15"/>
  <c r="P329" i="15"/>
  <c r="R329" i="15"/>
  <c r="S329" i="15"/>
  <c r="I330" i="15"/>
  <c r="J330" i="15"/>
  <c r="P330" i="15"/>
  <c r="R330" i="15"/>
  <c r="S330" i="15"/>
  <c r="I331" i="15"/>
  <c r="J331" i="15"/>
  <c r="P331" i="15"/>
  <c r="R331" i="15"/>
  <c r="S331" i="15"/>
  <c r="I332" i="15"/>
  <c r="J332" i="15"/>
  <c r="P332" i="15"/>
  <c r="R332" i="15"/>
  <c r="S332" i="15"/>
  <c r="I333" i="15"/>
  <c r="J333" i="15"/>
  <c r="P333" i="15"/>
  <c r="R333" i="15"/>
  <c r="S333" i="15"/>
  <c r="I334" i="15"/>
  <c r="J334" i="15"/>
  <c r="P334" i="15"/>
  <c r="R334" i="15"/>
  <c r="S334" i="15"/>
  <c r="I335" i="15"/>
  <c r="J335" i="15"/>
  <c r="P335" i="15"/>
  <c r="R335" i="15"/>
  <c r="S335" i="15"/>
  <c r="I336" i="15"/>
  <c r="J336" i="15"/>
  <c r="P336" i="15"/>
  <c r="R336" i="15"/>
  <c r="S336" i="15"/>
  <c r="I337" i="15"/>
  <c r="J337" i="15"/>
  <c r="P337" i="15"/>
  <c r="R337" i="15"/>
  <c r="S337" i="15"/>
  <c r="I338" i="15"/>
  <c r="J338" i="15"/>
  <c r="P338" i="15"/>
  <c r="R338" i="15"/>
  <c r="S338" i="15"/>
  <c r="I339" i="15"/>
  <c r="J339" i="15"/>
  <c r="P339" i="15"/>
  <c r="R339" i="15"/>
  <c r="S339" i="15"/>
  <c r="I340" i="15"/>
  <c r="J340" i="15"/>
  <c r="P340" i="15"/>
  <c r="R340" i="15"/>
  <c r="S340" i="15"/>
  <c r="I341" i="15"/>
  <c r="J341" i="15"/>
  <c r="P341" i="15"/>
  <c r="R341" i="15"/>
  <c r="S341" i="15"/>
  <c r="I342" i="15"/>
  <c r="J342" i="15"/>
  <c r="P342" i="15"/>
  <c r="R342" i="15"/>
  <c r="S342" i="15"/>
  <c r="I343" i="15"/>
  <c r="J343" i="15"/>
  <c r="P343" i="15"/>
  <c r="R343" i="15"/>
  <c r="S343" i="15"/>
  <c r="I344" i="15"/>
  <c r="J344" i="15"/>
  <c r="P344" i="15"/>
  <c r="R344" i="15"/>
  <c r="S344" i="15"/>
  <c r="I345" i="15"/>
  <c r="J345" i="15"/>
  <c r="P345" i="15"/>
  <c r="R345" i="15"/>
  <c r="S345" i="15"/>
  <c r="I346" i="15"/>
  <c r="J346" i="15"/>
  <c r="P346" i="15"/>
  <c r="R346" i="15"/>
  <c r="S346" i="15"/>
  <c r="I347" i="15"/>
  <c r="J347" i="15"/>
  <c r="P347" i="15"/>
  <c r="R347" i="15"/>
  <c r="S347" i="15"/>
  <c r="I348" i="15"/>
  <c r="J348" i="15"/>
  <c r="P348" i="15"/>
  <c r="R348" i="15"/>
  <c r="S348" i="15"/>
  <c r="I349" i="15"/>
  <c r="J349" i="15"/>
  <c r="P349" i="15"/>
  <c r="R349" i="15"/>
  <c r="S349" i="15"/>
  <c r="I350" i="15"/>
  <c r="J350" i="15"/>
  <c r="P350" i="15"/>
  <c r="R350" i="15"/>
  <c r="S350" i="15"/>
  <c r="I351" i="15"/>
  <c r="J351" i="15"/>
  <c r="P351" i="15"/>
  <c r="R351" i="15"/>
  <c r="S351" i="15"/>
  <c r="I352" i="15"/>
  <c r="J352" i="15"/>
  <c r="P352" i="15"/>
  <c r="R352" i="15"/>
  <c r="S352" i="15"/>
  <c r="I353" i="15"/>
  <c r="J353" i="15"/>
  <c r="P353" i="15"/>
  <c r="R353" i="15"/>
  <c r="S353" i="15"/>
  <c r="I354" i="15"/>
  <c r="J354" i="15"/>
  <c r="P354" i="15"/>
  <c r="R354" i="15"/>
  <c r="S354" i="15"/>
  <c r="I355" i="15"/>
  <c r="J355" i="15"/>
  <c r="P355" i="15"/>
  <c r="R355" i="15"/>
  <c r="S355" i="15"/>
  <c r="I356" i="15"/>
  <c r="J356" i="15"/>
  <c r="P356" i="15"/>
  <c r="R356" i="15"/>
  <c r="S356" i="15"/>
  <c r="I357" i="15"/>
  <c r="J357" i="15"/>
  <c r="P357" i="15"/>
  <c r="R357" i="15"/>
  <c r="S357" i="15"/>
  <c r="I358" i="15"/>
  <c r="J358" i="15"/>
  <c r="P358" i="15"/>
  <c r="R358" i="15"/>
  <c r="S358" i="15"/>
  <c r="I359" i="15"/>
  <c r="J359" i="15"/>
  <c r="P359" i="15"/>
  <c r="R359" i="15"/>
  <c r="S359" i="15"/>
  <c r="I360" i="15"/>
  <c r="J360" i="15"/>
  <c r="P360" i="15"/>
  <c r="R360" i="15"/>
  <c r="S360" i="15"/>
  <c r="I361" i="15"/>
  <c r="J361" i="15"/>
  <c r="P361" i="15"/>
  <c r="R361" i="15"/>
  <c r="S361" i="15"/>
  <c r="I362" i="15"/>
  <c r="J362" i="15"/>
  <c r="P362" i="15"/>
  <c r="R362" i="15"/>
  <c r="S362" i="15"/>
  <c r="I363" i="15"/>
  <c r="J363" i="15"/>
  <c r="P363" i="15"/>
  <c r="R363" i="15"/>
  <c r="S363" i="15"/>
  <c r="I364" i="15"/>
  <c r="J364" i="15"/>
  <c r="P364" i="15"/>
  <c r="R364" i="15"/>
  <c r="S364" i="15"/>
  <c r="I365" i="15"/>
  <c r="J365" i="15"/>
  <c r="P365" i="15"/>
  <c r="R365" i="15"/>
  <c r="S365" i="15"/>
  <c r="I366" i="15"/>
  <c r="J366" i="15"/>
  <c r="P366" i="15"/>
  <c r="R366" i="15"/>
  <c r="S366" i="15"/>
  <c r="I367" i="15"/>
  <c r="J367" i="15"/>
  <c r="P367" i="15"/>
  <c r="R367" i="15"/>
  <c r="S367" i="15"/>
  <c r="I368" i="15"/>
  <c r="J368" i="15"/>
  <c r="P368" i="15"/>
  <c r="R368" i="15"/>
  <c r="S368" i="15"/>
  <c r="I369" i="15"/>
  <c r="J369" i="15"/>
  <c r="P369" i="15"/>
  <c r="R369" i="15"/>
  <c r="S369" i="15"/>
  <c r="I370" i="15"/>
  <c r="J370" i="15"/>
  <c r="P370" i="15"/>
  <c r="R370" i="15"/>
  <c r="S370" i="15"/>
  <c r="I371" i="15"/>
  <c r="J371" i="15"/>
  <c r="P371" i="15"/>
  <c r="R371" i="15"/>
  <c r="S371" i="15"/>
  <c r="I372" i="15"/>
  <c r="J372" i="15"/>
  <c r="P372" i="15"/>
  <c r="R372" i="15"/>
  <c r="S372" i="15"/>
  <c r="I373" i="15"/>
  <c r="J373" i="15"/>
  <c r="P373" i="15"/>
  <c r="R373" i="15"/>
  <c r="S373" i="15"/>
  <c r="I374" i="15"/>
  <c r="J374" i="15"/>
  <c r="P374" i="15"/>
  <c r="R374" i="15"/>
  <c r="S374" i="15"/>
  <c r="I375" i="15"/>
  <c r="J375" i="15"/>
  <c r="P375" i="15"/>
  <c r="R375" i="15"/>
  <c r="S375" i="15"/>
  <c r="I376" i="15"/>
  <c r="J376" i="15"/>
  <c r="P376" i="15"/>
  <c r="R376" i="15"/>
  <c r="S376" i="15"/>
  <c r="I377" i="15"/>
  <c r="J377" i="15"/>
  <c r="P377" i="15"/>
  <c r="R377" i="15"/>
  <c r="S377" i="15"/>
  <c r="I378" i="15"/>
  <c r="J378" i="15"/>
  <c r="P378" i="15"/>
  <c r="R378" i="15"/>
  <c r="S378" i="15"/>
  <c r="I379" i="15"/>
  <c r="J379" i="15"/>
  <c r="P379" i="15"/>
  <c r="R379" i="15"/>
  <c r="S379" i="15"/>
  <c r="I380" i="15"/>
  <c r="J380" i="15"/>
  <c r="P380" i="15"/>
  <c r="R380" i="15"/>
  <c r="S380" i="15"/>
  <c r="I381" i="15"/>
  <c r="J381" i="15"/>
  <c r="P381" i="15"/>
  <c r="R381" i="15"/>
  <c r="S381" i="15"/>
  <c r="I382" i="15"/>
  <c r="J382" i="15"/>
  <c r="P382" i="15"/>
  <c r="R382" i="15"/>
  <c r="S382" i="15"/>
  <c r="I383" i="15"/>
  <c r="J383" i="15"/>
  <c r="P383" i="15"/>
  <c r="R383" i="15"/>
  <c r="S383" i="15"/>
  <c r="I384" i="15"/>
  <c r="J384" i="15"/>
  <c r="P384" i="15"/>
  <c r="R384" i="15"/>
  <c r="S384" i="15"/>
  <c r="I385" i="15"/>
  <c r="J385" i="15"/>
  <c r="P385" i="15"/>
  <c r="R385" i="15"/>
  <c r="S385" i="15"/>
  <c r="I386" i="15"/>
  <c r="J386" i="15"/>
  <c r="P386" i="15"/>
  <c r="R386" i="15"/>
  <c r="S386" i="15"/>
  <c r="I387" i="15"/>
  <c r="J387" i="15"/>
  <c r="P387" i="15"/>
  <c r="R387" i="15"/>
  <c r="S387" i="15"/>
  <c r="I388" i="15"/>
  <c r="J388" i="15"/>
  <c r="P388" i="15"/>
  <c r="R388" i="15"/>
  <c r="S388" i="15"/>
  <c r="I389" i="15"/>
  <c r="J389" i="15"/>
  <c r="P389" i="15"/>
  <c r="R389" i="15"/>
  <c r="S389" i="15"/>
  <c r="I390" i="15"/>
  <c r="J390" i="15"/>
  <c r="P390" i="15"/>
  <c r="R390" i="15"/>
  <c r="S390" i="15"/>
  <c r="I391" i="15"/>
  <c r="J391" i="15"/>
  <c r="P391" i="15"/>
  <c r="R391" i="15"/>
  <c r="S391" i="15"/>
  <c r="I392" i="15"/>
  <c r="J392" i="15"/>
  <c r="P392" i="15"/>
  <c r="R392" i="15"/>
  <c r="S392" i="15"/>
  <c r="I393" i="15"/>
  <c r="J393" i="15"/>
  <c r="P393" i="15"/>
  <c r="R393" i="15"/>
  <c r="S393" i="15"/>
  <c r="I394" i="15"/>
  <c r="J394" i="15"/>
  <c r="P394" i="15"/>
  <c r="R394" i="15"/>
  <c r="S394" i="15"/>
  <c r="I395" i="15"/>
  <c r="J395" i="15"/>
  <c r="P395" i="15"/>
  <c r="R395" i="15"/>
  <c r="S395" i="15"/>
  <c r="I396" i="15"/>
  <c r="J396" i="15"/>
  <c r="P396" i="15"/>
  <c r="R396" i="15"/>
  <c r="S396" i="15"/>
  <c r="I397" i="15"/>
  <c r="J397" i="15"/>
  <c r="P397" i="15"/>
  <c r="R397" i="15"/>
  <c r="S397" i="15"/>
  <c r="I398" i="15"/>
  <c r="J398" i="15"/>
  <c r="P398" i="15"/>
  <c r="R398" i="15"/>
  <c r="S398" i="15"/>
  <c r="I399" i="15"/>
  <c r="J399" i="15"/>
  <c r="P399" i="15"/>
  <c r="R399" i="15"/>
  <c r="S399" i="15"/>
  <c r="I400" i="15"/>
  <c r="J400" i="15"/>
  <c r="P400" i="15"/>
  <c r="R400" i="15"/>
  <c r="S400" i="15"/>
  <c r="I401" i="15"/>
  <c r="J401" i="15"/>
  <c r="P401" i="15"/>
  <c r="R401" i="15"/>
  <c r="S401" i="15"/>
  <c r="I402" i="15"/>
  <c r="J402" i="15"/>
  <c r="P402" i="15"/>
  <c r="R402" i="15"/>
  <c r="S402" i="15"/>
  <c r="I403" i="15"/>
  <c r="J403" i="15"/>
  <c r="P403" i="15"/>
  <c r="R403" i="15"/>
  <c r="S403" i="15"/>
  <c r="I404" i="15"/>
  <c r="J404" i="15"/>
  <c r="P404" i="15"/>
  <c r="R404" i="15"/>
  <c r="S404" i="15"/>
  <c r="I405" i="15"/>
  <c r="J405" i="15"/>
  <c r="P405" i="15"/>
  <c r="R405" i="15"/>
  <c r="S405" i="15"/>
  <c r="I406" i="15"/>
  <c r="J406" i="15"/>
  <c r="P406" i="15"/>
  <c r="R406" i="15"/>
  <c r="S406" i="15"/>
  <c r="I407" i="15"/>
  <c r="J407" i="15"/>
  <c r="P407" i="15"/>
  <c r="R407" i="15"/>
  <c r="S407" i="15"/>
  <c r="I408" i="15"/>
  <c r="J408" i="15"/>
  <c r="P408" i="15"/>
  <c r="R408" i="15"/>
  <c r="S408" i="15"/>
  <c r="I409" i="15"/>
  <c r="J409" i="15"/>
  <c r="P409" i="15"/>
  <c r="R409" i="15"/>
  <c r="S409" i="15"/>
  <c r="I410" i="15"/>
  <c r="J410" i="15"/>
  <c r="P410" i="15"/>
  <c r="R410" i="15"/>
  <c r="S410" i="15"/>
  <c r="I411" i="15"/>
  <c r="J411" i="15"/>
  <c r="P411" i="15"/>
  <c r="R411" i="15"/>
  <c r="S411" i="15"/>
  <c r="I412" i="15"/>
  <c r="J412" i="15"/>
  <c r="P412" i="15"/>
  <c r="R412" i="15"/>
  <c r="S412" i="15"/>
  <c r="I413" i="15"/>
  <c r="J413" i="15"/>
  <c r="P413" i="15"/>
  <c r="R413" i="15"/>
  <c r="S413" i="15"/>
  <c r="I414" i="15"/>
  <c r="J414" i="15"/>
  <c r="P414" i="15"/>
  <c r="R414" i="15"/>
  <c r="S414" i="15"/>
  <c r="I415" i="15"/>
  <c r="J415" i="15"/>
  <c r="P415" i="15"/>
  <c r="R415" i="15"/>
  <c r="S415" i="15"/>
  <c r="I416" i="15"/>
  <c r="J416" i="15"/>
  <c r="P416" i="15"/>
  <c r="R416" i="15"/>
  <c r="S416" i="15"/>
  <c r="I417" i="15"/>
  <c r="J417" i="15"/>
  <c r="P417" i="15"/>
  <c r="R417" i="15"/>
  <c r="S417" i="15"/>
  <c r="I418" i="15"/>
  <c r="J418" i="15"/>
  <c r="P418" i="15"/>
  <c r="R418" i="15"/>
  <c r="S418" i="15"/>
  <c r="I419" i="15"/>
  <c r="J419" i="15"/>
  <c r="P419" i="15"/>
  <c r="R419" i="15"/>
  <c r="S419" i="15"/>
  <c r="I420" i="15"/>
  <c r="J420" i="15"/>
  <c r="P420" i="15"/>
  <c r="R420" i="15"/>
  <c r="S420" i="15"/>
  <c r="I421" i="15"/>
  <c r="J421" i="15"/>
  <c r="P421" i="15"/>
  <c r="R421" i="15"/>
  <c r="S421" i="15"/>
  <c r="I422" i="15"/>
  <c r="J422" i="15"/>
  <c r="P422" i="15"/>
  <c r="R422" i="15"/>
  <c r="S422" i="15"/>
  <c r="I423" i="15"/>
  <c r="J423" i="15"/>
  <c r="P423" i="15"/>
  <c r="R423" i="15"/>
  <c r="S423" i="15"/>
  <c r="I424" i="15"/>
  <c r="J424" i="15"/>
  <c r="P424" i="15"/>
  <c r="R424" i="15"/>
  <c r="S424" i="15"/>
  <c r="I425" i="15"/>
  <c r="J425" i="15"/>
  <c r="P425" i="15"/>
  <c r="R425" i="15"/>
  <c r="S425" i="15"/>
  <c r="I426" i="15"/>
  <c r="J426" i="15"/>
  <c r="P426" i="15"/>
  <c r="R426" i="15"/>
  <c r="S426" i="15"/>
  <c r="I427" i="15"/>
  <c r="J427" i="15"/>
  <c r="P427" i="15"/>
  <c r="R427" i="15"/>
  <c r="S427" i="15"/>
  <c r="I428" i="15"/>
  <c r="J428" i="15"/>
  <c r="P428" i="15"/>
  <c r="R428" i="15"/>
  <c r="S428" i="15"/>
  <c r="I429" i="15"/>
  <c r="J429" i="15"/>
  <c r="P429" i="15"/>
  <c r="R429" i="15"/>
  <c r="S429" i="15"/>
  <c r="I430" i="15"/>
  <c r="J430" i="15"/>
  <c r="P430" i="15"/>
  <c r="R430" i="15"/>
  <c r="S430" i="15"/>
  <c r="I431" i="15"/>
  <c r="J431" i="15"/>
  <c r="P431" i="15"/>
  <c r="R431" i="15"/>
  <c r="S431" i="15"/>
  <c r="I432" i="15"/>
  <c r="J432" i="15"/>
  <c r="P432" i="15"/>
  <c r="R432" i="15"/>
  <c r="S432" i="15"/>
  <c r="I433" i="15"/>
  <c r="J433" i="15"/>
  <c r="P433" i="15"/>
  <c r="R433" i="15"/>
  <c r="S433" i="15"/>
  <c r="I434" i="15"/>
  <c r="J434" i="15"/>
  <c r="P434" i="15"/>
  <c r="R434" i="15"/>
  <c r="S434" i="15"/>
  <c r="I435" i="15"/>
  <c r="J435" i="15"/>
  <c r="P435" i="15"/>
  <c r="R435" i="15"/>
  <c r="S435" i="15"/>
  <c r="I436" i="15"/>
  <c r="J436" i="15"/>
  <c r="P436" i="15"/>
  <c r="R436" i="15"/>
  <c r="S436" i="15"/>
  <c r="I437" i="15"/>
  <c r="J437" i="15"/>
  <c r="P437" i="15"/>
  <c r="R437" i="15"/>
  <c r="S437" i="15"/>
  <c r="I438" i="15"/>
  <c r="J438" i="15"/>
  <c r="P438" i="15"/>
  <c r="R438" i="15"/>
  <c r="S438" i="15"/>
  <c r="I439" i="15"/>
  <c r="J439" i="15"/>
  <c r="P439" i="15"/>
  <c r="R439" i="15"/>
  <c r="S439" i="15"/>
  <c r="I440" i="15"/>
  <c r="J440" i="15"/>
  <c r="P440" i="15"/>
  <c r="R440" i="15"/>
  <c r="S440" i="15"/>
  <c r="I441" i="15"/>
  <c r="J441" i="15"/>
  <c r="P441" i="15"/>
  <c r="R441" i="15"/>
  <c r="S441" i="15"/>
  <c r="I442" i="15"/>
  <c r="J442" i="15"/>
  <c r="P442" i="15"/>
  <c r="R442" i="15"/>
  <c r="S442" i="15"/>
  <c r="I443" i="15"/>
  <c r="J443" i="15"/>
  <c r="P443" i="15"/>
  <c r="R443" i="15"/>
  <c r="S443" i="15"/>
  <c r="I444" i="15"/>
  <c r="J444" i="15"/>
  <c r="P444" i="15"/>
  <c r="R444" i="15"/>
  <c r="S444" i="15"/>
  <c r="I445" i="15"/>
  <c r="J445" i="15"/>
  <c r="P445" i="15"/>
  <c r="R445" i="15"/>
  <c r="S445" i="15"/>
  <c r="I446" i="15"/>
  <c r="J446" i="15"/>
  <c r="P446" i="15"/>
  <c r="R446" i="15"/>
  <c r="S446" i="15"/>
  <c r="I447" i="15"/>
  <c r="J447" i="15"/>
  <c r="P447" i="15"/>
  <c r="R447" i="15"/>
  <c r="S447" i="15"/>
  <c r="M449" i="15"/>
  <c r="N449" i="15"/>
  <c r="O449" i="15"/>
  <c r="P449" i="15"/>
  <c r="G45" i="1"/>
  <c r="H45" i="1"/>
  <c r="I45" i="1"/>
  <c r="J45" i="1"/>
  <c r="M45" i="1"/>
  <c r="N45" i="1"/>
  <c r="O45" i="1"/>
  <c r="Q45" i="1"/>
  <c r="S45" i="1"/>
  <c r="T45" i="1"/>
  <c r="V45" i="1"/>
  <c r="J7" i="3"/>
  <c r="J8" i="3"/>
  <c r="J9" i="3"/>
  <c r="J10" i="3"/>
  <c r="J14" i="3"/>
  <c r="K7" i="3"/>
  <c r="K8" i="3"/>
  <c r="K9" i="3"/>
  <c r="K10" i="3"/>
  <c r="K14" i="3"/>
  <c r="L7" i="3"/>
  <c r="L8" i="3"/>
  <c r="L9" i="3"/>
  <c r="L10" i="3"/>
  <c r="L14" i="3"/>
  <c r="M7" i="3"/>
  <c r="M8" i="3"/>
  <c r="M9" i="3"/>
  <c r="M10" i="3"/>
  <c r="M14" i="3"/>
  <c r="R13" i="1"/>
  <c r="B37" i="1"/>
  <c r="AE38" i="1"/>
  <c r="W45" i="1"/>
  <c r="X45" i="1"/>
  <c r="Y45" i="1"/>
  <c r="Z45" i="1"/>
  <c r="AA45" i="1"/>
  <c r="AB45" i="1"/>
  <c r="AC45" i="1"/>
  <c r="AD45" i="1"/>
  <c r="A45" i="1"/>
  <c r="L50" i="1"/>
  <c r="G50" i="1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D6" i="3"/>
  <c r="E6" i="3"/>
  <c r="F6" i="3"/>
  <c r="G6" i="3"/>
  <c r="H6" i="3"/>
  <c r="I6" i="3"/>
  <c r="J6" i="3"/>
  <c r="K6" i="3"/>
  <c r="L6" i="3"/>
  <c r="M6" i="3"/>
  <c r="N6" i="3"/>
  <c r="N15" i="3"/>
  <c r="F15" i="3"/>
  <c r="G15" i="3"/>
  <c r="H15" i="3"/>
  <c r="I15" i="3"/>
  <c r="J15" i="3"/>
  <c r="K15" i="3"/>
  <c r="L15" i="3"/>
  <c r="M15" i="3"/>
  <c r="E15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E39" i="1"/>
  <c r="B7" i="3"/>
  <c r="B8" i="3"/>
  <c r="B9" i="3"/>
  <c r="B10" i="3"/>
  <c r="D8" i="3"/>
  <c r="D9" i="3"/>
  <c r="A24" i="1"/>
  <c r="I22" i="3"/>
  <c r="A8" i="3"/>
  <c r="A9" i="3"/>
  <c r="A10" i="3"/>
  <c r="A11" i="3"/>
  <c r="A7" i="3"/>
  <c r="B40" i="2"/>
  <c r="B16" i="4"/>
  <c r="C26" i="4"/>
  <c r="E26" i="4"/>
  <c r="E30" i="4"/>
  <c r="E31" i="4"/>
  <c r="E32" i="4"/>
  <c r="E35" i="4"/>
  <c r="F7" i="2"/>
  <c r="H17" i="2"/>
  <c r="C17" i="2"/>
  <c r="B20" i="4"/>
  <c r="A38" i="1"/>
  <c r="D8" i="1"/>
  <c r="M9" i="4"/>
  <c r="M10" i="4"/>
  <c r="B11" i="3"/>
  <c r="B12" i="3"/>
  <c r="B13" i="3"/>
  <c r="B14" i="3"/>
  <c r="C4" i="2"/>
  <c r="B4" i="2"/>
  <c r="E29" i="4"/>
  <c r="E28" i="4"/>
  <c r="E27" i="4"/>
  <c r="M7" i="4"/>
  <c r="M8" i="4"/>
  <c r="M11" i="4"/>
  <c r="M12" i="4"/>
  <c r="M13" i="4"/>
  <c r="C28" i="4"/>
  <c r="C27" i="4"/>
  <c r="B14" i="4"/>
  <c r="B18" i="4"/>
  <c r="M6" i="4"/>
  <c r="F7" i="4"/>
  <c r="G7" i="4"/>
  <c r="E6" i="4"/>
  <c r="M14" i="4"/>
  <c r="R11" i="1"/>
  <c r="B31" i="1"/>
  <c r="G34" i="4"/>
  <c r="G35" i="4"/>
  <c r="F35" i="4"/>
  <c r="G33" i="4"/>
  <c r="F33" i="4"/>
  <c r="L20" i="4"/>
  <c r="K20" i="4"/>
  <c r="J20" i="4"/>
  <c r="I20" i="4"/>
  <c r="H20" i="4"/>
  <c r="G20" i="4"/>
  <c r="F20" i="4"/>
  <c r="E20" i="4"/>
  <c r="D20" i="4"/>
  <c r="C20" i="4"/>
  <c r="M1" i="4"/>
  <c r="G1" i="3"/>
  <c r="C28" i="2"/>
  <c r="G17" i="2"/>
  <c r="G14" i="2"/>
  <c r="H14" i="2"/>
  <c r="H18" i="2"/>
  <c r="B14" i="2"/>
  <c r="B17" i="2"/>
  <c r="C18" i="2"/>
  <c r="H16" i="2"/>
  <c r="C16" i="2"/>
  <c r="H13" i="2"/>
  <c r="C13" i="2"/>
  <c r="F8" i="2"/>
  <c r="H8" i="2"/>
  <c r="G8" i="2"/>
  <c r="H7" i="2"/>
  <c r="G7" i="2"/>
  <c r="H6" i="2"/>
  <c r="G6" i="2"/>
  <c r="H5" i="2"/>
  <c r="G5" i="2"/>
  <c r="H4" i="2"/>
  <c r="G4" i="2"/>
  <c r="I1" i="2"/>
  <c r="B3" i="1"/>
  <c r="A22" i="1"/>
  <c r="A20" i="1"/>
  <c r="A19" i="1"/>
  <c r="F47" i="1"/>
  <c r="L8" i="1"/>
  <c r="A23" i="1"/>
  <c r="K12" i="1"/>
  <c r="L12" i="1"/>
  <c r="K9" i="1"/>
  <c r="L9" i="1"/>
  <c r="F42" i="1"/>
  <c r="F43" i="1"/>
  <c r="F44" i="1"/>
  <c r="I43" i="1"/>
  <c r="I44" i="1"/>
  <c r="Y47" i="1"/>
  <c r="S47" i="1"/>
  <c r="W47" i="1"/>
  <c r="T47" i="1"/>
  <c r="X47" i="1"/>
  <c r="M47" i="1"/>
  <c r="AC47" i="1"/>
  <c r="V47" i="1"/>
  <c r="Z47" i="1"/>
  <c r="Q47" i="1"/>
  <c r="R47" i="1"/>
  <c r="AB47" i="1"/>
  <c r="O47" i="1"/>
  <c r="AD47" i="1"/>
  <c r="AA47" i="1"/>
  <c r="J47" i="1"/>
  <c r="AE47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I47" i="1"/>
  <c r="H43" i="1"/>
  <c r="H44" i="1"/>
  <c r="H42" i="1"/>
  <c r="I42" i="1"/>
  <c r="P47" i="1"/>
  <c r="N47" i="1"/>
  <c r="L47" i="1"/>
  <c r="U47" i="1"/>
  <c r="H47" i="1"/>
  <c r="A25" i="1"/>
  <c r="A26" i="1"/>
  <c r="K10" i="1"/>
  <c r="L10" i="1"/>
  <c r="K13" i="1"/>
  <c r="L13" i="1"/>
  <c r="G43" i="1"/>
  <c r="G44" i="1"/>
  <c r="G42" i="1"/>
  <c r="K47" i="1"/>
  <c r="F8" i="1"/>
  <c r="K14" i="1"/>
  <c r="A17" i="1"/>
  <c r="A21" i="1"/>
  <c r="G47" i="1"/>
  <c r="A47" i="1"/>
  <c r="A48" i="1"/>
  <c r="A41" i="1"/>
  <c r="A28" i="1"/>
</calcChain>
</file>

<file path=xl/comments1.xml><?xml version="1.0" encoding="utf-8"?>
<comments xmlns="http://schemas.openxmlformats.org/spreadsheetml/2006/main">
  <authors>
    <author>Auteur</author>
  </authors>
  <commentList>
    <comment ref="S1" authorId="0" shape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S2" authorId="0" shape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 shape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S4" authorId="0" shape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S5" authorId="0" shape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S6" authorId="0" shape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V6" authorId="0" shape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S7" authorId="0" shape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V7" authorId="0" shape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</commentList>
</comments>
</file>

<file path=xl/sharedStrings.xml><?xml version="1.0" encoding="utf-8"?>
<sst xmlns="http://schemas.openxmlformats.org/spreadsheetml/2006/main" count="228" uniqueCount="198">
  <si>
    <t>Nom du Dossier</t>
  </si>
  <si>
    <t>Adresse de l'immeuble</t>
  </si>
  <si>
    <t>Code Postal - Ville</t>
  </si>
  <si>
    <t>LOCATION</t>
  </si>
  <si>
    <t>surface</t>
    <phoneticPr fontId="1" type="noConversion"/>
  </si>
  <si>
    <t>prix loc m2</t>
  </si>
  <si>
    <t xml:space="preserve">bilan </t>
  </si>
  <si>
    <t>PRIX</t>
  </si>
  <si>
    <t>PRIX/M2</t>
  </si>
  <si>
    <t>Financement acquisistion + prêt travaux</t>
  </si>
  <si>
    <t>LOC EVENEMENTIEL</t>
  </si>
  <si>
    <t>acxquisition</t>
  </si>
  <si>
    <t>frais notaire</t>
  </si>
  <si>
    <t>Financement acquisistion</t>
  </si>
  <si>
    <t>taux d'inflation</t>
    <phoneticPr fontId="1" type="noConversion"/>
  </si>
  <si>
    <t>commision + honoraire asset property</t>
  </si>
  <si>
    <t>financement travaux</t>
  </si>
  <si>
    <t>travaux</t>
  </si>
  <si>
    <t xml:space="preserve">durée </t>
    <phoneticPr fontId="1" type="noConversion"/>
  </si>
  <si>
    <t>taux d'inflation à 5 ans</t>
    <phoneticPr fontId="1" type="noConversion"/>
  </si>
  <si>
    <t>frais financier</t>
  </si>
  <si>
    <t>LOYER ANNEE 5</t>
  </si>
  <si>
    <t>PRIX DE REVIENT</t>
  </si>
  <si>
    <t>DSCR</t>
    <phoneticPr fontId="1" type="noConversion"/>
  </si>
  <si>
    <t>Loyer Total  année 5</t>
  </si>
  <si>
    <t>REND / PRIX REVIENT</t>
  </si>
  <si>
    <t>In fine</t>
    <phoneticPr fontId="1" type="noConversion"/>
  </si>
  <si>
    <t>Loyer Annuel (HT HC)</t>
  </si>
  <si>
    <t>% d'évolution</t>
  </si>
  <si>
    <t>Financement mis en place</t>
  </si>
  <si>
    <t>Revenus Nets d'Exploitation</t>
  </si>
  <si>
    <t>Prix d'acquisition Hors Droits</t>
  </si>
  <si>
    <t>Droits d'enr. et émol. Notaire</t>
  </si>
  <si>
    <t>Honoraires d'Agents</t>
  </si>
  <si>
    <t>Honoraires d'Asset Management</t>
  </si>
  <si>
    <t>Honoraires de Property</t>
  </si>
  <si>
    <t>Frais d'audit et juridique</t>
  </si>
  <si>
    <t>Capex - Dépenses d'Investissement- Travaux</t>
    <phoneticPr fontId="1" type="noConversion"/>
  </si>
  <si>
    <t>Coût Complet d'Investissement</t>
  </si>
  <si>
    <t>Frais de Mise en Place Crédit (notaire, avocats,…)</t>
  </si>
  <si>
    <t>remb in fine</t>
  </si>
  <si>
    <t>total depenses</t>
  </si>
  <si>
    <t>en % du loyer brut annuel</t>
  </si>
  <si>
    <t>en % du coût complet</t>
  </si>
  <si>
    <t>Spread Rendement Net / Coût Fin</t>
  </si>
  <si>
    <t xml:space="preserve">Prix de Vente  </t>
  </si>
  <si>
    <t xml:space="preserve">Taux de Capitalisation </t>
  </si>
  <si>
    <t>prix m2</t>
  </si>
  <si>
    <t>Free Cash Flow d'exploitation</t>
  </si>
  <si>
    <t>Free Cash Flow Cumulé</t>
  </si>
  <si>
    <t>TRI - Base Case</t>
  </si>
  <si>
    <t>Profit - Base Case</t>
  </si>
  <si>
    <t>Total</t>
  </si>
  <si>
    <t>TEST</t>
  </si>
  <si>
    <t xml:space="preserve">acquisiton y </t>
  </si>
  <si>
    <t xml:space="preserve">exit y </t>
  </si>
  <si>
    <t>DONNEES</t>
    <phoneticPr fontId="17" type="noConversion"/>
  </si>
  <si>
    <t>surface existante</t>
  </si>
  <si>
    <t>surface potentiel</t>
  </si>
  <si>
    <t>prix m2 / existant</t>
  </si>
  <si>
    <t>prix m2 / potentiel</t>
  </si>
  <si>
    <t>ACTIVITES</t>
  </si>
  <si>
    <t>PRIX D'ACHAT</t>
  </si>
  <si>
    <t xml:space="preserve">Notaire </t>
  </si>
  <si>
    <t>Commission d'agent</t>
  </si>
  <si>
    <t xml:space="preserve">Capex/ Travaux </t>
  </si>
  <si>
    <t>FINANCEMENT COURT TERME</t>
  </si>
  <si>
    <t>FINANCEMENT LONG TERME</t>
  </si>
  <si>
    <t>acquisition</t>
  </si>
  <si>
    <t>Acquisistion</t>
  </si>
  <si>
    <t>fond propre</t>
  </si>
  <si>
    <t>prêt</t>
  </si>
  <si>
    <t>Travaux</t>
  </si>
  <si>
    <t>total prêt</t>
  </si>
  <si>
    <t xml:space="preserve">FINANCEMENT 5 ANS  </t>
  </si>
  <si>
    <t>FINANCEMENT 15 ANS</t>
  </si>
  <si>
    <t>REFINANCEMENT</t>
    <phoneticPr fontId="17" type="noConversion"/>
  </si>
  <si>
    <t>FINANCEMENT</t>
  </si>
  <si>
    <t xml:space="preserve">long terme </t>
    <phoneticPr fontId="17" type="noConversion"/>
  </si>
  <si>
    <t>taux amortissable</t>
  </si>
  <si>
    <t>taux in fine</t>
  </si>
  <si>
    <t xml:space="preserve">IN FINE </t>
    <phoneticPr fontId="17" type="noConversion"/>
  </si>
  <si>
    <t>Inflation</t>
  </si>
  <si>
    <t>REFINANCEMENT 15 ANS</t>
  </si>
  <si>
    <t>Inflation après 5 ans</t>
  </si>
  <si>
    <t>taux</t>
  </si>
  <si>
    <t>Frais Hypothecaire</t>
  </si>
  <si>
    <t xml:space="preserve">loyer potentiel </t>
    <phoneticPr fontId="17" type="noConversion"/>
  </si>
  <si>
    <t>surface exploitable (m²)</t>
  </si>
  <si>
    <t>Loyer total</t>
    <phoneticPr fontId="17" type="noConversion"/>
  </si>
  <si>
    <t>ETUDE MULTI LOCATAIRES</t>
  </si>
  <si>
    <t>Loyer / m²</t>
  </si>
  <si>
    <t>LOYER</t>
  </si>
  <si>
    <t>SURFACES EXISTANTES</t>
  </si>
  <si>
    <t>SOUS SOL 2</t>
  </si>
  <si>
    <t>SOUS SOL 1</t>
  </si>
  <si>
    <t>RDC</t>
  </si>
  <si>
    <t>1er</t>
  </si>
  <si>
    <t>2ème</t>
  </si>
  <si>
    <t>3ème</t>
  </si>
  <si>
    <t>4ème</t>
  </si>
  <si>
    <t>5ème</t>
  </si>
  <si>
    <t>6ème</t>
  </si>
  <si>
    <t>7ème</t>
  </si>
  <si>
    <t>Evaluation construction surélévation</t>
  </si>
  <si>
    <t>surface avec PC</t>
  </si>
  <si>
    <t>RENOVATION</t>
  </si>
  <si>
    <t>SURFACE</t>
  </si>
  <si>
    <t>cout globale</t>
  </si>
  <si>
    <t>EXISTANT</t>
  </si>
  <si>
    <t>Habitation</t>
  </si>
  <si>
    <t>sur élévation</t>
  </si>
  <si>
    <t>Rachat de commercialité</t>
  </si>
  <si>
    <t>TOTAL TRVX</t>
  </si>
  <si>
    <t>honoraires divers</t>
  </si>
  <si>
    <t>Amo / opc</t>
  </si>
  <si>
    <t>Taxes diverses</t>
  </si>
  <si>
    <t>Cout globale travaux</t>
  </si>
  <si>
    <t>Interets in fine</t>
  </si>
  <si>
    <t>amortissement capital</t>
  </si>
  <si>
    <t>intérêts amortissable</t>
  </si>
  <si>
    <t>Service de la dette</t>
  </si>
  <si>
    <t>FB ST Martin</t>
  </si>
  <si>
    <t>75010 PARIS</t>
  </si>
  <si>
    <t>Immeuble A</t>
  </si>
  <si>
    <t>Immeuble B</t>
  </si>
  <si>
    <t>Immeuble C</t>
  </si>
  <si>
    <t>Immeuble D</t>
  </si>
  <si>
    <t>fonds propre</t>
  </si>
  <si>
    <t xml:space="preserve">Habitation  </t>
  </si>
  <si>
    <t>Immeuble E</t>
  </si>
  <si>
    <t>Nombre échéance par an</t>
  </si>
  <si>
    <t>Type Taux</t>
  </si>
  <si>
    <t>Periodicité</t>
  </si>
  <si>
    <t>Caractéristiques</t>
  </si>
  <si>
    <t>Frais</t>
  </si>
  <si>
    <t>Récapitulatif</t>
  </si>
  <si>
    <t>Nombre échéance total</t>
  </si>
  <si>
    <t>Montant emprunté :</t>
  </si>
  <si>
    <t>durée :</t>
  </si>
  <si>
    <t>ans</t>
  </si>
  <si>
    <t>Frais Fixe (ADI) / ech</t>
  </si>
  <si>
    <t>Date dernière échéance</t>
  </si>
  <si>
    <t>Durée totale (en mois)</t>
  </si>
  <si>
    <t>Mensuel</t>
  </si>
  <si>
    <t>et</t>
  </si>
  <si>
    <t>mois</t>
  </si>
  <si>
    <t>Frais variable (en %CRD)</t>
  </si>
  <si>
    <t>Nombre échéances</t>
  </si>
  <si>
    <t>Taux période</t>
  </si>
  <si>
    <t>Différé</t>
  </si>
  <si>
    <t>Trimestriel</t>
  </si>
  <si>
    <t>Taux annuel :</t>
  </si>
  <si>
    <t>1° échéance :</t>
  </si>
  <si>
    <t>Périodicité :</t>
  </si>
  <si>
    <t>Total Intérêts</t>
  </si>
  <si>
    <t>IntervalMois</t>
  </si>
  <si>
    <t>Semestriel</t>
  </si>
  <si>
    <t>Total Capital</t>
  </si>
  <si>
    <t>IntervalJour</t>
  </si>
  <si>
    <t>Annuel</t>
  </si>
  <si>
    <t>Nombre de mois différé</t>
  </si>
  <si>
    <t>Total Frais</t>
  </si>
  <si>
    <t>J1</t>
  </si>
  <si>
    <t>Hebdomadaire</t>
  </si>
  <si>
    <t>Déblocage initial</t>
  </si>
  <si>
    <t>Coût total crédit</t>
  </si>
  <si>
    <t>J2</t>
  </si>
  <si>
    <t>Quinzaine</t>
  </si>
  <si>
    <t>M1</t>
  </si>
  <si>
    <t>MtEmprunt</t>
  </si>
  <si>
    <t>Bimensuel</t>
  </si>
  <si>
    <t>Opération</t>
  </si>
  <si>
    <t>Tableau d'amortissement</t>
  </si>
  <si>
    <t>Données recalcul</t>
  </si>
  <si>
    <t>Reste sur initial</t>
  </si>
  <si>
    <t>Date 
Échéance</t>
  </si>
  <si>
    <t>Capital restant dû</t>
  </si>
  <si>
    <t>Intérêts
payés</t>
  </si>
  <si>
    <t>Capital  remboursé</t>
  </si>
  <si>
    <t>Montant 
des Frais</t>
  </si>
  <si>
    <t>Total 
payé</t>
  </si>
  <si>
    <t>Montant échéance</t>
  </si>
  <si>
    <t>Nouveau Taux</t>
  </si>
  <si>
    <t>Capital remboursé</t>
  </si>
  <si>
    <t>Nouveau Nb d'échéance</t>
  </si>
  <si>
    <t>Nouvelle échéance</t>
  </si>
  <si>
    <t>Frais opération</t>
  </si>
  <si>
    <t>N°</t>
  </si>
  <si>
    <t>Année</t>
  </si>
  <si>
    <t>Ech</t>
  </si>
  <si>
    <t>Total / filtrage</t>
  </si>
  <si>
    <t>Amortissable</t>
  </si>
  <si>
    <t>Durée de prêt</t>
  </si>
  <si>
    <t>Différé d'amortissement</t>
  </si>
  <si>
    <t>Taux In fine</t>
  </si>
  <si>
    <t>Taux Amortissable</t>
  </si>
  <si>
    <t>Taux in 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</si>
</sst>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_);[Red]\(#,##0\ &quot;€&quot;\)"/>
    <numFmt numFmtId="165" formatCode="#,##0&quot; m²&quot;"/>
    <numFmt numFmtId="166" formatCode="#,##0&quot; €/m²&quot;"/>
    <numFmt numFmtId="167" formatCode="#,##0&quot; €&quot;"/>
    <numFmt numFmtId="168" formatCode="_-* #,##0\ &quot;€&quot;_-;\-* #,##0\ &quot;€&quot;_-;_-* &quot;-&quot;??\ &quot;€&quot;_-;_-@_-"/>
    <numFmt numFmtId="169" formatCode="#,##0&quot; u&quot;"/>
    <numFmt numFmtId="170" formatCode="#,##0&quot; €/u&quot;"/>
    <numFmt numFmtId="171" formatCode="&quot;Y&quot;General"/>
    <numFmt numFmtId="172" formatCode="_-* #,##0\ _€_-;\-* #,##0\ _€_-;_-* &quot;-&quot;??\ _€_-;_-@_-"/>
    <numFmt numFmtId="173" formatCode="0.0%"/>
    <numFmt numFmtId="174" formatCode="0.0&quot; x&quot;"/>
    <numFmt numFmtId="175" formatCode="0.0"/>
    <numFmt numFmtId="176" formatCode="_ * #,##0_)\ &quot;€&quot;_ ;_ * \(#,##0\)\ &quot;€&quot;_ ;_ * &quot;-&quot;??_)\ &quot;€&quot;_ ;_ @_ "/>
    <numFmt numFmtId="177" formatCode="#,##0_ ;\-#,##0\ "/>
    <numFmt numFmtId="178" formatCode="_ * #,##0_ \ [$€-1]_ ;_ * \-#,##0\ \ [$€-1]_ ;_ * &quot;-&quot;??_ \ [$€-1]_ ;_ @_ "/>
    <numFmt numFmtId="179" formatCode="_-* #,##0&quot; m2&quot;\ _€_-;\-* #,##0.00\ _€_-;_-* &quot;-&quot;??\ _€_-;_-@_-"/>
    <numFmt numFmtId="180" formatCode="0.000%"/>
    <numFmt numFmtId="181" formatCode="#,##0\ &quot;€&quot;"/>
    <numFmt numFmtId="182" formatCode="#,##0.00;\-#,##0.00;\-"/>
    <numFmt numFmtId="183" formatCode="0.000000%"/>
    <numFmt numFmtId="184" formatCode="#,##0.00;\-#,##0.00;\-\ "/>
    <numFmt numFmtId="185" formatCode="#"/>
    <numFmt numFmtId="186" formatCode="#,##0.00;\-#,##0.00;&quot;&quot;"/>
    <numFmt numFmtId="187" formatCode=".000000%"/>
    <numFmt numFmtId="188" formatCode="_-* #,##0.00\ &quot;F&quot;_-;\-* #,##0.00\ &quot;F&quot;_-;_-* &quot;-&quot;??\ &quot;F&quot;_-;_-@_-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6"/>
      <name val="Verdana"/>
      <family val="2"/>
    </font>
    <font>
      <b/>
      <sz val="12"/>
      <name val="Calibri"/>
      <family val="2"/>
    </font>
    <font>
      <sz val="10"/>
      <color indexed="10"/>
      <name val="Calibri"/>
      <family val="2"/>
    </font>
    <font>
      <sz val="12"/>
      <name val="Calibri"/>
      <family val="2"/>
    </font>
    <font>
      <b/>
      <u/>
      <sz val="12"/>
      <name val="Calibri"/>
      <family val="2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sz val="12"/>
      <color indexed="9"/>
      <name val="Calibri"/>
      <family val="2"/>
    </font>
    <font>
      <i/>
      <sz val="10"/>
      <name val="Calibri"/>
      <family val="2"/>
    </font>
    <font>
      <sz val="12"/>
      <color rgb="FFFF0000"/>
      <name val="Calibri"/>
      <family val="2"/>
    </font>
    <font>
      <b/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sz val="12"/>
      <color theme="1"/>
      <name val="Calibri"/>
      <family val="2"/>
    </font>
    <font>
      <sz val="12"/>
      <color indexed="54"/>
      <name val="Calibri"/>
      <family val="2"/>
    </font>
    <font>
      <b/>
      <sz val="12"/>
      <color theme="1"/>
      <name val="Calibri"/>
      <family val="2"/>
    </font>
    <font>
      <sz val="12"/>
      <color indexed="9"/>
      <name val="Calibri"/>
      <family val="2"/>
    </font>
    <font>
      <b/>
      <sz val="12"/>
      <name val="Calibri"/>
      <family val="2"/>
    </font>
    <font>
      <sz val="10"/>
      <name val="Calibri"/>
      <family val="2"/>
      <scheme val="minor"/>
    </font>
    <font>
      <b/>
      <sz val="22"/>
      <name val="Calibri"/>
      <family val="2"/>
    </font>
    <font>
      <b/>
      <sz val="14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sz val="10"/>
      <name val="Arial"/>
      <family val="2"/>
    </font>
    <font>
      <sz val="20"/>
      <name val="Verdana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theme="3" tint="0.3999755851924192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Arial"/>
      <family val="2"/>
    </font>
    <font>
      <sz val="9"/>
      <color indexed="24"/>
      <name val="Arial"/>
      <family val="2"/>
    </font>
    <font>
      <sz val="6"/>
      <color indexed="5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8"/>
      <color indexed="55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  <font>
      <sz val="9"/>
      <color indexed="9"/>
      <name val="Arial"/>
      <family val="2"/>
    </font>
    <font>
      <b/>
      <sz val="8"/>
      <color indexed="81"/>
      <name val="Tahoma"/>
      <family val="2"/>
    </font>
    <font>
      <b/>
      <sz val="11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indexed="54"/>
      <name val="Calibri"/>
      <family val="2"/>
    </font>
    <font>
      <b/>
      <sz val="11"/>
      <color theme="1"/>
      <name val="Calibri"/>
      <family val="2"/>
    </font>
    <font>
      <sz val="11"/>
      <color indexed="14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8"/>
      <color rgb="FF000000"/>
      <name val="Tahoma"/>
      <family val="2"/>
    </font>
    <font>
      <sz val="10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1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 style="thin">
        <color indexed="9"/>
      </bottom>
      <diagonal/>
    </border>
    <border>
      <left style="medium">
        <color indexed="64"/>
      </left>
      <right/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24"/>
      </left>
      <right/>
      <top style="medium">
        <color indexed="24"/>
      </top>
      <bottom/>
      <diagonal/>
    </border>
    <border>
      <left/>
      <right/>
      <top style="medium">
        <color indexed="24"/>
      </top>
      <bottom/>
      <diagonal/>
    </border>
    <border>
      <left/>
      <right style="medium">
        <color indexed="24"/>
      </right>
      <top style="medium">
        <color indexed="24"/>
      </top>
      <bottom/>
      <diagonal/>
    </border>
    <border>
      <left style="medium">
        <color indexed="24"/>
      </left>
      <right/>
      <top/>
      <bottom/>
      <diagonal/>
    </border>
    <border>
      <left/>
      <right/>
      <top style="medium">
        <color indexed="24"/>
      </top>
      <bottom style="medium">
        <color indexed="2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/>
      <right style="medium">
        <color indexed="24"/>
      </right>
      <top/>
      <bottom/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medium">
        <color indexed="24"/>
      </left>
      <right/>
      <top/>
      <bottom style="medium">
        <color indexed="24"/>
      </bottom>
      <diagonal/>
    </border>
    <border>
      <left/>
      <right/>
      <top/>
      <bottom style="medium">
        <color indexed="24"/>
      </bottom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medium">
        <color indexed="24"/>
      </bottom>
      <diagonal/>
    </border>
    <border>
      <left/>
      <right/>
      <top/>
      <bottom style="thin">
        <color indexed="24"/>
      </bottom>
      <diagonal/>
    </border>
    <border>
      <left/>
      <right style="medium">
        <color indexed="24"/>
      </right>
      <top/>
      <bottom style="medium">
        <color indexed="2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24"/>
      </left>
      <right/>
      <top style="medium">
        <color indexed="24"/>
      </top>
      <bottom style="medium">
        <color indexed="24"/>
      </bottom>
      <diagonal/>
    </border>
    <border>
      <left/>
      <right style="medium">
        <color indexed="24"/>
      </right>
      <top style="medium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medium">
        <color indexed="24"/>
      </right>
      <top style="medium">
        <color indexed="24"/>
      </top>
      <bottom/>
      <diagonal/>
    </border>
    <border>
      <left/>
      <right style="thin">
        <color indexed="24"/>
      </right>
      <top style="medium">
        <color indexed="24"/>
      </top>
      <bottom/>
      <diagonal/>
    </border>
    <border>
      <left style="thin">
        <color indexed="24"/>
      </left>
      <right/>
      <top style="medium">
        <color indexed="24"/>
      </top>
      <bottom/>
      <diagonal/>
    </border>
    <border>
      <left style="thin">
        <color indexed="24"/>
      </left>
      <right style="medium">
        <color indexed="24"/>
      </right>
      <top style="medium">
        <color indexed="24"/>
      </top>
      <bottom/>
      <diagonal/>
    </border>
    <border>
      <left style="medium">
        <color indexed="24"/>
      </left>
      <right style="hair">
        <color indexed="17"/>
      </right>
      <top/>
      <bottom/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hair">
        <color indexed="17"/>
      </left>
      <right style="medium">
        <color indexed="24"/>
      </right>
      <top/>
      <bottom/>
      <diagonal/>
    </border>
    <border>
      <left/>
      <right style="thin">
        <color indexed="24"/>
      </right>
      <top/>
      <bottom/>
      <diagonal/>
    </border>
    <border>
      <left style="thin">
        <color indexed="24"/>
      </left>
      <right/>
      <top/>
      <bottom/>
      <diagonal/>
    </border>
    <border>
      <left style="thin">
        <color indexed="24"/>
      </left>
      <right style="medium">
        <color indexed="24"/>
      </right>
      <top/>
      <bottom/>
      <diagonal/>
    </border>
    <border>
      <left style="medium">
        <color indexed="24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/>
      <bottom style="medium">
        <color indexed="24"/>
      </bottom>
      <diagonal/>
    </border>
    <border>
      <left/>
      <right style="thin">
        <color indexed="24"/>
      </right>
      <top/>
      <bottom style="medium">
        <color indexed="24"/>
      </bottom>
      <diagonal/>
    </border>
    <border>
      <left style="thin">
        <color indexed="24"/>
      </left>
      <right/>
      <top/>
      <bottom style="medium">
        <color indexed="24"/>
      </bottom>
      <diagonal/>
    </border>
    <border>
      <left style="thin">
        <color indexed="24"/>
      </left>
      <right style="medium">
        <color indexed="24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medium">
        <color indexed="24"/>
      </top>
      <bottom style="hair">
        <color indexed="17"/>
      </bottom>
      <diagonal/>
    </border>
    <border>
      <left style="thin">
        <color indexed="24"/>
      </left>
      <right/>
      <top style="medium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medium">
        <color indexed="24"/>
      </right>
      <top style="hair">
        <color indexed="17"/>
      </top>
      <bottom style="hair">
        <color indexed="19"/>
      </bottom>
      <diagonal/>
    </border>
    <border>
      <left style="medium">
        <color indexed="24"/>
      </left>
      <right/>
      <top/>
      <bottom style="thin">
        <color indexed="24"/>
      </bottom>
      <diagonal/>
    </border>
    <border>
      <left style="thin">
        <color indexed="24"/>
      </left>
      <right/>
      <top/>
      <bottom style="thin">
        <color indexed="24"/>
      </bottom>
      <diagonal/>
    </border>
    <border>
      <left/>
      <right style="thin">
        <color indexed="24"/>
      </right>
      <top/>
      <bottom style="thin">
        <color indexed="24"/>
      </bottom>
      <diagonal/>
    </border>
    <border>
      <left/>
      <right style="medium">
        <color indexed="24"/>
      </right>
      <top/>
      <bottom style="thin">
        <color indexed="24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hair">
        <color indexed="19"/>
      </bottom>
      <diagonal/>
    </border>
    <border>
      <left/>
      <right/>
      <top style="thin">
        <color indexed="24"/>
      </top>
      <bottom style="thin">
        <color indexed="24"/>
      </bottom>
      <diagonal/>
    </border>
    <border>
      <left/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medium">
        <color indexed="24"/>
      </bottom>
      <diagonal/>
    </border>
    <border>
      <left style="medium">
        <color indexed="24"/>
      </left>
      <right/>
      <top style="thin">
        <color indexed="24"/>
      </top>
      <bottom style="medium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thin">
        <color indexed="24"/>
      </left>
      <right/>
      <top style="thin">
        <color indexed="24"/>
      </top>
      <bottom style="medium">
        <color indexed="24"/>
      </bottom>
      <diagonal/>
    </border>
    <border>
      <left/>
      <right style="thin">
        <color indexed="24"/>
      </right>
      <top style="thin">
        <color indexed="24"/>
      </top>
      <bottom style="medium">
        <color indexed="24"/>
      </bottom>
      <diagonal/>
    </border>
    <border>
      <left/>
      <right style="medium">
        <color indexed="24"/>
      </right>
      <top style="thin">
        <color indexed="24"/>
      </top>
      <bottom style="medium">
        <color indexed="2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  <xf numFmtId="0" fontId="35" fillId="0" borderId="0" applyNumberFormat="0" applyFill="0" applyBorder="0" applyAlignment="0" applyProtection="0">
      <alignment vertical="top"/>
      <protection locked="0"/>
    </xf>
    <xf numFmtId="182" fontId="39" fillId="9" borderId="48" applyFont="0" applyFill="0" applyBorder="0" applyAlignment="0" applyProtection="0">
      <alignment wrapText="1"/>
    </xf>
    <xf numFmtId="184" fontId="23" fillId="0" borderId="0" applyFont="0" applyFill="0" applyBorder="0" applyAlignment="0" applyProtection="0"/>
    <xf numFmtId="186" fontId="39" fillId="9" borderId="48" applyFont="0" applyFill="0" applyBorder="0" applyAlignment="0" applyProtection="0">
      <alignment wrapText="1"/>
    </xf>
    <xf numFmtId="0" fontId="58" fillId="0" borderId="0"/>
    <xf numFmtId="182" fontId="57" fillId="9" borderId="48" applyFont="0" applyFill="0" applyBorder="0" applyAlignment="0" applyProtection="0">
      <alignment wrapText="1"/>
    </xf>
    <xf numFmtId="186" fontId="57" fillId="9" borderId="48" applyFont="0" applyFill="0" applyBorder="0" applyAlignment="0" applyProtection="0">
      <alignment wrapText="1"/>
    </xf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4" fontId="58" fillId="0" borderId="0" applyFont="0" applyFill="0" applyBorder="0" applyAlignment="0" applyProtection="0"/>
    <xf numFmtId="188" fontId="58" fillId="0" borderId="0" applyFont="0" applyFill="0" applyBorder="0" applyAlignment="0" applyProtection="0"/>
  </cellStyleXfs>
  <cellXfs count="617">
    <xf numFmtId="0" fontId="0" fillId="0" borderId="0" xfId="0"/>
    <xf numFmtId="0" fontId="2" fillId="2" borderId="0" xfId="0" applyFont="1" applyFill="1" applyAlignment="1" applyProtection="1">
      <alignment vertical="center"/>
    </xf>
    <xf numFmtId="0" fontId="3" fillId="2" borderId="0" xfId="0" applyFont="1" applyFill="1" applyProtection="1"/>
    <xf numFmtId="14" fontId="2" fillId="2" borderId="0" xfId="0" applyNumberFormat="1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5" xfId="0" applyFont="1" applyFill="1" applyBorder="1" applyAlignment="1" applyProtection="1">
      <alignment horizontal="left" vertical="center"/>
    </xf>
    <xf numFmtId="0" fontId="2" fillId="2" borderId="6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vertical="center"/>
    </xf>
    <xf numFmtId="0" fontId="2" fillId="2" borderId="8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vertical="center"/>
    </xf>
    <xf numFmtId="0" fontId="4" fillId="2" borderId="12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vertical="center"/>
    </xf>
    <xf numFmtId="9" fontId="2" fillId="2" borderId="0" xfId="0" applyNumberFormat="1" applyFont="1" applyFill="1" applyBorder="1" applyAlignment="1" applyProtection="1">
      <alignment horizontal="center" vertical="center"/>
    </xf>
    <xf numFmtId="168" fontId="6" fillId="2" borderId="0" xfId="0" applyNumberFormat="1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168" fontId="6" fillId="2" borderId="0" xfId="2" applyNumberFormat="1" applyFont="1" applyFill="1" applyBorder="1" applyAlignment="1" applyProtection="1">
      <alignment horizontal="left" vertical="center"/>
    </xf>
    <xf numFmtId="168" fontId="2" fillId="2" borderId="0" xfId="2" applyNumberFormat="1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vertical="center"/>
    </xf>
    <xf numFmtId="168" fontId="6" fillId="2" borderId="0" xfId="2" applyNumberFormat="1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right" vertical="center"/>
    </xf>
    <xf numFmtId="0" fontId="8" fillId="2" borderId="4" xfId="0" applyFont="1" applyFill="1" applyBorder="1" applyAlignment="1" applyProtection="1">
      <alignment vertical="center"/>
    </xf>
    <xf numFmtId="0" fontId="8" fillId="2" borderId="11" xfId="0" applyFont="1" applyFill="1" applyBorder="1" applyAlignment="1" applyProtection="1">
      <alignment horizontal="left" vertical="center"/>
    </xf>
    <xf numFmtId="168" fontId="4" fillId="2" borderId="11" xfId="2" applyNumberFormat="1" applyFont="1" applyFill="1" applyBorder="1" applyAlignment="1" applyProtection="1">
      <alignment horizontal="center" vertical="center"/>
    </xf>
    <xf numFmtId="168" fontId="4" fillId="2" borderId="12" xfId="2" applyNumberFormat="1" applyFont="1" applyFill="1" applyBorder="1" applyAlignment="1" applyProtection="1">
      <alignment horizontal="center" vertical="center"/>
    </xf>
    <xf numFmtId="10" fontId="2" fillId="2" borderId="0" xfId="3" applyNumberFormat="1" applyFont="1" applyFill="1" applyBorder="1" applyAlignment="1" applyProtection="1">
      <alignment horizontal="center" vertical="center"/>
    </xf>
    <xf numFmtId="166" fontId="2" fillId="2" borderId="15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167" fontId="5" fillId="2" borderId="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4" fillId="2" borderId="20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vertical="center"/>
    </xf>
    <xf numFmtId="168" fontId="6" fillId="2" borderId="20" xfId="0" applyNumberFormat="1" applyFont="1" applyFill="1" applyBorder="1" applyAlignment="1" applyProtection="1">
      <alignment horizontal="center" vertical="center"/>
    </xf>
    <xf numFmtId="168" fontId="4" fillId="2" borderId="19" xfId="0" applyNumberFormat="1" applyFont="1" applyFill="1" applyBorder="1" applyAlignment="1" applyProtection="1">
      <alignment horizontal="center" vertical="center"/>
    </xf>
    <xf numFmtId="168" fontId="12" fillId="2" borderId="20" xfId="2" applyNumberFormat="1" applyFont="1" applyFill="1" applyBorder="1" applyAlignment="1" applyProtection="1">
      <alignment horizontal="center" vertical="center"/>
    </xf>
    <xf numFmtId="0" fontId="16" fillId="2" borderId="22" xfId="0" applyFont="1" applyFill="1" applyBorder="1" applyAlignment="1" applyProtection="1">
      <alignment vertical="center"/>
    </xf>
    <xf numFmtId="0" fontId="16" fillId="2" borderId="23" xfId="0" applyFont="1" applyFill="1" applyBorder="1" applyAlignment="1" applyProtection="1">
      <alignment horizontal="center" vertical="center"/>
    </xf>
    <xf numFmtId="0" fontId="16" fillId="2" borderId="24" xfId="0" applyFont="1" applyFill="1" applyBorder="1" applyAlignment="1" applyProtection="1">
      <alignment vertical="center"/>
    </xf>
    <xf numFmtId="0" fontId="16" fillId="2" borderId="25" xfId="0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vertical="center"/>
    </xf>
    <xf numFmtId="0" fontId="15" fillId="2" borderId="20" xfId="0" applyFont="1" applyFill="1" applyBorder="1" applyAlignment="1" applyProtection="1">
      <alignment horizontal="center" vertical="center"/>
    </xf>
    <xf numFmtId="0" fontId="16" fillId="2" borderId="20" xfId="0" applyFont="1" applyFill="1" applyBorder="1" applyAlignment="1" applyProtection="1">
      <alignment horizontal="center" vertical="center"/>
    </xf>
    <xf numFmtId="172" fontId="6" fillId="2" borderId="0" xfId="1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vertical="center"/>
    </xf>
    <xf numFmtId="0" fontId="18" fillId="2" borderId="2" xfId="0" applyFont="1" applyFill="1" applyBorder="1" applyAlignment="1" applyProtection="1">
      <alignment horizontal="center" vertical="center"/>
    </xf>
    <xf numFmtId="0" fontId="18" fillId="2" borderId="4" xfId="0" applyFont="1" applyFill="1" applyBorder="1" applyAlignment="1" applyProtection="1">
      <alignment vertical="center"/>
    </xf>
    <xf numFmtId="0" fontId="18" fillId="2" borderId="0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vertical="center"/>
    </xf>
    <xf numFmtId="0" fontId="18" fillId="2" borderId="7" xfId="0" applyFont="1" applyFill="1" applyBorder="1" applyAlignment="1" applyProtection="1">
      <alignment horizontal="center" vertical="center"/>
    </xf>
    <xf numFmtId="1" fontId="19" fillId="2" borderId="0" xfId="0" applyNumberFormat="1" applyFont="1" applyFill="1" applyAlignment="1" applyProtection="1">
      <alignment vertical="center"/>
    </xf>
    <xf numFmtId="3" fontId="4" fillId="2" borderId="0" xfId="0" applyNumberFormat="1" applyFont="1" applyFill="1" applyBorder="1" applyAlignment="1" applyProtection="1">
      <alignment horizontal="center" vertical="center"/>
    </xf>
    <xf numFmtId="1" fontId="19" fillId="2" borderId="10" xfId="0" applyNumberFormat="1" applyFont="1" applyFill="1" applyBorder="1" applyAlignment="1" applyProtection="1">
      <alignment vertical="center"/>
    </xf>
    <xf numFmtId="0" fontId="4" fillId="2" borderId="19" xfId="0" applyFont="1" applyFill="1" applyBorder="1" applyAlignment="1" applyProtection="1">
      <alignment vertical="center"/>
    </xf>
    <xf numFmtId="168" fontId="2" fillId="2" borderId="0" xfId="2" applyNumberFormat="1" applyFont="1" applyFill="1" applyBorder="1" applyAlignment="1" applyProtection="1">
      <alignment vertical="center"/>
    </xf>
    <xf numFmtId="2" fontId="13" fillId="2" borderId="0" xfId="0" applyNumberFormat="1" applyFont="1" applyFill="1" applyBorder="1" applyAlignment="1" applyProtection="1">
      <alignment horizontal="center" vertical="center"/>
    </xf>
    <xf numFmtId="10" fontId="13" fillId="2" borderId="0" xfId="0" applyNumberFormat="1" applyFont="1" applyFill="1" applyBorder="1" applyAlignment="1" applyProtection="1">
      <alignment horizontal="center" vertical="center"/>
    </xf>
    <xf numFmtId="10" fontId="12" fillId="2" borderId="0" xfId="3" applyNumberFormat="1" applyFont="1" applyFill="1" applyBorder="1" applyAlignment="1" applyProtection="1">
      <alignment horizontal="center" vertical="center"/>
    </xf>
    <xf numFmtId="0" fontId="15" fillId="2" borderId="17" xfId="0" applyFont="1" applyFill="1" applyBorder="1" applyAlignment="1" applyProtection="1">
      <alignment vertical="center"/>
    </xf>
    <xf numFmtId="171" fontId="17" fillId="2" borderId="18" xfId="0" applyNumberFormat="1" applyFont="1" applyFill="1" applyBorder="1" applyAlignment="1" applyProtection="1">
      <alignment horizontal="center" vertical="center"/>
    </xf>
    <xf numFmtId="171" fontId="17" fillId="2" borderId="26" xfId="0" applyNumberFormat="1" applyFont="1" applyFill="1" applyBorder="1" applyAlignment="1" applyProtection="1">
      <alignment horizontal="center" vertical="center"/>
    </xf>
    <xf numFmtId="0" fontId="21" fillId="2" borderId="19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top"/>
    </xf>
    <xf numFmtId="165" fontId="5" fillId="2" borderId="0" xfId="0" applyNumberFormat="1" applyFont="1" applyFill="1" applyBorder="1" applyAlignment="1" applyProtection="1">
      <alignment vertical="center"/>
    </xf>
    <xf numFmtId="164" fontId="4" fillId="2" borderId="19" xfId="0" applyNumberFormat="1" applyFont="1" applyFill="1" applyBorder="1" applyAlignment="1" applyProtection="1">
      <alignment horizontal="center" vertical="center"/>
    </xf>
    <xf numFmtId="171" fontId="17" fillId="2" borderId="11" xfId="0" applyNumberFormat="1" applyFont="1" applyFill="1" applyBorder="1" applyAlignment="1" applyProtection="1">
      <alignment horizontal="center" vertical="center"/>
    </xf>
    <xf numFmtId="171" fontId="17" fillId="2" borderId="12" xfId="0" applyNumberFormat="1" applyFont="1" applyFill="1" applyBorder="1" applyAlignment="1" applyProtection="1">
      <alignment horizontal="center" vertical="center"/>
    </xf>
    <xf numFmtId="0" fontId="22" fillId="0" borderId="0" xfId="0" applyFont="1"/>
    <xf numFmtId="0" fontId="3" fillId="5" borderId="10" xfId="0" applyFont="1" applyFill="1" applyBorder="1"/>
    <xf numFmtId="0" fontId="0" fillId="5" borderId="12" xfId="0" applyFill="1" applyBorder="1"/>
    <xf numFmtId="0" fontId="0" fillId="2" borderId="0" xfId="0" applyFill="1" applyBorder="1"/>
    <xf numFmtId="177" fontId="0" fillId="0" borderId="0" xfId="0" applyNumberFormat="1" applyFill="1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8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0" borderId="4" xfId="0" applyFont="1" applyBorder="1"/>
    <xf numFmtId="179" fontId="0" fillId="0" borderId="0" xfId="0" applyNumberFormat="1" applyBorder="1" applyAlignment="1">
      <alignment horizontal="center" vertical="center"/>
    </xf>
    <xf numFmtId="0" fontId="0" fillId="0" borderId="0" xfId="0" applyBorder="1"/>
    <xf numFmtId="178" fontId="0" fillId="3" borderId="0" xfId="0" applyNumberFormat="1" applyFill="1" applyBorder="1"/>
    <xf numFmtId="168" fontId="0" fillId="0" borderId="0" xfId="2" applyNumberFormat="1" applyFont="1" applyBorder="1"/>
    <xf numFmtId="178" fontId="0" fillId="0" borderId="5" xfId="0" applyNumberFormat="1" applyBorder="1"/>
    <xf numFmtId="0" fontId="0" fillId="0" borderId="4" xfId="0" applyBorder="1"/>
    <xf numFmtId="9" fontId="0" fillId="0" borderId="0" xfId="3" applyFont="1" applyFill="1" applyBorder="1"/>
    <xf numFmtId="10" fontId="0" fillId="0" borderId="0" xfId="0" applyNumberFormat="1" applyBorder="1"/>
    <xf numFmtId="178" fontId="0" fillId="0" borderId="0" xfId="0" applyNumberFormat="1" applyBorder="1"/>
    <xf numFmtId="168" fontId="0" fillId="0" borderId="0" xfId="0" applyNumberFormat="1" applyFill="1" applyBorder="1"/>
    <xf numFmtId="0" fontId="24" fillId="0" borderId="0" xfId="0" applyFont="1"/>
    <xf numFmtId="0" fontId="0" fillId="0" borderId="6" xfId="0" applyBorder="1"/>
    <xf numFmtId="0" fontId="0" fillId="0" borderId="7" xfId="0" applyBorder="1"/>
    <xf numFmtId="178" fontId="0" fillId="0" borderId="0" xfId="0" applyNumberFormat="1"/>
    <xf numFmtId="0" fontId="25" fillId="0" borderId="10" xfId="0" applyFont="1" applyBorder="1"/>
    <xf numFmtId="0" fontId="0" fillId="0" borderId="11" xfId="0" applyBorder="1"/>
    <xf numFmtId="0" fontId="0" fillId="0" borderId="12" xfId="0" applyBorder="1"/>
    <xf numFmtId="0" fontId="24" fillId="0" borderId="1" xfId="0" applyFont="1" applyBorder="1"/>
    <xf numFmtId="0" fontId="0" fillId="0" borderId="2" xfId="0" applyBorder="1"/>
    <xf numFmtId="0" fontId="0" fillId="0" borderId="3" xfId="0" applyBorder="1"/>
    <xf numFmtId="0" fontId="24" fillId="0" borderId="4" xfId="0" applyFont="1" applyBorder="1"/>
    <xf numFmtId="0" fontId="0" fillId="0" borderId="5" xfId="0" applyBorder="1"/>
    <xf numFmtId="9" fontId="24" fillId="6" borderId="1" xfId="3" applyFont="1" applyFill="1" applyBorder="1"/>
    <xf numFmtId="178" fontId="0" fillId="0" borderId="3" xfId="0" applyNumberFormat="1" applyBorder="1"/>
    <xf numFmtId="9" fontId="0" fillId="0" borderId="6" xfId="3" applyFont="1" applyBorder="1"/>
    <xf numFmtId="178" fontId="25" fillId="0" borderId="8" xfId="0" applyNumberFormat="1" applyFont="1" applyBorder="1"/>
    <xf numFmtId="178" fontId="25" fillId="0" borderId="0" xfId="0" applyNumberFormat="1" applyFont="1" applyBorder="1"/>
    <xf numFmtId="9" fontId="0" fillId="0" borderId="0" xfId="0" applyNumberFormat="1" applyBorder="1"/>
    <xf numFmtId="178" fontId="0" fillId="0" borderId="8" xfId="0" applyNumberFormat="1" applyBorder="1"/>
    <xf numFmtId="178" fontId="0" fillId="0" borderId="0" xfId="3" applyNumberFormat="1" applyFont="1" applyBorder="1" applyAlignment="1">
      <alignment horizontal="center" vertical="center"/>
    </xf>
    <xf numFmtId="9" fontId="0" fillId="0" borderId="0" xfId="3" applyFont="1" applyBorder="1"/>
    <xf numFmtId="0" fontId="25" fillId="0" borderId="4" xfId="0" applyFont="1" applyBorder="1"/>
    <xf numFmtId="9" fontId="23" fillId="3" borderId="1" xfId="3" applyFont="1" applyFill="1" applyBorder="1"/>
    <xf numFmtId="168" fontId="0" fillId="0" borderId="3" xfId="2" applyNumberFormat="1" applyFont="1" applyBorder="1"/>
    <xf numFmtId="9" fontId="0" fillId="3" borderId="1" xfId="0" applyNumberFormat="1" applyFill="1" applyBorder="1"/>
    <xf numFmtId="9" fontId="0" fillId="0" borderId="6" xfId="0" applyNumberFormat="1" applyBorder="1"/>
    <xf numFmtId="168" fontId="25" fillId="0" borderId="8" xfId="0" applyNumberFormat="1" applyFont="1" applyBorder="1"/>
    <xf numFmtId="168" fontId="25" fillId="0" borderId="0" xfId="0" applyNumberFormat="1" applyFont="1" applyBorder="1"/>
    <xf numFmtId="168" fontId="25" fillId="0" borderId="5" xfId="0" applyNumberFormat="1" applyFont="1" applyBorder="1"/>
    <xf numFmtId="10" fontId="0" fillId="0" borderId="0" xfId="3" applyNumberFormat="1" applyFont="1" applyBorder="1" applyAlignment="1">
      <alignment horizontal="center" vertical="center"/>
    </xf>
    <xf numFmtId="9" fontId="24" fillId="0" borderId="0" xfId="0" applyNumberFormat="1" applyFont="1" applyFill="1" applyBorder="1"/>
    <xf numFmtId="9" fontId="0" fillId="0" borderId="5" xfId="0" applyNumberFormat="1" applyBorder="1"/>
    <xf numFmtId="9" fontId="24" fillId="3" borderId="5" xfId="0" applyNumberFormat="1" applyFont="1" applyFill="1" applyBorder="1"/>
    <xf numFmtId="173" fontId="24" fillId="3" borderId="5" xfId="0" applyNumberFormat="1" applyFont="1" applyFill="1" applyBorder="1"/>
    <xf numFmtId="0" fontId="23" fillId="0" borderId="4" xfId="0" applyFont="1" applyFill="1" applyBorder="1"/>
    <xf numFmtId="0" fontId="0" fillId="0" borderId="0" xfId="0" applyFill="1" applyBorder="1"/>
    <xf numFmtId="0" fontId="0" fillId="0" borderId="4" xfId="0" applyFont="1" applyFill="1" applyBorder="1"/>
    <xf numFmtId="173" fontId="23" fillId="3" borderId="5" xfId="3" applyNumberFormat="1" applyFont="1" applyFill="1" applyBorder="1"/>
    <xf numFmtId="0" fontId="24" fillId="0" borderId="4" xfId="0" applyFont="1" applyFill="1" applyBorder="1" applyAlignment="1">
      <alignment horizontal="left"/>
    </xf>
    <xf numFmtId="0" fontId="25" fillId="2" borderId="5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left" vertical="center"/>
    </xf>
    <xf numFmtId="9" fontId="2" fillId="3" borderId="5" xfId="3" applyFont="1" applyFill="1" applyBorder="1" applyAlignment="1">
      <alignment horizontal="right" vertical="center"/>
    </xf>
    <xf numFmtId="0" fontId="6" fillId="0" borderId="4" xfId="0" applyFont="1" applyFill="1" applyBorder="1" applyAlignment="1" applyProtection="1">
      <alignment vertical="center"/>
    </xf>
    <xf numFmtId="10" fontId="23" fillId="3" borderId="5" xfId="0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left" vertical="center"/>
    </xf>
    <xf numFmtId="0" fontId="0" fillId="0" borderId="7" xfId="0" applyFill="1" applyBorder="1"/>
    <xf numFmtId="9" fontId="6" fillId="3" borderId="8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 applyProtection="1">
      <alignment vertical="center"/>
    </xf>
    <xf numFmtId="173" fontId="23" fillId="0" borderId="0" xfId="3" applyNumberFormat="1" applyFont="1" applyFill="1" applyBorder="1"/>
    <xf numFmtId="0" fontId="6" fillId="0" borderId="6" xfId="0" applyFont="1" applyFill="1" applyBorder="1" applyAlignment="1" applyProtection="1">
      <alignment vertical="center"/>
    </xf>
    <xf numFmtId="173" fontId="23" fillId="3" borderId="8" xfId="3" applyNumberFormat="1" applyFont="1" applyFill="1" applyBorder="1"/>
    <xf numFmtId="0" fontId="26" fillId="3" borderId="0" xfId="0" applyFont="1" applyFill="1"/>
    <xf numFmtId="0" fontId="24" fillId="0" borderId="27" xfId="0" applyFont="1" applyBorder="1"/>
    <xf numFmtId="0" fontId="24" fillId="0" borderId="30" xfId="0" applyFont="1" applyBorder="1"/>
    <xf numFmtId="178" fontId="0" fillId="2" borderId="29" xfId="0" applyNumberFormat="1" applyFill="1" applyBorder="1" applyAlignment="1">
      <alignment horizontal="right"/>
    </xf>
    <xf numFmtId="0" fontId="0" fillId="3" borderId="0" xfId="0" applyFill="1"/>
    <xf numFmtId="0" fontId="0" fillId="0" borderId="31" xfId="0" applyBorder="1" applyAlignment="1">
      <alignment horizontal="center"/>
    </xf>
    <xf numFmtId="168" fontId="23" fillId="3" borderId="29" xfId="2" applyNumberFormat="1" applyFont="1" applyFill="1" applyBorder="1" applyAlignment="1">
      <alignment horizontal="righ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27" fillId="3" borderId="0" xfId="1" applyNumberFormat="1" applyFont="1" applyFill="1" applyBorder="1" applyAlignment="1">
      <alignment horizontal="center" vertical="center"/>
    </xf>
    <xf numFmtId="179" fontId="27" fillId="3" borderId="0" xfId="0" applyNumberFormat="1" applyFont="1" applyFill="1" applyBorder="1"/>
    <xf numFmtId="0" fontId="27" fillId="3" borderId="0" xfId="0" applyFont="1" applyFill="1" applyBorder="1"/>
    <xf numFmtId="179" fontId="0" fillId="0" borderId="0" xfId="0" applyNumberFormat="1" applyBorder="1"/>
    <xf numFmtId="179" fontId="25" fillId="0" borderId="11" xfId="0" applyNumberFormat="1" applyFont="1" applyBorder="1"/>
    <xf numFmtId="0" fontId="25" fillId="0" borderId="11" xfId="0" applyFont="1" applyBorder="1"/>
    <xf numFmtId="179" fontId="25" fillId="0" borderId="12" xfId="0" applyNumberFormat="1" applyFont="1" applyBorder="1"/>
    <xf numFmtId="0" fontId="31" fillId="0" borderId="10" xfId="0" applyFont="1" applyBorder="1"/>
    <xf numFmtId="179" fontId="32" fillId="0" borderId="11" xfId="0" applyNumberFormat="1" applyFont="1" applyBorder="1"/>
    <xf numFmtId="179" fontId="0" fillId="0" borderId="0" xfId="0" applyNumberFormat="1"/>
    <xf numFmtId="0" fontId="25" fillId="0" borderId="0" xfId="0" applyFont="1"/>
    <xf numFmtId="0" fontId="0" fillId="0" borderId="10" xfId="0" applyBorder="1"/>
    <xf numFmtId="168" fontId="0" fillId="0" borderId="5" xfId="2" applyNumberFormat="1" applyFont="1" applyBorder="1"/>
    <xf numFmtId="168" fontId="0" fillId="0" borderId="5" xfId="0" applyNumberFormat="1" applyBorder="1"/>
    <xf numFmtId="9" fontId="0" fillId="3" borderId="0" xfId="0" applyNumberFormat="1" applyFill="1" applyBorder="1"/>
    <xf numFmtId="0" fontId="0" fillId="0" borderId="29" xfId="0" applyNumberFormat="1" applyBorder="1"/>
    <xf numFmtId="9" fontId="0" fillId="3" borderId="29" xfId="0" applyNumberFormat="1" applyFill="1" applyBorder="1"/>
    <xf numFmtId="9" fontId="0" fillId="2" borderId="29" xfId="0" applyNumberFormat="1" applyFill="1" applyBorder="1"/>
    <xf numFmtId="168" fontId="0" fillId="2" borderId="11" xfId="0" applyNumberFormat="1" applyFill="1" applyBorder="1"/>
    <xf numFmtId="168" fontId="0" fillId="0" borderId="29" xfId="0" applyNumberFormat="1" applyBorder="1"/>
    <xf numFmtId="9" fontId="0" fillId="0" borderId="0" xfId="0" applyNumberFormat="1" applyFill="1" applyBorder="1"/>
    <xf numFmtId="178" fontId="0" fillId="0" borderId="0" xfId="0" applyNumberFormat="1" applyFill="1" applyBorder="1"/>
    <xf numFmtId="0" fontId="0" fillId="0" borderId="0" xfId="0" applyFill="1"/>
    <xf numFmtId="1" fontId="2" fillId="0" borderId="0" xfId="0" applyNumberFormat="1" applyFont="1" applyFill="1" applyBorder="1" applyAlignment="1" applyProtection="1">
      <alignment horizontal="center" vertical="center"/>
    </xf>
    <xf numFmtId="0" fontId="0" fillId="3" borderId="5" xfId="0" applyFill="1" applyBorder="1"/>
    <xf numFmtId="10" fontId="2" fillId="0" borderId="0" xfId="3" applyNumberFormat="1" applyFont="1" applyFill="1" applyBorder="1" applyAlignment="1" applyProtection="1">
      <alignment horizontal="center" vertical="center"/>
    </xf>
    <xf numFmtId="9" fontId="5" fillId="0" borderId="0" xfId="3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7" xfId="0" applyFont="1" applyFill="1" applyBorder="1" applyAlignment="1" applyProtection="1">
      <alignment vertical="center"/>
    </xf>
    <xf numFmtId="168" fontId="6" fillId="0" borderId="0" xfId="2" applyNumberFormat="1" applyFont="1" applyFill="1" applyBorder="1" applyAlignment="1" applyProtection="1">
      <alignment horizontal="center" vertical="center"/>
    </xf>
    <xf numFmtId="168" fontId="13" fillId="0" borderId="20" xfId="2" applyNumberFormat="1" applyFont="1" applyFill="1" applyBorder="1" applyAlignment="1" applyProtection="1">
      <alignment horizontal="center" vertical="center"/>
    </xf>
    <xf numFmtId="168" fontId="14" fillId="0" borderId="20" xfId="2" applyNumberFormat="1" applyFont="1" applyFill="1" applyBorder="1" applyAlignment="1" applyProtection="1">
      <alignment horizontal="center" vertical="center"/>
    </xf>
    <xf numFmtId="168" fontId="15" fillId="0" borderId="20" xfId="2" applyNumberFormat="1" applyFont="1" applyFill="1" applyBorder="1" applyAlignment="1" applyProtection="1">
      <alignment horizontal="center" vertical="center"/>
    </xf>
    <xf numFmtId="168" fontId="12" fillId="0" borderId="20" xfId="2" applyNumberFormat="1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vertical="center"/>
    </xf>
    <xf numFmtId="0" fontId="4" fillId="2" borderId="6" xfId="0" applyFont="1" applyFill="1" applyBorder="1" applyAlignment="1" applyProtection="1">
      <alignment vertical="center"/>
    </xf>
    <xf numFmtId="168" fontId="12" fillId="2" borderId="33" xfId="2" applyNumberFormat="1" applyFont="1" applyFill="1" applyBorder="1" applyAlignment="1" applyProtection="1">
      <alignment horizontal="center" vertical="center"/>
    </xf>
    <xf numFmtId="3" fontId="4" fillId="2" borderId="37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/>
    <xf numFmtId="0" fontId="25" fillId="0" borderId="19" xfId="0" applyFont="1" applyBorder="1"/>
    <xf numFmtId="0" fontId="31" fillId="0" borderId="19" xfId="0" applyFont="1" applyBorder="1" applyAlignment="1">
      <alignment horizontal="center"/>
    </xf>
    <xf numFmtId="0" fontId="30" fillId="0" borderId="10" xfId="0" applyFont="1" applyFill="1" applyBorder="1"/>
    <xf numFmtId="179" fontId="0" fillId="0" borderId="11" xfId="0" applyNumberFormat="1" applyBorder="1"/>
    <xf numFmtId="179" fontId="30" fillId="0" borderId="11" xfId="0" applyNumberFormat="1" applyFont="1" applyBorder="1"/>
    <xf numFmtId="179" fontId="31" fillId="0" borderId="19" xfId="0" applyNumberFormat="1" applyFont="1" applyBorder="1"/>
    <xf numFmtId="179" fontId="32" fillId="0" borderId="10" xfId="0" applyNumberFormat="1" applyFont="1" applyBorder="1"/>
    <xf numFmtId="179" fontId="31" fillId="0" borderId="12" xfId="0" applyNumberFormat="1" applyFont="1" applyFill="1" applyBorder="1"/>
    <xf numFmtId="179" fontId="29" fillId="0" borderId="12" xfId="0" applyNumberFormat="1" applyFont="1" applyBorder="1"/>
    <xf numFmtId="0" fontId="28" fillId="0" borderId="10" xfId="0" applyFont="1" applyBorder="1"/>
    <xf numFmtId="179" fontId="29" fillId="0" borderId="11" xfId="0" applyNumberFormat="1" applyFont="1" applyBorder="1"/>
    <xf numFmtId="179" fontId="28" fillId="0" borderId="11" xfId="0" applyNumberFormat="1" applyFont="1" applyBorder="1"/>
    <xf numFmtId="179" fontId="33" fillId="0" borderId="5" xfId="0" applyNumberFormat="1" applyFont="1" applyBorder="1"/>
    <xf numFmtId="168" fontId="0" fillId="3" borderId="0" xfId="2" applyNumberFormat="1" applyFont="1" applyFill="1" applyBorder="1"/>
    <xf numFmtId="179" fontId="0" fillId="3" borderId="0" xfId="0" applyNumberFormat="1" applyFill="1" applyBorder="1"/>
    <xf numFmtId="0" fontId="0" fillId="3" borderId="0" xfId="0" applyFill="1" applyBorder="1"/>
    <xf numFmtId="0" fontId="24" fillId="0" borderId="0" xfId="0" applyFont="1" applyBorder="1"/>
    <xf numFmtId="168" fontId="0" fillId="0" borderId="0" xfId="2" applyNumberFormat="1" applyFont="1" applyBorder="1" applyAlignment="1">
      <alignment horizontal="right"/>
    </xf>
    <xf numFmtId="17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 wrapText="1"/>
    </xf>
    <xf numFmtId="168" fontId="23" fillId="3" borderId="13" xfId="2" applyNumberFormat="1" applyFont="1" applyFill="1" applyBorder="1" applyAlignment="1">
      <alignment horizontal="right"/>
    </xf>
    <xf numFmtId="178" fontId="0" fillId="2" borderId="13" xfId="0" applyNumberFormat="1" applyFill="1" applyBorder="1" applyAlignment="1">
      <alignment horizontal="right"/>
    </xf>
    <xf numFmtId="179" fontId="0" fillId="2" borderId="29" xfId="0" applyNumberForma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/>
    </xf>
    <xf numFmtId="178" fontId="24" fillId="0" borderId="0" xfId="0" applyNumberFormat="1" applyFont="1" applyFill="1" applyBorder="1" applyAlignment="1">
      <alignment horizontal="right"/>
    </xf>
    <xf numFmtId="179" fontId="0" fillId="2" borderId="13" xfId="0" applyNumberFormat="1" applyFill="1" applyBorder="1" applyAlignment="1">
      <alignment horizontal="right" vertical="center"/>
    </xf>
    <xf numFmtId="179" fontId="0" fillId="2" borderId="28" xfId="0" applyNumberFormat="1" applyFill="1" applyBorder="1" applyAlignment="1">
      <alignment horizontal="right" vertical="center"/>
    </xf>
    <xf numFmtId="3" fontId="0" fillId="2" borderId="28" xfId="0" applyNumberFormat="1" applyFill="1" applyBorder="1" applyAlignment="1">
      <alignment horizontal="right" vertical="center" wrapText="1"/>
    </xf>
    <xf numFmtId="178" fontId="24" fillId="0" borderId="28" xfId="0" applyNumberFormat="1" applyFont="1" applyFill="1" applyBorder="1" applyAlignment="1">
      <alignment horizontal="right"/>
    </xf>
    <xf numFmtId="178" fontId="0" fillId="0" borderId="11" xfId="0" applyNumberFormat="1" applyBorder="1"/>
    <xf numFmtId="168" fontId="0" fillId="0" borderId="11" xfId="2" applyNumberFormat="1" applyFont="1" applyBorder="1"/>
    <xf numFmtId="178" fontId="0" fillId="0" borderId="12" xfId="0" applyNumberFormat="1" applyBorder="1" applyAlignment="1">
      <alignment horizontal="center" vertical="center"/>
    </xf>
    <xf numFmtId="178" fontId="0" fillId="0" borderId="0" xfId="0" applyNumberFormat="1" applyFill="1"/>
    <xf numFmtId="180" fontId="0" fillId="0" borderId="0" xfId="3" applyNumberFormat="1" applyFont="1"/>
    <xf numFmtId="0" fontId="0" fillId="0" borderId="33" xfId="0" applyFill="1" applyBorder="1"/>
    <xf numFmtId="181" fontId="0" fillId="0" borderId="29" xfId="1" applyNumberFormat="1" applyFont="1" applyFill="1" applyBorder="1"/>
    <xf numFmtId="181" fontId="0" fillId="2" borderId="29" xfId="1" applyNumberFormat="1" applyFont="1" applyFill="1" applyBorder="1" applyAlignment="1">
      <alignment horizontal="right"/>
    </xf>
    <xf numFmtId="0" fontId="0" fillId="0" borderId="29" xfId="0" applyBorder="1"/>
    <xf numFmtId="181" fontId="0" fillId="0" borderId="16" xfId="1" applyNumberFormat="1" applyFont="1" applyFill="1" applyBorder="1"/>
    <xf numFmtId="181" fontId="0" fillId="2" borderId="16" xfId="1" applyNumberFormat="1" applyFont="1" applyFill="1" applyBorder="1" applyAlignment="1">
      <alignment horizontal="right"/>
    </xf>
    <xf numFmtId="0" fontId="0" fillId="0" borderId="16" xfId="0" applyBorder="1"/>
    <xf numFmtId="181" fontId="0" fillId="0" borderId="39" xfId="1" applyNumberFormat="1" applyFont="1" applyFill="1" applyBorder="1"/>
    <xf numFmtId="181" fontId="0" fillId="2" borderId="39" xfId="1" applyNumberFormat="1" applyFont="1" applyFill="1" applyBorder="1" applyAlignment="1">
      <alignment horizontal="right"/>
    </xf>
    <xf numFmtId="0" fontId="0" fillId="0" borderId="39" xfId="0" applyFill="1" applyBorder="1"/>
    <xf numFmtId="0" fontId="24" fillId="0" borderId="41" xfId="0" applyFont="1" applyBorder="1"/>
    <xf numFmtId="0" fontId="0" fillId="0" borderId="42" xfId="0" applyBorder="1" applyAlignment="1">
      <alignment horizontal="center"/>
    </xf>
    <xf numFmtId="0" fontId="25" fillId="0" borderId="42" xfId="0" applyFont="1" applyBorder="1" applyAlignment="1">
      <alignment horizontal="center"/>
    </xf>
    <xf numFmtId="178" fontId="0" fillId="0" borderId="42" xfId="0" applyNumberFormat="1" applyBorder="1"/>
    <xf numFmtId="0" fontId="0" fillId="0" borderId="42" xfId="0" applyBorder="1"/>
    <xf numFmtId="0" fontId="0" fillId="0" borderId="9" xfId="0" applyBorder="1"/>
    <xf numFmtId="0" fontId="0" fillId="0" borderId="31" xfId="0" applyBorder="1" applyAlignment="1">
      <alignment horizontal="right"/>
    </xf>
    <xf numFmtId="0" fontId="0" fillId="0" borderId="3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81" fontId="0" fillId="0" borderId="39" xfId="1" applyNumberFormat="1" applyFont="1" applyBorder="1"/>
    <xf numFmtId="0" fontId="0" fillId="0" borderId="39" xfId="0" applyBorder="1"/>
    <xf numFmtId="0" fontId="6" fillId="2" borderId="34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2" borderId="0" xfId="0" quotePrefix="1" applyFont="1" applyFill="1" applyAlignment="1" applyProtection="1">
      <alignment vertical="center"/>
    </xf>
    <xf numFmtId="0" fontId="35" fillId="0" borderId="0" xfId="5" applyFill="1" applyAlignment="1" applyProtection="1">
      <alignment horizontal="center"/>
      <protection locked="0"/>
    </xf>
    <xf numFmtId="0" fontId="35" fillId="0" borderId="0" xfId="5" applyFont="1" applyFill="1" applyAlignment="1" applyProtection="1">
      <alignment horizontal="center"/>
      <protection locked="0"/>
    </xf>
    <xf numFmtId="0" fontId="36" fillId="0" borderId="0" xfId="5" applyFont="1" applyFill="1" applyAlignment="1" applyProtection="1">
      <alignment horizontal="center"/>
      <protection locked="0"/>
    </xf>
    <xf numFmtId="182" fontId="25" fillId="10" borderId="49" xfId="6" applyFont="1" applyFill="1" applyBorder="1" applyAlignment="1" applyProtection="1">
      <protection locked="0"/>
    </xf>
    <xf numFmtId="182" fontId="40" fillId="9" borderId="53" xfId="6" applyFont="1" applyFill="1" applyBorder="1" applyAlignment="1" applyProtection="1">
      <alignment horizontal="center"/>
      <protection hidden="1"/>
    </xf>
    <xf numFmtId="182" fontId="40" fillId="9" borderId="56" xfId="6" applyFont="1" applyFill="1" applyBorder="1" applyAlignment="1" applyProtection="1">
      <protection hidden="1"/>
    </xf>
    <xf numFmtId="182" fontId="39" fillId="9" borderId="48" xfId="6" applyFont="1" applyFill="1" applyBorder="1" applyAlignment="1" applyProtection="1">
      <alignment wrapText="1"/>
    </xf>
    <xf numFmtId="186" fontId="39" fillId="9" borderId="48" xfId="8" applyFont="1" applyFill="1" applyBorder="1" applyAlignment="1" applyProtection="1">
      <alignment horizontal="right" wrapText="1"/>
    </xf>
    <xf numFmtId="186" fontId="39" fillId="9" borderId="79" xfId="8" applyFont="1" applyFill="1" applyBorder="1" applyAlignment="1" applyProtection="1">
      <alignment horizontal="right" wrapText="1"/>
    </xf>
    <xf numFmtId="186" fontId="39" fillId="9" borderId="59" xfId="8" applyFont="1" applyFill="1" applyBorder="1" applyAlignment="1" applyProtection="1">
      <alignment horizontal="right" wrapText="1"/>
    </xf>
    <xf numFmtId="182" fontId="0" fillId="10" borderId="81" xfId="6" applyFont="1" applyFill="1" applyBorder="1" applyAlignment="1" applyProtection="1">
      <protection locked="0"/>
    </xf>
    <xf numFmtId="182" fontId="0" fillId="10" borderId="88" xfId="6" applyFont="1" applyFill="1" applyBorder="1" applyAlignment="1" applyProtection="1">
      <protection locked="0"/>
    </xf>
    <xf numFmtId="186" fontId="0" fillId="12" borderId="90" xfId="8" applyFont="1" applyFill="1" applyBorder="1" applyAlignment="1" applyProtection="1"/>
    <xf numFmtId="186" fontId="0" fillId="12" borderId="84" xfId="8" applyFont="1" applyFill="1" applyBorder="1" applyAlignment="1" applyProtection="1"/>
    <xf numFmtId="186" fontId="0" fillId="12" borderId="55" xfId="8" applyFont="1" applyFill="1" applyBorder="1" applyAlignment="1" applyProtection="1"/>
    <xf numFmtId="186" fontId="0" fillId="12" borderId="85" xfId="8" applyFont="1" applyFill="1" applyBorder="1" applyAlignment="1" applyProtection="1"/>
    <xf numFmtId="186" fontId="0" fillId="12" borderId="91" xfId="8" applyFont="1" applyFill="1" applyBorder="1" applyAlignment="1" applyProtection="1"/>
    <xf numFmtId="182" fontId="0" fillId="10" borderId="93" xfId="6" applyFont="1" applyFill="1" applyBorder="1" applyAlignment="1" applyProtection="1">
      <protection locked="0"/>
    </xf>
    <xf numFmtId="186" fontId="0" fillId="12" borderId="96" xfId="8" applyFont="1" applyFill="1" applyBorder="1" applyAlignment="1" applyProtection="1"/>
    <xf numFmtId="186" fontId="0" fillId="12" borderId="97" xfId="8" applyFont="1" applyFill="1" applyBorder="1" applyAlignment="1" applyProtection="1"/>
    <xf numFmtId="186" fontId="0" fillId="12" borderId="98" xfId="8" applyFont="1" applyFill="1" applyBorder="1" applyAlignment="1" applyProtection="1"/>
    <xf numFmtId="186" fontId="0" fillId="12" borderId="99" xfId="8" applyFont="1" applyFill="1" applyBorder="1" applyAlignment="1" applyProtection="1"/>
    <xf numFmtId="182" fontId="25" fillId="12" borderId="0" xfId="6" applyFont="1" applyFill="1" applyBorder="1" applyAlignment="1" applyProtection="1">
      <protection hidden="1"/>
    </xf>
    <xf numFmtId="173" fontId="24" fillId="0" borderId="5" xfId="0" applyNumberFormat="1" applyFont="1" applyFill="1" applyBorder="1"/>
    <xf numFmtId="0" fontId="4" fillId="2" borderId="0" xfId="0" quotePrefix="1" applyFont="1" applyFill="1" applyAlignment="1" applyProtection="1">
      <alignment vertical="center"/>
    </xf>
    <xf numFmtId="0" fontId="4" fillId="2" borderId="4" xfId="0" applyFont="1" applyFill="1" applyBorder="1" applyAlignment="1" applyProtection="1">
      <alignment horizontal="left" vertical="center"/>
    </xf>
    <xf numFmtId="181" fontId="6" fillId="0" borderId="40" xfId="0" applyNumberFormat="1" applyFont="1" applyFill="1" applyBorder="1" applyAlignment="1">
      <alignment horizontal="center" vertical="center"/>
    </xf>
    <xf numFmtId="181" fontId="2" fillId="2" borderId="0" xfId="0" applyNumberFormat="1" applyFont="1" applyFill="1" applyAlignment="1" applyProtection="1">
      <alignment vertical="center"/>
    </xf>
    <xf numFmtId="181" fontId="6" fillId="0" borderId="35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 applyProtection="1">
      <alignment vertical="center"/>
    </xf>
    <xf numFmtId="0" fontId="6" fillId="2" borderId="4" xfId="0" applyFont="1" applyFill="1" applyBorder="1" applyAlignment="1" applyProtection="1">
      <alignment horizontal="center" vertical="center"/>
    </xf>
    <xf numFmtId="3" fontId="4" fillId="2" borderId="36" xfId="0" applyNumberFormat="1" applyFont="1" applyFill="1" applyBorder="1" applyAlignment="1" applyProtection="1">
      <alignment horizontal="left" vertical="center"/>
    </xf>
    <xf numFmtId="3" fontId="47" fillId="2" borderId="36" xfId="0" applyNumberFormat="1" applyFont="1" applyFill="1" applyBorder="1" applyAlignment="1" applyProtection="1">
      <alignment horizontal="center" vertical="center"/>
    </xf>
    <xf numFmtId="172" fontId="47" fillId="2" borderId="2" xfId="1" applyNumberFormat="1" applyFont="1" applyFill="1" applyBorder="1" applyAlignment="1" applyProtection="1">
      <alignment horizontal="center" vertical="center"/>
    </xf>
    <xf numFmtId="172" fontId="47" fillId="2" borderId="3" xfId="1" applyNumberFormat="1" applyFont="1" applyFill="1" applyBorder="1" applyAlignment="1" applyProtection="1">
      <alignment horizontal="center" vertical="center"/>
    </xf>
    <xf numFmtId="3" fontId="48" fillId="2" borderId="4" xfId="0" applyNumberFormat="1" applyFont="1" applyFill="1" applyBorder="1" applyAlignment="1" applyProtection="1">
      <alignment horizontal="center" vertical="center"/>
    </xf>
    <xf numFmtId="10" fontId="48" fillId="2" borderId="0" xfId="3" applyNumberFormat="1" applyFont="1" applyFill="1" applyBorder="1" applyAlignment="1" applyProtection="1">
      <alignment horizontal="center" vertical="center"/>
    </xf>
    <xf numFmtId="10" fontId="48" fillId="2" borderId="5" xfId="3" applyNumberFormat="1" applyFont="1" applyFill="1" applyBorder="1" applyAlignment="1" applyProtection="1">
      <alignment horizontal="center" vertical="center"/>
    </xf>
    <xf numFmtId="168" fontId="49" fillId="2" borderId="4" xfId="0" applyNumberFormat="1" applyFont="1" applyFill="1" applyBorder="1" applyAlignment="1" applyProtection="1">
      <alignment horizontal="center" vertical="center"/>
    </xf>
    <xf numFmtId="0" fontId="49" fillId="2" borderId="0" xfId="0" applyFont="1" applyFill="1" applyBorder="1" applyAlignment="1" applyProtection="1">
      <alignment horizontal="center" vertical="center"/>
    </xf>
    <xf numFmtId="0" fontId="49" fillId="2" borderId="0" xfId="0" quotePrefix="1" applyFont="1" applyFill="1" applyBorder="1" applyAlignment="1" applyProtection="1">
      <alignment horizontal="center" vertical="center"/>
    </xf>
    <xf numFmtId="3" fontId="49" fillId="2" borderId="0" xfId="0" applyNumberFormat="1" applyFont="1" applyFill="1" applyBorder="1" applyAlignment="1" applyProtection="1">
      <alignment horizontal="center" vertical="center"/>
    </xf>
    <xf numFmtId="0" fontId="49" fillId="2" borderId="5" xfId="0" applyFont="1" applyFill="1" applyBorder="1" applyAlignment="1" applyProtection="1">
      <alignment horizontal="center" vertical="center"/>
    </xf>
    <xf numFmtId="3" fontId="47" fillId="2" borderId="11" xfId="0" applyNumberFormat="1" applyFont="1" applyFill="1" applyBorder="1" applyAlignment="1" applyProtection="1">
      <alignment horizontal="center" vertical="center"/>
    </xf>
    <xf numFmtId="3" fontId="47" fillId="2" borderId="12" xfId="0" applyNumberFormat="1" applyFont="1" applyFill="1" applyBorder="1" applyAlignment="1" applyProtection="1">
      <alignment horizontal="center" vertical="center"/>
    </xf>
    <xf numFmtId="168" fontId="51" fillId="2" borderId="1" xfId="2" applyNumberFormat="1" applyFont="1" applyFill="1" applyBorder="1" applyAlignment="1" applyProtection="1">
      <alignment horizontal="center" vertical="center"/>
    </xf>
    <xf numFmtId="168" fontId="51" fillId="2" borderId="2" xfId="2" applyNumberFormat="1" applyFont="1" applyFill="1" applyBorder="1" applyAlignment="1" applyProtection="1">
      <alignment horizontal="center" vertical="center"/>
    </xf>
    <xf numFmtId="0" fontId="49" fillId="2" borderId="2" xfId="0" applyFont="1" applyFill="1" applyBorder="1" applyAlignment="1" applyProtection="1">
      <alignment horizontal="center" vertical="center"/>
    </xf>
    <xf numFmtId="0" fontId="49" fillId="2" borderId="3" xfId="0" applyFont="1" applyFill="1" applyBorder="1" applyAlignment="1" applyProtection="1">
      <alignment horizontal="center" vertical="center"/>
    </xf>
    <xf numFmtId="168" fontId="51" fillId="2" borderId="4" xfId="2" applyNumberFormat="1" applyFont="1" applyFill="1" applyBorder="1" applyAlignment="1" applyProtection="1">
      <alignment horizontal="center" vertical="center"/>
    </xf>
    <xf numFmtId="168" fontId="51" fillId="2" borderId="0" xfId="2" applyNumberFormat="1" applyFont="1" applyFill="1" applyBorder="1" applyAlignment="1" applyProtection="1">
      <alignment horizontal="center" vertical="center"/>
    </xf>
    <xf numFmtId="168" fontId="49" fillId="2" borderId="4" xfId="2" applyNumberFormat="1" applyFont="1" applyFill="1" applyBorder="1" applyAlignment="1" applyProtection="1">
      <alignment horizontal="center" vertical="center"/>
    </xf>
    <xf numFmtId="168" fontId="49" fillId="2" borderId="0" xfId="2" applyNumberFormat="1" applyFont="1" applyFill="1" applyBorder="1" applyAlignment="1" applyProtection="1">
      <alignment horizontal="center" vertical="center"/>
    </xf>
    <xf numFmtId="168" fontId="49" fillId="2" borderId="5" xfId="2" applyNumberFormat="1" applyFont="1" applyFill="1" applyBorder="1" applyAlignment="1" applyProtection="1">
      <alignment horizontal="center" vertical="center"/>
    </xf>
    <xf numFmtId="168" fontId="51" fillId="2" borderId="5" xfId="2" applyNumberFormat="1" applyFont="1" applyFill="1" applyBorder="1" applyAlignment="1" applyProtection="1">
      <alignment horizontal="center" vertical="center"/>
    </xf>
    <xf numFmtId="168" fontId="52" fillId="2" borderId="4" xfId="2" applyNumberFormat="1" applyFont="1" applyFill="1" applyBorder="1" applyAlignment="1" applyProtection="1">
      <alignment horizontal="center" vertical="center"/>
    </xf>
    <xf numFmtId="168" fontId="52" fillId="2" borderId="0" xfId="2" applyNumberFormat="1" applyFont="1" applyFill="1" applyBorder="1" applyAlignment="1" applyProtection="1">
      <alignment horizontal="center" vertical="center"/>
    </xf>
    <xf numFmtId="0" fontId="49" fillId="2" borderId="4" xfId="0" applyFont="1" applyFill="1" applyBorder="1" applyAlignment="1" applyProtection="1">
      <alignment horizontal="center" vertical="center"/>
    </xf>
    <xf numFmtId="181" fontId="49" fillId="2" borderId="29" xfId="0" applyNumberFormat="1" applyFont="1" applyFill="1" applyBorder="1" applyAlignment="1" applyProtection="1">
      <alignment horizontal="center" vertical="center"/>
    </xf>
    <xf numFmtId="168" fontId="51" fillId="2" borderId="13" xfId="2" applyNumberFormat="1" applyFont="1" applyFill="1" applyBorder="1" applyAlignment="1" applyProtection="1">
      <alignment horizontal="center" vertical="center"/>
    </xf>
    <xf numFmtId="168" fontId="50" fillId="7" borderId="11" xfId="0" applyNumberFormat="1" applyFont="1" applyFill="1" applyBorder="1" applyAlignment="1" applyProtection="1">
      <alignment horizontal="center" vertical="center"/>
    </xf>
    <xf numFmtId="168" fontId="50" fillId="7" borderId="12" xfId="0" applyNumberFormat="1" applyFont="1" applyFill="1" applyBorder="1" applyAlignment="1" applyProtection="1">
      <alignment horizontal="center" vertical="center"/>
    </xf>
    <xf numFmtId="9" fontId="53" fillId="2" borderId="0" xfId="3" applyFont="1" applyFill="1" applyBorder="1" applyAlignment="1" applyProtection="1">
      <alignment horizontal="center" vertical="center"/>
    </xf>
    <xf numFmtId="10" fontId="53" fillId="2" borderId="0" xfId="3" applyNumberFormat="1" applyFont="1" applyFill="1" applyBorder="1" applyAlignment="1" applyProtection="1">
      <alignment horizontal="center" vertical="center"/>
    </xf>
    <xf numFmtId="168" fontId="49" fillId="2" borderId="7" xfId="2" applyNumberFormat="1" applyFont="1" applyFill="1" applyBorder="1" applyAlignment="1" applyProtection="1">
      <alignment horizontal="center" vertical="center"/>
    </xf>
    <xf numFmtId="168" fontId="49" fillId="2" borderId="8" xfId="2" applyNumberFormat="1" applyFont="1" applyFill="1" applyBorder="1" applyAlignment="1" applyProtection="1">
      <alignment horizontal="center" vertical="center"/>
    </xf>
    <xf numFmtId="168" fontId="47" fillId="2" borderId="17" xfId="0" applyNumberFormat="1" applyFont="1" applyFill="1" applyBorder="1" applyAlignment="1" applyProtection="1">
      <alignment horizontal="center" vertical="center"/>
    </xf>
    <xf numFmtId="168" fontId="47" fillId="2" borderId="21" xfId="0" applyNumberFormat="1" applyFont="1" applyFill="1" applyBorder="1" applyAlignment="1" applyProtection="1">
      <alignment horizontal="center" vertical="center"/>
    </xf>
    <xf numFmtId="172" fontId="49" fillId="2" borderId="0" xfId="1" applyNumberFormat="1" applyFont="1" applyFill="1" applyBorder="1" applyAlignment="1" applyProtection="1">
      <alignment horizontal="center" vertical="center"/>
    </xf>
    <xf numFmtId="173" fontId="55" fillId="2" borderId="0" xfId="0" applyNumberFormat="1" applyFont="1" applyFill="1" applyBorder="1" applyAlignment="1" applyProtection="1">
      <alignment horizontal="center" vertical="center"/>
    </xf>
    <xf numFmtId="173" fontId="49" fillId="2" borderId="0" xfId="0" applyNumberFormat="1" applyFont="1" applyFill="1" applyBorder="1" applyAlignment="1" applyProtection="1">
      <alignment horizontal="center" vertical="center"/>
    </xf>
    <xf numFmtId="3" fontId="47" fillId="2" borderId="5" xfId="0" applyNumberFormat="1" applyFont="1" applyFill="1" applyBorder="1" applyAlignment="1" applyProtection="1">
      <alignment horizontal="center" vertical="center"/>
    </xf>
    <xf numFmtId="3" fontId="55" fillId="2" borderId="0" xfId="0" applyNumberFormat="1" applyFont="1" applyFill="1" applyBorder="1" applyAlignment="1" applyProtection="1">
      <alignment horizontal="center" vertical="center"/>
    </xf>
    <xf numFmtId="174" fontId="56" fillId="2" borderId="8" xfId="0" applyNumberFormat="1" applyFont="1" applyFill="1" applyBorder="1" applyAlignment="1" applyProtection="1">
      <alignment horizontal="center" vertical="center"/>
    </xf>
    <xf numFmtId="174" fontId="55" fillId="2" borderId="7" xfId="0" applyNumberFormat="1" applyFont="1" applyFill="1" applyBorder="1" applyAlignment="1" applyProtection="1">
      <alignment horizontal="center" vertical="center"/>
    </xf>
    <xf numFmtId="0" fontId="49" fillId="2" borderId="7" xfId="0" applyFont="1" applyFill="1" applyBorder="1" applyAlignment="1" applyProtection="1">
      <alignment horizontal="center" vertical="center"/>
    </xf>
    <xf numFmtId="0" fontId="49" fillId="2" borderId="8" xfId="0" applyFont="1" applyFill="1" applyBorder="1" applyAlignment="1" applyProtection="1">
      <alignment horizontal="center" vertical="center"/>
    </xf>
    <xf numFmtId="0" fontId="49" fillId="2" borderId="0" xfId="0" applyFont="1" applyFill="1" applyAlignment="1" applyProtection="1">
      <alignment horizontal="center" vertical="center"/>
    </xf>
    <xf numFmtId="168" fontId="54" fillId="2" borderId="0" xfId="2" applyNumberFormat="1" applyFont="1" applyFill="1" applyBorder="1" applyAlignment="1" applyProtection="1">
      <alignment horizontal="center" vertical="center"/>
    </xf>
    <xf numFmtId="10" fontId="50" fillId="2" borderId="0" xfId="3" applyNumberFormat="1" applyFont="1" applyFill="1" applyBorder="1" applyAlignment="1" applyProtection="1">
      <alignment horizontal="center" vertical="center"/>
    </xf>
    <xf numFmtId="168" fontId="54" fillId="2" borderId="5" xfId="2" applyNumberFormat="1" applyFont="1" applyFill="1" applyBorder="1" applyAlignment="1" applyProtection="1">
      <alignment horizontal="center" vertical="center"/>
    </xf>
    <xf numFmtId="10" fontId="6" fillId="15" borderId="0" xfId="0" applyNumberFormat="1" applyFont="1" applyFill="1" applyBorder="1" applyAlignment="1" applyProtection="1">
      <alignment horizontal="center" vertical="center"/>
    </xf>
    <xf numFmtId="0" fontId="15" fillId="7" borderId="10" xfId="0" applyFont="1" applyFill="1" applyBorder="1" applyAlignment="1" applyProtection="1">
      <alignment horizontal="center" vertical="center"/>
    </xf>
    <xf numFmtId="181" fontId="49" fillId="2" borderId="39" xfId="0" applyNumberFormat="1" applyFont="1" applyFill="1" applyBorder="1" applyAlignment="1" applyProtection="1">
      <alignment horizontal="center" vertical="center"/>
    </xf>
    <xf numFmtId="168" fontId="51" fillId="2" borderId="101" xfId="2" applyNumberFormat="1" applyFont="1" applyFill="1" applyBorder="1" applyAlignment="1" applyProtection="1">
      <alignment horizontal="center" vertical="center"/>
    </xf>
    <xf numFmtId="10" fontId="5" fillId="15" borderId="0" xfId="3" applyNumberFormat="1" applyFont="1" applyFill="1" applyBorder="1" applyAlignment="1" applyProtection="1">
      <alignment horizontal="center" vertical="center"/>
    </xf>
    <xf numFmtId="182" fontId="0" fillId="12" borderId="50" xfId="6" applyFont="1" applyFill="1" applyBorder="1" applyAlignment="1" applyProtection="1">
      <protection hidden="1"/>
    </xf>
    <xf numFmtId="186" fontId="0" fillId="12" borderId="86" xfId="8" applyFont="1" applyFill="1" applyBorder="1" applyAlignment="1" applyProtection="1"/>
    <xf numFmtId="0" fontId="58" fillId="0" borderId="0" xfId="9" applyProtection="1">
      <protection locked="0"/>
    </xf>
    <xf numFmtId="4" fontId="58" fillId="0" borderId="0" xfId="9" applyNumberFormat="1" applyProtection="1">
      <protection locked="0"/>
    </xf>
    <xf numFmtId="180" fontId="58" fillId="0" borderId="0" xfId="9" applyNumberFormat="1" applyProtection="1">
      <protection locked="0"/>
    </xf>
    <xf numFmtId="0" fontId="25" fillId="12" borderId="0" xfId="9" applyFont="1" applyFill="1" applyProtection="1">
      <protection hidden="1"/>
    </xf>
    <xf numFmtId="0" fontId="58" fillId="0" borderId="0" xfId="9" applyFill="1" applyProtection="1"/>
    <xf numFmtId="14" fontId="58" fillId="12" borderId="96" xfId="9" applyNumberFormat="1" applyFill="1" applyBorder="1" applyProtection="1"/>
    <xf numFmtId="0" fontId="58" fillId="12" borderId="95" xfId="9" applyFill="1" applyBorder="1" applyAlignment="1" applyProtection="1">
      <alignment horizontal="center"/>
    </xf>
    <xf numFmtId="4" fontId="58" fillId="10" borderId="94" xfId="9" applyNumberFormat="1" applyFill="1" applyBorder="1" applyProtection="1">
      <protection locked="0"/>
    </xf>
    <xf numFmtId="4" fontId="58" fillId="10" borderId="93" xfId="9" applyNumberFormat="1" applyFill="1" applyBorder="1" applyProtection="1">
      <protection locked="0"/>
    </xf>
    <xf numFmtId="0" fontId="58" fillId="10" borderId="93" xfId="9" applyFill="1" applyBorder="1" applyProtection="1">
      <protection locked="0"/>
    </xf>
    <xf numFmtId="180" fontId="58" fillId="10" borderId="92" xfId="9" applyNumberFormat="1" applyFill="1" applyBorder="1" applyProtection="1">
      <protection locked="0"/>
    </xf>
    <xf numFmtId="14" fontId="58" fillId="12" borderId="90" xfId="9" applyNumberFormat="1" applyFill="1" applyBorder="1" applyProtection="1"/>
    <xf numFmtId="0" fontId="58" fillId="12" borderId="83" xfId="9" applyFill="1" applyBorder="1" applyAlignment="1" applyProtection="1">
      <alignment horizontal="center"/>
    </xf>
    <xf numFmtId="4" fontId="58" fillId="10" borderId="89" xfId="9" applyNumberFormat="1" applyFill="1" applyBorder="1" applyProtection="1">
      <protection locked="0"/>
    </xf>
    <xf numFmtId="4" fontId="58" fillId="10" borderId="88" xfId="9" applyNumberFormat="1" applyFill="1" applyBorder="1" applyProtection="1">
      <protection locked="0"/>
    </xf>
    <xf numFmtId="0" fontId="58" fillId="10" borderId="88" xfId="9" applyFill="1" applyBorder="1" applyProtection="1">
      <protection locked="0"/>
    </xf>
    <xf numFmtId="180" fontId="58" fillId="10" borderId="87" xfId="9" applyNumberFormat="1" applyFill="1" applyBorder="1" applyProtection="1">
      <protection locked="0"/>
    </xf>
    <xf numFmtId="0" fontId="58" fillId="0" borderId="0" xfId="9" applyFill="1" applyBorder="1" applyProtection="1">
      <protection locked="0"/>
    </xf>
    <xf numFmtId="0" fontId="42" fillId="0" borderId="0" xfId="9" applyFont="1" applyProtection="1">
      <protection locked="0"/>
    </xf>
    <xf numFmtId="14" fontId="58" fillId="12" borderId="55" xfId="9" applyNumberFormat="1" applyFill="1" applyBorder="1" applyProtection="1"/>
    <xf numFmtId="4" fontId="58" fillId="10" borderId="82" xfId="9" applyNumberFormat="1" applyFill="1" applyBorder="1" applyProtection="1">
      <protection locked="0"/>
    </xf>
    <xf numFmtId="4" fontId="58" fillId="10" borderId="81" xfId="9" applyNumberFormat="1" applyFill="1" applyBorder="1" applyProtection="1">
      <protection locked="0"/>
    </xf>
    <xf numFmtId="0" fontId="58" fillId="10" borderId="81" xfId="9" applyFill="1" applyBorder="1" applyProtection="1">
      <protection locked="0"/>
    </xf>
    <xf numFmtId="180" fontId="58" fillId="10" borderId="80" xfId="9" applyNumberFormat="1" applyFill="1" applyBorder="1" applyProtection="1">
      <protection locked="0"/>
    </xf>
    <xf numFmtId="0" fontId="42" fillId="0" borderId="0" xfId="9" applyFont="1" applyFill="1" applyProtection="1"/>
    <xf numFmtId="0" fontId="45" fillId="9" borderId="48" xfId="9" applyFont="1" applyFill="1" applyBorder="1" applyAlignment="1" applyProtection="1">
      <alignment horizontal="center" wrapText="1"/>
    </xf>
    <xf numFmtId="0" fontId="45" fillId="9" borderId="48" xfId="9" applyFont="1" applyFill="1" applyBorder="1" applyAlignment="1" applyProtection="1">
      <alignment horizontal="center"/>
    </xf>
    <xf numFmtId="4" fontId="58" fillId="10" borderId="78" xfId="9" applyNumberFormat="1" applyFill="1" applyBorder="1" applyProtection="1">
      <protection locked="0"/>
    </xf>
    <xf numFmtId="0" fontId="44" fillId="12" borderId="53" xfId="9" applyFont="1" applyFill="1" applyBorder="1" applyAlignment="1" applyProtection="1">
      <alignment wrapText="1"/>
    </xf>
    <xf numFmtId="0" fontId="44" fillId="12" borderId="52" xfId="9" applyFont="1" applyFill="1" applyBorder="1" applyAlignment="1" applyProtection="1">
      <alignment horizontal="center"/>
    </xf>
    <xf numFmtId="184" fontId="0" fillId="13" borderId="57" xfId="15" applyFont="1" applyFill="1" applyBorder="1" applyProtection="1">
      <protection locked="0"/>
    </xf>
    <xf numFmtId="0" fontId="44" fillId="12" borderId="0" xfId="9" applyFont="1" applyFill="1" applyBorder="1" applyAlignment="1" applyProtection="1">
      <alignment horizontal="center" wrapText="1"/>
    </xf>
    <xf numFmtId="0" fontId="44" fillId="12" borderId="47" xfId="9" applyFont="1" applyFill="1" applyBorder="1" applyAlignment="1" applyProtection="1">
      <alignment horizontal="center"/>
    </xf>
    <xf numFmtId="184" fontId="0" fillId="13" borderId="14" xfId="15" applyFont="1" applyFill="1" applyBorder="1" applyProtection="1">
      <protection locked="0"/>
    </xf>
    <xf numFmtId="0" fontId="44" fillId="12" borderId="45" xfId="9" applyFont="1" applyFill="1" applyBorder="1" applyAlignment="1" applyProtection="1">
      <alignment wrapText="1"/>
    </xf>
    <xf numFmtId="0" fontId="44" fillId="12" borderId="44" xfId="9" applyFont="1" applyFill="1" applyBorder="1" applyAlignment="1" applyProtection="1">
      <alignment horizontal="center" wrapText="1"/>
    </xf>
    <xf numFmtId="185" fontId="42" fillId="12" borderId="62" xfId="9" applyNumberFormat="1" applyFont="1" applyFill="1" applyBorder="1" applyAlignment="1" applyProtection="1">
      <alignment wrapText="1"/>
    </xf>
    <xf numFmtId="185" fontId="42" fillId="12" borderId="61" xfId="9" applyNumberFormat="1" applyFont="1" applyFill="1" applyBorder="1" applyAlignment="1" applyProtection="1">
      <alignment wrapText="1"/>
    </xf>
    <xf numFmtId="185" fontId="42" fillId="12" borderId="60" xfId="9" applyNumberFormat="1" applyFont="1" applyFill="1" applyBorder="1" applyAlignment="1" applyProtection="1">
      <alignment wrapText="1"/>
    </xf>
    <xf numFmtId="0" fontId="25" fillId="14" borderId="0" xfId="9" applyFont="1" applyFill="1" applyProtection="1">
      <protection hidden="1"/>
    </xf>
    <xf numFmtId="0" fontId="25" fillId="13" borderId="13" xfId="9" applyFont="1" applyFill="1" applyBorder="1" applyProtection="1">
      <protection locked="0"/>
    </xf>
    <xf numFmtId="0" fontId="58" fillId="0" borderId="0" xfId="9" applyAlignment="1" applyProtection="1">
      <alignment horizontal="left"/>
      <protection locked="0"/>
    </xf>
    <xf numFmtId="0" fontId="58" fillId="0" borderId="0" xfId="9" applyAlignment="1" applyProtection="1">
      <alignment horizontal="center"/>
    </xf>
    <xf numFmtId="0" fontId="25" fillId="0" borderId="0" xfId="9" applyFont="1" applyFill="1" applyBorder="1" applyAlignment="1" applyProtection="1">
      <protection locked="0"/>
    </xf>
    <xf numFmtId="0" fontId="25" fillId="0" borderId="0" xfId="9" applyFont="1" applyFill="1" applyBorder="1" applyAlignment="1" applyProtection="1"/>
    <xf numFmtId="0" fontId="58" fillId="11" borderId="57" xfId="9" applyFill="1" applyBorder="1" applyProtection="1">
      <protection locked="0"/>
    </xf>
    <xf numFmtId="4" fontId="58" fillId="10" borderId="54" xfId="9" applyNumberFormat="1" applyFill="1" applyBorder="1" applyProtection="1">
      <protection locked="0"/>
    </xf>
    <xf numFmtId="0" fontId="58" fillId="12" borderId="53" xfId="9" applyFill="1" applyBorder="1" applyProtection="1">
      <protection hidden="1"/>
    </xf>
    <xf numFmtId="0" fontId="58" fillId="12" borderId="52" xfId="9" applyFill="1" applyBorder="1" applyAlignment="1" applyProtection="1">
      <protection hidden="1"/>
    </xf>
    <xf numFmtId="4" fontId="58" fillId="12" borderId="53" xfId="9" applyNumberFormat="1" applyFill="1" applyBorder="1" applyProtection="1">
      <protection hidden="1"/>
    </xf>
    <xf numFmtId="0" fontId="25" fillId="12" borderId="53" xfId="9" applyFont="1" applyFill="1" applyBorder="1" applyAlignment="1" applyProtection="1">
      <alignment horizontal="right"/>
      <protection hidden="1"/>
    </xf>
    <xf numFmtId="180" fontId="58" fillId="12" borderId="52" xfId="9" applyNumberFormat="1" applyFill="1" applyBorder="1" applyProtection="1">
      <protection hidden="1"/>
    </xf>
    <xf numFmtId="0" fontId="58" fillId="11" borderId="14" xfId="9" applyFill="1" applyBorder="1" applyProtection="1">
      <protection locked="0"/>
    </xf>
    <xf numFmtId="0" fontId="58" fillId="10" borderId="51" xfId="9" applyFill="1" applyBorder="1" applyProtection="1">
      <protection locked="0"/>
    </xf>
    <xf numFmtId="0" fontId="58" fillId="12" borderId="0" xfId="9" applyFill="1" applyBorder="1" applyProtection="1">
      <protection hidden="1"/>
    </xf>
    <xf numFmtId="0" fontId="58" fillId="12" borderId="47" xfId="9" applyFill="1" applyBorder="1" applyAlignment="1" applyProtection="1">
      <protection hidden="1"/>
    </xf>
    <xf numFmtId="4" fontId="58" fillId="12" borderId="0" xfId="9" applyNumberFormat="1" applyFill="1" applyBorder="1" applyProtection="1">
      <protection hidden="1"/>
    </xf>
    <xf numFmtId="0" fontId="25" fillId="12" borderId="47" xfId="9" applyFont="1" applyFill="1" applyBorder="1" applyAlignment="1" applyProtection="1">
      <protection hidden="1"/>
    </xf>
    <xf numFmtId="0" fontId="58" fillId="12" borderId="50" xfId="9" applyFill="1" applyBorder="1" applyProtection="1">
      <protection hidden="1"/>
    </xf>
    <xf numFmtId="0" fontId="58" fillId="12" borderId="47" xfId="9" applyFill="1" applyBorder="1" applyProtection="1">
      <protection hidden="1"/>
    </xf>
    <xf numFmtId="0" fontId="58" fillId="12" borderId="50" xfId="9" applyFill="1" applyBorder="1" applyAlignment="1" applyProtection="1">
      <protection hidden="1"/>
    </xf>
    <xf numFmtId="0" fontId="58" fillId="12" borderId="0" xfId="9" applyFill="1" applyBorder="1" applyAlignment="1" applyProtection="1">
      <protection hidden="1"/>
    </xf>
    <xf numFmtId="180" fontId="58" fillId="12" borderId="47" xfId="9" applyNumberFormat="1" applyFill="1" applyBorder="1" applyProtection="1">
      <protection hidden="1"/>
    </xf>
    <xf numFmtId="175" fontId="58" fillId="0" borderId="0" xfId="9" applyNumberFormat="1" applyAlignment="1" applyProtection="1">
      <alignment horizontal="center"/>
    </xf>
    <xf numFmtId="0" fontId="58" fillId="12" borderId="46" xfId="9" applyFill="1" applyBorder="1" applyProtection="1">
      <protection hidden="1"/>
    </xf>
    <xf numFmtId="0" fontId="58" fillId="12" borderId="45" xfId="9" applyFill="1" applyBorder="1" applyProtection="1">
      <protection hidden="1"/>
    </xf>
    <xf numFmtId="0" fontId="42" fillId="12" borderId="50" xfId="9" applyFont="1" applyFill="1" applyBorder="1" applyProtection="1">
      <protection hidden="1"/>
    </xf>
    <xf numFmtId="0" fontId="42" fillId="12" borderId="0" xfId="9" applyFont="1" applyFill="1" applyBorder="1" applyProtection="1">
      <protection hidden="1"/>
    </xf>
    <xf numFmtId="0" fontId="42" fillId="12" borderId="55" xfId="9" applyFont="1" applyFill="1" applyBorder="1" applyAlignment="1" applyProtection="1">
      <protection hidden="1"/>
    </xf>
    <xf numFmtId="0" fontId="25" fillId="12" borderId="0" xfId="9" applyFont="1" applyFill="1" applyBorder="1" applyAlignment="1" applyProtection="1">
      <alignment horizontal="right"/>
      <protection hidden="1"/>
    </xf>
    <xf numFmtId="0" fontId="25" fillId="11" borderId="13" xfId="9" applyFont="1" applyFill="1" applyBorder="1" applyProtection="1">
      <protection locked="0"/>
    </xf>
    <xf numFmtId="0" fontId="58" fillId="0" borderId="0" xfId="9" applyFill="1" applyBorder="1" applyAlignment="1" applyProtection="1">
      <alignment horizontal="left"/>
      <protection locked="0"/>
    </xf>
    <xf numFmtId="183" fontId="58" fillId="0" borderId="0" xfId="9" applyNumberFormat="1" applyFill="1" applyBorder="1" applyAlignment="1" applyProtection="1">
      <alignment horizontal="center"/>
    </xf>
    <xf numFmtId="180" fontId="58" fillId="10" borderId="54" xfId="9" applyNumberFormat="1" applyFill="1" applyBorder="1" applyProtection="1">
      <protection locked="0"/>
    </xf>
    <xf numFmtId="0" fontId="58" fillId="12" borderId="53" xfId="9" applyFill="1" applyBorder="1" applyAlignment="1" applyProtection="1">
      <protection hidden="1"/>
    </xf>
    <xf numFmtId="0" fontId="25" fillId="10" borderId="49" xfId="9" applyNumberFormat="1" applyFont="1" applyFill="1" applyBorder="1" applyAlignment="1" applyProtection="1">
      <alignment horizontal="center"/>
      <protection locked="0"/>
    </xf>
    <xf numFmtId="0" fontId="58" fillId="12" borderId="0" xfId="9" applyFill="1" applyBorder="1" applyAlignment="1" applyProtection="1">
      <alignment horizontal="right"/>
      <protection hidden="1"/>
    </xf>
    <xf numFmtId="0" fontId="58" fillId="8" borderId="14" xfId="9" applyFill="1" applyBorder="1" applyProtection="1">
      <protection locked="0"/>
    </xf>
    <xf numFmtId="0" fontId="58" fillId="0" borderId="0" xfId="9" applyFill="1" applyBorder="1" applyAlignment="1" applyProtection="1">
      <alignment horizontal="left"/>
    </xf>
    <xf numFmtId="0" fontId="58" fillId="0" borderId="0" xfId="9" applyFill="1" applyBorder="1" applyAlignment="1" applyProtection="1">
      <alignment horizontal="center"/>
    </xf>
    <xf numFmtId="14" fontId="58" fillId="12" borderId="50" xfId="9" applyNumberFormat="1" applyFill="1" applyBorder="1" applyProtection="1">
      <protection hidden="1"/>
    </xf>
    <xf numFmtId="4" fontId="58" fillId="10" borderId="51" xfId="9" applyNumberFormat="1" applyFill="1" applyBorder="1" applyProtection="1">
      <protection locked="0"/>
    </xf>
    <xf numFmtId="0" fontId="40" fillId="12" borderId="46" xfId="9" applyFont="1" applyFill="1" applyBorder="1" applyAlignment="1" applyProtection="1">
      <protection hidden="1"/>
    </xf>
    <xf numFmtId="0" fontId="40" fillId="12" borderId="45" xfId="9" applyFont="1" applyFill="1" applyBorder="1" applyAlignment="1" applyProtection="1">
      <protection hidden="1"/>
    </xf>
    <xf numFmtId="4" fontId="58" fillId="12" borderId="45" xfId="9" applyNumberFormat="1" applyFill="1" applyBorder="1" applyProtection="1">
      <protection hidden="1"/>
    </xf>
    <xf numFmtId="4" fontId="58" fillId="9" borderId="45" xfId="9" applyNumberFormat="1" applyFill="1" applyBorder="1" applyProtection="1">
      <protection hidden="1"/>
    </xf>
    <xf numFmtId="0" fontId="25" fillId="0" borderId="0" xfId="9" applyFont="1" applyProtection="1">
      <protection locked="0"/>
    </xf>
    <xf numFmtId="0" fontId="25" fillId="8" borderId="13" xfId="9" applyFont="1" applyFill="1" applyBorder="1" applyProtection="1">
      <protection locked="0"/>
    </xf>
    <xf numFmtId="1" fontId="25" fillId="10" borderId="49" xfId="9" applyNumberFormat="1" applyFont="1" applyFill="1" applyBorder="1" applyAlignment="1" applyProtection="1">
      <alignment horizontal="center"/>
      <protection locked="0"/>
    </xf>
    <xf numFmtId="0" fontId="34" fillId="0" borderId="0" xfId="9" applyFont="1" applyFill="1" applyProtection="1">
      <protection locked="0"/>
    </xf>
    <xf numFmtId="4" fontId="34" fillId="0" borderId="0" xfId="9" applyNumberFormat="1" applyFont="1" applyFill="1" applyProtection="1">
      <protection locked="0"/>
    </xf>
    <xf numFmtId="0" fontId="37" fillId="0" borderId="0" xfId="9" applyFont="1" applyFill="1" applyProtection="1">
      <protection locked="0"/>
    </xf>
    <xf numFmtId="183" fontId="38" fillId="0" borderId="0" xfId="9" applyNumberFormat="1" applyFont="1" applyProtection="1">
      <protection locked="0"/>
    </xf>
    <xf numFmtId="0" fontId="38" fillId="0" borderId="0" xfId="9" applyNumberFormat="1" applyFont="1" applyProtection="1">
      <protection hidden="1"/>
    </xf>
    <xf numFmtId="180" fontId="39" fillId="9" borderId="44" xfId="9" applyNumberFormat="1" applyFont="1" applyFill="1" applyBorder="1" applyProtection="1">
      <protection hidden="1"/>
    </xf>
    <xf numFmtId="0" fontId="39" fillId="9" borderId="44" xfId="9" applyFont="1" applyFill="1" applyBorder="1" applyAlignment="1" applyProtection="1">
      <protection hidden="1"/>
    </xf>
    <xf numFmtId="0" fontId="23" fillId="12" borderId="0" xfId="9" applyFont="1" applyFill="1" applyBorder="1" applyProtection="1">
      <protection hidden="1"/>
    </xf>
    <xf numFmtId="0" fontId="23" fillId="12" borderId="50" xfId="9" applyFont="1" applyFill="1" applyBorder="1" applyProtection="1">
      <protection hidden="1"/>
    </xf>
    <xf numFmtId="183" fontId="41" fillId="0" borderId="0" xfId="9" applyNumberFormat="1" applyFont="1" applyProtection="1">
      <protection locked="0"/>
    </xf>
    <xf numFmtId="180" fontId="25" fillId="10" borderId="49" xfId="9" applyNumberFormat="1" applyFont="1" applyFill="1" applyBorder="1" applyProtection="1">
      <protection locked="0"/>
    </xf>
    <xf numFmtId="4" fontId="38" fillId="0" borderId="0" xfId="9" applyNumberFormat="1" applyFont="1" applyProtection="1">
      <protection hidden="1"/>
    </xf>
    <xf numFmtId="14" fontId="23" fillId="10" borderId="49" xfId="9" applyNumberFormat="1" applyFont="1" applyFill="1" applyBorder="1" applyAlignment="1" applyProtection="1">
      <alignment horizontal="center"/>
      <protection locked="0"/>
    </xf>
    <xf numFmtId="14" fontId="38" fillId="0" borderId="0" xfId="9" applyNumberFormat="1" applyFont="1" applyProtection="1">
      <protection hidden="1"/>
    </xf>
    <xf numFmtId="0" fontId="23" fillId="12" borderId="56" xfId="9" applyFont="1" applyFill="1" applyBorder="1" applyProtection="1">
      <protection hidden="1"/>
    </xf>
    <xf numFmtId="4" fontId="38" fillId="0" borderId="0" xfId="9" applyNumberFormat="1" applyFont="1" applyProtection="1">
      <protection locked="0"/>
    </xf>
    <xf numFmtId="0" fontId="23" fillId="0" borderId="0" xfId="9" applyFont="1" applyFill="1" applyBorder="1" applyProtection="1">
      <protection locked="0"/>
    </xf>
    <xf numFmtId="4" fontId="23" fillId="0" borderId="0" xfId="9" applyNumberFormat="1" applyFont="1" applyFill="1" applyBorder="1" applyProtection="1">
      <protection locked="0"/>
    </xf>
    <xf numFmtId="0" fontId="23" fillId="0" borderId="0" xfId="9" applyFont="1" applyFill="1" applyBorder="1" applyAlignment="1" applyProtection="1">
      <alignment horizontal="right"/>
      <protection locked="0"/>
    </xf>
    <xf numFmtId="4" fontId="39" fillId="9" borderId="58" xfId="9" applyNumberFormat="1" applyFont="1" applyFill="1" applyBorder="1" applyAlignment="1" applyProtection="1">
      <alignment wrapText="1"/>
    </xf>
    <xf numFmtId="0" fontId="23" fillId="0" borderId="0" xfId="9" applyFont="1" applyFill="1" applyProtection="1">
      <protection locked="0"/>
    </xf>
    <xf numFmtId="0" fontId="39" fillId="9" borderId="58" xfId="9" applyFont="1" applyFill="1" applyBorder="1" applyAlignment="1" applyProtection="1">
      <alignment horizontal="center"/>
    </xf>
    <xf numFmtId="14" fontId="39" fillId="9" borderId="48" xfId="9" applyNumberFormat="1" applyFont="1" applyFill="1" applyBorder="1" applyAlignment="1" applyProtection="1">
      <alignment horizontal="right"/>
    </xf>
    <xf numFmtId="0" fontId="44" fillId="12" borderId="47" xfId="9" applyFont="1" applyFill="1" applyBorder="1" applyAlignment="1" applyProtection="1">
      <alignment horizontal="right"/>
    </xf>
    <xf numFmtId="0" fontId="44" fillId="12" borderId="50" xfId="9" applyFont="1" applyFill="1" applyBorder="1" applyAlignment="1" applyProtection="1">
      <alignment horizontal="right"/>
    </xf>
    <xf numFmtId="0" fontId="34" fillId="12" borderId="55" xfId="9" applyFont="1" applyFill="1" applyBorder="1" applyAlignment="1" applyProtection="1">
      <alignment horizontal="center"/>
    </xf>
    <xf numFmtId="187" fontId="41" fillId="0" borderId="47" xfId="9" applyNumberFormat="1" applyFont="1" applyBorder="1" applyProtection="1"/>
    <xf numFmtId="4" fontId="41" fillId="0" borderId="50" xfId="9" applyNumberFormat="1" applyFont="1" applyBorder="1" applyProtection="1"/>
    <xf numFmtId="0" fontId="34" fillId="12" borderId="90" xfId="9" applyFont="1" applyFill="1" applyBorder="1" applyAlignment="1" applyProtection="1">
      <alignment horizontal="center"/>
    </xf>
    <xf numFmtId="0" fontId="34" fillId="12" borderId="96" xfId="9" applyFont="1" applyFill="1" applyBorder="1" applyAlignment="1" applyProtection="1">
      <alignment horizontal="center"/>
    </xf>
    <xf numFmtId="0" fontId="23" fillId="0" borderId="0" xfId="9" applyFont="1" applyProtection="1">
      <protection locked="0"/>
    </xf>
    <xf numFmtId="168" fontId="47" fillId="2" borderId="11" xfId="0" applyNumberFormat="1" applyFont="1" applyFill="1" applyBorder="1" applyAlignment="1" applyProtection="1">
      <alignment horizontal="center" vertical="center"/>
    </xf>
    <xf numFmtId="181" fontId="49" fillId="2" borderId="0" xfId="0" applyNumberFormat="1" applyFont="1" applyFill="1" applyBorder="1" applyAlignment="1" applyProtection="1">
      <alignment horizontal="center" vertical="center"/>
    </xf>
    <xf numFmtId="181" fontId="2" fillId="2" borderId="0" xfId="0" applyNumberFormat="1" applyFont="1" applyFill="1" applyBorder="1" applyAlignment="1" applyProtection="1">
      <alignment vertical="center"/>
    </xf>
    <xf numFmtId="168" fontId="47" fillId="2" borderId="12" xfId="0" applyNumberFormat="1" applyFont="1" applyFill="1" applyBorder="1" applyAlignment="1" applyProtection="1">
      <alignment horizontal="center" vertical="center"/>
    </xf>
    <xf numFmtId="3" fontId="47" fillId="2" borderId="37" xfId="0" applyNumberFormat="1" applyFont="1" applyFill="1" applyBorder="1" applyAlignment="1" applyProtection="1">
      <alignment horizontal="center" vertical="center"/>
    </xf>
    <xf numFmtId="3" fontId="47" fillId="2" borderId="102" xfId="0" applyNumberFormat="1" applyFont="1" applyFill="1" applyBorder="1" applyAlignment="1" applyProtection="1">
      <alignment horizontal="center" vertical="center"/>
    </xf>
    <xf numFmtId="10" fontId="53" fillId="2" borderId="103" xfId="3" applyNumberFormat="1" applyFont="1" applyFill="1" applyBorder="1" applyAlignment="1" applyProtection="1">
      <alignment horizontal="center" vertical="center"/>
    </xf>
    <xf numFmtId="9" fontId="53" fillId="2" borderId="104" xfId="3" applyFont="1" applyFill="1" applyBorder="1" applyAlignment="1" applyProtection="1">
      <alignment horizontal="center" vertical="center"/>
    </xf>
    <xf numFmtId="176" fontId="50" fillId="0" borderId="2" xfId="0" applyNumberFormat="1" applyFont="1" applyFill="1" applyBorder="1" applyAlignment="1" applyProtection="1">
      <alignment horizontal="center" vertical="center"/>
    </xf>
    <xf numFmtId="10" fontId="49" fillId="2" borderId="1" xfId="0" applyNumberFormat="1" applyFont="1" applyFill="1" applyBorder="1" applyAlignment="1" applyProtection="1">
      <alignment horizontal="center" vertical="center"/>
    </xf>
    <xf numFmtId="10" fontId="49" fillId="2" borderId="2" xfId="0" applyNumberFormat="1" applyFont="1" applyFill="1" applyBorder="1" applyAlignment="1" applyProtection="1">
      <alignment horizontal="center" vertical="center"/>
    </xf>
    <xf numFmtId="176" fontId="50" fillId="0" borderId="3" xfId="0" applyNumberFormat="1" applyFont="1" applyFill="1" applyBorder="1" applyAlignment="1" applyProtection="1">
      <alignment horizontal="center" vertical="center"/>
    </xf>
    <xf numFmtId="168" fontId="52" fillId="2" borderId="21" xfId="2" applyNumberFormat="1" applyFont="1" applyFill="1" applyBorder="1" applyAlignment="1" applyProtection="1">
      <alignment horizontal="center" vertical="center"/>
    </xf>
    <xf numFmtId="168" fontId="52" fillId="2" borderId="11" xfId="2" applyNumberFormat="1" applyFont="1" applyFill="1" applyBorder="1" applyAlignment="1" applyProtection="1">
      <alignment horizontal="center" vertical="center"/>
    </xf>
    <xf numFmtId="168" fontId="52" fillId="2" borderId="12" xfId="2" applyNumberFormat="1" applyFont="1" applyFill="1" applyBorder="1" applyAlignment="1" applyProtection="1">
      <alignment horizontal="center" vertical="center"/>
    </xf>
    <xf numFmtId="9" fontId="53" fillId="2" borderId="105" xfId="3" applyFont="1" applyFill="1" applyBorder="1" applyAlignment="1" applyProtection="1">
      <alignment horizontal="center" vertical="center"/>
    </xf>
    <xf numFmtId="10" fontId="53" fillId="2" borderId="106" xfId="3" applyNumberFormat="1" applyFont="1" applyFill="1" applyBorder="1" applyAlignment="1" applyProtection="1">
      <alignment horizontal="center" vertical="center"/>
    </xf>
    <xf numFmtId="3" fontId="49" fillId="2" borderId="6" xfId="0" applyNumberFormat="1" applyFont="1" applyFill="1" applyBorder="1" applyAlignment="1" applyProtection="1">
      <alignment horizontal="center" vertical="center"/>
    </xf>
    <xf numFmtId="3" fontId="49" fillId="2" borderId="7" xfId="0" applyNumberFormat="1" applyFont="1" applyFill="1" applyBorder="1" applyAlignment="1" applyProtection="1">
      <alignment horizontal="center" vertical="center"/>
    </xf>
    <xf numFmtId="3" fontId="50" fillId="2" borderId="7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vertical="center" wrapText="1"/>
    </xf>
    <xf numFmtId="0" fontId="10" fillId="2" borderId="0" xfId="0" applyFont="1" applyFill="1" applyBorder="1" applyAlignment="1" applyProtection="1">
      <alignment vertical="center"/>
    </xf>
    <xf numFmtId="181" fontId="49" fillId="2" borderId="16" xfId="0" applyNumberFormat="1" applyFont="1" applyFill="1" applyBorder="1" applyAlignment="1" applyProtection="1">
      <alignment horizontal="center" vertical="center"/>
    </xf>
    <xf numFmtId="168" fontId="51" fillId="2" borderId="107" xfId="2" applyNumberFormat="1" applyFont="1" applyFill="1" applyBorder="1" applyAlignment="1" applyProtection="1">
      <alignment horizontal="center" vertical="center"/>
    </xf>
    <xf numFmtId="3" fontId="47" fillId="2" borderId="108" xfId="0" applyNumberFormat="1" applyFont="1" applyFill="1" applyBorder="1" applyAlignment="1" applyProtection="1">
      <alignment horizontal="center" vertical="center"/>
    </xf>
    <xf numFmtId="49" fontId="4" fillId="2" borderId="109" xfId="0" applyNumberFormat="1" applyFont="1" applyFill="1" applyBorder="1" applyAlignment="1" applyProtection="1">
      <alignment vertical="center"/>
    </xf>
    <xf numFmtId="175" fontId="4" fillId="2" borderId="110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 wrapText="1"/>
    </xf>
    <xf numFmtId="0" fontId="12" fillId="2" borderId="4" xfId="0" applyFont="1" applyFill="1" applyBorder="1" applyAlignment="1" applyProtection="1">
      <alignment vertical="center"/>
    </xf>
    <xf numFmtId="0" fontId="17" fillId="7" borderId="10" xfId="0" applyFont="1" applyFill="1" applyBorder="1" applyAlignment="1" applyProtection="1">
      <alignment vertical="center"/>
    </xf>
    <xf numFmtId="10" fontId="53" fillId="2" borderId="5" xfId="3" applyNumberFormat="1" applyFont="1" applyFill="1" applyBorder="1" applyAlignment="1" applyProtection="1">
      <alignment horizontal="center" vertical="center"/>
    </xf>
    <xf numFmtId="10" fontId="6" fillId="15" borderId="3" xfId="3" applyNumberFormat="1" applyFont="1" applyFill="1" applyBorder="1" applyAlignment="1" applyProtection="1">
      <alignment vertical="center"/>
    </xf>
    <xf numFmtId="10" fontId="6" fillId="15" borderId="5" xfId="3" applyNumberFormat="1" applyFont="1" applyFill="1" applyBorder="1" applyAlignment="1" applyProtection="1">
      <alignment horizontal="center" vertical="center"/>
    </xf>
    <xf numFmtId="10" fontId="6" fillId="15" borderId="5" xfId="3" applyNumberFormat="1" applyFont="1" applyFill="1" applyBorder="1" applyAlignment="1" applyProtection="1">
      <alignment vertical="center"/>
    </xf>
    <xf numFmtId="10" fontId="2" fillId="15" borderId="5" xfId="3" applyNumberFormat="1" applyFont="1" applyFill="1" applyBorder="1" applyAlignment="1" applyProtection="1">
      <alignment vertical="center"/>
    </xf>
    <xf numFmtId="181" fontId="6" fillId="15" borderId="5" xfId="3" applyNumberFormat="1" applyFont="1" applyFill="1" applyBorder="1" applyAlignment="1" applyProtection="1">
      <alignment vertical="center"/>
    </xf>
    <xf numFmtId="10" fontId="6" fillId="15" borderId="5" xfId="3" applyNumberFormat="1" applyFont="1" applyFill="1" applyBorder="1" applyAlignment="1" applyProtection="1">
      <alignment horizontal="center" vertical="top"/>
    </xf>
    <xf numFmtId="0" fontId="6" fillId="15" borderId="5" xfId="0" applyFont="1" applyFill="1" applyBorder="1" applyAlignment="1" applyProtection="1">
      <alignment vertical="center"/>
    </xf>
    <xf numFmtId="0" fontId="6" fillId="15" borderId="8" xfId="0" applyFont="1" applyFill="1" applyBorder="1" applyAlignment="1" applyProtection="1">
      <alignment vertical="center"/>
    </xf>
    <xf numFmtId="1" fontId="19" fillId="2" borderId="20" xfId="0" applyNumberFormat="1" applyFont="1" applyFill="1" applyBorder="1" applyAlignment="1" applyProtection="1">
      <alignment vertical="center"/>
    </xf>
    <xf numFmtId="1" fontId="19" fillId="2" borderId="19" xfId="0" applyNumberFormat="1" applyFont="1" applyFill="1" applyBorder="1" applyAlignment="1" applyProtection="1">
      <alignment vertical="center"/>
    </xf>
    <xf numFmtId="1" fontId="13" fillId="2" borderId="20" xfId="0" applyNumberFormat="1" applyFont="1" applyFill="1" applyBorder="1" applyAlignment="1" applyProtection="1">
      <alignment vertical="center"/>
    </xf>
    <xf numFmtId="181" fontId="13" fillId="2" borderId="20" xfId="0" applyNumberFormat="1" applyFont="1" applyFill="1" applyBorder="1" applyAlignment="1" applyProtection="1">
      <alignment vertical="center"/>
    </xf>
    <xf numFmtId="1" fontId="13" fillId="2" borderId="19" xfId="0" applyNumberFormat="1" applyFont="1" applyFill="1" applyBorder="1" applyAlignment="1" applyProtection="1">
      <alignment vertical="center"/>
    </xf>
    <xf numFmtId="181" fontId="12" fillId="0" borderId="40" xfId="0" applyNumberFormat="1" applyFont="1" applyFill="1" applyBorder="1" applyAlignment="1">
      <alignment vertical="center"/>
    </xf>
    <xf numFmtId="181" fontId="12" fillId="0" borderId="4" xfId="0" applyNumberFormat="1" applyFont="1" applyFill="1" applyBorder="1" applyAlignment="1">
      <alignment vertical="center"/>
    </xf>
    <xf numFmtId="168" fontId="51" fillId="16" borderId="100" xfId="2" applyNumberFormat="1" applyFont="1" applyFill="1" applyBorder="1" applyAlignment="1" applyProtection="1">
      <alignment horizontal="center" vertical="center"/>
    </xf>
    <xf numFmtId="168" fontId="51" fillId="16" borderId="13" xfId="2" applyNumberFormat="1" applyFont="1" applyFill="1" applyBorder="1" applyAlignment="1" applyProtection="1">
      <alignment horizontal="center" vertical="center"/>
    </xf>
    <xf numFmtId="168" fontId="51" fillId="16" borderId="101" xfId="2" applyNumberFormat="1" applyFont="1" applyFill="1" applyBorder="1" applyAlignment="1" applyProtection="1">
      <alignment horizontal="center" vertical="center"/>
    </xf>
    <xf numFmtId="181" fontId="51" fillId="16" borderId="32" xfId="0" applyNumberFormat="1" applyFont="1" applyFill="1" applyBorder="1" applyAlignment="1" applyProtection="1">
      <alignment horizontal="center" vertical="center"/>
    </xf>
    <xf numFmtId="181" fontId="51" fillId="16" borderId="29" xfId="0" applyNumberFormat="1" applyFont="1" applyFill="1" applyBorder="1" applyAlignment="1" applyProtection="1">
      <alignment horizontal="center" vertical="center"/>
    </xf>
    <xf numFmtId="181" fontId="51" fillId="16" borderId="39" xfId="0" applyNumberFormat="1" applyFont="1" applyFill="1" applyBorder="1" applyAlignment="1" applyProtection="1">
      <alignment horizontal="center" vertical="center"/>
    </xf>
    <xf numFmtId="168" fontId="51" fillId="7" borderId="10" xfId="0" applyNumberFormat="1" applyFont="1" applyFill="1" applyBorder="1" applyAlignment="1" applyProtection="1">
      <alignment vertical="center"/>
    </xf>
    <xf numFmtId="168" fontId="51" fillId="7" borderId="11" xfId="0" applyNumberFormat="1" applyFont="1" applyFill="1" applyBorder="1" applyAlignment="1" applyProtection="1">
      <alignment horizontal="center" vertical="center"/>
    </xf>
    <xf numFmtId="168" fontId="51" fillId="7" borderId="12" xfId="0" applyNumberFormat="1" applyFont="1" applyFill="1" applyBorder="1" applyAlignment="1" applyProtection="1">
      <alignment horizontal="center" vertical="center"/>
    </xf>
    <xf numFmtId="0" fontId="61" fillId="3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top"/>
    </xf>
    <xf numFmtId="168" fontId="6" fillId="0" borderId="0" xfId="2" applyNumberFormat="1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173" fontId="56" fillId="2" borderId="0" xfId="3" applyNumberFormat="1" applyFont="1" applyFill="1" applyBorder="1" applyAlignment="1" applyProtection="1">
      <alignment horizontal="center" vertical="center"/>
    </xf>
    <xf numFmtId="173" fontId="56" fillId="2" borderId="2" xfId="3" applyNumberFormat="1" applyFont="1" applyFill="1" applyBorder="1" applyAlignment="1" applyProtection="1">
      <alignment horizontal="center" vertical="center"/>
    </xf>
    <xf numFmtId="173" fontId="56" fillId="2" borderId="2" xfId="0" applyNumberFormat="1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vertical="center"/>
    </xf>
    <xf numFmtId="0" fontId="4" fillId="2" borderId="11" xfId="0" applyFont="1" applyFill="1" applyBorder="1" applyAlignment="1" applyProtection="1">
      <alignment horizontal="center" vertical="center"/>
    </xf>
    <xf numFmtId="166" fontId="5" fillId="2" borderId="3" xfId="0" applyNumberFormat="1" applyFont="1" applyFill="1" applyBorder="1" applyAlignment="1" applyProtection="1">
      <alignment horizontal="center" vertical="center"/>
    </xf>
    <xf numFmtId="166" fontId="5" fillId="2" borderId="5" xfId="0" applyNumberFormat="1" applyFont="1" applyFill="1" applyBorder="1" applyAlignment="1" applyProtection="1">
      <alignment horizontal="center" vertical="center"/>
    </xf>
    <xf numFmtId="166" fontId="2" fillId="2" borderId="5" xfId="0" applyNumberFormat="1" applyFont="1" applyFill="1" applyBorder="1" applyAlignment="1" applyProtection="1">
      <alignment horizontal="center" vertical="center"/>
    </xf>
    <xf numFmtId="170" fontId="5" fillId="2" borderId="5" xfId="0" applyNumberFormat="1" applyFont="1" applyFill="1" applyBorder="1" applyAlignment="1" applyProtection="1">
      <alignment horizontal="center" vertical="center"/>
    </xf>
    <xf numFmtId="166" fontId="8" fillId="2" borderId="5" xfId="0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165" fontId="2" fillId="2" borderId="4" xfId="0" applyNumberFormat="1" applyFont="1" applyFill="1" applyBorder="1" applyAlignment="1" applyProtection="1">
      <alignment horizontal="center" vertical="center"/>
    </xf>
    <xf numFmtId="169" fontId="2" fillId="2" borderId="4" xfId="0" applyNumberFormat="1" applyFont="1" applyFill="1" applyBorder="1" applyAlignment="1" applyProtection="1">
      <alignment horizontal="center" vertical="center"/>
    </xf>
    <xf numFmtId="165" fontId="9" fillId="2" borderId="4" xfId="0" applyNumberFormat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 vertical="top"/>
    </xf>
    <xf numFmtId="167" fontId="2" fillId="2" borderId="33" xfId="0" applyNumberFormat="1" applyFont="1" applyFill="1" applyBorder="1" applyAlignment="1" applyProtection="1">
      <alignment horizontal="center" vertical="center"/>
    </xf>
    <xf numFmtId="166" fontId="5" fillId="2" borderId="20" xfId="0" applyNumberFormat="1" applyFont="1" applyFill="1" applyBorder="1" applyAlignment="1" applyProtection="1">
      <alignment horizontal="center" vertical="center"/>
    </xf>
    <xf numFmtId="166" fontId="2" fillId="2" borderId="20" xfId="0" applyNumberFormat="1" applyFont="1" applyFill="1" applyBorder="1" applyAlignment="1" applyProtection="1">
      <alignment horizontal="center" vertical="center"/>
    </xf>
    <xf numFmtId="167" fontId="8" fillId="2" borderId="20" xfId="0" applyNumberFormat="1" applyFont="1" applyFill="1" applyBorder="1" applyAlignment="1" applyProtection="1">
      <alignment horizontal="center" vertical="center"/>
    </xf>
    <xf numFmtId="170" fontId="2" fillId="2" borderId="34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10" fontId="8" fillId="2" borderId="0" xfId="3" applyNumberFormat="1" applyFont="1" applyFill="1" applyBorder="1" applyAlignment="1" applyProtection="1">
      <alignment horizontal="center" vertical="center"/>
    </xf>
    <xf numFmtId="9" fontId="2" fillId="2" borderId="0" xfId="3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2" fillId="3" borderId="4" xfId="0" applyFont="1" applyFill="1" applyBorder="1" applyAlignment="1" applyProtection="1">
      <alignment vertical="center"/>
    </xf>
    <xf numFmtId="1" fontId="20" fillId="4" borderId="0" xfId="0" applyNumberFormat="1" applyFont="1" applyFill="1" applyBorder="1" applyAlignment="1">
      <alignment horizontal="center" vertical="center"/>
    </xf>
    <xf numFmtId="173" fontId="61" fillId="2" borderId="0" xfId="3" applyNumberFormat="1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left" vertical="center"/>
    </xf>
    <xf numFmtId="9" fontId="2" fillId="2" borderId="7" xfId="0" applyNumberFormat="1" applyFont="1" applyFill="1" applyBorder="1" applyAlignment="1" applyProtection="1">
      <alignment horizontal="center" vertical="center"/>
    </xf>
    <xf numFmtId="168" fontId="2" fillId="2" borderId="7" xfId="0" applyNumberFormat="1" applyFont="1" applyFill="1" applyBorder="1" applyAlignment="1" applyProtection="1">
      <alignment horizontal="center" vertical="center"/>
    </xf>
    <xf numFmtId="0" fontId="61" fillId="3" borderId="7" xfId="0" applyFont="1" applyFill="1" applyBorder="1" applyAlignment="1" applyProtection="1">
      <alignment horizontal="center" vertical="center"/>
    </xf>
    <xf numFmtId="168" fontId="52" fillId="2" borderId="19" xfId="0" applyNumberFormat="1" applyFont="1" applyFill="1" applyBorder="1" applyAlignment="1" applyProtection="1">
      <alignment horizontal="center" vertical="center"/>
    </xf>
    <xf numFmtId="10" fontId="47" fillId="2" borderId="3" xfId="0" applyNumberFormat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left" vertical="center"/>
    </xf>
    <xf numFmtId="0" fontId="0" fillId="2" borderId="2" xfId="0" applyFill="1" applyBorder="1" applyAlignment="1" applyProtection="1">
      <alignment horizontal="left" vertical="center"/>
    </xf>
    <xf numFmtId="0" fontId="0" fillId="2" borderId="3" xfId="0" applyFill="1" applyBorder="1" applyAlignment="1" applyProtection="1">
      <alignment horizontal="left" vertical="center"/>
    </xf>
    <xf numFmtId="0" fontId="4" fillId="2" borderId="4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5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/>
    </xf>
    <xf numFmtId="0" fontId="2" fillId="2" borderId="7" xfId="0" applyFont="1" applyFill="1" applyBorder="1" applyAlignment="1" applyProtection="1">
      <alignment horizontal="center" vertical="top"/>
    </xf>
    <xf numFmtId="0" fontId="44" fillId="12" borderId="45" xfId="9" applyFont="1" applyFill="1" applyBorder="1" applyAlignment="1" applyProtection="1">
      <alignment horizontal="right" wrapText="1"/>
    </xf>
    <xf numFmtId="0" fontId="44" fillId="12" borderId="0" xfId="9" applyFont="1" applyFill="1" applyBorder="1" applyAlignment="1" applyProtection="1">
      <alignment horizontal="right" wrapText="1"/>
    </xf>
    <xf numFmtId="0" fontId="44" fillId="12" borderId="53" xfId="9" applyFont="1" applyFill="1" applyBorder="1" applyAlignment="1" applyProtection="1">
      <alignment horizontal="right" wrapText="1"/>
    </xf>
    <xf numFmtId="0" fontId="23" fillId="12" borderId="47" xfId="9" applyFont="1" applyFill="1" applyBorder="1" applyAlignment="1" applyProtection="1">
      <alignment horizontal="right" wrapText="1"/>
      <protection hidden="1"/>
    </xf>
    <xf numFmtId="0" fontId="23" fillId="12" borderId="0" xfId="9" applyFont="1" applyFill="1" applyBorder="1" applyAlignment="1" applyProtection="1">
      <alignment horizontal="right" wrapText="1"/>
      <protection hidden="1"/>
    </xf>
    <xf numFmtId="0" fontId="25" fillId="12" borderId="52" xfId="9" applyFont="1" applyFill="1" applyBorder="1" applyAlignment="1" applyProtection="1">
      <alignment horizontal="right"/>
      <protection hidden="1"/>
    </xf>
    <xf numFmtId="0" fontId="25" fillId="12" borderId="53" xfId="9" applyFont="1" applyFill="1" applyBorder="1" applyAlignment="1" applyProtection="1">
      <alignment horizontal="right"/>
      <protection hidden="1"/>
    </xf>
    <xf numFmtId="4" fontId="40" fillId="9" borderId="48" xfId="9" applyNumberFormat="1" applyFont="1" applyFill="1" applyBorder="1" applyAlignment="1" applyProtection="1">
      <alignment horizontal="center" wrapText="1"/>
    </xf>
    <xf numFmtId="180" fontId="40" fillId="9" borderId="58" xfId="9" applyNumberFormat="1" applyFont="1" applyFill="1" applyBorder="1" applyAlignment="1" applyProtection="1">
      <alignment horizontal="left"/>
    </xf>
    <xf numFmtId="180" fontId="40" fillId="9" borderId="48" xfId="9" applyNumberFormat="1" applyFont="1" applyFill="1" applyBorder="1" applyAlignment="1" applyProtection="1">
      <alignment horizontal="left"/>
    </xf>
    <xf numFmtId="180" fontId="40" fillId="9" borderId="59" xfId="9" applyNumberFormat="1" applyFont="1" applyFill="1" applyBorder="1" applyAlignment="1" applyProtection="1">
      <alignment horizontal="left"/>
    </xf>
    <xf numFmtId="183" fontId="43" fillId="9" borderId="58" xfId="9" applyNumberFormat="1" applyFont="1" applyFill="1" applyBorder="1" applyAlignment="1" applyProtection="1">
      <alignment horizontal="center" wrapText="1"/>
    </xf>
    <xf numFmtId="183" fontId="43" fillId="9" borderId="59" xfId="9" applyNumberFormat="1" applyFont="1" applyFill="1" applyBorder="1" applyAlignment="1" applyProtection="1">
      <alignment horizontal="center" wrapText="1"/>
    </xf>
    <xf numFmtId="0" fontId="40" fillId="9" borderId="58" xfId="9" applyFont="1" applyFill="1" applyBorder="1" applyAlignment="1" applyProtection="1">
      <alignment horizontal="left"/>
    </xf>
    <xf numFmtId="0" fontId="40" fillId="9" borderId="48" xfId="9" applyFont="1" applyFill="1" applyBorder="1" applyAlignment="1" applyProtection="1">
      <alignment horizontal="left"/>
    </xf>
    <xf numFmtId="0" fontId="40" fillId="9" borderId="59" xfId="9" applyFont="1" applyFill="1" applyBorder="1" applyAlignment="1" applyProtection="1">
      <alignment horizontal="left"/>
    </xf>
    <xf numFmtId="180" fontId="44" fillId="12" borderId="66" xfId="9" applyNumberFormat="1" applyFont="1" applyFill="1" applyBorder="1" applyAlignment="1" applyProtection="1">
      <alignment horizontal="center" wrapText="1"/>
    </xf>
    <xf numFmtId="180" fontId="44" fillId="12" borderId="72" xfId="9" applyNumberFormat="1" applyFont="1" applyFill="1" applyBorder="1" applyAlignment="1" applyProtection="1">
      <alignment horizontal="center" wrapText="1"/>
    </xf>
    <xf numFmtId="4" fontId="44" fillId="12" borderId="67" xfId="9" applyNumberFormat="1" applyFont="1" applyFill="1" applyBorder="1" applyAlignment="1" applyProtection="1">
      <alignment horizontal="center" wrapText="1"/>
    </xf>
    <xf numFmtId="4" fontId="44" fillId="12" borderId="73" xfId="9" applyNumberFormat="1" applyFont="1" applyFill="1" applyBorder="1" applyAlignment="1" applyProtection="1">
      <alignment horizontal="center" wrapText="1"/>
    </xf>
    <xf numFmtId="0" fontId="44" fillId="12" borderId="67" xfId="9" applyFont="1" applyFill="1" applyBorder="1" applyAlignment="1" applyProtection="1">
      <alignment horizontal="center" wrapText="1"/>
    </xf>
    <xf numFmtId="0" fontId="44" fillId="12" borderId="73" xfId="9" applyFont="1" applyFill="1" applyBorder="1" applyAlignment="1" applyProtection="1">
      <alignment horizontal="center" wrapText="1"/>
    </xf>
    <xf numFmtId="4" fontId="44" fillId="12" borderId="68" xfId="9" applyNumberFormat="1" applyFont="1" applyFill="1" applyBorder="1" applyAlignment="1" applyProtection="1">
      <alignment horizontal="center" wrapText="1"/>
    </xf>
    <xf numFmtId="4" fontId="44" fillId="12" borderId="74" xfId="9" applyNumberFormat="1" applyFont="1" applyFill="1" applyBorder="1" applyAlignment="1" applyProtection="1">
      <alignment horizontal="center" wrapText="1"/>
    </xf>
    <xf numFmtId="0" fontId="44" fillId="12" borderId="45" xfId="9" applyFont="1" applyFill="1" applyBorder="1" applyAlignment="1" applyProtection="1">
      <alignment horizontal="center" wrapText="1"/>
    </xf>
    <xf numFmtId="0" fontId="44" fillId="12" borderId="0" xfId="9" applyFont="1" applyFill="1" applyBorder="1" applyAlignment="1" applyProtection="1">
      <alignment horizontal="center" wrapText="1"/>
    </xf>
    <xf numFmtId="0" fontId="44" fillId="12" borderId="53" xfId="9" applyFont="1" applyFill="1" applyBorder="1" applyAlignment="1" applyProtection="1">
      <alignment horizontal="center" wrapText="1"/>
    </xf>
    <xf numFmtId="0" fontId="44" fillId="12" borderId="0" xfId="9" applyFont="1" applyFill="1" applyBorder="1" applyAlignment="1" applyProtection="1">
      <alignment horizontal="right"/>
    </xf>
    <xf numFmtId="0" fontId="44" fillId="12" borderId="53" xfId="9" applyFont="1" applyFill="1" applyBorder="1" applyAlignment="1" applyProtection="1">
      <alignment horizontal="right"/>
    </xf>
    <xf numFmtId="0" fontId="44" fillId="12" borderId="46" xfId="9" applyFont="1" applyFill="1" applyBorder="1" applyAlignment="1" applyProtection="1">
      <alignment horizontal="right" wrapText="1"/>
    </xf>
    <xf numFmtId="0" fontId="44" fillId="12" borderId="50" xfId="9" applyFont="1" applyFill="1" applyBorder="1" applyAlignment="1" applyProtection="1">
      <alignment horizontal="right"/>
    </xf>
    <xf numFmtId="0" fontId="44" fillId="12" borderId="56" xfId="9" applyFont="1" applyFill="1" applyBorder="1" applyAlignment="1" applyProtection="1">
      <alignment horizontal="right"/>
    </xf>
    <xf numFmtId="0" fontId="44" fillId="12" borderId="44" xfId="9" applyFont="1" applyFill="1" applyBorder="1" applyAlignment="1" applyProtection="1">
      <alignment horizontal="right" wrapText="1"/>
    </xf>
    <xf numFmtId="0" fontId="44" fillId="12" borderId="47" xfId="9" applyFont="1" applyFill="1" applyBorder="1" applyAlignment="1" applyProtection="1">
      <alignment horizontal="right"/>
    </xf>
    <xf numFmtId="0" fontId="44" fillId="12" borderId="52" xfId="9" applyFont="1" applyFill="1" applyBorder="1" applyAlignment="1" applyProtection="1">
      <alignment horizontal="right"/>
    </xf>
    <xf numFmtId="0" fontId="44" fillId="12" borderId="64" xfId="9" applyFont="1" applyFill="1" applyBorder="1" applyAlignment="1" applyProtection="1">
      <alignment horizontal="right" wrapText="1"/>
    </xf>
    <xf numFmtId="0" fontId="44" fillId="12" borderId="70" xfId="9" applyFont="1" applyFill="1" applyBorder="1" applyAlignment="1" applyProtection="1">
      <alignment horizontal="right" wrapText="1"/>
    </xf>
    <xf numFmtId="0" fontId="44" fillId="12" borderId="76" xfId="9" applyFont="1" applyFill="1" applyBorder="1" applyAlignment="1" applyProtection="1">
      <alignment horizontal="right" wrapText="1"/>
    </xf>
    <xf numFmtId="0" fontId="44" fillId="12" borderId="65" xfId="9" applyFont="1" applyFill="1" applyBorder="1" applyAlignment="1" applyProtection="1">
      <alignment horizontal="right" wrapText="1"/>
    </xf>
    <xf numFmtId="0" fontId="44" fillId="12" borderId="71" xfId="9" applyFont="1" applyFill="1" applyBorder="1" applyAlignment="1" applyProtection="1">
      <alignment horizontal="right" wrapText="1"/>
    </xf>
    <xf numFmtId="0" fontId="44" fillId="12" borderId="77" xfId="9" applyFont="1" applyFill="1" applyBorder="1" applyAlignment="1" applyProtection="1">
      <alignment horizontal="right" wrapText="1"/>
    </xf>
    <xf numFmtId="0" fontId="44" fillId="12" borderId="63" xfId="9" applyFont="1" applyFill="1" applyBorder="1" applyAlignment="1" applyProtection="1">
      <alignment horizontal="right" wrapText="1"/>
    </xf>
    <xf numFmtId="0" fontId="44" fillId="12" borderId="69" xfId="9" applyFont="1" applyFill="1" applyBorder="1" applyAlignment="1" applyProtection="1">
      <alignment horizontal="right" wrapText="1"/>
    </xf>
    <xf numFmtId="0" fontId="44" fillId="12" borderId="75" xfId="9" applyFont="1" applyFill="1" applyBorder="1" applyAlignment="1" applyProtection="1">
      <alignment horizontal="right" wrapText="1"/>
    </xf>
  </cellXfs>
  <cellStyles count="17">
    <cellStyle name="cBMilliers" xfId="8"/>
    <cellStyle name="cBMilliers-" xfId="6"/>
    <cellStyle name="cBMilliers 2" xfId="11"/>
    <cellStyle name="cBMilliers- 2" xfId="10"/>
    <cellStyle name="Lien hypertexte" xfId="5" builtinId="8"/>
    <cellStyle name="Milliers" xfId="1" builtinId="3"/>
    <cellStyle name="Milliers 2" xfId="12"/>
    <cellStyle name="Milliers 3" xfId="7"/>
    <cellStyle name="Milliers 4" xfId="15"/>
    <cellStyle name="Monétaire" xfId="2" builtinId="4"/>
    <cellStyle name="Monétaire 2" xfId="14"/>
    <cellStyle name="Monétaire 3" xfId="16"/>
    <cellStyle name="Normal" xfId="0" builtinId="0"/>
    <cellStyle name="Normal 2" xfId="4"/>
    <cellStyle name="Normal 3" xfId="9"/>
    <cellStyle name="Pourcentage" xfId="3" builtinId="5"/>
    <cellStyle name="Pourcentage 2" xfId="13"/>
  </cellStyles>
  <dxfs count="31"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56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W$2" fmlaRange="$W$3:$W$9" sel="4" val="0"/>
</file>

<file path=xl/ctrlProps/ctrlProp2.xml><?xml version="1.0" encoding="utf-8"?>
<formControlPr xmlns="http://schemas.microsoft.com/office/spreadsheetml/2009/9/main" objectType="Radio" firstButton="1" fmlaLink="$V$2" lockText="1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Radio" checked="Checked" firstButton="1" fmlaLink="$V$5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banque.com/?go=jxtamm30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6</xdr:row>
      <xdr:rowOff>85725</xdr:rowOff>
    </xdr:from>
    <xdr:to>
      <xdr:col>9</xdr:col>
      <xdr:colOff>352425</xdr:colOff>
      <xdr:row>7</xdr:row>
      <xdr:rowOff>133350</xdr:rowOff>
    </xdr:to>
    <xdr:sp macro="" textlink="">
      <xdr:nvSpPr>
        <xdr:cNvPr id="2" name="Text Box 4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352800" y="1057275"/>
          <a:ext cx="3857625" cy="209550"/>
        </a:xfrm>
        <a:prstGeom prst="rect">
          <a:avLst/>
        </a:prstGeom>
        <a:solidFill>
          <a:srgbClr val="FFFFFF">
            <a:alpha val="50000"/>
          </a:srgbClr>
        </a:solidFill>
        <a:ln w="19050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800000"/>
              </a:solidFill>
              <a:latin typeface="Arial"/>
              <a:cs typeface="Arial"/>
            </a:rPr>
            <a:t>JxTamm v3.0</a:t>
          </a:r>
          <a:r>
            <a:rPr lang="fr-FR" sz="1100" b="1" i="0" u="none" strike="noStrike" baseline="0">
              <a:solidFill>
                <a:srgbClr val="666699"/>
              </a:solidFill>
              <a:latin typeface="Arial"/>
              <a:cs typeface="Arial"/>
            </a:rPr>
            <a:t> </a:t>
          </a:r>
          <a:r>
            <a:rPr lang="fr-FR" sz="1000" b="1" i="0" u="sng" strike="noStrike" baseline="0">
              <a:solidFill>
                <a:srgbClr val="0000FF"/>
              </a:solidFill>
              <a:latin typeface="Arial"/>
              <a:cs typeface="Arial"/>
            </a:rPr>
            <a:t>www.cbanque.com</a:t>
          </a:r>
        </a:p>
      </xdr:txBody>
    </xdr:sp>
    <xdr:clientData/>
  </xdr:twoCellAnchor>
  <xdr:twoCellAnchor>
    <xdr:from>
      <xdr:col>7</xdr:col>
      <xdr:colOff>161925</xdr:colOff>
      <xdr:row>0</xdr:row>
      <xdr:rowOff>0</xdr:rowOff>
    </xdr:from>
    <xdr:to>
      <xdr:col>11</xdr:col>
      <xdr:colOff>257175</xdr:colOff>
      <xdr:row>0</xdr:row>
      <xdr:rowOff>152400</xdr:rowOff>
    </xdr:to>
    <xdr:sp macro="" textlink="">
      <xdr:nvSpPr>
        <xdr:cNvPr id="3" name="Text Box 204"/>
        <xdr:cNvSpPr txBox="1">
          <a:spLocks noChangeArrowheads="1"/>
        </xdr:cNvSpPr>
      </xdr:nvSpPr>
      <xdr:spPr bwMode="auto">
        <a:xfrm>
          <a:off x="5495925" y="0"/>
          <a:ext cx="31432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Version réservée à un usage privé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4</xdr:row>
          <xdr:rowOff>152400</xdr:rowOff>
        </xdr:from>
        <xdr:to>
          <xdr:col>9</xdr:col>
          <xdr:colOff>85725</xdr:colOff>
          <xdr:row>5</xdr:row>
          <xdr:rowOff>161925</xdr:rowOff>
        </xdr:to>
        <xdr:sp macro="" textlink="">
          <xdr:nvSpPr>
            <xdr:cNvPr id="16394" name="Drop Down 10" descr="Périodicité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28575</xdr:rowOff>
        </xdr:from>
        <xdr:to>
          <xdr:col>2</xdr:col>
          <xdr:colOff>628650</xdr:colOff>
          <xdr:row>6</xdr:row>
          <xdr:rowOff>57150</xdr:rowOff>
        </xdr:to>
        <xdr:sp macro="" textlink="">
          <xdr:nvSpPr>
            <xdr:cNvPr id="16395" name="Option 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actuariel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5</xdr:row>
          <xdr:rowOff>28575</xdr:rowOff>
        </xdr:from>
        <xdr:to>
          <xdr:col>3</xdr:col>
          <xdr:colOff>628650</xdr:colOff>
          <xdr:row>6</xdr:row>
          <xdr:rowOff>57150</xdr:rowOff>
        </xdr:to>
        <xdr:sp macro="" textlink="">
          <xdr:nvSpPr>
            <xdr:cNvPr id="16396" name="Option Butto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proportionnel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19050</xdr:rowOff>
        </xdr:from>
        <xdr:to>
          <xdr:col>3</xdr:col>
          <xdr:colOff>657225</xdr:colOff>
          <xdr:row>6</xdr:row>
          <xdr:rowOff>76200</xdr:rowOff>
        </xdr:to>
        <xdr:sp macro="" textlink="">
          <xdr:nvSpPr>
            <xdr:cNvPr id="16397" name="Group Box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4</xdr:row>
          <xdr:rowOff>47625</xdr:rowOff>
        </xdr:from>
        <xdr:to>
          <xdr:col>12</xdr:col>
          <xdr:colOff>247650</xdr:colOff>
          <xdr:row>5</xdr:row>
          <xdr:rowOff>76200</xdr:rowOff>
        </xdr:to>
        <xdr:sp macro="" textlink="">
          <xdr:nvSpPr>
            <xdr:cNvPr id="16398" name="Option 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4</xdr:row>
          <xdr:rowOff>47625</xdr:rowOff>
        </xdr:from>
        <xdr:to>
          <xdr:col>12</xdr:col>
          <xdr:colOff>685800</xdr:colOff>
          <xdr:row>5</xdr:row>
          <xdr:rowOff>76200</xdr:rowOff>
        </xdr:to>
        <xdr:sp macro="" textlink="">
          <xdr:nvSpPr>
            <xdr:cNvPr id="16399" name="Option 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total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485775</xdr:colOff>
          <xdr:row>4</xdr:row>
          <xdr:rowOff>28575</xdr:rowOff>
        </xdr:from>
        <xdr:to>
          <xdr:col>12</xdr:col>
          <xdr:colOff>714375</xdr:colOff>
          <xdr:row>5</xdr:row>
          <xdr:rowOff>85725</xdr:rowOff>
        </xdr:to>
        <xdr:sp macro="" textlink="">
          <xdr:nvSpPr>
            <xdr:cNvPr id="16400" name="Group Box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ual_al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ri.maguru/Desktop/Saint%20Martin%200606201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ri.maguru/Documents/Tapis%20rouge/Proto%20Amiri%20TAPIS%20ROUGE%20wework%2020%20ANS%202018_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al A"/>
      <sheetName val="Top Sheet"/>
      <sheetName val="Prelim Est"/>
      <sheetName val="AUM Detail"/>
      <sheetName val="Mapping table"/>
      <sheetName val="SAP Entry"/>
      <sheetName val="Waivers"/>
      <sheetName val="ExpRe"/>
      <sheetName val="Dual B"/>
      <sheetName val="Dual Y"/>
      <sheetName val="Dual C"/>
      <sheetName val="FSR Data"/>
      <sheetName val="AFS Data"/>
      <sheetName val="12b1"/>
      <sheetName val="Dual Closed"/>
      <sheetName val="Dual Pace"/>
      <sheetName val="Dual RMA"/>
      <sheetName val="Dual Series"/>
      <sheetName val="Dual Nonprop"/>
      <sheetName val="Offshore"/>
      <sheetName val="Breakdown"/>
      <sheetName val="Wavgbps"/>
      <sheetName val="Transfer"/>
      <sheetName val="transferinput"/>
      <sheetName val="Sub-advisSummary"/>
      <sheetName val="SubAdvis1"/>
      <sheetName val="UBS Fds"/>
      <sheetName val="Retail Est"/>
      <sheetName val="Out of Pocket"/>
      <sheetName val="Bills"/>
      <sheetName val="Gross BPs"/>
      <sheetName val="PACE ERISA"/>
      <sheetName val="DFP"/>
      <sheetName val="Dual D"/>
      <sheetName val="Brinson Fds"/>
      <sheetName val="Sub-Alliance"/>
      <sheetName val="SubAdvis2"/>
      <sheetName val="DSI Estimate"/>
      <sheetName val="CSC"/>
      <sheetName val="Monthly Cashflows"/>
      <sheetName val="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QUISITION FINANCEMENT"/>
      <sheetName val="LOCATION"/>
      <sheetName val="TRI  ans CB BEST CASE"/>
      <sheetName val="CB"/>
      <sheetName val="TAM"/>
      <sheetName val="TAM 5ans"/>
      <sheetName val="Etat surface - évaluation trvx"/>
    </sheetNames>
    <sheetDataSet>
      <sheetData sheetId="0"/>
      <sheetData sheetId="1"/>
      <sheetData sheetId="2"/>
      <sheetData sheetId="3"/>
      <sheetData sheetId="4">
        <row r="5">
          <cell r="D5" t="e">
            <v>#REF!</v>
          </cell>
        </row>
        <row r="6">
          <cell r="I6" t="e">
            <v>#REF!</v>
          </cell>
        </row>
        <row r="8">
          <cell r="I8" t="e">
            <v>#REF!</v>
          </cell>
        </row>
        <row r="10">
          <cell r="I10">
            <v>1</v>
          </cell>
        </row>
        <row r="11">
          <cell r="I11" t="e">
            <v>#REF!</v>
          </cell>
        </row>
        <row r="13">
          <cell r="I13">
            <v>0</v>
          </cell>
        </row>
      </sheetData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QUISITION FINANCEMENT"/>
      <sheetName val="BILAN"/>
      <sheetName val="LOCATION"/>
      <sheetName val="Etat surface - évaluation trvx"/>
      <sheetName val="TRI 5 ans Mono loc"/>
      <sheetName val="TRI 5 ans MULTI loc "/>
      <sheetName val="TRI 15 ans Mono loc "/>
      <sheetName val="TRI 15 ans Multi loc  "/>
      <sheetName val="TAM"/>
      <sheetName val="TAM 5ans"/>
      <sheetName val="Carried Interest"/>
    </sheetNames>
    <sheetDataSet>
      <sheetData sheetId="0"/>
      <sheetData sheetId="1"/>
      <sheetData sheetId="2"/>
      <sheetData sheetId="3"/>
      <sheetData sheetId="4">
        <row r="15">
          <cell r="D15">
            <v>2018</v>
          </cell>
          <cell r="E15">
            <v>2019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F5" sqref="F5"/>
    </sheetView>
  </sheetViews>
  <sheetFormatPr baseColWidth="10" defaultRowHeight="15" x14ac:dyDescent="0.25"/>
  <cols>
    <col min="1" max="1" width="34.5703125" customWidth="1"/>
    <col min="2" max="2" width="24.7109375" bestFit="1" customWidth="1"/>
    <col min="3" max="3" width="13.42578125" bestFit="1" customWidth="1"/>
    <col min="4" max="4" width="0.85546875" customWidth="1"/>
    <col min="5" max="5" width="19" bestFit="1" customWidth="1"/>
    <col min="6" max="6" width="27.28515625" bestFit="1" customWidth="1"/>
    <col min="7" max="7" width="9.28515625" bestFit="1" customWidth="1"/>
    <col min="8" max="8" width="12.85546875" bestFit="1" customWidth="1"/>
  </cols>
  <sheetData>
    <row r="1" spans="1:9" ht="20.25" thickBot="1" x14ac:dyDescent="0.3">
      <c r="A1" s="78" t="s">
        <v>56</v>
      </c>
      <c r="B1" s="79" t="s">
        <v>122</v>
      </c>
      <c r="C1" s="80"/>
      <c r="D1" s="81"/>
      <c r="G1" s="82"/>
      <c r="I1" s="83">
        <f ca="1">TODAY()</f>
        <v>43263</v>
      </c>
    </row>
    <row r="2" spans="1:9" ht="15.75" thickBot="1" x14ac:dyDescent="0.3"/>
    <row r="3" spans="1:9" ht="30" x14ac:dyDescent="0.25">
      <c r="A3" s="84"/>
      <c r="B3" s="85" t="s">
        <v>57</v>
      </c>
      <c r="C3" s="85" t="s">
        <v>58</v>
      </c>
      <c r="D3" s="85"/>
      <c r="E3" s="85"/>
      <c r="F3" s="85"/>
      <c r="G3" s="85" t="s">
        <v>59</v>
      </c>
      <c r="H3" s="86" t="s">
        <v>60</v>
      </c>
      <c r="I3" s="87"/>
    </row>
    <row r="4" spans="1:9" x14ac:dyDescent="0.25">
      <c r="A4" s="88" t="s">
        <v>61</v>
      </c>
      <c r="B4" s="89">
        <f>'ETAT SURFACE - EVALUATION TRVX'!B16</f>
        <v>1741.7400000000002</v>
      </c>
      <c r="C4" s="89">
        <f>'ETAT SURFACE - EVALUATION TRVX'!B20</f>
        <v>1741.7400000000002</v>
      </c>
      <c r="D4" s="89"/>
      <c r="E4" s="90" t="s">
        <v>62</v>
      </c>
      <c r="F4" s="91">
        <v>9500000</v>
      </c>
      <c r="G4" s="92">
        <f>F4/$B$4</f>
        <v>5454.3157991433845</v>
      </c>
      <c r="H4" s="93">
        <f>$F$4/C4</f>
        <v>5454.3157991433845</v>
      </c>
    </row>
    <row r="5" spans="1:9" x14ac:dyDescent="0.25">
      <c r="A5" s="94"/>
      <c r="B5" s="95"/>
      <c r="C5" s="96"/>
      <c r="D5" s="96"/>
      <c r="E5" s="90" t="s">
        <v>63</v>
      </c>
      <c r="F5" s="97">
        <f>$F$4*C27+((I14+H17)*C28)</f>
        <v>579595.46337749995</v>
      </c>
      <c r="G5" s="92">
        <f>F5/$B$4</f>
        <v>332.76807294860305</v>
      </c>
      <c r="H5" s="93">
        <f>F5/C4</f>
        <v>332.76807294860305</v>
      </c>
    </row>
    <row r="6" spans="1:9" x14ac:dyDescent="0.25">
      <c r="A6" s="94"/>
      <c r="B6" s="90"/>
      <c r="C6" s="96"/>
      <c r="D6" s="96"/>
      <c r="E6" s="90" t="s">
        <v>64</v>
      </c>
      <c r="F6" s="97">
        <f>F4*C29</f>
        <v>285000</v>
      </c>
      <c r="G6" s="92">
        <f>F6/$B$4</f>
        <v>163.62947397430153</v>
      </c>
      <c r="H6" s="93">
        <f>F6/C4</f>
        <v>163.62947397430153</v>
      </c>
    </row>
    <row r="7" spans="1:9" ht="15.75" thickBot="1" x14ac:dyDescent="0.3">
      <c r="A7" s="94"/>
      <c r="B7" s="90"/>
      <c r="C7" s="90"/>
      <c r="D7" s="90"/>
      <c r="E7" s="90" t="s">
        <v>65</v>
      </c>
      <c r="F7" s="98">
        <f>'ETAT SURFACE - EVALUATION TRVX'!E35</f>
        <v>513813.30000000005</v>
      </c>
      <c r="G7" s="92">
        <f>F7/$B$4</f>
        <v>295</v>
      </c>
      <c r="H7" s="93">
        <f>F7/C4</f>
        <v>295</v>
      </c>
      <c r="I7" s="99"/>
    </row>
    <row r="8" spans="1:9" ht="15.75" thickBot="1" x14ac:dyDescent="0.3">
      <c r="A8" s="170"/>
      <c r="B8" s="104"/>
      <c r="C8" s="104"/>
      <c r="D8" s="104"/>
      <c r="E8" s="104"/>
      <c r="F8" s="228">
        <f>SUM(F4:F7)</f>
        <v>10878408.763377501</v>
      </c>
      <c r="G8" s="229">
        <f>F8/B4</f>
        <v>6245.7133460662899</v>
      </c>
      <c r="H8" s="230">
        <f>F8/C4</f>
        <v>6245.7133460662899</v>
      </c>
    </row>
    <row r="9" spans="1:9" ht="15.75" thickBot="1" x14ac:dyDescent="0.3">
      <c r="E9" s="97"/>
      <c r="F9" s="102"/>
    </row>
    <row r="10" spans="1:9" ht="15.75" thickBot="1" x14ac:dyDescent="0.3">
      <c r="A10" s="103" t="s">
        <v>66</v>
      </c>
      <c r="B10" s="104"/>
      <c r="C10" s="105"/>
      <c r="D10" s="90"/>
      <c r="E10" s="96"/>
      <c r="F10" s="103" t="s">
        <v>67</v>
      </c>
      <c r="G10" s="104"/>
      <c r="H10" s="105"/>
    </row>
    <row r="11" spans="1:9" x14ac:dyDescent="0.25">
      <c r="A11" s="106"/>
      <c r="B11" s="107"/>
      <c r="C11" s="108"/>
      <c r="D11" s="90"/>
      <c r="E11" s="90"/>
      <c r="F11" s="106"/>
      <c r="G11" s="107"/>
      <c r="H11" s="108"/>
    </row>
    <row r="12" spans="1:9" ht="15.75" thickBot="1" x14ac:dyDescent="0.3">
      <c r="A12" s="109" t="s">
        <v>68</v>
      </c>
      <c r="B12" s="90"/>
      <c r="C12" s="110"/>
      <c r="D12" s="90"/>
      <c r="E12" s="90"/>
      <c r="F12" s="109" t="s">
        <v>69</v>
      </c>
      <c r="G12" s="90"/>
      <c r="H12" s="110"/>
    </row>
    <row r="13" spans="1:9" x14ac:dyDescent="0.25">
      <c r="A13" s="94" t="s">
        <v>70</v>
      </c>
      <c r="B13" s="111">
        <v>0.3</v>
      </c>
      <c r="C13" s="112">
        <f>(F4+F5+F6)*B13</f>
        <v>3109378.6390132499</v>
      </c>
      <c r="D13" s="97"/>
      <c r="E13" s="90"/>
      <c r="F13" s="94" t="s">
        <v>70</v>
      </c>
      <c r="G13" s="111">
        <v>0.1</v>
      </c>
      <c r="H13" s="112">
        <f>(F4+F5+F6)*G13</f>
        <v>1036459.54633775</v>
      </c>
      <c r="I13" s="90"/>
    </row>
    <row r="14" spans="1:9" ht="15.75" thickBot="1" x14ac:dyDescent="0.3">
      <c r="A14" s="100" t="s">
        <v>71</v>
      </c>
      <c r="B14" s="113">
        <f>1-B13</f>
        <v>0.7</v>
      </c>
      <c r="C14" s="114">
        <f>(F4+F5+F6)*B14</f>
        <v>7255216.8243642496</v>
      </c>
      <c r="D14" s="115"/>
      <c r="E14" s="116"/>
      <c r="F14" s="100" t="s">
        <v>71</v>
      </c>
      <c r="G14" s="113">
        <f>1-G13</f>
        <v>0.9</v>
      </c>
      <c r="H14" s="117">
        <f>(F4+F5+F6)*G14</f>
        <v>9328135.9170397501</v>
      </c>
      <c r="I14" s="118"/>
    </row>
    <row r="15" spans="1:9" ht="15.75" thickBot="1" x14ac:dyDescent="0.3">
      <c r="A15" s="94" t="s">
        <v>72</v>
      </c>
      <c r="B15" s="119"/>
      <c r="C15" s="93"/>
      <c r="D15" s="97"/>
      <c r="E15" s="116"/>
      <c r="F15" s="120" t="s">
        <v>72</v>
      </c>
      <c r="G15" s="119"/>
      <c r="H15" s="93"/>
    </row>
    <row r="16" spans="1:9" x14ac:dyDescent="0.25">
      <c r="A16" s="94" t="s">
        <v>70</v>
      </c>
      <c r="B16" s="121">
        <v>0.1</v>
      </c>
      <c r="C16" s="122">
        <f>B16*F7</f>
        <v>51381.330000000009</v>
      </c>
      <c r="D16" s="92"/>
      <c r="E16" s="90"/>
      <c r="F16" s="94" t="s">
        <v>70</v>
      </c>
      <c r="G16" s="123">
        <v>0.1</v>
      </c>
      <c r="H16" s="122">
        <f>G16*F7</f>
        <v>51381.330000000009</v>
      </c>
    </row>
    <row r="17" spans="1:8" ht="15.75" thickBot="1" x14ac:dyDescent="0.3">
      <c r="A17" s="100" t="s">
        <v>71</v>
      </c>
      <c r="B17" s="124">
        <f>1-B16</f>
        <v>0.9</v>
      </c>
      <c r="C17" s="125">
        <f>F7*B17</f>
        <v>462431.97000000003</v>
      </c>
      <c r="D17" s="126"/>
      <c r="E17" s="90"/>
      <c r="F17" s="100" t="s">
        <v>71</v>
      </c>
      <c r="G17" s="124">
        <f>1-G16</f>
        <v>0.9</v>
      </c>
      <c r="H17" s="125">
        <f>F7*G17</f>
        <v>462431.97000000003</v>
      </c>
    </row>
    <row r="18" spans="1:8" ht="15.75" thickBot="1" x14ac:dyDescent="0.3">
      <c r="A18" s="120" t="s">
        <v>73</v>
      </c>
      <c r="B18" s="116"/>
      <c r="C18" s="127">
        <f>C14+C17</f>
        <v>7717648.7943642493</v>
      </c>
      <c r="D18" s="126"/>
      <c r="E18" s="128"/>
      <c r="F18" s="120" t="s">
        <v>73</v>
      </c>
      <c r="G18" s="116"/>
      <c r="H18" s="127">
        <f>H14+H17</f>
        <v>9790567.8870397508</v>
      </c>
    </row>
    <row r="19" spans="1:8" x14ac:dyDescent="0.25">
      <c r="A19" s="106" t="s">
        <v>74</v>
      </c>
      <c r="B19" s="107"/>
      <c r="C19" s="108"/>
      <c r="D19" s="90"/>
      <c r="E19" s="129"/>
      <c r="F19" s="106" t="s">
        <v>75</v>
      </c>
      <c r="G19" s="107"/>
      <c r="H19" s="108"/>
    </row>
    <row r="20" spans="1:8" x14ac:dyDescent="0.25">
      <c r="A20" s="94" t="s">
        <v>76</v>
      </c>
      <c r="B20" s="90"/>
      <c r="C20" s="130"/>
      <c r="D20" s="179"/>
      <c r="E20" s="134"/>
      <c r="F20" s="94" t="s">
        <v>77</v>
      </c>
      <c r="G20" s="90"/>
      <c r="H20" s="130"/>
    </row>
    <row r="21" spans="1:8" x14ac:dyDescent="0.25">
      <c r="A21" s="94" t="s">
        <v>78</v>
      </c>
      <c r="B21" s="90"/>
      <c r="C21" s="183">
        <v>5</v>
      </c>
      <c r="D21" s="134"/>
      <c r="E21" s="134"/>
      <c r="F21" s="94" t="s">
        <v>78</v>
      </c>
      <c r="G21" s="90"/>
      <c r="H21" s="110">
        <v>15</v>
      </c>
    </row>
    <row r="22" spans="1:8" x14ac:dyDescent="0.25">
      <c r="A22" s="88" t="s">
        <v>79</v>
      </c>
      <c r="B22" s="90"/>
      <c r="C22" s="131">
        <v>0.03</v>
      </c>
      <c r="D22" s="129"/>
      <c r="E22" s="180"/>
      <c r="F22" s="88" t="s">
        <v>79</v>
      </c>
      <c r="G22" s="90"/>
      <c r="H22" s="132">
        <v>2.5000000000000001E-2</v>
      </c>
    </row>
    <row r="23" spans="1:8" x14ac:dyDescent="0.25">
      <c r="A23" s="88" t="s">
        <v>197</v>
      </c>
      <c r="B23" s="90"/>
      <c r="C23" s="281">
        <v>2.8000000000000001E-2</v>
      </c>
      <c r="D23" s="129"/>
      <c r="E23" s="180"/>
      <c r="F23" s="133" t="s">
        <v>80</v>
      </c>
      <c r="G23" s="134"/>
      <c r="H23" s="132">
        <v>0.03</v>
      </c>
    </row>
    <row r="24" spans="1:8" x14ac:dyDescent="0.25">
      <c r="A24" s="94" t="s">
        <v>81</v>
      </c>
      <c r="B24" s="90"/>
      <c r="C24" s="131">
        <v>0.6</v>
      </c>
      <c r="D24" s="129"/>
      <c r="E24" s="134"/>
      <c r="F24" s="94" t="s">
        <v>81</v>
      </c>
      <c r="G24" s="90"/>
      <c r="H24" s="131">
        <v>0.7</v>
      </c>
    </row>
    <row r="25" spans="1:8" x14ac:dyDescent="0.25">
      <c r="A25" s="135" t="s">
        <v>82</v>
      </c>
      <c r="B25" s="134"/>
      <c r="C25" s="136">
        <v>0.01</v>
      </c>
      <c r="D25" s="147"/>
      <c r="E25" s="181"/>
      <c r="F25" s="137" t="s">
        <v>83</v>
      </c>
      <c r="G25" s="134"/>
      <c r="H25" s="138"/>
    </row>
    <row r="26" spans="1:8" x14ac:dyDescent="0.25">
      <c r="A26" s="135" t="s">
        <v>84</v>
      </c>
      <c r="B26" s="134"/>
      <c r="C26" s="136">
        <v>0.01</v>
      </c>
      <c r="D26" s="147"/>
      <c r="E26" s="181"/>
      <c r="F26" s="139" t="s">
        <v>26</v>
      </c>
      <c r="G26" s="134"/>
      <c r="H26" s="140">
        <v>0.5</v>
      </c>
    </row>
    <row r="27" spans="1:8" ht="15.75" x14ac:dyDescent="0.25">
      <c r="A27" s="141" t="s">
        <v>32</v>
      </c>
      <c r="B27" s="134"/>
      <c r="C27" s="136">
        <v>0.06</v>
      </c>
      <c r="D27" s="147"/>
      <c r="E27" s="181"/>
      <c r="F27" s="139" t="s">
        <v>85</v>
      </c>
      <c r="G27" s="134"/>
      <c r="H27" s="142">
        <v>2.5000000000000001E-2</v>
      </c>
    </row>
    <row r="28" spans="1:8" ht="16.5" thickBot="1" x14ac:dyDescent="0.3">
      <c r="A28" s="141" t="s">
        <v>86</v>
      </c>
      <c r="B28" s="134"/>
      <c r="C28" s="136">
        <f>1.2%+0.875%</f>
        <v>2.0750000000000001E-2</v>
      </c>
      <c r="D28" s="147"/>
      <c r="E28" s="181"/>
      <c r="F28" s="143" t="s">
        <v>80</v>
      </c>
      <c r="G28" s="144"/>
      <c r="H28" s="145">
        <v>2.8000000000000001E-2</v>
      </c>
    </row>
    <row r="29" spans="1:8" ht="15.75" x14ac:dyDescent="0.25">
      <c r="A29" s="141" t="s">
        <v>33</v>
      </c>
      <c r="B29" s="134"/>
      <c r="C29" s="136">
        <v>0.03</v>
      </c>
      <c r="D29" s="147"/>
      <c r="E29" s="181"/>
      <c r="F29" s="146"/>
      <c r="G29" s="134"/>
      <c r="H29" s="147"/>
    </row>
    <row r="30" spans="1:8" ht="15.75" x14ac:dyDescent="0.25">
      <c r="A30" s="141" t="s">
        <v>34</v>
      </c>
      <c r="B30" s="134"/>
      <c r="C30" s="136">
        <v>7.0000000000000007E-2</v>
      </c>
      <c r="D30" s="147"/>
      <c r="E30" s="181"/>
      <c r="F30" s="146"/>
      <c r="G30" s="134"/>
      <c r="H30" s="147"/>
    </row>
    <row r="31" spans="1:8" ht="15.75" x14ac:dyDescent="0.25">
      <c r="A31" s="141" t="s">
        <v>35</v>
      </c>
      <c r="B31" s="134"/>
      <c r="C31" s="136">
        <v>0.05</v>
      </c>
      <c r="D31" s="147"/>
      <c r="E31" s="181"/>
      <c r="F31" s="146" t="s">
        <v>128</v>
      </c>
      <c r="G31" s="134"/>
      <c r="H31" s="147"/>
    </row>
    <row r="32" spans="1:8" ht="15.75" x14ac:dyDescent="0.25">
      <c r="A32" s="141" t="s">
        <v>39</v>
      </c>
      <c r="B32" s="134"/>
      <c r="C32" s="136">
        <v>0.01</v>
      </c>
      <c r="D32" s="147"/>
      <c r="E32" s="181"/>
      <c r="F32" s="146"/>
      <c r="G32" s="134"/>
      <c r="H32" s="134"/>
    </row>
    <row r="33" spans="1:8" ht="16.5" thickBot="1" x14ac:dyDescent="0.3">
      <c r="A33" s="148" t="s">
        <v>46</v>
      </c>
      <c r="B33" s="144"/>
      <c r="C33" s="149">
        <v>0.05</v>
      </c>
      <c r="D33" s="147"/>
      <c r="E33" s="181"/>
      <c r="F33" s="146"/>
      <c r="G33" s="134"/>
      <c r="H33" s="147"/>
    </row>
    <row r="34" spans="1:8" ht="15.75" x14ac:dyDescent="0.25">
      <c r="A34" s="146"/>
      <c r="B34" s="134"/>
      <c r="C34" s="147"/>
      <c r="D34" s="147"/>
      <c r="E34" s="181"/>
      <c r="F34" s="146"/>
      <c r="G34" s="134"/>
      <c r="H34" s="147"/>
    </row>
    <row r="35" spans="1:8" x14ac:dyDescent="0.25">
      <c r="A35" s="181"/>
      <c r="B35" s="181"/>
      <c r="C35" s="181"/>
      <c r="D35" s="181"/>
      <c r="E35" s="181"/>
    </row>
    <row r="36" spans="1:8" x14ac:dyDescent="0.25">
      <c r="A36" s="231"/>
      <c r="B36" s="181"/>
      <c r="C36" s="181"/>
      <c r="D36" s="181"/>
      <c r="E36" s="181"/>
    </row>
    <row r="37" spans="1:8" x14ac:dyDescent="0.25">
      <c r="A37" s="181"/>
      <c r="B37" s="181"/>
      <c r="C37" s="181"/>
      <c r="D37" s="181"/>
      <c r="E37" s="181"/>
    </row>
    <row r="38" spans="1:8" x14ac:dyDescent="0.25">
      <c r="A38" s="181"/>
      <c r="B38" s="181"/>
      <c r="C38" s="181"/>
      <c r="D38" s="181"/>
      <c r="E38" s="181"/>
    </row>
    <row r="40" spans="1:8" x14ac:dyDescent="0.25">
      <c r="B40" s="232">
        <f>LOCATION!D14/'ACQUISITION FINANCEMENT'!F4</f>
        <v>5.0074842105263161E-2</v>
      </c>
    </row>
  </sheetData>
  <conditionalFormatting sqref="A27:A28">
    <cfRule type="cellIs" dxfId="30" priority="12" stopIfTrue="1" operator="equal">
      <formula>0</formula>
    </cfRule>
  </conditionalFormatting>
  <conditionalFormatting sqref="A29">
    <cfRule type="cellIs" dxfId="29" priority="11" stopIfTrue="1" operator="equal">
      <formula>0</formula>
    </cfRule>
  </conditionalFormatting>
  <conditionalFormatting sqref="F29">
    <cfRule type="cellIs" dxfId="28" priority="10" stopIfTrue="1" operator="equal">
      <formula>0</formula>
    </cfRule>
  </conditionalFormatting>
  <conditionalFormatting sqref="A30">
    <cfRule type="cellIs" dxfId="27" priority="9" stopIfTrue="1" operator="equal">
      <formula>0</formula>
    </cfRule>
  </conditionalFormatting>
  <conditionalFormatting sqref="A31">
    <cfRule type="cellIs" dxfId="26" priority="8" stopIfTrue="1" operator="equal">
      <formula>0</formula>
    </cfRule>
  </conditionalFormatting>
  <conditionalFormatting sqref="A32">
    <cfRule type="cellIs" dxfId="25" priority="7" stopIfTrue="1" operator="equal">
      <formula>0</formula>
    </cfRule>
  </conditionalFormatting>
  <conditionalFormatting sqref="A33:A34">
    <cfRule type="cellIs" dxfId="24" priority="6" stopIfTrue="1" operator="equal">
      <formula>0</formula>
    </cfRule>
  </conditionalFormatting>
  <conditionalFormatting sqref="F33:F34">
    <cfRule type="cellIs" dxfId="23" priority="2" stopIfTrue="1" operator="equal">
      <formula>0</formula>
    </cfRule>
  </conditionalFormatting>
  <conditionalFormatting sqref="F30">
    <cfRule type="cellIs" dxfId="22" priority="5" stopIfTrue="1" operator="equal">
      <formula>0</formula>
    </cfRule>
  </conditionalFormatting>
  <conditionalFormatting sqref="F31">
    <cfRule type="cellIs" dxfId="21" priority="4" stopIfTrue="1" operator="equal">
      <formula>0</formula>
    </cfRule>
  </conditionalFormatting>
  <conditionalFormatting sqref="F32">
    <cfRule type="cellIs" dxfId="20" priority="3" stopIfTrue="1" operator="equal">
      <formula>0</formula>
    </cfRule>
  </conditionalFormatting>
  <conditionalFormatting sqref="H28">
    <cfRule type="cellIs" dxfId="19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"/>
  <sheetViews>
    <sheetView workbookViewId="0">
      <selection activeCell="I7" sqref="I7"/>
    </sheetView>
  </sheetViews>
  <sheetFormatPr baseColWidth="10" defaultRowHeight="15" x14ac:dyDescent="0.25"/>
  <cols>
    <col min="1" max="1" width="22.85546875" customWidth="1"/>
    <col min="2" max="2" width="22.5703125" bestFit="1" customWidth="1"/>
    <col min="3" max="3" width="14" bestFit="1" customWidth="1"/>
    <col min="4" max="4" width="15.140625" bestFit="1" customWidth="1"/>
    <col min="5" max="5" width="19.7109375" bestFit="1" customWidth="1"/>
    <col min="6" max="9" width="13.28515625" bestFit="1" customWidth="1"/>
    <col min="10" max="10" width="13.42578125" bestFit="1" customWidth="1"/>
    <col min="11" max="13" width="17.85546875" bestFit="1" customWidth="1"/>
  </cols>
  <sheetData>
    <row r="1" spans="1:31" ht="20.25" thickBot="1" x14ac:dyDescent="0.3">
      <c r="A1" s="79" t="s">
        <v>122</v>
      </c>
      <c r="G1" s="83">
        <f ca="1">TODAY()</f>
        <v>43263</v>
      </c>
    </row>
    <row r="3" spans="1:31" ht="24.75" x14ac:dyDescent="0.3">
      <c r="A3" s="150" t="s">
        <v>90</v>
      </c>
      <c r="B3" s="154"/>
      <c r="I3" s="181"/>
    </row>
    <row r="4" spans="1:31" ht="19.5" customHeight="1" thickBot="1" x14ac:dyDescent="0.3">
      <c r="I4" s="134"/>
      <c r="J4" s="90"/>
    </row>
    <row r="5" spans="1:31" ht="15.75" thickBot="1" x14ac:dyDescent="0.3">
      <c r="A5" s="243" t="s">
        <v>87</v>
      </c>
      <c r="B5" s="244" t="s">
        <v>88</v>
      </c>
      <c r="C5" s="244" t="s">
        <v>91</v>
      </c>
      <c r="D5" s="245" t="s">
        <v>92</v>
      </c>
      <c r="E5" s="246"/>
      <c r="F5" s="247"/>
      <c r="G5" s="247"/>
      <c r="H5" s="248"/>
      <c r="I5" s="233"/>
      <c r="J5" s="90"/>
    </row>
    <row r="6" spans="1:31" x14ac:dyDescent="0.25">
      <c r="A6" s="152"/>
      <c r="B6" s="249"/>
      <c r="C6" s="155"/>
      <c r="D6" s="250">
        <f>'TRI '!O8</f>
        <v>2018</v>
      </c>
      <c r="E6" s="250">
        <f>D6+1</f>
        <v>2019</v>
      </c>
      <c r="F6" s="250">
        <f t="shared" ref="F6:I6" si="0">E6+1</f>
        <v>2020</v>
      </c>
      <c r="G6" s="250">
        <f t="shared" si="0"/>
        <v>2021</v>
      </c>
      <c r="H6" s="250">
        <f t="shared" si="0"/>
        <v>2022</v>
      </c>
      <c r="I6" s="251">
        <f t="shared" si="0"/>
        <v>2023</v>
      </c>
      <c r="J6" s="252">
        <f t="shared" ref="J6" si="1">I6+1</f>
        <v>2024</v>
      </c>
      <c r="K6" s="250">
        <f t="shared" ref="K6" si="2">J6+1</f>
        <v>2025</v>
      </c>
      <c r="L6" s="250">
        <f t="shared" ref="L6:M6" si="3">K6+1</f>
        <v>2026</v>
      </c>
      <c r="M6" s="251">
        <f t="shared" si="3"/>
        <v>2027</v>
      </c>
      <c r="N6" s="251">
        <f t="shared" ref="N6" si="4">M6+1</f>
        <v>2028</v>
      </c>
      <c r="O6" s="251">
        <f t="shared" ref="O6" si="5">N6+1</f>
        <v>2029</v>
      </c>
      <c r="P6" s="251">
        <f t="shared" ref="P6" si="6">O6+1</f>
        <v>2030</v>
      </c>
      <c r="Q6" s="251">
        <f t="shared" ref="Q6" si="7">P6+1</f>
        <v>2031</v>
      </c>
      <c r="R6" s="251">
        <f t="shared" ref="R6" si="8">Q6+1</f>
        <v>2032</v>
      </c>
      <c r="S6" s="251">
        <f t="shared" ref="S6" si="9">R6+1</f>
        <v>2033</v>
      </c>
      <c r="T6" s="251">
        <f t="shared" ref="T6" si="10">S6+1</f>
        <v>2034</v>
      </c>
      <c r="U6" s="251">
        <f t="shared" ref="U6" si="11">T6+1</f>
        <v>2035</v>
      </c>
      <c r="V6" s="251">
        <f t="shared" ref="V6" si="12">U6+1</f>
        <v>2036</v>
      </c>
      <c r="W6" s="251">
        <f t="shared" ref="W6" si="13">V6+1</f>
        <v>2037</v>
      </c>
      <c r="X6" s="251">
        <f t="shared" ref="X6" si="14">W6+1</f>
        <v>2038</v>
      </c>
      <c r="Y6" s="251">
        <f t="shared" ref="Y6" si="15">X6+1</f>
        <v>2039</v>
      </c>
      <c r="Z6" s="251">
        <f t="shared" ref="Z6" si="16">Y6+1</f>
        <v>2040</v>
      </c>
      <c r="AA6" s="251">
        <f t="shared" ref="AA6" si="17">Z6+1</f>
        <v>2041</v>
      </c>
      <c r="AB6" s="251">
        <f t="shared" ref="AB6" si="18">AA6+1</f>
        <v>2042</v>
      </c>
      <c r="AC6" s="251">
        <f t="shared" ref="AC6" si="19">AB6+1</f>
        <v>2043</v>
      </c>
      <c r="AD6" s="251">
        <f t="shared" ref="AD6" si="20">AC6+1</f>
        <v>2044</v>
      </c>
      <c r="AE6" s="251">
        <f t="shared" ref="AE6" si="21">AD6+1</f>
        <v>2045</v>
      </c>
    </row>
    <row r="7" spans="1:31" x14ac:dyDescent="0.25">
      <c r="A7" s="94" t="str">
        <f>'ETAT SURFACE - EVALUATION TRVX'!A6</f>
        <v>Immeuble A</v>
      </c>
      <c r="B7" s="221">
        <f>'ETAT SURFACE - EVALUATION TRVX'!M6</f>
        <v>654.36</v>
      </c>
      <c r="C7" s="156">
        <f>(479*390+371*106)/B7</f>
        <v>345.58347087230271</v>
      </c>
      <c r="D7" s="153">
        <f>B7*C7</f>
        <v>226136</v>
      </c>
      <c r="E7" s="153">
        <f>D7</f>
        <v>226136</v>
      </c>
      <c r="F7" s="153">
        <f>E7</f>
        <v>226136</v>
      </c>
      <c r="G7" s="153">
        <f>F7</f>
        <v>226136</v>
      </c>
      <c r="H7" s="153">
        <f>G7</f>
        <v>226136</v>
      </c>
      <c r="I7" s="240">
        <f>((479*390+450*106)/B7)*B7</f>
        <v>234510</v>
      </c>
      <c r="J7" s="237">
        <f t="shared" ref="J7:K7" si="22">((479*390+450*106)/C7)*C7</f>
        <v>234510.00000000003</v>
      </c>
      <c r="K7" s="234">
        <f t="shared" si="22"/>
        <v>234510</v>
      </c>
      <c r="L7" s="234">
        <f>((479*390+450*106)/E7)*E7</f>
        <v>234510</v>
      </c>
      <c r="M7" s="253">
        <f>((479*450+450*106)/D7)*D7</f>
        <v>263250</v>
      </c>
    </row>
    <row r="8" spans="1:31" x14ac:dyDescent="0.25">
      <c r="A8" s="94" t="str">
        <f>'ETAT SURFACE - EVALUATION TRVX'!A7</f>
        <v>Immeuble B</v>
      </c>
      <c r="B8" s="221">
        <f>'ETAT SURFACE - EVALUATION TRVX'!M7</f>
        <v>630</v>
      </c>
      <c r="C8" s="156">
        <v>371</v>
      </c>
      <c r="D8" s="153">
        <f t="shared" ref="D8:D9" si="23">B8*C8</f>
        <v>233730</v>
      </c>
      <c r="E8" s="153">
        <f>$B$8*$C$8</f>
        <v>233730</v>
      </c>
      <c r="F8" s="153">
        <f>$B$8*$C$8</f>
        <v>233730</v>
      </c>
      <c r="G8" s="153">
        <f>$B$8*$C$8</f>
        <v>233730</v>
      </c>
      <c r="H8" s="153">
        <f>$B$8*$C$8</f>
        <v>233730</v>
      </c>
      <c r="I8" s="240">
        <f>$B$8*450</f>
        <v>283500</v>
      </c>
      <c r="J8" s="237">
        <f t="shared" ref="J8:M8" si="24">$B$8*450</f>
        <v>283500</v>
      </c>
      <c r="K8" s="234">
        <f t="shared" si="24"/>
        <v>283500</v>
      </c>
      <c r="L8" s="234">
        <f t="shared" si="24"/>
        <v>283500</v>
      </c>
      <c r="M8" s="240">
        <f t="shared" si="24"/>
        <v>283500</v>
      </c>
    </row>
    <row r="9" spans="1:31" x14ac:dyDescent="0.25">
      <c r="A9" s="94" t="str">
        <f>'ETAT SURFACE - EVALUATION TRVX'!A8</f>
        <v>Immeuble C</v>
      </c>
      <c r="B9" s="221">
        <f>'ETAT SURFACE - EVALUATION TRVX'!M8</f>
        <v>39.380000000000003</v>
      </c>
      <c r="C9" s="156">
        <v>250</v>
      </c>
      <c r="D9" s="153">
        <f t="shared" si="23"/>
        <v>9845</v>
      </c>
      <c r="E9" s="153">
        <f>$B$9*$C$9</f>
        <v>9845</v>
      </c>
      <c r="F9" s="153">
        <f>$B$9*$C$9</f>
        <v>9845</v>
      </c>
      <c r="G9" s="153">
        <f>$B$9*$C$9</f>
        <v>9845</v>
      </c>
      <c r="H9" s="153">
        <f>$B$9*$C$9</f>
        <v>9845</v>
      </c>
      <c r="I9" s="241">
        <f>$B$9*$C$9</f>
        <v>9845</v>
      </c>
      <c r="J9" s="238">
        <f t="shared" ref="J9:L9" si="25">$B$9*$C$9</f>
        <v>9845</v>
      </c>
      <c r="K9" s="235">
        <f t="shared" si="25"/>
        <v>9845</v>
      </c>
      <c r="L9" s="235">
        <f t="shared" si="25"/>
        <v>9845</v>
      </c>
      <c r="M9" s="241">
        <f>$B$9*450</f>
        <v>17721</v>
      </c>
    </row>
    <row r="10" spans="1:31" x14ac:dyDescent="0.25">
      <c r="A10" s="94" t="str">
        <f>'ETAT SURFACE - EVALUATION TRVX'!A9</f>
        <v>Immeuble D</v>
      </c>
      <c r="B10" s="221">
        <f>'ETAT SURFACE - EVALUATION TRVX'!M9</f>
        <v>415</v>
      </c>
      <c r="C10" s="219">
        <v>150</v>
      </c>
      <c r="D10" s="90"/>
      <c r="E10" s="220"/>
      <c r="F10" s="220"/>
      <c r="G10" s="220"/>
      <c r="H10" s="153"/>
      <c r="I10" s="241">
        <f>B10*C10</f>
        <v>62250</v>
      </c>
      <c r="J10" s="238">
        <f>I10</f>
        <v>62250</v>
      </c>
      <c r="K10" s="235">
        <f t="shared" ref="K10:M10" si="26">J10</f>
        <v>62250</v>
      </c>
      <c r="L10" s="235">
        <f t="shared" si="26"/>
        <v>62250</v>
      </c>
      <c r="M10" s="241">
        <f t="shared" si="26"/>
        <v>62250</v>
      </c>
    </row>
    <row r="11" spans="1:31" x14ac:dyDescent="0.25">
      <c r="A11" s="94" t="str">
        <f>'ETAT SURFACE - EVALUATION TRVX'!A10</f>
        <v>Immeuble E</v>
      </c>
      <c r="B11" s="221">
        <f>'ETAT SURFACE - EVALUATION TRVX'!M10</f>
        <v>3</v>
      </c>
      <c r="C11" s="219"/>
      <c r="D11" s="220">
        <v>6000</v>
      </c>
      <c r="E11" s="220">
        <v>6000</v>
      </c>
      <c r="F11" s="220">
        <v>6000</v>
      </c>
      <c r="G11" s="220">
        <v>6000</v>
      </c>
      <c r="H11" s="153">
        <v>6000</v>
      </c>
      <c r="I11" s="241">
        <v>6000</v>
      </c>
      <c r="J11" s="238">
        <v>6000</v>
      </c>
      <c r="K11" s="235">
        <v>6000</v>
      </c>
      <c r="L11" s="235">
        <v>6000</v>
      </c>
      <c r="M11" s="241">
        <v>6000</v>
      </c>
    </row>
    <row r="12" spans="1:31" x14ac:dyDescent="0.25">
      <c r="A12" s="94"/>
      <c r="B12" s="221">
        <f>'ETAT SURFACE - EVALUATION TRVX'!M11</f>
        <v>0</v>
      </c>
      <c r="C12" s="219"/>
      <c r="D12" s="220"/>
      <c r="E12" s="220"/>
      <c r="F12" s="220"/>
      <c r="G12" s="220"/>
      <c r="H12" s="153"/>
      <c r="I12" s="242"/>
      <c r="J12" s="239"/>
      <c r="K12" s="236"/>
      <c r="L12" s="236"/>
      <c r="M12" s="254"/>
    </row>
    <row r="13" spans="1:31" ht="15.75" thickBot="1" x14ac:dyDescent="0.3">
      <c r="A13" s="94"/>
      <c r="B13" s="224">
        <f>'ETAT SURFACE - EVALUATION TRVX'!M12</f>
        <v>0</v>
      </c>
      <c r="C13" s="219"/>
      <c r="D13" s="220"/>
      <c r="E13" s="220"/>
      <c r="F13" s="220"/>
      <c r="G13" s="220"/>
      <c r="H13" s="153"/>
      <c r="I13" s="242"/>
      <c r="J13" s="239"/>
      <c r="K13" s="236"/>
      <c r="L13" s="236"/>
      <c r="M13" s="254"/>
    </row>
    <row r="14" spans="1:31" ht="15.75" thickBot="1" x14ac:dyDescent="0.3">
      <c r="A14" s="151" t="s">
        <v>89</v>
      </c>
      <c r="B14" s="225">
        <f>SUM(B7:B13)</f>
        <v>1741.7400000000002</v>
      </c>
      <c r="C14" s="226"/>
      <c r="D14" s="227">
        <f>SUM(D7:D13)</f>
        <v>475711</v>
      </c>
      <c r="E14" s="227">
        <f>SUM(E7:E13)</f>
        <v>475711</v>
      </c>
      <c r="F14" s="227">
        <f t="shared" ref="F14:AE14" si="27">SUM(F7:F13)</f>
        <v>475711</v>
      </c>
      <c r="G14" s="227">
        <f t="shared" si="27"/>
        <v>475711</v>
      </c>
      <c r="H14" s="227">
        <f t="shared" si="27"/>
        <v>475711</v>
      </c>
      <c r="I14" s="227">
        <f t="shared" si="27"/>
        <v>596105</v>
      </c>
      <c r="J14" s="227">
        <f t="shared" si="27"/>
        <v>596105</v>
      </c>
      <c r="K14" s="227">
        <f t="shared" si="27"/>
        <v>596105</v>
      </c>
      <c r="L14" s="227">
        <f t="shared" si="27"/>
        <v>596105</v>
      </c>
      <c r="M14" s="227">
        <f t="shared" si="27"/>
        <v>632721</v>
      </c>
      <c r="N14" s="227">
        <f t="shared" si="27"/>
        <v>0</v>
      </c>
      <c r="O14" s="227">
        <f t="shared" si="27"/>
        <v>0</v>
      </c>
      <c r="P14" s="227">
        <f t="shared" si="27"/>
        <v>0</v>
      </c>
      <c r="Q14" s="227">
        <f t="shared" si="27"/>
        <v>0</v>
      </c>
      <c r="R14" s="227">
        <f t="shared" si="27"/>
        <v>0</v>
      </c>
      <c r="S14" s="227">
        <f t="shared" si="27"/>
        <v>0</v>
      </c>
      <c r="T14" s="227">
        <f t="shared" si="27"/>
        <v>0</v>
      </c>
      <c r="U14" s="227">
        <f t="shared" si="27"/>
        <v>0</v>
      </c>
      <c r="V14" s="227">
        <f t="shared" si="27"/>
        <v>0</v>
      </c>
      <c r="W14" s="227">
        <f t="shared" si="27"/>
        <v>0</v>
      </c>
      <c r="X14" s="227">
        <f t="shared" si="27"/>
        <v>0</v>
      </c>
      <c r="Y14" s="227">
        <f t="shared" si="27"/>
        <v>0</v>
      </c>
      <c r="Z14" s="227">
        <f t="shared" si="27"/>
        <v>0</v>
      </c>
      <c r="AA14" s="227">
        <f t="shared" si="27"/>
        <v>0</v>
      </c>
      <c r="AB14" s="227">
        <f t="shared" si="27"/>
        <v>0</v>
      </c>
      <c r="AC14" s="227">
        <f t="shared" si="27"/>
        <v>0</v>
      </c>
      <c r="AD14" s="227">
        <f t="shared" si="27"/>
        <v>0</v>
      </c>
      <c r="AE14" s="227">
        <f t="shared" si="27"/>
        <v>0</v>
      </c>
    </row>
    <row r="15" spans="1:31" x14ac:dyDescent="0.25">
      <c r="A15" s="90"/>
      <c r="B15" s="217"/>
      <c r="C15" s="215"/>
      <c r="D15" s="222"/>
      <c r="E15" s="222">
        <f>IF(E6&gt;=LOCATION!$O$11,SUM(E7:E13),"")</f>
        <v>475711</v>
      </c>
      <c r="F15" s="222">
        <f>IF(F6&gt;=LOCATION!$O$11,SUM(F7:F13),"")</f>
        <v>475711</v>
      </c>
      <c r="G15" s="222">
        <f>IF(G6&gt;=LOCATION!$O$11,SUM(G7:G13),"")</f>
        <v>475711</v>
      </c>
      <c r="H15" s="222">
        <f>IF(H6&gt;=LOCATION!$O$11,SUM(H7:H13),"")</f>
        <v>475711</v>
      </c>
      <c r="I15" s="222">
        <f>IF(I6&gt;=LOCATION!$O$11,SUM(I7:I13),"")</f>
        <v>596105</v>
      </c>
      <c r="J15" s="222">
        <f>IF(J6&gt;=LOCATION!$O$11,SUM(J7:J13),"")</f>
        <v>596105</v>
      </c>
      <c r="K15" s="222">
        <f>IF(K6&gt;=LOCATION!$O$11,SUM(K7:K13),"")</f>
        <v>596105</v>
      </c>
      <c r="L15" s="222">
        <f>IF(L6&gt;=LOCATION!$O$11,SUM(L7:L13),"")</f>
        <v>596105</v>
      </c>
      <c r="M15" s="222">
        <f>IF(M6&gt;=LOCATION!$O$11,SUM(M7:M13),"")</f>
        <v>632721</v>
      </c>
      <c r="N15" s="222">
        <f>IF(N6&gt;=LOCATION!$O$11,SUM(N7:N13),"")</f>
        <v>0</v>
      </c>
    </row>
    <row r="16" spans="1:31" x14ac:dyDescent="0.25">
      <c r="A16" s="214"/>
      <c r="B16" s="216"/>
      <c r="C16" s="218"/>
      <c r="D16" s="223"/>
      <c r="E16" s="223"/>
      <c r="F16" s="223"/>
      <c r="G16" s="223"/>
      <c r="H16" s="223"/>
      <c r="I16" s="180"/>
      <c r="J16" s="134"/>
    </row>
    <row r="17" spans="1:10" x14ac:dyDescent="0.25">
      <c r="A17" s="90"/>
      <c r="B17" s="90"/>
      <c r="C17" s="90"/>
      <c r="D17" s="134"/>
      <c r="E17" s="134"/>
      <c r="F17" s="134"/>
      <c r="G17" s="134"/>
      <c r="H17" s="134"/>
      <c r="I17" s="134"/>
      <c r="J17" s="134"/>
    </row>
    <row r="18" spans="1:10" x14ac:dyDescent="0.25">
      <c r="D18" s="134"/>
      <c r="E18" s="180"/>
      <c r="F18" s="180"/>
      <c r="G18" s="180"/>
      <c r="H18" s="180"/>
      <c r="I18" s="134"/>
      <c r="J18" s="134"/>
    </row>
    <row r="19" spans="1:10" x14ac:dyDescent="0.25">
      <c r="D19" s="181"/>
      <c r="F19" s="181"/>
      <c r="G19" s="181"/>
      <c r="H19" s="181"/>
      <c r="I19" s="181"/>
      <c r="J19" s="181"/>
    </row>
    <row r="22" spans="1:10" x14ac:dyDescent="0.25">
      <c r="I22" s="102">
        <f>M14/0.045</f>
        <v>14060466.666666668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="95" zoomScaleNormal="95" workbookViewId="0">
      <selection activeCell="E11" sqref="E11"/>
    </sheetView>
  </sheetViews>
  <sheetFormatPr baseColWidth="10" defaultRowHeight="15" x14ac:dyDescent="0.25"/>
  <cols>
    <col min="1" max="1" width="34.42578125" bestFit="1" customWidth="1"/>
    <col min="2" max="2" width="34.42578125" customWidth="1"/>
    <col min="5" max="5" width="14.140625" bestFit="1" customWidth="1"/>
    <col min="6" max="6" width="12" bestFit="1" customWidth="1"/>
  </cols>
  <sheetData>
    <row r="1" spans="1:13" ht="20.25" thickBot="1" x14ac:dyDescent="0.3">
      <c r="A1" s="79" t="s">
        <v>122</v>
      </c>
      <c r="B1" s="197"/>
      <c r="M1" s="83">
        <f ca="1">V23+TODAY()</f>
        <v>43263</v>
      </c>
    </row>
    <row r="2" spans="1:13" ht="15.75" thickBot="1" x14ac:dyDescent="0.3"/>
    <row r="3" spans="1:13" ht="15.75" thickBot="1" x14ac:dyDescent="0.3">
      <c r="A3" s="103" t="s">
        <v>93</v>
      </c>
      <c r="B3" s="199" t="s">
        <v>52</v>
      </c>
      <c r="C3" s="157" t="s">
        <v>94</v>
      </c>
      <c r="D3" s="157" t="s">
        <v>95</v>
      </c>
      <c r="E3" s="157" t="s">
        <v>96</v>
      </c>
      <c r="F3" s="157" t="s">
        <v>97</v>
      </c>
      <c r="G3" s="157" t="s">
        <v>98</v>
      </c>
      <c r="H3" s="157" t="s">
        <v>99</v>
      </c>
      <c r="I3" s="157" t="s">
        <v>100</v>
      </c>
      <c r="J3" s="157" t="s">
        <v>101</v>
      </c>
      <c r="K3" s="157" t="s">
        <v>102</v>
      </c>
      <c r="L3" s="157" t="s">
        <v>103</v>
      </c>
      <c r="M3" s="158"/>
    </row>
    <row r="4" spans="1:13" x14ac:dyDescent="0.25">
      <c r="A4" s="94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110"/>
    </row>
    <row r="5" spans="1:13" x14ac:dyDescent="0.25">
      <c r="A5" s="94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110"/>
    </row>
    <row r="6" spans="1:13" x14ac:dyDescent="0.25">
      <c r="A6" s="94" t="s">
        <v>124</v>
      </c>
      <c r="B6" s="90"/>
      <c r="C6" s="159">
        <v>69</v>
      </c>
      <c r="D6" s="160">
        <v>53.18</v>
      </c>
      <c r="E6" s="160">
        <f>55+53.18</f>
        <v>108.18</v>
      </c>
      <c r="F6" s="160">
        <v>106</v>
      </c>
      <c r="G6" s="160">
        <v>106</v>
      </c>
      <c r="H6" s="160">
        <v>106</v>
      </c>
      <c r="I6" s="160">
        <v>106</v>
      </c>
      <c r="J6" s="160"/>
      <c r="K6" s="161"/>
      <c r="L6" s="160"/>
      <c r="M6" s="210">
        <f t="shared" ref="M6:M13" si="0">SUM(C6:L6)</f>
        <v>654.36</v>
      </c>
    </row>
    <row r="7" spans="1:13" x14ac:dyDescent="0.25">
      <c r="A7" s="94" t="s">
        <v>125</v>
      </c>
      <c r="B7" s="90"/>
      <c r="C7" s="160"/>
      <c r="D7" s="160"/>
      <c r="E7" s="160"/>
      <c r="F7" s="160">
        <f>170+160</f>
        <v>330</v>
      </c>
      <c r="G7" s="160">
        <f>160+140</f>
        <v>300</v>
      </c>
      <c r="H7" s="160"/>
      <c r="I7" s="160"/>
      <c r="J7" s="160"/>
      <c r="K7" s="161"/>
      <c r="L7" s="160"/>
      <c r="M7" s="210">
        <f t="shared" si="0"/>
        <v>630</v>
      </c>
    </row>
    <row r="8" spans="1:13" x14ac:dyDescent="0.25">
      <c r="A8" s="94" t="s">
        <v>126</v>
      </c>
      <c r="B8" s="90"/>
      <c r="C8" s="160"/>
      <c r="D8" s="160"/>
      <c r="E8" s="160">
        <v>39.380000000000003</v>
      </c>
      <c r="F8" s="160"/>
      <c r="G8" s="160"/>
      <c r="H8" s="160"/>
      <c r="I8" s="160"/>
      <c r="J8" s="160"/>
      <c r="K8" s="161"/>
      <c r="L8" s="160"/>
      <c r="M8" s="210">
        <f t="shared" si="0"/>
        <v>39.380000000000003</v>
      </c>
    </row>
    <row r="9" spans="1:13" x14ac:dyDescent="0.25">
      <c r="A9" s="94" t="s">
        <v>127</v>
      </c>
      <c r="B9" s="90"/>
      <c r="C9" s="160"/>
      <c r="D9" s="160">
        <v>400</v>
      </c>
      <c r="E9" s="160">
        <v>15</v>
      </c>
      <c r="F9" s="160"/>
      <c r="G9" s="160"/>
      <c r="H9" s="160"/>
      <c r="I9" s="160"/>
      <c r="J9" s="160"/>
      <c r="K9" s="161"/>
      <c r="L9" s="160"/>
      <c r="M9" s="210">
        <f t="shared" si="0"/>
        <v>415</v>
      </c>
    </row>
    <row r="10" spans="1:13" x14ac:dyDescent="0.25">
      <c r="A10" s="94" t="s">
        <v>130</v>
      </c>
      <c r="B10" s="90"/>
      <c r="C10" s="160"/>
      <c r="D10" s="160"/>
      <c r="E10" s="160">
        <v>3</v>
      </c>
      <c r="F10" s="160"/>
      <c r="G10" s="160"/>
      <c r="H10" s="160"/>
      <c r="I10" s="160"/>
      <c r="J10" s="160"/>
      <c r="K10" s="161"/>
      <c r="L10" s="160"/>
      <c r="M10" s="210">
        <f t="shared" si="0"/>
        <v>3</v>
      </c>
    </row>
    <row r="11" spans="1:13" x14ac:dyDescent="0.25">
      <c r="A11" s="94"/>
      <c r="B11" s="90"/>
      <c r="C11" s="212"/>
      <c r="D11" s="212"/>
      <c r="E11" s="212"/>
      <c r="F11" s="212"/>
      <c r="G11" s="212"/>
      <c r="H11" s="212"/>
      <c r="I11" s="212"/>
      <c r="J11" s="212"/>
      <c r="K11" s="213"/>
      <c r="L11" s="213"/>
      <c r="M11" s="210">
        <f t="shared" si="0"/>
        <v>0</v>
      </c>
    </row>
    <row r="12" spans="1:13" x14ac:dyDescent="0.25">
      <c r="A12" s="94"/>
      <c r="B12" s="90"/>
      <c r="C12" s="212"/>
      <c r="D12" s="212"/>
      <c r="E12" s="212"/>
      <c r="F12" s="212"/>
      <c r="G12" s="212"/>
      <c r="H12" s="212"/>
      <c r="I12" s="212"/>
      <c r="J12" s="212"/>
      <c r="K12" s="213"/>
      <c r="L12" s="213"/>
      <c r="M12" s="210">
        <f t="shared" si="0"/>
        <v>0</v>
      </c>
    </row>
    <row r="13" spans="1:13" ht="15.75" thickBot="1" x14ac:dyDescent="0.3">
      <c r="A13" s="94"/>
      <c r="B13" s="90"/>
      <c r="C13" s="162"/>
      <c r="D13" s="162"/>
      <c r="E13" s="162"/>
      <c r="F13" s="162"/>
      <c r="G13" s="162"/>
      <c r="H13" s="162"/>
      <c r="I13" s="162"/>
      <c r="J13" s="162"/>
      <c r="K13" s="90"/>
      <c r="L13" s="90"/>
      <c r="M13" s="210">
        <f t="shared" si="0"/>
        <v>0</v>
      </c>
    </row>
    <row r="14" spans="1:13" ht="15.75" thickBot="1" x14ac:dyDescent="0.3">
      <c r="A14" s="207" t="s">
        <v>129</v>
      </c>
      <c r="B14" s="209">
        <f>SUM(C14:L14)</f>
        <v>0</v>
      </c>
      <c r="C14" s="201"/>
      <c r="D14" s="201"/>
      <c r="E14" s="201"/>
      <c r="F14" s="201"/>
      <c r="G14" s="201"/>
      <c r="H14" s="208"/>
      <c r="I14" s="208"/>
      <c r="J14" s="208"/>
      <c r="K14" s="163"/>
      <c r="L14" s="164"/>
      <c r="M14" s="206">
        <f>SUM(C14:L14)</f>
        <v>0</v>
      </c>
    </row>
    <row r="15" spans="1:13" ht="15.75" thickBot="1" x14ac:dyDescent="0.3">
      <c r="A15" s="94"/>
      <c r="B15" s="90"/>
      <c r="C15" s="162"/>
      <c r="D15" s="162"/>
      <c r="E15" s="162"/>
      <c r="F15" s="162"/>
      <c r="G15" s="162"/>
      <c r="H15" s="162"/>
      <c r="I15" s="162"/>
      <c r="J15" s="162"/>
      <c r="K15" s="90"/>
      <c r="L15" s="90"/>
      <c r="M15" s="110"/>
    </row>
    <row r="16" spans="1:13" ht="15.75" thickBot="1" x14ac:dyDescent="0.3">
      <c r="A16" s="198" t="s">
        <v>57</v>
      </c>
      <c r="B16" s="203">
        <f>SUM(C6:L13)</f>
        <v>1741.7400000000002</v>
      </c>
      <c r="C16" s="163"/>
      <c r="D16" s="163"/>
      <c r="E16" s="163"/>
      <c r="F16" s="163"/>
      <c r="G16" s="163"/>
      <c r="H16" s="163"/>
      <c r="I16" s="163"/>
      <c r="J16" s="163"/>
      <c r="K16" s="164"/>
      <c r="L16" s="164"/>
      <c r="M16" s="105"/>
    </row>
    <row r="17" spans="1:13" ht="15.75" thickBot="1" x14ac:dyDescent="0.3">
      <c r="A17" s="94"/>
      <c r="B17" s="90"/>
      <c r="C17" s="162"/>
      <c r="D17" s="162"/>
      <c r="E17" s="162"/>
      <c r="F17" s="162"/>
      <c r="G17" s="162"/>
      <c r="H17" s="162"/>
      <c r="I17" s="162"/>
      <c r="J17" s="162"/>
      <c r="K17" s="90"/>
      <c r="L17" s="90"/>
      <c r="M17" s="110"/>
    </row>
    <row r="18" spans="1:13" ht="15.75" thickBot="1" x14ac:dyDescent="0.3">
      <c r="A18" s="200" t="s">
        <v>104</v>
      </c>
      <c r="B18" s="206">
        <f>SUM(H18:L18)</f>
        <v>0</v>
      </c>
      <c r="C18" s="201"/>
      <c r="D18" s="201"/>
      <c r="E18" s="201"/>
      <c r="F18" s="201"/>
      <c r="G18" s="201"/>
      <c r="H18" s="202"/>
      <c r="I18" s="202"/>
      <c r="J18" s="202"/>
      <c r="K18" s="202"/>
      <c r="L18" s="202"/>
      <c r="M18" s="105"/>
    </row>
    <row r="19" spans="1:13" ht="15.75" thickBot="1" x14ac:dyDescent="0.3">
      <c r="A19" s="94"/>
      <c r="B19" s="90"/>
      <c r="C19" s="162"/>
      <c r="D19" s="162"/>
      <c r="E19" s="162"/>
      <c r="F19" s="162"/>
      <c r="G19" s="162"/>
      <c r="H19" s="162"/>
      <c r="I19" s="162"/>
      <c r="J19" s="162"/>
      <c r="K19" s="90"/>
      <c r="L19" s="90"/>
      <c r="M19" s="110"/>
    </row>
    <row r="20" spans="1:13" ht="15.75" thickBot="1" x14ac:dyDescent="0.3">
      <c r="A20" s="166" t="s">
        <v>105</v>
      </c>
      <c r="B20" s="205">
        <f>B16+B18</f>
        <v>1741.7400000000002</v>
      </c>
      <c r="C20" s="204">
        <f t="shared" ref="C20:L20" si="1">SUM(C11:C19)</f>
        <v>0</v>
      </c>
      <c r="D20" s="167">
        <f t="shared" si="1"/>
        <v>0</v>
      </c>
      <c r="E20" s="167">
        <f t="shared" si="1"/>
        <v>0</v>
      </c>
      <c r="F20" s="167">
        <f t="shared" si="1"/>
        <v>0</v>
      </c>
      <c r="G20" s="167">
        <f t="shared" si="1"/>
        <v>0</v>
      </c>
      <c r="H20" s="167">
        <f t="shared" si="1"/>
        <v>0</v>
      </c>
      <c r="I20" s="167">
        <f t="shared" si="1"/>
        <v>0</v>
      </c>
      <c r="J20" s="167">
        <f t="shared" si="1"/>
        <v>0</v>
      </c>
      <c r="K20" s="167">
        <f t="shared" si="1"/>
        <v>0</v>
      </c>
      <c r="L20" s="167">
        <f t="shared" si="1"/>
        <v>0</v>
      </c>
      <c r="M20" s="105"/>
    </row>
    <row r="21" spans="1:13" x14ac:dyDescent="0.25">
      <c r="C21" s="168"/>
      <c r="D21" s="168"/>
      <c r="E21" s="168"/>
      <c r="F21" s="168"/>
      <c r="G21" s="168"/>
      <c r="H21" s="168"/>
      <c r="I21" s="168"/>
      <c r="J21" s="168"/>
    </row>
    <row r="22" spans="1:13" x14ac:dyDescent="0.25">
      <c r="C22" s="168"/>
      <c r="D22" s="168"/>
      <c r="E22" s="168"/>
      <c r="F22" s="168"/>
      <c r="G22" s="168"/>
      <c r="H22" s="168"/>
      <c r="I22" s="168"/>
      <c r="J22" s="168"/>
    </row>
    <row r="23" spans="1:13" x14ac:dyDescent="0.25">
      <c r="C23" s="168"/>
      <c r="D23" s="168"/>
      <c r="E23" s="168"/>
      <c r="F23" s="168"/>
      <c r="G23" s="168"/>
      <c r="H23" s="168"/>
      <c r="I23" s="168"/>
      <c r="J23" s="168"/>
    </row>
    <row r="24" spans="1:13" ht="15.75" thickBot="1" x14ac:dyDescent="0.3">
      <c r="A24" s="169" t="s">
        <v>106</v>
      </c>
      <c r="B24" s="169"/>
      <c r="C24" s="168"/>
      <c r="D24" s="168"/>
      <c r="E24" s="168"/>
      <c r="F24" s="168"/>
      <c r="G24" s="168"/>
      <c r="H24" s="168"/>
      <c r="I24" s="168"/>
      <c r="J24" s="168"/>
    </row>
    <row r="25" spans="1:13" ht="15.75" thickBot="1" x14ac:dyDescent="0.3">
      <c r="A25" s="170"/>
      <c r="B25" s="104"/>
      <c r="C25" s="163" t="s">
        <v>107</v>
      </c>
      <c r="D25" s="163" t="s">
        <v>47</v>
      </c>
      <c r="E25" s="165" t="s">
        <v>108</v>
      </c>
      <c r="H25" s="168"/>
      <c r="I25" s="168"/>
      <c r="J25" s="168"/>
    </row>
    <row r="26" spans="1:13" x14ac:dyDescent="0.25">
      <c r="A26" s="94" t="s">
        <v>109</v>
      </c>
      <c r="B26" s="90"/>
      <c r="C26" s="162">
        <f>B16</f>
        <v>1741.7400000000002</v>
      </c>
      <c r="D26" s="211">
        <v>250</v>
      </c>
      <c r="E26" s="171">
        <f>C26*D26</f>
        <v>435435.00000000006</v>
      </c>
      <c r="F26" s="168"/>
      <c r="G26" s="168"/>
      <c r="H26" s="168"/>
      <c r="I26" s="168"/>
      <c r="J26" s="168"/>
    </row>
    <row r="27" spans="1:13" x14ac:dyDescent="0.25">
      <c r="A27" s="94" t="s">
        <v>110</v>
      </c>
      <c r="B27" s="90"/>
      <c r="C27" s="162">
        <f>B14</f>
        <v>0</v>
      </c>
      <c r="D27" s="211">
        <v>1600</v>
      </c>
      <c r="E27" s="171">
        <f>C27*D27</f>
        <v>0</v>
      </c>
      <c r="F27" s="168"/>
      <c r="G27" s="168"/>
      <c r="H27" s="168"/>
      <c r="I27" s="168"/>
      <c r="J27" s="168"/>
    </row>
    <row r="28" spans="1:13" x14ac:dyDescent="0.25">
      <c r="A28" s="94" t="s">
        <v>111</v>
      </c>
      <c r="B28" s="90"/>
      <c r="C28" s="162">
        <f>B18</f>
        <v>0</v>
      </c>
      <c r="D28" s="211">
        <v>2500</v>
      </c>
      <c r="E28" s="171">
        <f>C28*D28</f>
        <v>0</v>
      </c>
      <c r="F28" s="168"/>
      <c r="G28" s="168"/>
      <c r="H28" s="168"/>
      <c r="I28" s="168"/>
      <c r="J28" s="168"/>
    </row>
    <row r="29" spans="1:13" x14ac:dyDescent="0.25">
      <c r="A29" s="94" t="s">
        <v>112</v>
      </c>
      <c r="B29" s="90"/>
      <c r="C29" s="162"/>
      <c r="D29" s="211">
        <v>600</v>
      </c>
      <c r="E29" s="171">
        <f>C29*D29</f>
        <v>0</v>
      </c>
    </row>
    <row r="30" spans="1:13" x14ac:dyDescent="0.25">
      <c r="A30" s="94" t="s">
        <v>113</v>
      </c>
      <c r="B30" s="90"/>
      <c r="C30" s="90"/>
      <c r="D30" s="90"/>
      <c r="E30" s="172">
        <f>SUM(E26:E29)</f>
        <v>435435.00000000006</v>
      </c>
    </row>
    <row r="31" spans="1:13" x14ac:dyDescent="0.25">
      <c r="A31" s="94" t="s">
        <v>114</v>
      </c>
      <c r="B31" s="90"/>
      <c r="C31" s="173">
        <v>0.12</v>
      </c>
      <c r="D31" s="90"/>
      <c r="E31" s="172">
        <f>E30*C31</f>
        <v>52252.200000000004</v>
      </c>
    </row>
    <row r="32" spans="1:13" x14ac:dyDescent="0.25">
      <c r="A32" s="94" t="s">
        <v>115</v>
      </c>
      <c r="B32" s="90"/>
      <c r="C32" s="173">
        <v>0.06</v>
      </c>
      <c r="D32" s="90"/>
      <c r="E32" s="172">
        <f>E30*C32</f>
        <v>26126.100000000002</v>
      </c>
    </row>
    <row r="33" spans="1:7" x14ac:dyDescent="0.25">
      <c r="A33" s="94" t="s">
        <v>116</v>
      </c>
      <c r="B33" s="90"/>
      <c r="C33" s="90"/>
      <c r="D33" s="90"/>
      <c r="E33" s="92"/>
      <c r="F33" s="174">
        <f>'[3]TRI 5 ans Mono loc'!D15</f>
        <v>2018</v>
      </c>
      <c r="G33" s="174">
        <f>'[3]TRI 5 ans Mono loc'!E15</f>
        <v>2019</v>
      </c>
    </row>
    <row r="34" spans="1:7" ht="15.75" thickBot="1" x14ac:dyDescent="0.3">
      <c r="A34" s="100"/>
      <c r="B34" s="101"/>
      <c r="C34" s="101"/>
      <c r="D34" s="101"/>
      <c r="E34" s="101"/>
      <c r="F34" s="175">
        <v>0.75</v>
      </c>
      <c r="G34" s="176">
        <f>1-F34</f>
        <v>0.25</v>
      </c>
    </row>
    <row r="35" spans="1:7" ht="15.75" thickBot="1" x14ac:dyDescent="0.3">
      <c r="A35" s="170" t="s">
        <v>117</v>
      </c>
      <c r="B35" s="104"/>
      <c r="C35" s="104"/>
      <c r="D35" s="104"/>
      <c r="E35" s="177">
        <f>SUM(E30:E34)</f>
        <v>513813.30000000005</v>
      </c>
      <c r="F35" s="178">
        <f>$E$35*F34</f>
        <v>385359.97500000003</v>
      </c>
      <c r="G35" s="178">
        <f>$E$35*G34</f>
        <v>128453.32500000001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L375"/>
  <sheetViews>
    <sheetView tabSelected="1" topLeftCell="A28" zoomScaleNormal="100" workbookViewId="0">
      <selection activeCell="O12" sqref="O12"/>
    </sheetView>
  </sheetViews>
  <sheetFormatPr baseColWidth="10" defaultRowHeight="12.75" outlineLevelRow="1" x14ac:dyDescent="0.25"/>
  <cols>
    <col min="1" max="1" width="12" style="1" customWidth="1"/>
    <col min="2" max="2" width="7" style="1" customWidth="1"/>
    <col min="3" max="3" width="22.5703125" style="1" customWidth="1"/>
    <col min="4" max="4" width="13.85546875" style="1" customWidth="1"/>
    <col min="5" max="5" width="11" style="1" customWidth="1"/>
    <col min="6" max="6" width="12.85546875" style="1" customWidth="1"/>
    <col min="7" max="8" width="11.28515625" style="1" customWidth="1"/>
    <col min="9" max="9" width="11.5703125" style="1" customWidth="1"/>
    <col min="10" max="10" width="11.85546875" style="1" customWidth="1"/>
    <col min="11" max="11" width="13.7109375" style="1" customWidth="1"/>
    <col min="12" max="12" width="12" style="1" customWidth="1"/>
    <col min="13" max="13" width="11.7109375" style="1" customWidth="1"/>
    <col min="14" max="14" width="11.42578125" style="1" customWidth="1"/>
    <col min="15" max="15" width="11.28515625" style="1" customWidth="1"/>
    <col min="16" max="16" width="11.7109375" style="1" customWidth="1"/>
    <col min="17" max="17" width="12.42578125" style="1" customWidth="1"/>
    <col min="18" max="18" width="11.28515625" style="1" customWidth="1"/>
    <col min="19" max="19" width="10.7109375" style="1" customWidth="1"/>
    <col min="20" max="20" width="10.85546875" style="1" customWidth="1"/>
    <col min="21" max="21" width="12.5703125" style="1" customWidth="1"/>
    <col min="22" max="24" width="14.28515625" style="1" bestFit="1" customWidth="1"/>
    <col min="25" max="30" width="12.42578125" style="1" bestFit="1" customWidth="1"/>
    <col min="31" max="31" width="14.140625" style="1" bestFit="1" customWidth="1"/>
    <col min="32" max="257" width="11.42578125" style="1"/>
    <col min="258" max="258" width="10.7109375" style="1" customWidth="1"/>
    <col min="259" max="259" width="48" style="1" bestFit="1" customWidth="1"/>
    <col min="260" max="260" width="14.42578125" style="1" bestFit="1" customWidth="1"/>
    <col min="261" max="261" width="13.140625" style="1" customWidth="1"/>
    <col min="262" max="262" width="13.28515625" style="1" bestFit="1" customWidth="1"/>
    <col min="263" max="263" width="31.42578125" style="1" bestFit="1" customWidth="1"/>
    <col min="264" max="264" width="13.28515625" style="1" bestFit="1" customWidth="1"/>
    <col min="265" max="265" width="14.42578125" style="1" bestFit="1" customWidth="1"/>
    <col min="266" max="266" width="14.42578125" style="1" customWidth="1"/>
    <col min="267" max="267" width="14.42578125" style="1" bestFit="1" customWidth="1"/>
    <col min="268" max="268" width="10.42578125" style="1" bestFit="1" customWidth="1"/>
    <col min="269" max="269" width="1.85546875" style="1" customWidth="1"/>
    <col min="270" max="270" width="40.85546875" style="1" bestFit="1" customWidth="1"/>
    <col min="271" max="271" width="13.140625" style="1" customWidth="1"/>
    <col min="272" max="272" width="12.85546875" style="1" customWidth="1"/>
    <col min="273" max="273" width="15.28515625" style="1" customWidth="1"/>
    <col min="274" max="275" width="13.140625" style="1" customWidth="1"/>
    <col min="276" max="276" width="17.28515625" style="1" customWidth="1"/>
    <col min="277" max="513" width="11.42578125" style="1"/>
    <col min="514" max="514" width="10.7109375" style="1" customWidth="1"/>
    <col min="515" max="515" width="48" style="1" bestFit="1" customWidth="1"/>
    <col min="516" max="516" width="14.42578125" style="1" bestFit="1" customWidth="1"/>
    <col min="517" max="517" width="13.140625" style="1" customWidth="1"/>
    <col min="518" max="518" width="13.28515625" style="1" bestFit="1" customWidth="1"/>
    <col min="519" max="519" width="31.42578125" style="1" bestFit="1" customWidth="1"/>
    <col min="520" max="520" width="13.28515625" style="1" bestFit="1" customWidth="1"/>
    <col min="521" max="521" width="14.42578125" style="1" bestFit="1" customWidth="1"/>
    <col min="522" max="522" width="14.42578125" style="1" customWidth="1"/>
    <col min="523" max="523" width="14.42578125" style="1" bestFit="1" customWidth="1"/>
    <col min="524" max="524" width="10.42578125" style="1" bestFit="1" customWidth="1"/>
    <col min="525" max="525" width="1.85546875" style="1" customWidth="1"/>
    <col min="526" max="526" width="40.85546875" style="1" bestFit="1" customWidth="1"/>
    <col min="527" max="527" width="13.140625" style="1" customWidth="1"/>
    <col min="528" max="528" width="12.85546875" style="1" customWidth="1"/>
    <col min="529" max="529" width="15.28515625" style="1" customWidth="1"/>
    <col min="530" max="531" width="13.140625" style="1" customWidth="1"/>
    <col min="532" max="532" width="17.28515625" style="1" customWidth="1"/>
    <col min="533" max="769" width="11.42578125" style="1"/>
    <col min="770" max="770" width="10.7109375" style="1" customWidth="1"/>
    <col min="771" max="771" width="48" style="1" bestFit="1" customWidth="1"/>
    <col min="772" max="772" width="14.42578125" style="1" bestFit="1" customWidth="1"/>
    <col min="773" max="773" width="13.140625" style="1" customWidth="1"/>
    <col min="774" max="774" width="13.28515625" style="1" bestFit="1" customWidth="1"/>
    <col min="775" max="775" width="31.42578125" style="1" bestFit="1" customWidth="1"/>
    <col min="776" max="776" width="13.28515625" style="1" bestFit="1" customWidth="1"/>
    <col min="777" max="777" width="14.42578125" style="1" bestFit="1" customWidth="1"/>
    <col min="778" max="778" width="14.42578125" style="1" customWidth="1"/>
    <col min="779" max="779" width="14.42578125" style="1" bestFit="1" customWidth="1"/>
    <col min="780" max="780" width="10.42578125" style="1" bestFit="1" customWidth="1"/>
    <col min="781" max="781" width="1.85546875" style="1" customWidth="1"/>
    <col min="782" max="782" width="40.85546875" style="1" bestFit="1" customWidth="1"/>
    <col min="783" max="783" width="13.140625" style="1" customWidth="1"/>
    <col min="784" max="784" width="12.85546875" style="1" customWidth="1"/>
    <col min="785" max="785" width="15.28515625" style="1" customWidth="1"/>
    <col min="786" max="787" width="13.140625" style="1" customWidth="1"/>
    <col min="788" max="788" width="17.28515625" style="1" customWidth="1"/>
    <col min="789" max="1025" width="11.42578125" style="1"/>
    <col min="1026" max="1026" width="10.7109375" style="1" customWidth="1"/>
    <col min="1027" max="1027" width="48" style="1" bestFit="1" customWidth="1"/>
    <col min="1028" max="1028" width="14.42578125" style="1" bestFit="1" customWidth="1"/>
    <col min="1029" max="1029" width="13.140625" style="1" customWidth="1"/>
    <col min="1030" max="1030" width="13.28515625" style="1" bestFit="1" customWidth="1"/>
    <col min="1031" max="1031" width="31.42578125" style="1" bestFit="1" customWidth="1"/>
    <col min="1032" max="1032" width="13.28515625" style="1" bestFit="1" customWidth="1"/>
    <col min="1033" max="1033" width="14.42578125" style="1" bestFit="1" customWidth="1"/>
    <col min="1034" max="1034" width="14.42578125" style="1" customWidth="1"/>
    <col min="1035" max="1035" width="14.42578125" style="1" bestFit="1" customWidth="1"/>
    <col min="1036" max="1036" width="10.42578125" style="1" bestFit="1" customWidth="1"/>
    <col min="1037" max="1037" width="1.85546875" style="1" customWidth="1"/>
    <col min="1038" max="1038" width="40.85546875" style="1" bestFit="1" customWidth="1"/>
    <col min="1039" max="1039" width="13.140625" style="1" customWidth="1"/>
    <col min="1040" max="1040" width="12.85546875" style="1" customWidth="1"/>
    <col min="1041" max="1041" width="15.28515625" style="1" customWidth="1"/>
    <col min="1042" max="1043" width="13.140625" style="1" customWidth="1"/>
    <col min="1044" max="1044" width="17.28515625" style="1" customWidth="1"/>
    <col min="1045" max="1281" width="11.42578125" style="1"/>
    <col min="1282" max="1282" width="10.7109375" style="1" customWidth="1"/>
    <col min="1283" max="1283" width="48" style="1" bestFit="1" customWidth="1"/>
    <col min="1284" max="1284" width="14.42578125" style="1" bestFit="1" customWidth="1"/>
    <col min="1285" max="1285" width="13.140625" style="1" customWidth="1"/>
    <col min="1286" max="1286" width="13.28515625" style="1" bestFit="1" customWidth="1"/>
    <col min="1287" max="1287" width="31.42578125" style="1" bestFit="1" customWidth="1"/>
    <col min="1288" max="1288" width="13.28515625" style="1" bestFit="1" customWidth="1"/>
    <col min="1289" max="1289" width="14.42578125" style="1" bestFit="1" customWidth="1"/>
    <col min="1290" max="1290" width="14.42578125" style="1" customWidth="1"/>
    <col min="1291" max="1291" width="14.42578125" style="1" bestFit="1" customWidth="1"/>
    <col min="1292" max="1292" width="10.42578125" style="1" bestFit="1" customWidth="1"/>
    <col min="1293" max="1293" width="1.85546875" style="1" customWidth="1"/>
    <col min="1294" max="1294" width="40.85546875" style="1" bestFit="1" customWidth="1"/>
    <col min="1295" max="1295" width="13.140625" style="1" customWidth="1"/>
    <col min="1296" max="1296" width="12.85546875" style="1" customWidth="1"/>
    <col min="1297" max="1297" width="15.28515625" style="1" customWidth="1"/>
    <col min="1298" max="1299" width="13.140625" style="1" customWidth="1"/>
    <col min="1300" max="1300" width="17.28515625" style="1" customWidth="1"/>
    <col min="1301" max="1537" width="11.42578125" style="1"/>
    <col min="1538" max="1538" width="10.7109375" style="1" customWidth="1"/>
    <col min="1539" max="1539" width="48" style="1" bestFit="1" customWidth="1"/>
    <col min="1540" max="1540" width="14.42578125" style="1" bestFit="1" customWidth="1"/>
    <col min="1541" max="1541" width="13.140625" style="1" customWidth="1"/>
    <col min="1542" max="1542" width="13.28515625" style="1" bestFit="1" customWidth="1"/>
    <col min="1543" max="1543" width="31.42578125" style="1" bestFit="1" customWidth="1"/>
    <col min="1544" max="1544" width="13.28515625" style="1" bestFit="1" customWidth="1"/>
    <col min="1545" max="1545" width="14.42578125" style="1" bestFit="1" customWidth="1"/>
    <col min="1546" max="1546" width="14.42578125" style="1" customWidth="1"/>
    <col min="1547" max="1547" width="14.42578125" style="1" bestFit="1" customWidth="1"/>
    <col min="1548" max="1548" width="10.42578125" style="1" bestFit="1" customWidth="1"/>
    <col min="1549" max="1549" width="1.85546875" style="1" customWidth="1"/>
    <col min="1550" max="1550" width="40.85546875" style="1" bestFit="1" customWidth="1"/>
    <col min="1551" max="1551" width="13.140625" style="1" customWidth="1"/>
    <col min="1552" max="1552" width="12.85546875" style="1" customWidth="1"/>
    <col min="1553" max="1553" width="15.28515625" style="1" customWidth="1"/>
    <col min="1554" max="1555" width="13.140625" style="1" customWidth="1"/>
    <col min="1556" max="1556" width="17.28515625" style="1" customWidth="1"/>
    <col min="1557" max="1793" width="11.42578125" style="1"/>
    <col min="1794" max="1794" width="10.7109375" style="1" customWidth="1"/>
    <col min="1795" max="1795" width="48" style="1" bestFit="1" customWidth="1"/>
    <col min="1796" max="1796" width="14.42578125" style="1" bestFit="1" customWidth="1"/>
    <col min="1797" max="1797" width="13.140625" style="1" customWidth="1"/>
    <col min="1798" max="1798" width="13.28515625" style="1" bestFit="1" customWidth="1"/>
    <col min="1799" max="1799" width="31.42578125" style="1" bestFit="1" customWidth="1"/>
    <col min="1800" max="1800" width="13.28515625" style="1" bestFit="1" customWidth="1"/>
    <col min="1801" max="1801" width="14.42578125" style="1" bestFit="1" customWidth="1"/>
    <col min="1802" max="1802" width="14.42578125" style="1" customWidth="1"/>
    <col min="1803" max="1803" width="14.42578125" style="1" bestFit="1" customWidth="1"/>
    <col min="1804" max="1804" width="10.42578125" style="1" bestFit="1" customWidth="1"/>
    <col min="1805" max="1805" width="1.85546875" style="1" customWidth="1"/>
    <col min="1806" max="1806" width="40.85546875" style="1" bestFit="1" customWidth="1"/>
    <col min="1807" max="1807" width="13.140625" style="1" customWidth="1"/>
    <col min="1808" max="1808" width="12.85546875" style="1" customWidth="1"/>
    <col min="1809" max="1809" width="15.28515625" style="1" customWidth="1"/>
    <col min="1810" max="1811" width="13.140625" style="1" customWidth="1"/>
    <col min="1812" max="1812" width="17.28515625" style="1" customWidth="1"/>
    <col min="1813" max="2049" width="11.42578125" style="1"/>
    <col min="2050" max="2050" width="10.7109375" style="1" customWidth="1"/>
    <col min="2051" max="2051" width="48" style="1" bestFit="1" customWidth="1"/>
    <col min="2052" max="2052" width="14.42578125" style="1" bestFit="1" customWidth="1"/>
    <col min="2053" max="2053" width="13.140625" style="1" customWidth="1"/>
    <col min="2054" max="2054" width="13.28515625" style="1" bestFit="1" customWidth="1"/>
    <col min="2055" max="2055" width="31.42578125" style="1" bestFit="1" customWidth="1"/>
    <col min="2056" max="2056" width="13.28515625" style="1" bestFit="1" customWidth="1"/>
    <col min="2057" max="2057" width="14.42578125" style="1" bestFit="1" customWidth="1"/>
    <col min="2058" max="2058" width="14.42578125" style="1" customWidth="1"/>
    <col min="2059" max="2059" width="14.42578125" style="1" bestFit="1" customWidth="1"/>
    <col min="2060" max="2060" width="10.42578125" style="1" bestFit="1" customWidth="1"/>
    <col min="2061" max="2061" width="1.85546875" style="1" customWidth="1"/>
    <col min="2062" max="2062" width="40.85546875" style="1" bestFit="1" customWidth="1"/>
    <col min="2063" max="2063" width="13.140625" style="1" customWidth="1"/>
    <col min="2064" max="2064" width="12.85546875" style="1" customWidth="1"/>
    <col min="2065" max="2065" width="15.28515625" style="1" customWidth="1"/>
    <col min="2066" max="2067" width="13.140625" style="1" customWidth="1"/>
    <col min="2068" max="2068" width="17.28515625" style="1" customWidth="1"/>
    <col min="2069" max="2305" width="11.42578125" style="1"/>
    <col min="2306" max="2306" width="10.7109375" style="1" customWidth="1"/>
    <col min="2307" max="2307" width="48" style="1" bestFit="1" customWidth="1"/>
    <col min="2308" max="2308" width="14.42578125" style="1" bestFit="1" customWidth="1"/>
    <col min="2309" max="2309" width="13.140625" style="1" customWidth="1"/>
    <col min="2310" max="2310" width="13.28515625" style="1" bestFit="1" customWidth="1"/>
    <col min="2311" max="2311" width="31.42578125" style="1" bestFit="1" customWidth="1"/>
    <col min="2312" max="2312" width="13.28515625" style="1" bestFit="1" customWidth="1"/>
    <col min="2313" max="2313" width="14.42578125" style="1" bestFit="1" customWidth="1"/>
    <col min="2314" max="2314" width="14.42578125" style="1" customWidth="1"/>
    <col min="2315" max="2315" width="14.42578125" style="1" bestFit="1" customWidth="1"/>
    <col min="2316" max="2316" width="10.42578125" style="1" bestFit="1" customWidth="1"/>
    <col min="2317" max="2317" width="1.85546875" style="1" customWidth="1"/>
    <col min="2318" max="2318" width="40.85546875" style="1" bestFit="1" customWidth="1"/>
    <col min="2319" max="2319" width="13.140625" style="1" customWidth="1"/>
    <col min="2320" max="2320" width="12.85546875" style="1" customWidth="1"/>
    <col min="2321" max="2321" width="15.28515625" style="1" customWidth="1"/>
    <col min="2322" max="2323" width="13.140625" style="1" customWidth="1"/>
    <col min="2324" max="2324" width="17.28515625" style="1" customWidth="1"/>
    <col min="2325" max="2561" width="11.42578125" style="1"/>
    <col min="2562" max="2562" width="10.7109375" style="1" customWidth="1"/>
    <col min="2563" max="2563" width="48" style="1" bestFit="1" customWidth="1"/>
    <col min="2564" max="2564" width="14.42578125" style="1" bestFit="1" customWidth="1"/>
    <col min="2565" max="2565" width="13.140625" style="1" customWidth="1"/>
    <col min="2566" max="2566" width="13.28515625" style="1" bestFit="1" customWidth="1"/>
    <col min="2567" max="2567" width="31.42578125" style="1" bestFit="1" customWidth="1"/>
    <col min="2568" max="2568" width="13.28515625" style="1" bestFit="1" customWidth="1"/>
    <col min="2569" max="2569" width="14.42578125" style="1" bestFit="1" customWidth="1"/>
    <col min="2570" max="2570" width="14.42578125" style="1" customWidth="1"/>
    <col min="2571" max="2571" width="14.42578125" style="1" bestFit="1" customWidth="1"/>
    <col min="2572" max="2572" width="10.42578125" style="1" bestFit="1" customWidth="1"/>
    <col min="2573" max="2573" width="1.85546875" style="1" customWidth="1"/>
    <col min="2574" max="2574" width="40.85546875" style="1" bestFit="1" customWidth="1"/>
    <col min="2575" max="2575" width="13.140625" style="1" customWidth="1"/>
    <col min="2576" max="2576" width="12.85546875" style="1" customWidth="1"/>
    <col min="2577" max="2577" width="15.28515625" style="1" customWidth="1"/>
    <col min="2578" max="2579" width="13.140625" style="1" customWidth="1"/>
    <col min="2580" max="2580" width="17.28515625" style="1" customWidth="1"/>
    <col min="2581" max="2817" width="11.42578125" style="1"/>
    <col min="2818" max="2818" width="10.7109375" style="1" customWidth="1"/>
    <col min="2819" max="2819" width="48" style="1" bestFit="1" customWidth="1"/>
    <col min="2820" max="2820" width="14.42578125" style="1" bestFit="1" customWidth="1"/>
    <col min="2821" max="2821" width="13.140625" style="1" customWidth="1"/>
    <col min="2822" max="2822" width="13.28515625" style="1" bestFit="1" customWidth="1"/>
    <col min="2823" max="2823" width="31.42578125" style="1" bestFit="1" customWidth="1"/>
    <col min="2824" max="2824" width="13.28515625" style="1" bestFit="1" customWidth="1"/>
    <col min="2825" max="2825" width="14.42578125" style="1" bestFit="1" customWidth="1"/>
    <col min="2826" max="2826" width="14.42578125" style="1" customWidth="1"/>
    <col min="2827" max="2827" width="14.42578125" style="1" bestFit="1" customWidth="1"/>
    <col min="2828" max="2828" width="10.42578125" style="1" bestFit="1" customWidth="1"/>
    <col min="2829" max="2829" width="1.85546875" style="1" customWidth="1"/>
    <col min="2830" max="2830" width="40.85546875" style="1" bestFit="1" customWidth="1"/>
    <col min="2831" max="2831" width="13.140625" style="1" customWidth="1"/>
    <col min="2832" max="2832" width="12.85546875" style="1" customWidth="1"/>
    <col min="2833" max="2833" width="15.28515625" style="1" customWidth="1"/>
    <col min="2834" max="2835" width="13.140625" style="1" customWidth="1"/>
    <col min="2836" max="2836" width="17.28515625" style="1" customWidth="1"/>
    <col min="2837" max="3073" width="11.42578125" style="1"/>
    <col min="3074" max="3074" width="10.7109375" style="1" customWidth="1"/>
    <col min="3075" max="3075" width="48" style="1" bestFit="1" customWidth="1"/>
    <col min="3076" max="3076" width="14.42578125" style="1" bestFit="1" customWidth="1"/>
    <col min="3077" max="3077" width="13.140625" style="1" customWidth="1"/>
    <col min="3078" max="3078" width="13.28515625" style="1" bestFit="1" customWidth="1"/>
    <col min="3079" max="3079" width="31.42578125" style="1" bestFit="1" customWidth="1"/>
    <col min="3080" max="3080" width="13.28515625" style="1" bestFit="1" customWidth="1"/>
    <col min="3081" max="3081" width="14.42578125" style="1" bestFit="1" customWidth="1"/>
    <col min="3082" max="3082" width="14.42578125" style="1" customWidth="1"/>
    <col min="3083" max="3083" width="14.42578125" style="1" bestFit="1" customWidth="1"/>
    <col min="3084" max="3084" width="10.42578125" style="1" bestFit="1" customWidth="1"/>
    <col min="3085" max="3085" width="1.85546875" style="1" customWidth="1"/>
    <col min="3086" max="3086" width="40.85546875" style="1" bestFit="1" customWidth="1"/>
    <col min="3087" max="3087" width="13.140625" style="1" customWidth="1"/>
    <col min="3088" max="3088" width="12.85546875" style="1" customWidth="1"/>
    <col min="3089" max="3089" width="15.28515625" style="1" customWidth="1"/>
    <col min="3090" max="3091" width="13.140625" style="1" customWidth="1"/>
    <col min="3092" max="3092" width="17.28515625" style="1" customWidth="1"/>
    <col min="3093" max="3329" width="11.42578125" style="1"/>
    <col min="3330" max="3330" width="10.7109375" style="1" customWidth="1"/>
    <col min="3331" max="3331" width="48" style="1" bestFit="1" customWidth="1"/>
    <col min="3332" max="3332" width="14.42578125" style="1" bestFit="1" customWidth="1"/>
    <col min="3333" max="3333" width="13.140625" style="1" customWidth="1"/>
    <col min="3334" max="3334" width="13.28515625" style="1" bestFit="1" customWidth="1"/>
    <col min="3335" max="3335" width="31.42578125" style="1" bestFit="1" customWidth="1"/>
    <col min="3336" max="3336" width="13.28515625" style="1" bestFit="1" customWidth="1"/>
    <col min="3337" max="3337" width="14.42578125" style="1" bestFit="1" customWidth="1"/>
    <col min="3338" max="3338" width="14.42578125" style="1" customWidth="1"/>
    <col min="3339" max="3339" width="14.42578125" style="1" bestFit="1" customWidth="1"/>
    <col min="3340" max="3340" width="10.42578125" style="1" bestFit="1" customWidth="1"/>
    <col min="3341" max="3341" width="1.85546875" style="1" customWidth="1"/>
    <col min="3342" max="3342" width="40.85546875" style="1" bestFit="1" customWidth="1"/>
    <col min="3343" max="3343" width="13.140625" style="1" customWidth="1"/>
    <col min="3344" max="3344" width="12.85546875" style="1" customWidth="1"/>
    <col min="3345" max="3345" width="15.28515625" style="1" customWidth="1"/>
    <col min="3346" max="3347" width="13.140625" style="1" customWidth="1"/>
    <col min="3348" max="3348" width="17.28515625" style="1" customWidth="1"/>
    <col min="3349" max="3585" width="11.42578125" style="1"/>
    <col min="3586" max="3586" width="10.7109375" style="1" customWidth="1"/>
    <col min="3587" max="3587" width="48" style="1" bestFit="1" customWidth="1"/>
    <col min="3588" max="3588" width="14.42578125" style="1" bestFit="1" customWidth="1"/>
    <col min="3589" max="3589" width="13.140625" style="1" customWidth="1"/>
    <col min="3590" max="3590" width="13.28515625" style="1" bestFit="1" customWidth="1"/>
    <col min="3591" max="3591" width="31.42578125" style="1" bestFit="1" customWidth="1"/>
    <col min="3592" max="3592" width="13.28515625" style="1" bestFit="1" customWidth="1"/>
    <col min="3593" max="3593" width="14.42578125" style="1" bestFit="1" customWidth="1"/>
    <col min="3594" max="3594" width="14.42578125" style="1" customWidth="1"/>
    <col min="3595" max="3595" width="14.42578125" style="1" bestFit="1" customWidth="1"/>
    <col min="3596" max="3596" width="10.42578125" style="1" bestFit="1" customWidth="1"/>
    <col min="3597" max="3597" width="1.85546875" style="1" customWidth="1"/>
    <col min="3598" max="3598" width="40.85546875" style="1" bestFit="1" customWidth="1"/>
    <col min="3599" max="3599" width="13.140625" style="1" customWidth="1"/>
    <col min="3600" max="3600" width="12.85546875" style="1" customWidth="1"/>
    <col min="3601" max="3601" width="15.28515625" style="1" customWidth="1"/>
    <col min="3602" max="3603" width="13.140625" style="1" customWidth="1"/>
    <col min="3604" max="3604" width="17.28515625" style="1" customWidth="1"/>
    <col min="3605" max="3841" width="11.42578125" style="1"/>
    <col min="3842" max="3842" width="10.7109375" style="1" customWidth="1"/>
    <col min="3843" max="3843" width="48" style="1" bestFit="1" customWidth="1"/>
    <col min="3844" max="3844" width="14.42578125" style="1" bestFit="1" customWidth="1"/>
    <col min="3845" max="3845" width="13.140625" style="1" customWidth="1"/>
    <col min="3846" max="3846" width="13.28515625" style="1" bestFit="1" customWidth="1"/>
    <col min="3847" max="3847" width="31.42578125" style="1" bestFit="1" customWidth="1"/>
    <col min="3848" max="3848" width="13.28515625" style="1" bestFit="1" customWidth="1"/>
    <col min="3849" max="3849" width="14.42578125" style="1" bestFit="1" customWidth="1"/>
    <col min="3850" max="3850" width="14.42578125" style="1" customWidth="1"/>
    <col min="3851" max="3851" width="14.42578125" style="1" bestFit="1" customWidth="1"/>
    <col min="3852" max="3852" width="10.42578125" style="1" bestFit="1" customWidth="1"/>
    <col min="3853" max="3853" width="1.85546875" style="1" customWidth="1"/>
    <col min="3854" max="3854" width="40.85546875" style="1" bestFit="1" customWidth="1"/>
    <col min="3855" max="3855" width="13.140625" style="1" customWidth="1"/>
    <col min="3856" max="3856" width="12.85546875" style="1" customWidth="1"/>
    <col min="3857" max="3857" width="15.28515625" style="1" customWidth="1"/>
    <col min="3858" max="3859" width="13.140625" style="1" customWidth="1"/>
    <col min="3860" max="3860" width="17.28515625" style="1" customWidth="1"/>
    <col min="3861" max="4097" width="11.42578125" style="1"/>
    <col min="4098" max="4098" width="10.7109375" style="1" customWidth="1"/>
    <col min="4099" max="4099" width="48" style="1" bestFit="1" customWidth="1"/>
    <col min="4100" max="4100" width="14.42578125" style="1" bestFit="1" customWidth="1"/>
    <col min="4101" max="4101" width="13.140625" style="1" customWidth="1"/>
    <col min="4102" max="4102" width="13.28515625" style="1" bestFit="1" customWidth="1"/>
    <col min="4103" max="4103" width="31.42578125" style="1" bestFit="1" customWidth="1"/>
    <col min="4104" max="4104" width="13.28515625" style="1" bestFit="1" customWidth="1"/>
    <col min="4105" max="4105" width="14.42578125" style="1" bestFit="1" customWidth="1"/>
    <col min="4106" max="4106" width="14.42578125" style="1" customWidth="1"/>
    <col min="4107" max="4107" width="14.42578125" style="1" bestFit="1" customWidth="1"/>
    <col min="4108" max="4108" width="10.42578125" style="1" bestFit="1" customWidth="1"/>
    <col min="4109" max="4109" width="1.85546875" style="1" customWidth="1"/>
    <col min="4110" max="4110" width="40.85546875" style="1" bestFit="1" customWidth="1"/>
    <col min="4111" max="4111" width="13.140625" style="1" customWidth="1"/>
    <col min="4112" max="4112" width="12.85546875" style="1" customWidth="1"/>
    <col min="4113" max="4113" width="15.28515625" style="1" customWidth="1"/>
    <col min="4114" max="4115" width="13.140625" style="1" customWidth="1"/>
    <col min="4116" max="4116" width="17.28515625" style="1" customWidth="1"/>
    <col min="4117" max="4353" width="11.42578125" style="1"/>
    <col min="4354" max="4354" width="10.7109375" style="1" customWidth="1"/>
    <col min="4355" max="4355" width="48" style="1" bestFit="1" customWidth="1"/>
    <col min="4356" max="4356" width="14.42578125" style="1" bestFit="1" customWidth="1"/>
    <col min="4357" max="4357" width="13.140625" style="1" customWidth="1"/>
    <col min="4358" max="4358" width="13.28515625" style="1" bestFit="1" customWidth="1"/>
    <col min="4359" max="4359" width="31.42578125" style="1" bestFit="1" customWidth="1"/>
    <col min="4360" max="4360" width="13.28515625" style="1" bestFit="1" customWidth="1"/>
    <col min="4361" max="4361" width="14.42578125" style="1" bestFit="1" customWidth="1"/>
    <col min="4362" max="4362" width="14.42578125" style="1" customWidth="1"/>
    <col min="4363" max="4363" width="14.42578125" style="1" bestFit="1" customWidth="1"/>
    <col min="4364" max="4364" width="10.42578125" style="1" bestFit="1" customWidth="1"/>
    <col min="4365" max="4365" width="1.85546875" style="1" customWidth="1"/>
    <col min="4366" max="4366" width="40.85546875" style="1" bestFit="1" customWidth="1"/>
    <col min="4367" max="4367" width="13.140625" style="1" customWidth="1"/>
    <col min="4368" max="4368" width="12.85546875" style="1" customWidth="1"/>
    <col min="4369" max="4369" width="15.28515625" style="1" customWidth="1"/>
    <col min="4370" max="4371" width="13.140625" style="1" customWidth="1"/>
    <col min="4372" max="4372" width="17.28515625" style="1" customWidth="1"/>
    <col min="4373" max="4609" width="11.42578125" style="1"/>
    <col min="4610" max="4610" width="10.7109375" style="1" customWidth="1"/>
    <col min="4611" max="4611" width="48" style="1" bestFit="1" customWidth="1"/>
    <col min="4612" max="4612" width="14.42578125" style="1" bestFit="1" customWidth="1"/>
    <col min="4613" max="4613" width="13.140625" style="1" customWidth="1"/>
    <col min="4614" max="4614" width="13.28515625" style="1" bestFit="1" customWidth="1"/>
    <col min="4615" max="4615" width="31.42578125" style="1" bestFit="1" customWidth="1"/>
    <col min="4616" max="4616" width="13.28515625" style="1" bestFit="1" customWidth="1"/>
    <col min="4617" max="4617" width="14.42578125" style="1" bestFit="1" customWidth="1"/>
    <col min="4618" max="4618" width="14.42578125" style="1" customWidth="1"/>
    <col min="4619" max="4619" width="14.42578125" style="1" bestFit="1" customWidth="1"/>
    <col min="4620" max="4620" width="10.42578125" style="1" bestFit="1" customWidth="1"/>
    <col min="4621" max="4621" width="1.85546875" style="1" customWidth="1"/>
    <col min="4622" max="4622" width="40.85546875" style="1" bestFit="1" customWidth="1"/>
    <col min="4623" max="4623" width="13.140625" style="1" customWidth="1"/>
    <col min="4624" max="4624" width="12.85546875" style="1" customWidth="1"/>
    <col min="4625" max="4625" width="15.28515625" style="1" customWidth="1"/>
    <col min="4626" max="4627" width="13.140625" style="1" customWidth="1"/>
    <col min="4628" max="4628" width="17.28515625" style="1" customWidth="1"/>
    <col min="4629" max="4865" width="11.42578125" style="1"/>
    <col min="4866" max="4866" width="10.7109375" style="1" customWidth="1"/>
    <col min="4867" max="4867" width="48" style="1" bestFit="1" customWidth="1"/>
    <col min="4868" max="4868" width="14.42578125" style="1" bestFit="1" customWidth="1"/>
    <col min="4869" max="4869" width="13.140625" style="1" customWidth="1"/>
    <col min="4870" max="4870" width="13.28515625" style="1" bestFit="1" customWidth="1"/>
    <col min="4871" max="4871" width="31.42578125" style="1" bestFit="1" customWidth="1"/>
    <col min="4872" max="4872" width="13.28515625" style="1" bestFit="1" customWidth="1"/>
    <col min="4873" max="4873" width="14.42578125" style="1" bestFit="1" customWidth="1"/>
    <col min="4874" max="4874" width="14.42578125" style="1" customWidth="1"/>
    <col min="4875" max="4875" width="14.42578125" style="1" bestFit="1" customWidth="1"/>
    <col min="4876" max="4876" width="10.42578125" style="1" bestFit="1" customWidth="1"/>
    <col min="4877" max="4877" width="1.85546875" style="1" customWidth="1"/>
    <col min="4878" max="4878" width="40.85546875" style="1" bestFit="1" customWidth="1"/>
    <col min="4879" max="4879" width="13.140625" style="1" customWidth="1"/>
    <col min="4880" max="4880" width="12.85546875" style="1" customWidth="1"/>
    <col min="4881" max="4881" width="15.28515625" style="1" customWidth="1"/>
    <col min="4882" max="4883" width="13.140625" style="1" customWidth="1"/>
    <col min="4884" max="4884" width="17.28515625" style="1" customWidth="1"/>
    <col min="4885" max="5121" width="11.42578125" style="1"/>
    <col min="5122" max="5122" width="10.7109375" style="1" customWidth="1"/>
    <col min="5123" max="5123" width="48" style="1" bestFit="1" customWidth="1"/>
    <col min="5124" max="5124" width="14.42578125" style="1" bestFit="1" customWidth="1"/>
    <col min="5125" max="5125" width="13.140625" style="1" customWidth="1"/>
    <col min="5126" max="5126" width="13.28515625" style="1" bestFit="1" customWidth="1"/>
    <col min="5127" max="5127" width="31.42578125" style="1" bestFit="1" customWidth="1"/>
    <col min="5128" max="5128" width="13.28515625" style="1" bestFit="1" customWidth="1"/>
    <col min="5129" max="5129" width="14.42578125" style="1" bestFit="1" customWidth="1"/>
    <col min="5130" max="5130" width="14.42578125" style="1" customWidth="1"/>
    <col min="5131" max="5131" width="14.42578125" style="1" bestFit="1" customWidth="1"/>
    <col min="5132" max="5132" width="10.42578125" style="1" bestFit="1" customWidth="1"/>
    <col min="5133" max="5133" width="1.85546875" style="1" customWidth="1"/>
    <col min="5134" max="5134" width="40.85546875" style="1" bestFit="1" customWidth="1"/>
    <col min="5135" max="5135" width="13.140625" style="1" customWidth="1"/>
    <col min="5136" max="5136" width="12.85546875" style="1" customWidth="1"/>
    <col min="5137" max="5137" width="15.28515625" style="1" customWidth="1"/>
    <col min="5138" max="5139" width="13.140625" style="1" customWidth="1"/>
    <col min="5140" max="5140" width="17.28515625" style="1" customWidth="1"/>
    <col min="5141" max="5377" width="11.42578125" style="1"/>
    <col min="5378" max="5378" width="10.7109375" style="1" customWidth="1"/>
    <col min="5379" max="5379" width="48" style="1" bestFit="1" customWidth="1"/>
    <col min="5380" max="5380" width="14.42578125" style="1" bestFit="1" customWidth="1"/>
    <col min="5381" max="5381" width="13.140625" style="1" customWidth="1"/>
    <col min="5382" max="5382" width="13.28515625" style="1" bestFit="1" customWidth="1"/>
    <col min="5383" max="5383" width="31.42578125" style="1" bestFit="1" customWidth="1"/>
    <col min="5384" max="5384" width="13.28515625" style="1" bestFit="1" customWidth="1"/>
    <col min="5385" max="5385" width="14.42578125" style="1" bestFit="1" customWidth="1"/>
    <col min="5386" max="5386" width="14.42578125" style="1" customWidth="1"/>
    <col min="5387" max="5387" width="14.42578125" style="1" bestFit="1" customWidth="1"/>
    <col min="5388" max="5388" width="10.42578125" style="1" bestFit="1" customWidth="1"/>
    <col min="5389" max="5389" width="1.85546875" style="1" customWidth="1"/>
    <col min="5390" max="5390" width="40.85546875" style="1" bestFit="1" customWidth="1"/>
    <col min="5391" max="5391" width="13.140625" style="1" customWidth="1"/>
    <col min="5392" max="5392" width="12.85546875" style="1" customWidth="1"/>
    <col min="5393" max="5393" width="15.28515625" style="1" customWidth="1"/>
    <col min="5394" max="5395" width="13.140625" style="1" customWidth="1"/>
    <col min="5396" max="5396" width="17.28515625" style="1" customWidth="1"/>
    <col min="5397" max="5633" width="11.42578125" style="1"/>
    <col min="5634" max="5634" width="10.7109375" style="1" customWidth="1"/>
    <col min="5635" max="5635" width="48" style="1" bestFit="1" customWidth="1"/>
    <col min="5636" max="5636" width="14.42578125" style="1" bestFit="1" customWidth="1"/>
    <col min="5637" max="5637" width="13.140625" style="1" customWidth="1"/>
    <col min="5638" max="5638" width="13.28515625" style="1" bestFit="1" customWidth="1"/>
    <col min="5639" max="5639" width="31.42578125" style="1" bestFit="1" customWidth="1"/>
    <col min="5640" max="5640" width="13.28515625" style="1" bestFit="1" customWidth="1"/>
    <col min="5641" max="5641" width="14.42578125" style="1" bestFit="1" customWidth="1"/>
    <col min="5642" max="5642" width="14.42578125" style="1" customWidth="1"/>
    <col min="5643" max="5643" width="14.42578125" style="1" bestFit="1" customWidth="1"/>
    <col min="5644" max="5644" width="10.42578125" style="1" bestFit="1" customWidth="1"/>
    <col min="5645" max="5645" width="1.85546875" style="1" customWidth="1"/>
    <col min="5646" max="5646" width="40.85546875" style="1" bestFit="1" customWidth="1"/>
    <col min="5647" max="5647" width="13.140625" style="1" customWidth="1"/>
    <col min="5648" max="5648" width="12.85546875" style="1" customWidth="1"/>
    <col min="5649" max="5649" width="15.28515625" style="1" customWidth="1"/>
    <col min="5650" max="5651" width="13.140625" style="1" customWidth="1"/>
    <col min="5652" max="5652" width="17.28515625" style="1" customWidth="1"/>
    <col min="5653" max="5889" width="11.42578125" style="1"/>
    <col min="5890" max="5890" width="10.7109375" style="1" customWidth="1"/>
    <col min="5891" max="5891" width="48" style="1" bestFit="1" customWidth="1"/>
    <col min="5892" max="5892" width="14.42578125" style="1" bestFit="1" customWidth="1"/>
    <col min="5893" max="5893" width="13.140625" style="1" customWidth="1"/>
    <col min="5894" max="5894" width="13.28515625" style="1" bestFit="1" customWidth="1"/>
    <col min="5895" max="5895" width="31.42578125" style="1" bestFit="1" customWidth="1"/>
    <col min="5896" max="5896" width="13.28515625" style="1" bestFit="1" customWidth="1"/>
    <col min="5897" max="5897" width="14.42578125" style="1" bestFit="1" customWidth="1"/>
    <col min="5898" max="5898" width="14.42578125" style="1" customWidth="1"/>
    <col min="5899" max="5899" width="14.42578125" style="1" bestFit="1" customWidth="1"/>
    <col min="5900" max="5900" width="10.42578125" style="1" bestFit="1" customWidth="1"/>
    <col min="5901" max="5901" width="1.85546875" style="1" customWidth="1"/>
    <col min="5902" max="5902" width="40.85546875" style="1" bestFit="1" customWidth="1"/>
    <col min="5903" max="5903" width="13.140625" style="1" customWidth="1"/>
    <col min="5904" max="5904" width="12.85546875" style="1" customWidth="1"/>
    <col min="5905" max="5905" width="15.28515625" style="1" customWidth="1"/>
    <col min="5906" max="5907" width="13.140625" style="1" customWidth="1"/>
    <col min="5908" max="5908" width="17.28515625" style="1" customWidth="1"/>
    <col min="5909" max="6145" width="11.42578125" style="1"/>
    <col min="6146" max="6146" width="10.7109375" style="1" customWidth="1"/>
    <col min="6147" max="6147" width="48" style="1" bestFit="1" customWidth="1"/>
    <col min="6148" max="6148" width="14.42578125" style="1" bestFit="1" customWidth="1"/>
    <col min="6149" max="6149" width="13.140625" style="1" customWidth="1"/>
    <col min="6150" max="6150" width="13.28515625" style="1" bestFit="1" customWidth="1"/>
    <col min="6151" max="6151" width="31.42578125" style="1" bestFit="1" customWidth="1"/>
    <col min="6152" max="6152" width="13.28515625" style="1" bestFit="1" customWidth="1"/>
    <col min="6153" max="6153" width="14.42578125" style="1" bestFit="1" customWidth="1"/>
    <col min="6154" max="6154" width="14.42578125" style="1" customWidth="1"/>
    <col min="6155" max="6155" width="14.42578125" style="1" bestFit="1" customWidth="1"/>
    <col min="6156" max="6156" width="10.42578125" style="1" bestFit="1" customWidth="1"/>
    <col min="6157" max="6157" width="1.85546875" style="1" customWidth="1"/>
    <col min="6158" max="6158" width="40.85546875" style="1" bestFit="1" customWidth="1"/>
    <col min="6159" max="6159" width="13.140625" style="1" customWidth="1"/>
    <col min="6160" max="6160" width="12.85546875" style="1" customWidth="1"/>
    <col min="6161" max="6161" width="15.28515625" style="1" customWidth="1"/>
    <col min="6162" max="6163" width="13.140625" style="1" customWidth="1"/>
    <col min="6164" max="6164" width="17.28515625" style="1" customWidth="1"/>
    <col min="6165" max="6401" width="11.42578125" style="1"/>
    <col min="6402" max="6402" width="10.7109375" style="1" customWidth="1"/>
    <col min="6403" max="6403" width="48" style="1" bestFit="1" customWidth="1"/>
    <col min="6404" max="6404" width="14.42578125" style="1" bestFit="1" customWidth="1"/>
    <col min="6405" max="6405" width="13.140625" style="1" customWidth="1"/>
    <col min="6406" max="6406" width="13.28515625" style="1" bestFit="1" customWidth="1"/>
    <col min="6407" max="6407" width="31.42578125" style="1" bestFit="1" customWidth="1"/>
    <col min="6408" max="6408" width="13.28515625" style="1" bestFit="1" customWidth="1"/>
    <col min="6409" max="6409" width="14.42578125" style="1" bestFit="1" customWidth="1"/>
    <col min="6410" max="6410" width="14.42578125" style="1" customWidth="1"/>
    <col min="6411" max="6411" width="14.42578125" style="1" bestFit="1" customWidth="1"/>
    <col min="6412" max="6412" width="10.42578125" style="1" bestFit="1" customWidth="1"/>
    <col min="6413" max="6413" width="1.85546875" style="1" customWidth="1"/>
    <col min="6414" max="6414" width="40.85546875" style="1" bestFit="1" customWidth="1"/>
    <col min="6415" max="6415" width="13.140625" style="1" customWidth="1"/>
    <col min="6416" max="6416" width="12.85546875" style="1" customWidth="1"/>
    <col min="6417" max="6417" width="15.28515625" style="1" customWidth="1"/>
    <col min="6418" max="6419" width="13.140625" style="1" customWidth="1"/>
    <col min="6420" max="6420" width="17.28515625" style="1" customWidth="1"/>
    <col min="6421" max="6657" width="11.42578125" style="1"/>
    <col min="6658" max="6658" width="10.7109375" style="1" customWidth="1"/>
    <col min="6659" max="6659" width="48" style="1" bestFit="1" customWidth="1"/>
    <col min="6660" max="6660" width="14.42578125" style="1" bestFit="1" customWidth="1"/>
    <col min="6661" max="6661" width="13.140625" style="1" customWidth="1"/>
    <col min="6662" max="6662" width="13.28515625" style="1" bestFit="1" customWidth="1"/>
    <col min="6663" max="6663" width="31.42578125" style="1" bestFit="1" customWidth="1"/>
    <col min="6664" max="6664" width="13.28515625" style="1" bestFit="1" customWidth="1"/>
    <col min="6665" max="6665" width="14.42578125" style="1" bestFit="1" customWidth="1"/>
    <col min="6666" max="6666" width="14.42578125" style="1" customWidth="1"/>
    <col min="6667" max="6667" width="14.42578125" style="1" bestFit="1" customWidth="1"/>
    <col min="6668" max="6668" width="10.42578125" style="1" bestFit="1" customWidth="1"/>
    <col min="6669" max="6669" width="1.85546875" style="1" customWidth="1"/>
    <col min="6670" max="6670" width="40.85546875" style="1" bestFit="1" customWidth="1"/>
    <col min="6671" max="6671" width="13.140625" style="1" customWidth="1"/>
    <col min="6672" max="6672" width="12.85546875" style="1" customWidth="1"/>
    <col min="6673" max="6673" width="15.28515625" style="1" customWidth="1"/>
    <col min="6674" max="6675" width="13.140625" style="1" customWidth="1"/>
    <col min="6676" max="6676" width="17.28515625" style="1" customWidth="1"/>
    <col min="6677" max="6913" width="11.42578125" style="1"/>
    <col min="6914" max="6914" width="10.7109375" style="1" customWidth="1"/>
    <col min="6915" max="6915" width="48" style="1" bestFit="1" customWidth="1"/>
    <col min="6916" max="6916" width="14.42578125" style="1" bestFit="1" customWidth="1"/>
    <col min="6917" max="6917" width="13.140625" style="1" customWidth="1"/>
    <col min="6918" max="6918" width="13.28515625" style="1" bestFit="1" customWidth="1"/>
    <col min="6919" max="6919" width="31.42578125" style="1" bestFit="1" customWidth="1"/>
    <col min="6920" max="6920" width="13.28515625" style="1" bestFit="1" customWidth="1"/>
    <col min="6921" max="6921" width="14.42578125" style="1" bestFit="1" customWidth="1"/>
    <col min="6922" max="6922" width="14.42578125" style="1" customWidth="1"/>
    <col min="6923" max="6923" width="14.42578125" style="1" bestFit="1" customWidth="1"/>
    <col min="6924" max="6924" width="10.42578125" style="1" bestFit="1" customWidth="1"/>
    <col min="6925" max="6925" width="1.85546875" style="1" customWidth="1"/>
    <col min="6926" max="6926" width="40.85546875" style="1" bestFit="1" customWidth="1"/>
    <col min="6927" max="6927" width="13.140625" style="1" customWidth="1"/>
    <col min="6928" max="6928" width="12.85546875" style="1" customWidth="1"/>
    <col min="6929" max="6929" width="15.28515625" style="1" customWidth="1"/>
    <col min="6930" max="6931" width="13.140625" style="1" customWidth="1"/>
    <col min="6932" max="6932" width="17.28515625" style="1" customWidth="1"/>
    <col min="6933" max="7169" width="11.42578125" style="1"/>
    <col min="7170" max="7170" width="10.7109375" style="1" customWidth="1"/>
    <col min="7171" max="7171" width="48" style="1" bestFit="1" customWidth="1"/>
    <col min="7172" max="7172" width="14.42578125" style="1" bestFit="1" customWidth="1"/>
    <col min="7173" max="7173" width="13.140625" style="1" customWidth="1"/>
    <col min="7174" max="7174" width="13.28515625" style="1" bestFit="1" customWidth="1"/>
    <col min="7175" max="7175" width="31.42578125" style="1" bestFit="1" customWidth="1"/>
    <col min="7176" max="7176" width="13.28515625" style="1" bestFit="1" customWidth="1"/>
    <col min="7177" max="7177" width="14.42578125" style="1" bestFit="1" customWidth="1"/>
    <col min="7178" max="7178" width="14.42578125" style="1" customWidth="1"/>
    <col min="7179" max="7179" width="14.42578125" style="1" bestFit="1" customWidth="1"/>
    <col min="7180" max="7180" width="10.42578125" style="1" bestFit="1" customWidth="1"/>
    <col min="7181" max="7181" width="1.85546875" style="1" customWidth="1"/>
    <col min="7182" max="7182" width="40.85546875" style="1" bestFit="1" customWidth="1"/>
    <col min="7183" max="7183" width="13.140625" style="1" customWidth="1"/>
    <col min="7184" max="7184" width="12.85546875" style="1" customWidth="1"/>
    <col min="7185" max="7185" width="15.28515625" style="1" customWidth="1"/>
    <col min="7186" max="7187" width="13.140625" style="1" customWidth="1"/>
    <col min="7188" max="7188" width="17.28515625" style="1" customWidth="1"/>
    <col min="7189" max="7425" width="11.42578125" style="1"/>
    <col min="7426" max="7426" width="10.7109375" style="1" customWidth="1"/>
    <col min="7427" max="7427" width="48" style="1" bestFit="1" customWidth="1"/>
    <col min="7428" max="7428" width="14.42578125" style="1" bestFit="1" customWidth="1"/>
    <col min="7429" max="7429" width="13.140625" style="1" customWidth="1"/>
    <col min="7430" max="7430" width="13.28515625" style="1" bestFit="1" customWidth="1"/>
    <col min="7431" max="7431" width="31.42578125" style="1" bestFit="1" customWidth="1"/>
    <col min="7432" max="7432" width="13.28515625" style="1" bestFit="1" customWidth="1"/>
    <col min="7433" max="7433" width="14.42578125" style="1" bestFit="1" customWidth="1"/>
    <col min="7434" max="7434" width="14.42578125" style="1" customWidth="1"/>
    <col min="7435" max="7435" width="14.42578125" style="1" bestFit="1" customWidth="1"/>
    <col min="7436" max="7436" width="10.42578125" style="1" bestFit="1" customWidth="1"/>
    <col min="7437" max="7437" width="1.85546875" style="1" customWidth="1"/>
    <col min="7438" max="7438" width="40.85546875" style="1" bestFit="1" customWidth="1"/>
    <col min="7439" max="7439" width="13.140625" style="1" customWidth="1"/>
    <col min="7440" max="7440" width="12.85546875" style="1" customWidth="1"/>
    <col min="7441" max="7441" width="15.28515625" style="1" customWidth="1"/>
    <col min="7442" max="7443" width="13.140625" style="1" customWidth="1"/>
    <col min="7444" max="7444" width="17.28515625" style="1" customWidth="1"/>
    <col min="7445" max="7681" width="11.42578125" style="1"/>
    <col min="7682" max="7682" width="10.7109375" style="1" customWidth="1"/>
    <col min="7683" max="7683" width="48" style="1" bestFit="1" customWidth="1"/>
    <col min="7684" max="7684" width="14.42578125" style="1" bestFit="1" customWidth="1"/>
    <col min="7685" max="7685" width="13.140625" style="1" customWidth="1"/>
    <col min="7686" max="7686" width="13.28515625" style="1" bestFit="1" customWidth="1"/>
    <col min="7687" max="7687" width="31.42578125" style="1" bestFit="1" customWidth="1"/>
    <col min="7688" max="7688" width="13.28515625" style="1" bestFit="1" customWidth="1"/>
    <col min="7689" max="7689" width="14.42578125" style="1" bestFit="1" customWidth="1"/>
    <col min="7690" max="7690" width="14.42578125" style="1" customWidth="1"/>
    <col min="7691" max="7691" width="14.42578125" style="1" bestFit="1" customWidth="1"/>
    <col min="7692" max="7692" width="10.42578125" style="1" bestFit="1" customWidth="1"/>
    <col min="7693" max="7693" width="1.85546875" style="1" customWidth="1"/>
    <col min="7694" max="7694" width="40.85546875" style="1" bestFit="1" customWidth="1"/>
    <col min="7695" max="7695" width="13.140625" style="1" customWidth="1"/>
    <col min="7696" max="7696" width="12.85546875" style="1" customWidth="1"/>
    <col min="7697" max="7697" width="15.28515625" style="1" customWidth="1"/>
    <col min="7698" max="7699" width="13.140625" style="1" customWidth="1"/>
    <col min="7700" max="7700" width="17.28515625" style="1" customWidth="1"/>
    <col min="7701" max="7937" width="11.42578125" style="1"/>
    <col min="7938" max="7938" width="10.7109375" style="1" customWidth="1"/>
    <col min="7939" max="7939" width="48" style="1" bestFit="1" customWidth="1"/>
    <col min="7940" max="7940" width="14.42578125" style="1" bestFit="1" customWidth="1"/>
    <col min="7941" max="7941" width="13.140625" style="1" customWidth="1"/>
    <col min="7942" max="7942" width="13.28515625" style="1" bestFit="1" customWidth="1"/>
    <col min="7943" max="7943" width="31.42578125" style="1" bestFit="1" customWidth="1"/>
    <col min="7944" max="7944" width="13.28515625" style="1" bestFit="1" customWidth="1"/>
    <col min="7945" max="7945" width="14.42578125" style="1" bestFit="1" customWidth="1"/>
    <col min="7946" max="7946" width="14.42578125" style="1" customWidth="1"/>
    <col min="7947" max="7947" width="14.42578125" style="1" bestFit="1" customWidth="1"/>
    <col min="7948" max="7948" width="10.42578125" style="1" bestFit="1" customWidth="1"/>
    <col min="7949" max="7949" width="1.85546875" style="1" customWidth="1"/>
    <col min="7950" max="7950" width="40.85546875" style="1" bestFit="1" customWidth="1"/>
    <col min="7951" max="7951" width="13.140625" style="1" customWidth="1"/>
    <col min="7952" max="7952" width="12.85546875" style="1" customWidth="1"/>
    <col min="7953" max="7953" width="15.28515625" style="1" customWidth="1"/>
    <col min="7954" max="7955" width="13.140625" style="1" customWidth="1"/>
    <col min="7956" max="7956" width="17.28515625" style="1" customWidth="1"/>
    <col min="7957" max="8193" width="11.42578125" style="1"/>
    <col min="8194" max="8194" width="10.7109375" style="1" customWidth="1"/>
    <col min="8195" max="8195" width="48" style="1" bestFit="1" customWidth="1"/>
    <col min="8196" max="8196" width="14.42578125" style="1" bestFit="1" customWidth="1"/>
    <col min="8197" max="8197" width="13.140625" style="1" customWidth="1"/>
    <col min="8198" max="8198" width="13.28515625" style="1" bestFit="1" customWidth="1"/>
    <col min="8199" max="8199" width="31.42578125" style="1" bestFit="1" customWidth="1"/>
    <col min="8200" max="8200" width="13.28515625" style="1" bestFit="1" customWidth="1"/>
    <col min="8201" max="8201" width="14.42578125" style="1" bestFit="1" customWidth="1"/>
    <col min="8202" max="8202" width="14.42578125" style="1" customWidth="1"/>
    <col min="8203" max="8203" width="14.42578125" style="1" bestFit="1" customWidth="1"/>
    <col min="8204" max="8204" width="10.42578125" style="1" bestFit="1" customWidth="1"/>
    <col min="8205" max="8205" width="1.85546875" style="1" customWidth="1"/>
    <col min="8206" max="8206" width="40.85546875" style="1" bestFit="1" customWidth="1"/>
    <col min="8207" max="8207" width="13.140625" style="1" customWidth="1"/>
    <col min="8208" max="8208" width="12.85546875" style="1" customWidth="1"/>
    <col min="8209" max="8209" width="15.28515625" style="1" customWidth="1"/>
    <col min="8210" max="8211" width="13.140625" style="1" customWidth="1"/>
    <col min="8212" max="8212" width="17.28515625" style="1" customWidth="1"/>
    <col min="8213" max="8449" width="11.42578125" style="1"/>
    <col min="8450" max="8450" width="10.7109375" style="1" customWidth="1"/>
    <col min="8451" max="8451" width="48" style="1" bestFit="1" customWidth="1"/>
    <col min="8452" max="8452" width="14.42578125" style="1" bestFit="1" customWidth="1"/>
    <col min="8453" max="8453" width="13.140625" style="1" customWidth="1"/>
    <col min="8454" max="8454" width="13.28515625" style="1" bestFit="1" customWidth="1"/>
    <col min="8455" max="8455" width="31.42578125" style="1" bestFit="1" customWidth="1"/>
    <col min="8456" max="8456" width="13.28515625" style="1" bestFit="1" customWidth="1"/>
    <col min="8457" max="8457" width="14.42578125" style="1" bestFit="1" customWidth="1"/>
    <col min="8458" max="8458" width="14.42578125" style="1" customWidth="1"/>
    <col min="8459" max="8459" width="14.42578125" style="1" bestFit="1" customWidth="1"/>
    <col min="8460" max="8460" width="10.42578125" style="1" bestFit="1" customWidth="1"/>
    <col min="8461" max="8461" width="1.85546875" style="1" customWidth="1"/>
    <col min="8462" max="8462" width="40.85546875" style="1" bestFit="1" customWidth="1"/>
    <col min="8463" max="8463" width="13.140625" style="1" customWidth="1"/>
    <col min="8464" max="8464" width="12.85546875" style="1" customWidth="1"/>
    <col min="8465" max="8465" width="15.28515625" style="1" customWidth="1"/>
    <col min="8466" max="8467" width="13.140625" style="1" customWidth="1"/>
    <col min="8468" max="8468" width="17.28515625" style="1" customWidth="1"/>
    <col min="8469" max="8705" width="11.42578125" style="1"/>
    <col min="8706" max="8706" width="10.7109375" style="1" customWidth="1"/>
    <col min="8707" max="8707" width="48" style="1" bestFit="1" customWidth="1"/>
    <col min="8708" max="8708" width="14.42578125" style="1" bestFit="1" customWidth="1"/>
    <col min="8709" max="8709" width="13.140625" style="1" customWidth="1"/>
    <col min="8710" max="8710" width="13.28515625" style="1" bestFit="1" customWidth="1"/>
    <col min="8711" max="8711" width="31.42578125" style="1" bestFit="1" customWidth="1"/>
    <col min="8712" max="8712" width="13.28515625" style="1" bestFit="1" customWidth="1"/>
    <col min="8713" max="8713" width="14.42578125" style="1" bestFit="1" customWidth="1"/>
    <col min="8714" max="8714" width="14.42578125" style="1" customWidth="1"/>
    <col min="8715" max="8715" width="14.42578125" style="1" bestFit="1" customWidth="1"/>
    <col min="8716" max="8716" width="10.42578125" style="1" bestFit="1" customWidth="1"/>
    <col min="8717" max="8717" width="1.85546875" style="1" customWidth="1"/>
    <col min="8718" max="8718" width="40.85546875" style="1" bestFit="1" customWidth="1"/>
    <col min="8719" max="8719" width="13.140625" style="1" customWidth="1"/>
    <col min="8720" max="8720" width="12.85546875" style="1" customWidth="1"/>
    <col min="8721" max="8721" width="15.28515625" style="1" customWidth="1"/>
    <col min="8722" max="8723" width="13.140625" style="1" customWidth="1"/>
    <col min="8724" max="8724" width="17.28515625" style="1" customWidth="1"/>
    <col min="8725" max="8961" width="11.42578125" style="1"/>
    <col min="8962" max="8962" width="10.7109375" style="1" customWidth="1"/>
    <col min="8963" max="8963" width="48" style="1" bestFit="1" customWidth="1"/>
    <col min="8964" max="8964" width="14.42578125" style="1" bestFit="1" customWidth="1"/>
    <col min="8965" max="8965" width="13.140625" style="1" customWidth="1"/>
    <col min="8966" max="8966" width="13.28515625" style="1" bestFit="1" customWidth="1"/>
    <col min="8967" max="8967" width="31.42578125" style="1" bestFit="1" customWidth="1"/>
    <col min="8968" max="8968" width="13.28515625" style="1" bestFit="1" customWidth="1"/>
    <col min="8969" max="8969" width="14.42578125" style="1" bestFit="1" customWidth="1"/>
    <col min="8970" max="8970" width="14.42578125" style="1" customWidth="1"/>
    <col min="8971" max="8971" width="14.42578125" style="1" bestFit="1" customWidth="1"/>
    <col min="8972" max="8972" width="10.42578125" style="1" bestFit="1" customWidth="1"/>
    <col min="8973" max="8973" width="1.85546875" style="1" customWidth="1"/>
    <col min="8974" max="8974" width="40.85546875" style="1" bestFit="1" customWidth="1"/>
    <col min="8975" max="8975" width="13.140625" style="1" customWidth="1"/>
    <col min="8976" max="8976" width="12.85546875" style="1" customWidth="1"/>
    <col min="8977" max="8977" width="15.28515625" style="1" customWidth="1"/>
    <col min="8978" max="8979" width="13.140625" style="1" customWidth="1"/>
    <col min="8980" max="8980" width="17.28515625" style="1" customWidth="1"/>
    <col min="8981" max="9217" width="11.42578125" style="1"/>
    <col min="9218" max="9218" width="10.7109375" style="1" customWidth="1"/>
    <col min="9219" max="9219" width="48" style="1" bestFit="1" customWidth="1"/>
    <col min="9220" max="9220" width="14.42578125" style="1" bestFit="1" customWidth="1"/>
    <col min="9221" max="9221" width="13.140625" style="1" customWidth="1"/>
    <col min="9222" max="9222" width="13.28515625" style="1" bestFit="1" customWidth="1"/>
    <col min="9223" max="9223" width="31.42578125" style="1" bestFit="1" customWidth="1"/>
    <col min="9224" max="9224" width="13.28515625" style="1" bestFit="1" customWidth="1"/>
    <col min="9225" max="9225" width="14.42578125" style="1" bestFit="1" customWidth="1"/>
    <col min="9226" max="9226" width="14.42578125" style="1" customWidth="1"/>
    <col min="9227" max="9227" width="14.42578125" style="1" bestFit="1" customWidth="1"/>
    <col min="9228" max="9228" width="10.42578125" style="1" bestFit="1" customWidth="1"/>
    <col min="9229" max="9229" width="1.85546875" style="1" customWidth="1"/>
    <col min="9230" max="9230" width="40.85546875" style="1" bestFit="1" customWidth="1"/>
    <col min="9231" max="9231" width="13.140625" style="1" customWidth="1"/>
    <col min="9232" max="9232" width="12.85546875" style="1" customWidth="1"/>
    <col min="9233" max="9233" width="15.28515625" style="1" customWidth="1"/>
    <col min="9234" max="9235" width="13.140625" style="1" customWidth="1"/>
    <col min="9236" max="9236" width="17.28515625" style="1" customWidth="1"/>
    <col min="9237" max="9473" width="11.42578125" style="1"/>
    <col min="9474" max="9474" width="10.7109375" style="1" customWidth="1"/>
    <col min="9475" max="9475" width="48" style="1" bestFit="1" customWidth="1"/>
    <col min="9476" max="9476" width="14.42578125" style="1" bestFit="1" customWidth="1"/>
    <col min="9477" max="9477" width="13.140625" style="1" customWidth="1"/>
    <col min="9478" max="9478" width="13.28515625" style="1" bestFit="1" customWidth="1"/>
    <col min="9479" max="9479" width="31.42578125" style="1" bestFit="1" customWidth="1"/>
    <col min="9480" max="9480" width="13.28515625" style="1" bestFit="1" customWidth="1"/>
    <col min="9481" max="9481" width="14.42578125" style="1" bestFit="1" customWidth="1"/>
    <col min="9482" max="9482" width="14.42578125" style="1" customWidth="1"/>
    <col min="9483" max="9483" width="14.42578125" style="1" bestFit="1" customWidth="1"/>
    <col min="9484" max="9484" width="10.42578125" style="1" bestFit="1" customWidth="1"/>
    <col min="9485" max="9485" width="1.85546875" style="1" customWidth="1"/>
    <col min="9486" max="9486" width="40.85546875" style="1" bestFit="1" customWidth="1"/>
    <col min="9487" max="9487" width="13.140625" style="1" customWidth="1"/>
    <col min="9488" max="9488" width="12.85546875" style="1" customWidth="1"/>
    <col min="9489" max="9489" width="15.28515625" style="1" customWidth="1"/>
    <col min="9490" max="9491" width="13.140625" style="1" customWidth="1"/>
    <col min="9492" max="9492" width="17.28515625" style="1" customWidth="1"/>
    <col min="9493" max="9729" width="11.42578125" style="1"/>
    <col min="9730" max="9730" width="10.7109375" style="1" customWidth="1"/>
    <col min="9731" max="9731" width="48" style="1" bestFit="1" customWidth="1"/>
    <col min="9732" max="9732" width="14.42578125" style="1" bestFit="1" customWidth="1"/>
    <col min="9733" max="9733" width="13.140625" style="1" customWidth="1"/>
    <col min="9734" max="9734" width="13.28515625" style="1" bestFit="1" customWidth="1"/>
    <col min="9735" max="9735" width="31.42578125" style="1" bestFit="1" customWidth="1"/>
    <col min="9736" max="9736" width="13.28515625" style="1" bestFit="1" customWidth="1"/>
    <col min="9737" max="9737" width="14.42578125" style="1" bestFit="1" customWidth="1"/>
    <col min="9738" max="9738" width="14.42578125" style="1" customWidth="1"/>
    <col min="9739" max="9739" width="14.42578125" style="1" bestFit="1" customWidth="1"/>
    <col min="9740" max="9740" width="10.42578125" style="1" bestFit="1" customWidth="1"/>
    <col min="9741" max="9741" width="1.85546875" style="1" customWidth="1"/>
    <col min="9742" max="9742" width="40.85546875" style="1" bestFit="1" customWidth="1"/>
    <col min="9743" max="9743" width="13.140625" style="1" customWidth="1"/>
    <col min="9744" max="9744" width="12.85546875" style="1" customWidth="1"/>
    <col min="9745" max="9745" width="15.28515625" style="1" customWidth="1"/>
    <col min="9746" max="9747" width="13.140625" style="1" customWidth="1"/>
    <col min="9748" max="9748" width="17.28515625" style="1" customWidth="1"/>
    <col min="9749" max="9985" width="11.42578125" style="1"/>
    <col min="9986" max="9986" width="10.7109375" style="1" customWidth="1"/>
    <col min="9987" max="9987" width="48" style="1" bestFit="1" customWidth="1"/>
    <col min="9988" max="9988" width="14.42578125" style="1" bestFit="1" customWidth="1"/>
    <col min="9989" max="9989" width="13.140625" style="1" customWidth="1"/>
    <col min="9990" max="9990" width="13.28515625" style="1" bestFit="1" customWidth="1"/>
    <col min="9991" max="9991" width="31.42578125" style="1" bestFit="1" customWidth="1"/>
    <col min="9992" max="9992" width="13.28515625" style="1" bestFit="1" customWidth="1"/>
    <col min="9993" max="9993" width="14.42578125" style="1" bestFit="1" customWidth="1"/>
    <col min="9994" max="9994" width="14.42578125" style="1" customWidth="1"/>
    <col min="9995" max="9995" width="14.42578125" style="1" bestFit="1" customWidth="1"/>
    <col min="9996" max="9996" width="10.42578125" style="1" bestFit="1" customWidth="1"/>
    <col min="9997" max="9997" width="1.85546875" style="1" customWidth="1"/>
    <col min="9998" max="9998" width="40.85546875" style="1" bestFit="1" customWidth="1"/>
    <col min="9999" max="9999" width="13.140625" style="1" customWidth="1"/>
    <col min="10000" max="10000" width="12.85546875" style="1" customWidth="1"/>
    <col min="10001" max="10001" width="15.28515625" style="1" customWidth="1"/>
    <col min="10002" max="10003" width="13.140625" style="1" customWidth="1"/>
    <col min="10004" max="10004" width="17.28515625" style="1" customWidth="1"/>
    <col min="10005" max="10241" width="11.42578125" style="1"/>
    <col min="10242" max="10242" width="10.7109375" style="1" customWidth="1"/>
    <col min="10243" max="10243" width="48" style="1" bestFit="1" customWidth="1"/>
    <col min="10244" max="10244" width="14.42578125" style="1" bestFit="1" customWidth="1"/>
    <col min="10245" max="10245" width="13.140625" style="1" customWidth="1"/>
    <col min="10246" max="10246" width="13.28515625" style="1" bestFit="1" customWidth="1"/>
    <col min="10247" max="10247" width="31.42578125" style="1" bestFit="1" customWidth="1"/>
    <col min="10248" max="10248" width="13.28515625" style="1" bestFit="1" customWidth="1"/>
    <col min="10249" max="10249" width="14.42578125" style="1" bestFit="1" customWidth="1"/>
    <col min="10250" max="10250" width="14.42578125" style="1" customWidth="1"/>
    <col min="10251" max="10251" width="14.42578125" style="1" bestFit="1" customWidth="1"/>
    <col min="10252" max="10252" width="10.42578125" style="1" bestFit="1" customWidth="1"/>
    <col min="10253" max="10253" width="1.85546875" style="1" customWidth="1"/>
    <col min="10254" max="10254" width="40.85546875" style="1" bestFit="1" customWidth="1"/>
    <col min="10255" max="10255" width="13.140625" style="1" customWidth="1"/>
    <col min="10256" max="10256" width="12.85546875" style="1" customWidth="1"/>
    <col min="10257" max="10257" width="15.28515625" style="1" customWidth="1"/>
    <col min="10258" max="10259" width="13.140625" style="1" customWidth="1"/>
    <col min="10260" max="10260" width="17.28515625" style="1" customWidth="1"/>
    <col min="10261" max="10497" width="11.42578125" style="1"/>
    <col min="10498" max="10498" width="10.7109375" style="1" customWidth="1"/>
    <col min="10499" max="10499" width="48" style="1" bestFit="1" customWidth="1"/>
    <col min="10500" max="10500" width="14.42578125" style="1" bestFit="1" customWidth="1"/>
    <col min="10501" max="10501" width="13.140625" style="1" customWidth="1"/>
    <col min="10502" max="10502" width="13.28515625" style="1" bestFit="1" customWidth="1"/>
    <col min="10503" max="10503" width="31.42578125" style="1" bestFit="1" customWidth="1"/>
    <col min="10504" max="10504" width="13.28515625" style="1" bestFit="1" customWidth="1"/>
    <col min="10505" max="10505" width="14.42578125" style="1" bestFit="1" customWidth="1"/>
    <col min="10506" max="10506" width="14.42578125" style="1" customWidth="1"/>
    <col min="10507" max="10507" width="14.42578125" style="1" bestFit="1" customWidth="1"/>
    <col min="10508" max="10508" width="10.42578125" style="1" bestFit="1" customWidth="1"/>
    <col min="10509" max="10509" width="1.85546875" style="1" customWidth="1"/>
    <col min="10510" max="10510" width="40.85546875" style="1" bestFit="1" customWidth="1"/>
    <col min="10511" max="10511" width="13.140625" style="1" customWidth="1"/>
    <col min="10512" max="10512" width="12.85546875" style="1" customWidth="1"/>
    <col min="10513" max="10513" width="15.28515625" style="1" customWidth="1"/>
    <col min="10514" max="10515" width="13.140625" style="1" customWidth="1"/>
    <col min="10516" max="10516" width="17.28515625" style="1" customWidth="1"/>
    <col min="10517" max="10753" width="11.42578125" style="1"/>
    <col min="10754" max="10754" width="10.7109375" style="1" customWidth="1"/>
    <col min="10755" max="10755" width="48" style="1" bestFit="1" customWidth="1"/>
    <col min="10756" max="10756" width="14.42578125" style="1" bestFit="1" customWidth="1"/>
    <col min="10757" max="10757" width="13.140625" style="1" customWidth="1"/>
    <col min="10758" max="10758" width="13.28515625" style="1" bestFit="1" customWidth="1"/>
    <col min="10759" max="10759" width="31.42578125" style="1" bestFit="1" customWidth="1"/>
    <col min="10760" max="10760" width="13.28515625" style="1" bestFit="1" customWidth="1"/>
    <col min="10761" max="10761" width="14.42578125" style="1" bestFit="1" customWidth="1"/>
    <col min="10762" max="10762" width="14.42578125" style="1" customWidth="1"/>
    <col min="10763" max="10763" width="14.42578125" style="1" bestFit="1" customWidth="1"/>
    <col min="10764" max="10764" width="10.42578125" style="1" bestFit="1" customWidth="1"/>
    <col min="10765" max="10765" width="1.85546875" style="1" customWidth="1"/>
    <col min="10766" max="10766" width="40.85546875" style="1" bestFit="1" customWidth="1"/>
    <col min="10767" max="10767" width="13.140625" style="1" customWidth="1"/>
    <col min="10768" max="10768" width="12.85546875" style="1" customWidth="1"/>
    <col min="10769" max="10769" width="15.28515625" style="1" customWidth="1"/>
    <col min="10770" max="10771" width="13.140625" style="1" customWidth="1"/>
    <col min="10772" max="10772" width="17.28515625" style="1" customWidth="1"/>
    <col min="10773" max="11009" width="11.42578125" style="1"/>
    <col min="11010" max="11010" width="10.7109375" style="1" customWidth="1"/>
    <col min="11011" max="11011" width="48" style="1" bestFit="1" customWidth="1"/>
    <col min="11012" max="11012" width="14.42578125" style="1" bestFit="1" customWidth="1"/>
    <col min="11013" max="11013" width="13.140625" style="1" customWidth="1"/>
    <col min="11014" max="11014" width="13.28515625" style="1" bestFit="1" customWidth="1"/>
    <col min="11015" max="11015" width="31.42578125" style="1" bestFit="1" customWidth="1"/>
    <col min="11016" max="11016" width="13.28515625" style="1" bestFit="1" customWidth="1"/>
    <col min="11017" max="11017" width="14.42578125" style="1" bestFit="1" customWidth="1"/>
    <col min="11018" max="11018" width="14.42578125" style="1" customWidth="1"/>
    <col min="11019" max="11019" width="14.42578125" style="1" bestFit="1" customWidth="1"/>
    <col min="11020" max="11020" width="10.42578125" style="1" bestFit="1" customWidth="1"/>
    <col min="11021" max="11021" width="1.85546875" style="1" customWidth="1"/>
    <col min="11022" max="11022" width="40.85546875" style="1" bestFit="1" customWidth="1"/>
    <col min="11023" max="11023" width="13.140625" style="1" customWidth="1"/>
    <col min="11024" max="11024" width="12.85546875" style="1" customWidth="1"/>
    <col min="11025" max="11025" width="15.28515625" style="1" customWidth="1"/>
    <col min="11026" max="11027" width="13.140625" style="1" customWidth="1"/>
    <col min="11028" max="11028" width="17.28515625" style="1" customWidth="1"/>
    <col min="11029" max="11265" width="11.42578125" style="1"/>
    <col min="11266" max="11266" width="10.7109375" style="1" customWidth="1"/>
    <col min="11267" max="11267" width="48" style="1" bestFit="1" customWidth="1"/>
    <col min="11268" max="11268" width="14.42578125" style="1" bestFit="1" customWidth="1"/>
    <col min="11269" max="11269" width="13.140625" style="1" customWidth="1"/>
    <col min="11270" max="11270" width="13.28515625" style="1" bestFit="1" customWidth="1"/>
    <col min="11271" max="11271" width="31.42578125" style="1" bestFit="1" customWidth="1"/>
    <col min="11272" max="11272" width="13.28515625" style="1" bestFit="1" customWidth="1"/>
    <col min="11273" max="11273" width="14.42578125" style="1" bestFit="1" customWidth="1"/>
    <col min="11274" max="11274" width="14.42578125" style="1" customWidth="1"/>
    <col min="11275" max="11275" width="14.42578125" style="1" bestFit="1" customWidth="1"/>
    <col min="11276" max="11276" width="10.42578125" style="1" bestFit="1" customWidth="1"/>
    <col min="11277" max="11277" width="1.85546875" style="1" customWidth="1"/>
    <col min="11278" max="11278" width="40.85546875" style="1" bestFit="1" customWidth="1"/>
    <col min="11279" max="11279" width="13.140625" style="1" customWidth="1"/>
    <col min="11280" max="11280" width="12.85546875" style="1" customWidth="1"/>
    <col min="11281" max="11281" width="15.28515625" style="1" customWidth="1"/>
    <col min="11282" max="11283" width="13.140625" style="1" customWidth="1"/>
    <col min="11284" max="11284" width="17.28515625" style="1" customWidth="1"/>
    <col min="11285" max="11521" width="11.42578125" style="1"/>
    <col min="11522" max="11522" width="10.7109375" style="1" customWidth="1"/>
    <col min="11523" max="11523" width="48" style="1" bestFit="1" customWidth="1"/>
    <col min="11524" max="11524" width="14.42578125" style="1" bestFit="1" customWidth="1"/>
    <col min="11525" max="11525" width="13.140625" style="1" customWidth="1"/>
    <col min="11526" max="11526" width="13.28515625" style="1" bestFit="1" customWidth="1"/>
    <col min="11527" max="11527" width="31.42578125" style="1" bestFit="1" customWidth="1"/>
    <col min="11528" max="11528" width="13.28515625" style="1" bestFit="1" customWidth="1"/>
    <col min="11529" max="11529" width="14.42578125" style="1" bestFit="1" customWidth="1"/>
    <col min="11530" max="11530" width="14.42578125" style="1" customWidth="1"/>
    <col min="11531" max="11531" width="14.42578125" style="1" bestFit="1" customWidth="1"/>
    <col min="11532" max="11532" width="10.42578125" style="1" bestFit="1" customWidth="1"/>
    <col min="11533" max="11533" width="1.85546875" style="1" customWidth="1"/>
    <col min="11534" max="11534" width="40.85546875" style="1" bestFit="1" customWidth="1"/>
    <col min="11535" max="11535" width="13.140625" style="1" customWidth="1"/>
    <col min="11536" max="11536" width="12.85546875" style="1" customWidth="1"/>
    <col min="11537" max="11537" width="15.28515625" style="1" customWidth="1"/>
    <col min="11538" max="11539" width="13.140625" style="1" customWidth="1"/>
    <col min="11540" max="11540" width="17.28515625" style="1" customWidth="1"/>
    <col min="11541" max="11777" width="11.42578125" style="1"/>
    <col min="11778" max="11778" width="10.7109375" style="1" customWidth="1"/>
    <col min="11779" max="11779" width="48" style="1" bestFit="1" customWidth="1"/>
    <col min="11780" max="11780" width="14.42578125" style="1" bestFit="1" customWidth="1"/>
    <col min="11781" max="11781" width="13.140625" style="1" customWidth="1"/>
    <col min="11782" max="11782" width="13.28515625" style="1" bestFit="1" customWidth="1"/>
    <col min="11783" max="11783" width="31.42578125" style="1" bestFit="1" customWidth="1"/>
    <col min="11784" max="11784" width="13.28515625" style="1" bestFit="1" customWidth="1"/>
    <col min="11785" max="11785" width="14.42578125" style="1" bestFit="1" customWidth="1"/>
    <col min="11786" max="11786" width="14.42578125" style="1" customWidth="1"/>
    <col min="11787" max="11787" width="14.42578125" style="1" bestFit="1" customWidth="1"/>
    <col min="11788" max="11788" width="10.42578125" style="1" bestFit="1" customWidth="1"/>
    <col min="11789" max="11789" width="1.85546875" style="1" customWidth="1"/>
    <col min="11790" max="11790" width="40.85546875" style="1" bestFit="1" customWidth="1"/>
    <col min="11791" max="11791" width="13.140625" style="1" customWidth="1"/>
    <col min="11792" max="11792" width="12.85546875" style="1" customWidth="1"/>
    <col min="11793" max="11793" width="15.28515625" style="1" customWidth="1"/>
    <col min="11794" max="11795" width="13.140625" style="1" customWidth="1"/>
    <col min="11796" max="11796" width="17.28515625" style="1" customWidth="1"/>
    <col min="11797" max="12033" width="11.42578125" style="1"/>
    <col min="12034" max="12034" width="10.7109375" style="1" customWidth="1"/>
    <col min="12035" max="12035" width="48" style="1" bestFit="1" customWidth="1"/>
    <col min="12036" max="12036" width="14.42578125" style="1" bestFit="1" customWidth="1"/>
    <col min="12037" max="12037" width="13.140625" style="1" customWidth="1"/>
    <col min="12038" max="12038" width="13.28515625" style="1" bestFit="1" customWidth="1"/>
    <col min="12039" max="12039" width="31.42578125" style="1" bestFit="1" customWidth="1"/>
    <col min="12040" max="12040" width="13.28515625" style="1" bestFit="1" customWidth="1"/>
    <col min="12041" max="12041" width="14.42578125" style="1" bestFit="1" customWidth="1"/>
    <col min="12042" max="12042" width="14.42578125" style="1" customWidth="1"/>
    <col min="12043" max="12043" width="14.42578125" style="1" bestFit="1" customWidth="1"/>
    <col min="12044" max="12044" width="10.42578125" style="1" bestFit="1" customWidth="1"/>
    <col min="12045" max="12045" width="1.85546875" style="1" customWidth="1"/>
    <col min="12046" max="12046" width="40.85546875" style="1" bestFit="1" customWidth="1"/>
    <col min="12047" max="12047" width="13.140625" style="1" customWidth="1"/>
    <col min="12048" max="12048" width="12.85546875" style="1" customWidth="1"/>
    <col min="12049" max="12049" width="15.28515625" style="1" customWidth="1"/>
    <col min="12050" max="12051" width="13.140625" style="1" customWidth="1"/>
    <col min="12052" max="12052" width="17.28515625" style="1" customWidth="1"/>
    <col min="12053" max="12289" width="11.42578125" style="1"/>
    <col min="12290" max="12290" width="10.7109375" style="1" customWidth="1"/>
    <col min="12291" max="12291" width="48" style="1" bestFit="1" customWidth="1"/>
    <col min="12292" max="12292" width="14.42578125" style="1" bestFit="1" customWidth="1"/>
    <col min="12293" max="12293" width="13.140625" style="1" customWidth="1"/>
    <col min="12294" max="12294" width="13.28515625" style="1" bestFit="1" customWidth="1"/>
    <col min="12295" max="12295" width="31.42578125" style="1" bestFit="1" customWidth="1"/>
    <col min="12296" max="12296" width="13.28515625" style="1" bestFit="1" customWidth="1"/>
    <col min="12297" max="12297" width="14.42578125" style="1" bestFit="1" customWidth="1"/>
    <col min="12298" max="12298" width="14.42578125" style="1" customWidth="1"/>
    <col min="12299" max="12299" width="14.42578125" style="1" bestFit="1" customWidth="1"/>
    <col min="12300" max="12300" width="10.42578125" style="1" bestFit="1" customWidth="1"/>
    <col min="12301" max="12301" width="1.85546875" style="1" customWidth="1"/>
    <col min="12302" max="12302" width="40.85546875" style="1" bestFit="1" customWidth="1"/>
    <col min="12303" max="12303" width="13.140625" style="1" customWidth="1"/>
    <col min="12304" max="12304" width="12.85546875" style="1" customWidth="1"/>
    <col min="12305" max="12305" width="15.28515625" style="1" customWidth="1"/>
    <col min="12306" max="12307" width="13.140625" style="1" customWidth="1"/>
    <col min="12308" max="12308" width="17.28515625" style="1" customWidth="1"/>
    <col min="12309" max="12545" width="11.42578125" style="1"/>
    <col min="12546" max="12546" width="10.7109375" style="1" customWidth="1"/>
    <col min="12547" max="12547" width="48" style="1" bestFit="1" customWidth="1"/>
    <col min="12548" max="12548" width="14.42578125" style="1" bestFit="1" customWidth="1"/>
    <col min="12549" max="12549" width="13.140625" style="1" customWidth="1"/>
    <col min="12550" max="12550" width="13.28515625" style="1" bestFit="1" customWidth="1"/>
    <col min="12551" max="12551" width="31.42578125" style="1" bestFit="1" customWidth="1"/>
    <col min="12552" max="12552" width="13.28515625" style="1" bestFit="1" customWidth="1"/>
    <col min="12553" max="12553" width="14.42578125" style="1" bestFit="1" customWidth="1"/>
    <col min="12554" max="12554" width="14.42578125" style="1" customWidth="1"/>
    <col min="12555" max="12555" width="14.42578125" style="1" bestFit="1" customWidth="1"/>
    <col min="12556" max="12556" width="10.42578125" style="1" bestFit="1" customWidth="1"/>
    <col min="12557" max="12557" width="1.85546875" style="1" customWidth="1"/>
    <col min="12558" max="12558" width="40.85546875" style="1" bestFit="1" customWidth="1"/>
    <col min="12559" max="12559" width="13.140625" style="1" customWidth="1"/>
    <col min="12560" max="12560" width="12.85546875" style="1" customWidth="1"/>
    <col min="12561" max="12561" width="15.28515625" style="1" customWidth="1"/>
    <col min="12562" max="12563" width="13.140625" style="1" customWidth="1"/>
    <col min="12564" max="12564" width="17.28515625" style="1" customWidth="1"/>
    <col min="12565" max="12801" width="11.42578125" style="1"/>
    <col min="12802" max="12802" width="10.7109375" style="1" customWidth="1"/>
    <col min="12803" max="12803" width="48" style="1" bestFit="1" customWidth="1"/>
    <col min="12804" max="12804" width="14.42578125" style="1" bestFit="1" customWidth="1"/>
    <col min="12805" max="12805" width="13.140625" style="1" customWidth="1"/>
    <col min="12806" max="12806" width="13.28515625" style="1" bestFit="1" customWidth="1"/>
    <col min="12807" max="12807" width="31.42578125" style="1" bestFit="1" customWidth="1"/>
    <col min="12808" max="12808" width="13.28515625" style="1" bestFit="1" customWidth="1"/>
    <col min="12809" max="12809" width="14.42578125" style="1" bestFit="1" customWidth="1"/>
    <col min="12810" max="12810" width="14.42578125" style="1" customWidth="1"/>
    <col min="12811" max="12811" width="14.42578125" style="1" bestFit="1" customWidth="1"/>
    <col min="12812" max="12812" width="10.42578125" style="1" bestFit="1" customWidth="1"/>
    <col min="12813" max="12813" width="1.85546875" style="1" customWidth="1"/>
    <col min="12814" max="12814" width="40.85546875" style="1" bestFit="1" customWidth="1"/>
    <col min="12815" max="12815" width="13.140625" style="1" customWidth="1"/>
    <col min="12816" max="12816" width="12.85546875" style="1" customWidth="1"/>
    <col min="12817" max="12817" width="15.28515625" style="1" customWidth="1"/>
    <col min="12818" max="12819" width="13.140625" style="1" customWidth="1"/>
    <col min="12820" max="12820" width="17.28515625" style="1" customWidth="1"/>
    <col min="12821" max="13057" width="11.42578125" style="1"/>
    <col min="13058" max="13058" width="10.7109375" style="1" customWidth="1"/>
    <col min="13059" max="13059" width="48" style="1" bestFit="1" customWidth="1"/>
    <col min="13060" max="13060" width="14.42578125" style="1" bestFit="1" customWidth="1"/>
    <col min="13061" max="13061" width="13.140625" style="1" customWidth="1"/>
    <col min="13062" max="13062" width="13.28515625" style="1" bestFit="1" customWidth="1"/>
    <col min="13063" max="13063" width="31.42578125" style="1" bestFit="1" customWidth="1"/>
    <col min="13064" max="13064" width="13.28515625" style="1" bestFit="1" customWidth="1"/>
    <col min="13065" max="13065" width="14.42578125" style="1" bestFit="1" customWidth="1"/>
    <col min="13066" max="13066" width="14.42578125" style="1" customWidth="1"/>
    <col min="13067" max="13067" width="14.42578125" style="1" bestFit="1" customWidth="1"/>
    <col min="13068" max="13068" width="10.42578125" style="1" bestFit="1" customWidth="1"/>
    <col min="13069" max="13069" width="1.85546875" style="1" customWidth="1"/>
    <col min="13070" max="13070" width="40.85546875" style="1" bestFit="1" customWidth="1"/>
    <col min="13071" max="13071" width="13.140625" style="1" customWidth="1"/>
    <col min="13072" max="13072" width="12.85546875" style="1" customWidth="1"/>
    <col min="13073" max="13073" width="15.28515625" style="1" customWidth="1"/>
    <col min="13074" max="13075" width="13.140625" style="1" customWidth="1"/>
    <col min="13076" max="13076" width="17.28515625" style="1" customWidth="1"/>
    <col min="13077" max="13313" width="11.42578125" style="1"/>
    <col min="13314" max="13314" width="10.7109375" style="1" customWidth="1"/>
    <col min="13315" max="13315" width="48" style="1" bestFit="1" customWidth="1"/>
    <col min="13316" max="13316" width="14.42578125" style="1" bestFit="1" customWidth="1"/>
    <col min="13317" max="13317" width="13.140625" style="1" customWidth="1"/>
    <col min="13318" max="13318" width="13.28515625" style="1" bestFit="1" customWidth="1"/>
    <col min="13319" max="13319" width="31.42578125" style="1" bestFit="1" customWidth="1"/>
    <col min="13320" max="13320" width="13.28515625" style="1" bestFit="1" customWidth="1"/>
    <col min="13321" max="13321" width="14.42578125" style="1" bestFit="1" customWidth="1"/>
    <col min="13322" max="13322" width="14.42578125" style="1" customWidth="1"/>
    <col min="13323" max="13323" width="14.42578125" style="1" bestFit="1" customWidth="1"/>
    <col min="13324" max="13324" width="10.42578125" style="1" bestFit="1" customWidth="1"/>
    <col min="13325" max="13325" width="1.85546875" style="1" customWidth="1"/>
    <col min="13326" max="13326" width="40.85546875" style="1" bestFit="1" customWidth="1"/>
    <col min="13327" max="13327" width="13.140625" style="1" customWidth="1"/>
    <col min="13328" max="13328" width="12.85546875" style="1" customWidth="1"/>
    <col min="13329" max="13329" width="15.28515625" style="1" customWidth="1"/>
    <col min="13330" max="13331" width="13.140625" style="1" customWidth="1"/>
    <col min="13332" max="13332" width="17.28515625" style="1" customWidth="1"/>
    <col min="13333" max="13569" width="11.42578125" style="1"/>
    <col min="13570" max="13570" width="10.7109375" style="1" customWidth="1"/>
    <col min="13571" max="13571" width="48" style="1" bestFit="1" customWidth="1"/>
    <col min="13572" max="13572" width="14.42578125" style="1" bestFit="1" customWidth="1"/>
    <col min="13573" max="13573" width="13.140625" style="1" customWidth="1"/>
    <col min="13574" max="13574" width="13.28515625" style="1" bestFit="1" customWidth="1"/>
    <col min="13575" max="13575" width="31.42578125" style="1" bestFit="1" customWidth="1"/>
    <col min="13576" max="13576" width="13.28515625" style="1" bestFit="1" customWidth="1"/>
    <col min="13577" max="13577" width="14.42578125" style="1" bestFit="1" customWidth="1"/>
    <col min="13578" max="13578" width="14.42578125" style="1" customWidth="1"/>
    <col min="13579" max="13579" width="14.42578125" style="1" bestFit="1" customWidth="1"/>
    <col min="13580" max="13580" width="10.42578125" style="1" bestFit="1" customWidth="1"/>
    <col min="13581" max="13581" width="1.85546875" style="1" customWidth="1"/>
    <col min="13582" max="13582" width="40.85546875" style="1" bestFit="1" customWidth="1"/>
    <col min="13583" max="13583" width="13.140625" style="1" customWidth="1"/>
    <col min="13584" max="13584" width="12.85546875" style="1" customWidth="1"/>
    <col min="13585" max="13585" width="15.28515625" style="1" customWidth="1"/>
    <col min="13586" max="13587" width="13.140625" style="1" customWidth="1"/>
    <col min="13588" max="13588" width="17.28515625" style="1" customWidth="1"/>
    <col min="13589" max="13825" width="11.42578125" style="1"/>
    <col min="13826" max="13826" width="10.7109375" style="1" customWidth="1"/>
    <col min="13827" max="13827" width="48" style="1" bestFit="1" customWidth="1"/>
    <col min="13828" max="13828" width="14.42578125" style="1" bestFit="1" customWidth="1"/>
    <col min="13829" max="13829" width="13.140625" style="1" customWidth="1"/>
    <col min="13830" max="13830" width="13.28515625" style="1" bestFit="1" customWidth="1"/>
    <col min="13831" max="13831" width="31.42578125" style="1" bestFit="1" customWidth="1"/>
    <col min="13832" max="13832" width="13.28515625" style="1" bestFit="1" customWidth="1"/>
    <col min="13833" max="13833" width="14.42578125" style="1" bestFit="1" customWidth="1"/>
    <col min="13834" max="13834" width="14.42578125" style="1" customWidth="1"/>
    <col min="13835" max="13835" width="14.42578125" style="1" bestFit="1" customWidth="1"/>
    <col min="13836" max="13836" width="10.42578125" style="1" bestFit="1" customWidth="1"/>
    <col min="13837" max="13837" width="1.85546875" style="1" customWidth="1"/>
    <col min="13838" max="13838" width="40.85546875" style="1" bestFit="1" customWidth="1"/>
    <col min="13839" max="13839" width="13.140625" style="1" customWidth="1"/>
    <col min="13840" max="13840" width="12.85546875" style="1" customWidth="1"/>
    <col min="13841" max="13841" width="15.28515625" style="1" customWidth="1"/>
    <col min="13842" max="13843" width="13.140625" style="1" customWidth="1"/>
    <col min="13844" max="13844" width="17.28515625" style="1" customWidth="1"/>
    <col min="13845" max="14081" width="11.42578125" style="1"/>
    <col min="14082" max="14082" width="10.7109375" style="1" customWidth="1"/>
    <col min="14083" max="14083" width="48" style="1" bestFit="1" customWidth="1"/>
    <col min="14084" max="14084" width="14.42578125" style="1" bestFit="1" customWidth="1"/>
    <col min="14085" max="14085" width="13.140625" style="1" customWidth="1"/>
    <col min="14086" max="14086" width="13.28515625" style="1" bestFit="1" customWidth="1"/>
    <col min="14087" max="14087" width="31.42578125" style="1" bestFit="1" customWidth="1"/>
    <col min="14088" max="14088" width="13.28515625" style="1" bestFit="1" customWidth="1"/>
    <col min="14089" max="14089" width="14.42578125" style="1" bestFit="1" customWidth="1"/>
    <col min="14090" max="14090" width="14.42578125" style="1" customWidth="1"/>
    <col min="14091" max="14091" width="14.42578125" style="1" bestFit="1" customWidth="1"/>
    <col min="14092" max="14092" width="10.42578125" style="1" bestFit="1" customWidth="1"/>
    <col min="14093" max="14093" width="1.85546875" style="1" customWidth="1"/>
    <col min="14094" max="14094" width="40.85546875" style="1" bestFit="1" customWidth="1"/>
    <col min="14095" max="14095" width="13.140625" style="1" customWidth="1"/>
    <col min="14096" max="14096" width="12.85546875" style="1" customWidth="1"/>
    <col min="14097" max="14097" width="15.28515625" style="1" customWidth="1"/>
    <col min="14098" max="14099" width="13.140625" style="1" customWidth="1"/>
    <col min="14100" max="14100" width="17.28515625" style="1" customWidth="1"/>
    <col min="14101" max="14337" width="11.42578125" style="1"/>
    <col min="14338" max="14338" width="10.7109375" style="1" customWidth="1"/>
    <col min="14339" max="14339" width="48" style="1" bestFit="1" customWidth="1"/>
    <col min="14340" max="14340" width="14.42578125" style="1" bestFit="1" customWidth="1"/>
    <col min="14341" max="14341" width="13.140625" style="1" customWidth="1"/>
    <col min="14342" max="14342" width="13.28515625" style="1" bestFit="1" customWidth="1"/>
    <col min="14343" max="14343" width="31.42578125" style="1" bestFit="1" customWidth="1"/>
    <col min="14344" max="14344" width="13.28515625" style="1" bestFit="1" customWidth="1"/>
    <col min="14345" max="14345" width="14.42578125" style="1" bestFit="1" customWidth="1"/>
    <col min="14346" max="14346" width="14.42578125" style="1" customWidth="1"/>
    <col min="14347" max="14347" width="14.42578125" style="1" bestFit="1" customWidth="1"/>
    <col min="14348" max="14348" width="10.42578125" style="1" bestFit="1" customWidth="1"/>
    <col min="14349" max="14349" width="1.85546875" style="1" customWidth="1"/>
    <col min="14350" max="14350" width="40.85546875" style="1" bestFit="1" customWidth="1"/>
    <col min="14351" max="14351" width="13.140625" style="1" customWidth="1"/>
    <col min="14352" max="14352" width="12.85546875" style="1" customWidth="1"/>
    <col min="14353" max="14353" width="15.28515625" style="1" customWidth="1"/>
    <col min="14354" max="14355" width="13.140625" style="1" customWidth="1"/>
    <col min="14356" max="14356" width="17.28515625" style="1" customWidth="1"/>
    <col min="14357" max="14593" width="11.42578125" style="1"/>
    <col min="14594" max="14594" width="10.7109375" style="1" customWidth="1"/>
    <col min="14595" max="14595" width="48" style="1" bestFit="1" customWidth="1"/>
    <col min="14596" max="14596" width="14.42578125" style="1" bestFit="1" customWidth="1"/>
    <col min="14597" max="14597" width="13.140625" style="1" customWidth="1"/>
    <col min="14598" max="14598" width="13.28515625" style="1" bestFit="1" customWidth="1"/>
    <col min="14599" max="14599" width="31.42578125" style="1" bestFit="1" customWidth="1"/>
    <col min="14600" max="14600" width="13.28515625" style="1" bestFit="1" customWidth="1"/>
    <col min="14601" max="14601" width="14.42578125" style="1" bestFit="1" customWidth="1"/>
    <col min="14602" max="14602" width="14.42578125" style="1" customWidth="1"/>
    <col min="14603" max="14603" width="14.42578125" style="1" bestFit="1" customWidth="1"/>
    <col min="14604" max="14604" width="10.42578125" style="1" bestFit="1" customWidth="1"/>
    <col min="14605" max="14605" width="1.85546875" style="1" customWidth="1"/>
    <col min="14606" max="14606" width="40.85546875" style="1" bestFit="1" customWidth="1"/>
    <col min="14607" max="14607" width="13.140625" style="1" customWidth="1"/>
    <col min="14608" max="14608" width="12.85546875" style="1" customWidth="1"/>
    <col min="14609" max="14609" width="15.28515625" style="1" customWidth="1"/>
    <col min="14610" max="14611" width="13.140625" style="1" customWidth="1"/>
    <col min="14612" max="14612" width="17.28515625" style="1" customWidth="1"/>
    <col min="14613" max="14849" width="11.42578125" style="1"/>
    <col min="14850" max="14850" width="10.7109375" style="1" customWidth="1"/>
    <col min="14851" max="14851" width="48" style="1" bestFit="1" customWidth="1"/>
    <col min="14852" max="14852" width="14.42578125" style="1" bestFit="1" customWidth="1"/>
    <col min="14853" max="14853" width="13.140625" style="1" customWidth="1"/>
    <col min="14854" max="14854" width="13.28515625" style="1" bestFit="1" customWidth="1"/>
    <col min="14855" max="14855" width="31.42578125" style="1" bestFit="1" customWidth="1"/>
    <col min="14856" max="14856" width="13.28515625" style="1" bestFit="1" customWidth="1"/>
    <col min="14857" max="14857" width="14.42578125" style="1" bestFit="1" customWidth="1"/>
    <col min="14858" max="14858" width="14.42578125" style="1" customWidth="1"/>
    <col min="14859" max="14859" width="14.42578125" style="1" bestFit="1" customWidth="1"/>
    <col min="14860" max="14860" width="10.42578125" style="1" bestFit="1" customWidth="1"/>
    <col min="14861" max="14861" width="1.85546875" style="1" customWidth="1"/>
    <col min="14862" max="14862" width="40.85546875" style="1" bestFit="1" customWidth="1"/>
    <col min="14863" max="14863" width="13.140625" style="1" customWidth="1"/>
    <col min="14864" max="14864" width="12.85546875" style="1" customWidth="1"/>
    <col min="14865" max="14865" width="15.28515625" style="1" customWidth="1"/>
    <col min="14866" max="14867" width="13.140625" style="1" customWidth="1"/>
    <col min="14868" max="14868" width="17.28515625" style="1" customWidth="1"/>
    <col min="14869" max="15105" width="11.42578125" style="1"/>
    <col min="15106" max="15106" width="10.7109375" style="1" customWidth="1"/>
    <col min="15107" max="15107" width="48" style="1" bestFit="1" customWidth="1"/>
    <col min="15108" max="15108" width="14.42578125" style="1" bestFit="1" customWidth="1"/>
    <col min="15109" max="15109" width="13.140625" style="1" customWidth="1"/>
    <col min="15110" max="15110" width="13.28515625" style="1" bestFit="1" customWidth="1"/>
    <col min="15111" max="15111" width="31.42578125" style="1" bestFit="1" customWidth="1"/>
    <col min="15112" max="15112" width="13.28515625" style="1" bestFit="1" customWidth="1"/>
    <col min="15113" max="15113" width="14.42578125" style="1" bestFit="1" customWidth="1"/>
    <col min="15114" max="15114" width="14.42578125" style="1" customWidth="1"/>
    <col min="15115" max="15115" width="14.42578125" style="1" bestFit="1" customWidth="1"/>
    <col min="15116" max="15116" width="10.42578125" style="1" bestFit="1" customWidth="1"/>
    <col min="15117" max="15117" width="1.85546875" style="1" customWidth="1"/>
    <col min="15118" max="15118" width="40.85546875" style="1" bestFit="1" customWidth="1"/>
    <col min="15119" max="15119" width="13.140625" style="1" customWidth="1"/>
    <col min="15120" max="15120" width="12.85546875" style="1" customWidth="1"/>
    <col min="15121" max="15121" width="15.28515625" style="1" customWidth="1"/>
    <col min="15122" max="15123" width="13.140625" style="1" customWidth="1"/>
    <col min="15124" max="15124" width="17.28515625" style="1" customWidth="1"/>
    <col min="15125" max="15361" width="11.42578125" style="1"/>
    <col min="15362" max="15362" width="10.7109375" style="1" customWidth="1"/>
    <col min="15363" max="15363" width="48" style="1" bestFit="1" customWidth="1"/>
    <col min="15364" max="15364" width="14.42578125" style="1" bestFit="1" customWidth="1"/>
    <col min="15365" max="15365" width="13.140625" style="1" customWidth="1"/>
    <col min="15366" max="15366" width="13.28515625" style="1" bestFit="1" customWidth="1"/>
    <col min="15367" max="15367" width="31.42578125" style="1" bestFit="1" customWidth="1"/>
    <col min="15368" max="15368" width="13.28515625" style="1" bestFit="1" customWidth="1"/>
    <col min="15369" max="15369" width="14.42578125" style="1" bestFit="1" customWidth="1"/>
    <col min="15370" max="15370" width="14.42578125" style="1" customWidth="1"/>
    <col min="15371" max="15371" width="14.42578125" style="1" bestFit="1" customWidth="1"/>
    <col min="15372" max="15372" width="10.42578125" style="1" bestFit="1" customWidth="1"/>
    <col min="15373" max="15373" width="1.85546875" style="1" customWidth="1"/>
    <col min="15374" max="15374" width="40.85546875" style="1" bestFit="1" customWidth="1"/>
    <col min="15375" max="15375" width="13.140625" style="1" customWidth="1"/>
    <col min="15376" max="15376" width="12.85546875" style="1" customWidth="1"/>
    <col min="15377" max="15377" width="15.28515625" style="1" customWidth="1"/>
    <col min="15378" max="15379" width="13.140625" style="1" customWidth="1"/>
    <col min="15380" max="15380" width="17.28515625" style="1" customWidth="1"/>
    <col min="15381" max="15617" width="11.42578125" style="1"/>
    <col min="15618" max="15618" width="10.7109375" style="1" customWidth="1"/>
    <col min="15619" max="15619" width="48" style="1" bestFit="1" customWidth="1"/>
    <col min="15620" max="15620" width="14.42578125" style="1" bestFit="1" customWidth="1"/>
    <col min="15621" max="15621" width="13.140625" style="1" customWidth="1"/>
    <col min="15622" max="15622" width="13.28515625" style="1" bestFit="1" customWidth="1"/>
    <col min="15623" max="15623" width="31.42578125" style="1" bestFit="1" customWidth="1"/>
    <col min="15624" max="15624" width="13.28515625" style="1" bestFit="1" customWidth="1"/>
    <col min="15625" max="15625" width="14.42578125" style="1" bestFit="1" customWidth="1"/>
    <col min="15626" max="15626" width="14.42578125" style="1" customWidth="1"/>
    <col min="15627" max="15627" width="14.42578125" style="1" bestFit="1" customWidth="1"/>
    <col min="15628" max="15628" width="10.42578125" style="1" bestFit="1" customWidth="1"/>
    <col min="15629" max="15629" width="1.85546875" style="1" customWidth="1"/>
    <col min="15630" max="15630" width="40.85546875" style="1" bestFit="1" customWidth="1"/>
    <col min="15631" max="15631" width="13.140625" style="1" customWidth="1"/>
    <col min="15632" max="15632" width="12.85546875" style="1" customWidth="1"/>
    <col min="15633" max="15633" width="15.28515625" style="1" customWidth="1"/>
    <col min="15634" max="15635" width="13.140625" style="1" customWidth="1"/>
    <col min="15636" max="15636" width="17.28515625" style="1" customWidth="1"/>
    <col min="15637" max="15873" width="11.42578125" style="1"/>
    <col min="15874" max="15874" width="10.7109375" style="1" customWidth="1"/>
    <col min="15875" max="15875" width="48" style="1" bestFit="1" customWidth="1"/>
    <col min="15876" max="15876" width="14.42578125" style="1" bestFit="1" customWidth="1"/>
    <col min="15877" max="15877" width="13.140625" style="1" customWidth="1"/>
    <col min="15878" max="15878" width="13.28515625" style="1" bestFit="1" customWidth="1"/>
    <col min="15879" max="15879" width="31.42578125" style="1" bestFit="1" customWidth="1"/>
    <col min="15880" max="15880" width="13.28515625" style="1" bestFit="1" customWidth="1"/>
    <col min="15881" max="15881" width="14.42578125" style="1" bestFit="1" customWidth="1"/>
    <col min="15882" max="15882" width="14.42578125" style="1" customWidth="1"/>
    <col min="15883" max="15883" width="14.42578125" style="1" bestFit="1" customWidth="1"/>
    <col min="15884" max="15884" width="10.42578125" style="1" bestFit="1" customWidth="1"/>
    <col min="15885" max="15885" width="1.85546875" style="1" customWidth="1"/>
    <col min="15886" max="15886" width="40.85546875" style="1" bestFit="1" customWidth="1"/>
    <col min="15887" max="15887" width="13.140625" style="1" customWidth="1"/>
    <col min="15888" max="15888" width="12.85546875" style="1" customWidth="1"/>
    <col min="15889" max="15889" width="15.28515625" style="1" customWidth="1"/>
    <col min="15890" max="15891" width="13.140625" style="1" customWidth="1"/>
    <col min="15892" max="15892" width="17.28515625" style="1" customWidth="1"/>
    <col min="15893" max="16129" width="11.42578125" style="1"/>
    <col min="16130" max="16130" width="10.7109375" style="1" customWidth="1"/>
    <col min="16131" max="16131" width="48" style="1" bestFit="1" customWidth="1"/>
    <col min="16132" max="16132" width="14.42578125" style="1" bestFit="1" customWidth="1"/>
    <col min="16133" max="16133" width="13.140625" style="1" customWidth="1"/>
    <col min="16134" max="16134" width="13.28515625" style="1" bestFit="1" customWidth="1"/>
    <col min="16135" max="16135" width="31.42578125" style="1" bestFit="1" customWidth="1"/>
    <col min="16136" max="16136" width="13.28515625" style="1" bestFit="1" customWidth="1"/>
    <col min="16137" max="16137" width="14.42578125" style="1" bestFit="1" customWidth="1"/>
    <col min="16138" max="16138" width="14.42578125" style="1" customWidth="1"/>
    <col min="16139" max="16139" width="14.42578125" style="1" bestFit="1" customWidth="1"/>
    <col min="16140" max="16140" width="10.42578125" style="1" bestFit="1" customWidth="1"/>
    <col min="16141" max="16141" width="1.85546875" style="1" customWidth="1"/>
    <col min="16142" max="16142" width="40.85546875" style="1" bestFit="1" customWidth="1"/>
    <col min="16143" max="16143" width="13.140625" style="1" customWidth="1"/>
    <col min="16144" max="16144" width="12.85546875" style="1" customWidth="1"/>
    <col min="16145" max="16145" width="15.28515625" style="1" customWidth="1"/>
    <col min="16146" max="16147" width="13.140625" style="1" customWidth="1"/>
    <col min="16148" max="16148" width="17.28515625" style="1" customWidth="1"/>
    <col min="16149" max="16384" width="11.42578125" style="1"/>
  </cols>
  <sheetData>
    <row r="2" spans="1:33" ht="20.25" customHeight="1" thickBot="1" x14ac:dyDescent="0.3">
      <c r="C2" s="2" t="s">
        <v>53</v>
      </c>
    </row>
    <row r="3" spans="1:33" ht="15.75" x14ac:dyDescent="0.25">
      <c r="B3" s="3">
        <f ca="1">TODAY()</f>
        <v>43263</v>
      </c>
      <c r="C3" s="4" t="s">
        <v>0</v>
      </c>
      <c r="D3" s="563" t="s">
        <v>122</v>
      </c>
      <c r="E3" s="564"/>
      <c r="F3" s="564"/>
      <c r="G3" s="564"/>
      <c r="H3" s="564"/>
      <c r="I3" s="564"/>
      <c r="J3" s="564"/>
      <c r="K3" s="564"/>
      <c r="L3" s="565"/>
      <c r="M3" s="5"/>
      <c r="N3" s="5"/>
      <c r="O3" s="5"/>
      <c r="P3" s="5"/>
      <c r="Q3" s="5"/>
      <c r="R3" s="5"/>
      <c r="S3" s="6"/>
    </row>
    <row r="4" spans="1:33" ht="15.75" x14ac:dyDescent="0.25">
      <c r="B4" s="7"/>
      <c r="C4" s="283" t="s">
        <v>1</v>
      </c>
      <c r="D4" s="566"/>
      <c r="E4" s="567"/>
      <c r="F4" s="567"/>
      <c r="G4" s="567"/>
      <c r="H4" s="567"/>
      <c r="I4" s="567"/>
      <c r="J4" s="567"/>
      <c r="K4" s="567"/>
      <c r="L4" s="568"/>
      <c r="M4" s="8"/>
      <c r="N4" s="8"/>
      <c r="O4" s="8"/>
      <c r="P4" s="8"/>
      <c r="Q4" s="8"/>
      <c r="R4" s="8"/>
      <c r="S4" s="9"/>
      <c r="U4" s="257"/>
    </row>
    <row r="5" spans="1:33" ht="15.75" x14ac:dyDescent="0.25">
      <c r="B5" s="7"/>
      <c r="C5" s="283" t="s">
        <v>2</v>
      </c>
      <c r="D5" s="566" t="s">
        <v>123</v>
      </c>
      <c r="E5" s="567"/>
      <c r="F5" s="567"/>
      <c r="G5" s="567"/>
      <c r="H5" s="567"/>
      <c r="I5" s="567"/>
      <c r="J5" s="567"/>
      <c r="K5" s="567"/>
      <c r="L5" s="568"/>
      <c r="M5" s="8"/>
      <c r="N5" s="8"/>
      <c r="O5" s="8"/>
      <c r="P5" s="8"/>
      <c r="Q5" s="8"/>
      <c r="R5" s="8"/>
      <c r="S5" s="9"/>
      <c r="U5" s="257"/>
    </row>
    <row r="6" spans="1:33" ht="13.5" thickBot="1" x14ac:dyDescent="0.3">
      <c r="B6" s="7"/>
      <c r="C6" s="10"/>
      <c r="D6" s="10"/>
      <c r="E6" s="11"/>
      <c r="F6" s="12"/>
      <c r="G6" s="12"/>
      <c r="H6" s="11"/>
      <c r="I6" s="11"/>
      <c r="J6" s="11"/>
      <c r="K6" s="11"/>
      <c r="L6" s="13"/>
      <c r="M6" s="11"/>
      <c r="N6" s="12"/>
      <c r="O6" s="12"/>
      <c r="P6" s="12"/>
      <c r="Q6" s="12"/>
      <c r="R6" s="12"/>
      <c r="S6" s="14"/>
    </row>
    <row r="7" spans="1:33" s="21" customFormat="1" ht="16.5" thickBot="1" x14ac:dyDescent="0.3">
      <c r="B7" s="15"/>
      <c r="C7" s="64" t="s">
        <v>3</v>
      </c>
      <c r="D7" s="534" t="s">
        <v>4</v>
      </c>
      <c r="E7" s="534"/>
      <c r="F7" s="534" t="s">
        <v>5</v>
      </c>
      <c r="G7" s="16" t="s">
        <v>6</v>
      </c>
      <c r="H7" s="17"/>
      <c r="I7" s="17"/>
      <c r="J7" s="17"/>
      <c r="K7" s="17" t="s">
        <v>7</v>
      </c>
      <c r="L7" s="17" t="s">
        <v>8</v>
      </c>
      <c r="M7" s="18"/>
      <c r="N7" s="8" t="s">
        <v>9</v>
      </c>
      <c r="O7" s="19"/>
      <c r="P7" s="19"/>
      <c r="Q7" s="19"/>
      <c r="R7" s="19"/>
      <c r="S7" s="20"/>
      <c r="V7" s="282"/>
    </row>
    <row r="8" spans="1:33" ht="15.75" customHeight="1" x14ac:dyDescent="0.25">
      <c r="B8" s="22"/>
      <c r="C8" s="526" t="s">
        <v>10</v>
      </c>
      <c r="D8" s="540">
        <f>'ETAT SURFACE - EVALUATION TRVX'!B20</f>
        <v>1741.7400000000002</v>
      </c>
      <c r="E8" s="535"/>
      <c r="F8" s="545">
        <f>F14/D8</f>
        <v>345.66930196240537</v>
      </c>
      <c r="G8" s="570" t="s">
        <v>11</v>
      </c>
      <c r="H8" s="570"/>
      <c r="I8" s="570"/>
      <c r="J8" s="65"/>
      <c r="K8" s="188">
        <f>'ACQUISITION FINANCEMENT'!F4</f>
        <v>9500000</v>
      </c>
      <c r="L8" s="23">
        <f t="shared" ref="L8:L13" si="0">K8/$D$8</f>
        <v>5454.3157991433845</v>
      </c>
      <c r="M8" s="550"/>
      <c r="N8" s="553" t="s">
        <v>54</v>
      </c>
      <c r="O8" s="73">
        <f>2018</f>
        <v>2018</v>
      </c>
      <c r="P8" s="24"/>
      <c r="Q8" s="24"/>
      <c r="R8" s="24"/>
      <c r="S8" s="25"/>
    </row>
    <row r="9" spans="1:33" ht="15.75" customHeight="1" x14ac:dyDescent="0.25">
      <c r="B9" s="22"/>
      <c r="C9" s="26"/>
      <c r="D9" s="541"/>
      <c r="E9" s="536"/>
      <c r="F9" s="546"/>
      <c r="G9" s="571" t="s">
        <v>12</v>
      </c>
      <c r="H9" s="571"/>
      <c r="I9" s="571"/>
      <c r="J9" s="27"/>
      <c r="K9" s="31">
        <f>D23</f>
        <v>570000</v>
      </c>
      <c r="L9" s="23">
        <f t="shared" si="0"/>
        <v>327.25894794860307</v>
      </c>
      <c r="M9" s="551"/>
      <c r="N9" s="26" t="s">
        <v>13</v>
      </c>
      <c r="O9" s="22">
        <f>'ACQUISITION FINANCEMENT'!B14</f>
        <v>0.7</v>
      </c>
      <c r="P9" s="28">
        <f>K8*O9</f>
        <v>6650000</v>
      </c>
      <c r="Q9" s="29" t="s">
        <v>14</v>
      </c>
      <c r="R9" s="343">
        <f>'ACQUISITION FINANCEMENT'!C25</f>
        <v>0.01</v>
      </c>
      <c r="S9" s="30"/>
    </row>
    <row r="10" spans="1:33" ht="15.75" customHeight="1" x14ac:dyDescent="0.25">
      <c r="B10" s="22"/>
      <c r="C10" s="26"/>
      <c r="D10" s="541"/>
      <c r="E10" s="536"/>
      <c r="F10" s="546"/>
      <c r="G10" s="571" t="s">
        <v>15</v>
      </c>
      <c r="H10" s="571"/>
      <c r="I10" s="571"/>
      <c r="J10" s="524"/>
      <c r="K10" s="31">
        <f>SUM(A24:A26)</f>
        <v>714207.13439999998</v>
      </c>
      <c r="L10" s="23">
        <f t="shared" si="0"/>
        <v>410.05381652829919</v>
      </c>
      <c r="M10" s="551"/>
      <c r="N10" s="26" t="s">
        <v>16</v>
      </c>
      <c r="O10" s="22">
        <f>'ACQUISITION FINANCEMENT'!B17</f>
        <v>0.9</v>
      </c>
      <c r="P10" s="28">
        <f>K11*O10</f>
        <v>462431.97000000003</v>
      </c>
      <c r="Q10" s="7"/>
      <c r="R10" s="7"/>
      <c r="S10" s="30"/>
    </row>
    <row r="11" spans="1:33" ht="15.75" customHeight="1" x14ac:dyDescent="0.25">
      <c r="B11" s="22"/>
      <c r="C11" s="26"/>
      <c r="D11" s="541"/>
      <c r="E11" s="536"/>
      <c r="F11" s="546"/>
      <c r="G11" s="571" t="s">
        <v>17</v>
      </c>
      <c r="H11" s="571"/>
      <c r="I11" s="571"/>
      <c r="J11" s="525"/>
      <c r="K11" s="525">
        <f>'ACQUISITION FINANCEMENT'!F7</f>
        <v>513813.30000000005</v>
      </c>
      <c r="L11" s="23">
        <f>K11/$D$8</f>
        <v>295</v>
      </c>
      <c r="M11" s="551"/>
      <c r="N11" s="26" t="s">
        <v>18</v>
      </c>
      <c r="O11" s="182">
        <v>6</v>
      </c>
      <c r="P11" s="29"/>
      <c r="Q11" s="32" t="s">
        <v>19</v>
      </c>
      <c r="R11" s="343">
        <f>'ACQUISITION FINANCEMENT'!C26</f>
        <v>0.01</v>
      </c>
      <c r="S11" s="30"/>
    </row>
    <row r="12" spans="1:33" ht="15.75" customHeight="1" thickBot="1" x14ac:dyDescent="0.3">
      <c r="B12" s="22"/>
      <c r="C12" s="33"/>
      <c r="D12" s="541"/>
      <c r="E12" s="537"/>
      <c r="F12" s="547"/>
      <c r="G12" s="572" t="s">
        <v>20</v>
      </c>
      <c r="H12" s="572"/>
      <c r="I12" s="572"/>
      <c r="J12" s="31"/>
      <c r="K12" s="31">
        <f>A38</f>
        <v>955910.85676800006</v>
      </c>
      <c r="L12" s="23">
        <f t="shared" si="0"/>
        <v>548.82523038340969</v>
      </c>
      <c r="M12" s="551"/>
      <c r="N12" s="554" t="s">
        <v>55</v>
      </c>
      <c r="O12" s="555">
        <f>O8+O11</f>
        <v>2024</v>
      </c>
      <c r="P12" s="29"/>
      <c r="Q12" s="38" t="s">
        <v>23</v>
      </c>
      <c r="R12" s="38" t="s">
        <v>23</v>
      </c>
      <c r="S12" s="30"/>
    </row>
    <row r="13" spans="1:33" ht="15.75" customHeight="1" thickBot="1" x14ac:dyDescent="0.3">
      <c r="B13" s="22"/>
      <c r="C13" s="33"/>
      <c r="D13" s="542"/>
      <c r="E13" s="538"/>
      <c r="F13" s="548" t="s">
        <v>21</v>
      </c>
      <c r="G13" s="544" t="s">
        <v>22</v>
      </c>
      <c r="H13" s="34"/>
      <c r="I13" s="35"/>
      <c r="J13" s="35"/>
      <c r="K13" s="36">
        <f>SUM(I8:K12)</f>
        <v>12253931.291168002</v>
      </c>
      <c r="L13" s="23">
        <f t="shared" si="0"/>
        <v>7035.453794003698</v>
      </c>
      <c r="M13" s="37"/>
      <c r="N13" s="26" t="s">
        <v>195</v>
      </c>
      <c r="O13" s="184">
        <f>'ACQUISITION FINANCEMENT'!C23</f>
        <v>2.8000000000000001E-2</v>
      </c>
      <c r="P13" s="37"/>
      <c r="Q13" s="7" t="s">
        <v>196</v>
      </c>
      <c r="R13" s="556">
        <f>'ACQUISITION FINANCEMENT'!C22</f>
        <v>0.03</v>
      </c>
      <c r="S13" s="30"/>
      <c r="AA13" s="7"/>
      <c r="AB13" s="7"/>
      <c r="AC13" s="7"/>
      <c r="AD13" s="7"/>
      <c r="AE13" s="7"/>
      <c r="AF13" s="7"/>
      <c r="AG13" s="7"/>
    </row>
    <row r="14" spans="1:33" ht="15.75" customHeight="1" x14ac:dyDescent="0.25">
      <c r="B14" s="22"/>
      <c r="C14" s="527" t="s">
        <v>24</v>
      </c>
      <c r="D14" s="543"/>
      <c r="E14" s="539"/>
      <c r="F14" s="548">
        <f>MAX(F17:U17)</f>
        <v>602066.05000000005</v>
      </c>
      <c r="G14" s="569" t="s">
        <v>25</v>
      </c>
      <c r="H14" s="569"/>
      <c r="I14" s="40"/>
      <c r="J14" s="40"/>
      <c r="K14" s="37">
        <f>F14/K13</f>
        <v>4.9132481298792496E-2</v>
      </c>
      <c r="L14" s="29"/>
      <c r="M14" s="552"/>
      <c r="N14" s="26" t="s">
        <v>26</v>
      </c>
      <c r="O14" s="185">
        <f>'ACQUISITION FINANCEMENT'!C24</f>
        <v>0.6</v>
      </c>
      <c r="P14" s="28">
        <f>(P9+P10)*O14</f>
        <v>4267459.182</v>
      </c>
      <c r="Q14" s="29" t="s">
        <v>193</v>
      </c>
      <c r="R14" s="523"/>
      <c r="S14" s="30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ht="13.5" thickBot="1" x14ac:dyDescent="0.3">
      <c r="B15" s="22"/>
      <c r="C15" s="10"/>
      <c r="D15" s="10"/>
      <c r="E15" s="14"/>
      <c r="F15" s="549"/>
      <c r="G15" s="74"/>
      <c r="H15" s="39"/>
      <c r="I15" s="7"/>
      <c r="J15" s="7"/>
      <c r="K15" s="39"/>
      <c r="L15" s="39"/>
      <c r="M15" s="39"/>
      <c r="N15" s="557" t="s">
        <v>192</v>
      </c>
      <c r="O15" s="558">
        <f>1-O14</f>
        <v>0.4</v>
      </c>
      <c r="P15" s="559">
        <f>(P9+P10)*O15</f>
        <v>2844972.7880000002</v>
      </c>
      <c r="Q15" s="12" t="s">
        <v>194</v>
      </c>
      <c r="R15" s="560">
        <v>2</v>
      </c>
      <c r="S15" s="14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ht="28.5" customHeight="1" thickBot="1" x14ac:dyDescent="0.3">
      <c r="A16" s="72" t="s">
        <v>52</v>
      </c>
      <c r="B16" s="41"/>
      <c r="C16" s="69"/>
      <c r="D16" s="70">
        <v>0</v>
      </c>
      <c r="E16" s="70">
        <v>2018</v>
      </c>
      <c r="F16" s="70">
        <f>O8</f>
        <v>2018</v>
      </c>
      <c r="G16" s="70">
        <f>IF($O$11&gt;=1,F16+1,"")</f>
        <v>2019</v>
      </c>
      <c r="H16" s="70">
        <f>IF($O$11&gt;=2,G16+1,"")</f>
        <v>2020</v>
      </c>
      <c r="I16" s="70">
        <f>IF($O$11&gt;=3,H16+1,"")</f>
        <v>2021</v>
      </c>
      <c r="J16" s="70">
        <f>IF($O$11&gt;=4,I16+1,"")</f>
        <v>2022</v>
      </c>
      <c r="K16" s="70">
        <f>IF($O$11&gt;=5,J16+1,"")</f>
        <v>2023</v>
      </c>
      <c r="L16" s="70">
        <f>IF($O$11&gt;=6,K16+1,"")</f>
        <v>2024</v>
      </c>
      <c r="M16" s="70" t="str">
        <f>IF($O$11&gt;=7,L16+1,"")</f>
        <v/>
      </c>
      <c r="N16" s="70" t="str">
        <f>IF($O$11&gt;=8,M16+1,"")</f>
        <v/>
      </c>
      <c r="O16" s="70" t="str">
        <f>IF($O$11&gt;=9,N16+1,"")</f>
        <v/>
      </c>
      <c r="P16" s="70" t="str">
        <f>IF($O$11&gt;=10,O16+1,"")</f>
        <v/>
      </c>
      <c r="Q16" s="70" t="str">
        <f>IF($O$11&gt;=11,P16+1,"")</f>
        <v/>
      </c>
      <c r="R16" s="70" t="str">
        <f>IF($O$11&gt;=12,Q16+1,"")</f>
        <v/>
      </c>
      <c r="S16" s="71" t="str">
        <f>IF($O$11&gt;=13,R16+1,"")</f>
        <v/>
      </c>
      <c r="T16" s="76" t="str">
        <f>IF($O$11&gt;=14,S16+1,"")</f>
        <v/>
      </c>
      <c r="U16" s="77" t="str">
        <f>IF($O$11&gt;=15,T16+1,"")</f>
        <v/>
      </c>
      <c r="V16" s="76" t="str">
        <f>IF($O$11&gt;=16,U16+1,"")</f>
        <v/>
      </c>
      <c r="W16" s="76" t="str">
        <f>IF($O$11&gt;=17,V16+1,"")</f>
        <v/>
      </c>
      <c r="X16" s="76" t="str">
        <f>IF($O$11&gt;=18,W16+1,"")</f>
        <v/>
      </c>
      <c r="Y16" s="76" t="str">
        <f>IF($O$11&gt;=19,X16+1,"")</f>
        <v/>
      </c>
      <c r="Z16" s="76" t="str">
        <f>IF($O$11&gt;=20,Y16+1,"")</f>
        <v/>
      </c>
      <c r="AA16" s="76" t="str">
        <f>IF($O$11&gt;=21,Z16+1,"")</f>
        <v/>
      </c>
      <c r="AB16" s="76" t="str">
        <f>IF($O$11&gt;=22,AA16+1,"")</f>
        <v/>
      </c>
      <c r="AC16" s="76" t="str">
        <f>IF($O$11&gt;=23,AB16+1,"")</f>
        <v/>
      </c>
      <c r="AD16" s="76" t="str">
        <f>IF($O$11&gt;=24,AC16+1,"")</f>
        <v/>
      </c>
      <c r="AE16" s="77" t="str">
        <f>IF($O$11&gt;=25,AD16+1,"")</f>
        <v/>
      </c>
      <c r="AF16" s="7"/>
      <c r="AG16" s="7"/>
    </row>
    <row r="17" spans="1:133" ht="26.25" customHeight="1" x14ac:dyDescent="0.25">
      <c r="A17" s="507">
        <f>SUM(D17:AE17)</f>
        <v>3576726.05</v>
      </c>
      <c r="C17" s="491" t="s">
        <v>27</v>
      </c>
      <c r="D17" s="492">
        <v>0</v>
      </c>
      <c r="E17" s="290"/>
      <c r="F17" s="291">
        <f>LOCATION!D14</f>
        <v>475711</v>
      </c>
      <c r="G17" s="291">
        <f>IF($O$11&gt;=1,LOCATION!E14,"")</f>
        <v>475711</v>
      </c>
      <c r="H17" s="291">
        <f>IF($O$11&gt;=2,LOCATION!F14,"")</f>
        <v>475711</v>
      </c>
      <c r="I17" s="291">
        <f>IF($O$11&gt;=3,LOCATION!G14,"")</f>
        <v>475711</v>
      </c>
      <c r="J17" s="291">
        <f>IF($O$11&gt;=4,LOCATION!H14,"")</f>
        <v>475711</v>
      </c>
      <c r="K17" s="291">
        <f>IF($O$11&gt;=5,LOCATION!I14,"")</f>
        <v>596105</v>
      </c>
      <c r="L17" s="291">
        <f>IF($O$11&gt;=6,K17+(K17*$R$9),"")</f>
        <v>602066.05000000005</v>
      </c>
      <c r="M17" s="291" t="str">
        <f>IF($O$11&gt;=7,L17+(L17*$R$9),"")</f>
        <v/>
      </c>
      <c r="N17" s="291" t="str">
        <f>IF($O$11&gt;=8,M17+(M17*$R$9),"")</f>
        <v/>
      </c>
      <c r="O17" s="291" t="str">
        <f>IF($O$11&gt;=9,N17+(N17*$R$9),"")</f>
        <v/>
      </c>
      <c r="P17" s="291" t="str">
        <f>IF($O$11&gt;=10,O17+(O17*$R$9),"")</f>
        <v/>
      </c>
      <c r="Q17" s="291" t="str">
        <f>IF($O$11&gt;=11,P17+(P17*$R$9),"")</f>
        <v/>
      </c>
      <c r="R17" s="291" t="str">
        <f>IF($O$11&gt;=12,Q17+(Q17*$R$9),"")</f>
        <v/>
      </c>
      <c r="S17" s="291" t="str">
        <f>IF($O$11&gt;=13,R17+(R17*$R$9),"")</f>
        <v/>
      </c>
      <c r="T17" s="291" t="str">
        <f>IF($O$11&gt;=14,S17+(S17*$R$9),"")</f>
        <v/>
      </c>
      <c r="U17" s="292" t="str">
        <f>IF($O$11&gt;=15,T17+(T17*$R$9),"")</f>
        <v/>
      </c>
      <c r="V17" s="291"/>
      <c r="W17" s="291"/>
      <c r="X17" s="291"/>
      <c r="Y17" s="291"/>
      <c r="Z17" s="291"/>
      <c r="AA17" s="291"/>
      <c r="AB17" s="291"/>
      <c r="AC17" s="291"/>
      <c r="AD17" s="291"/>
      <c r="AE17" s="292"/>
      <c r="AF17" s="62"/>
      <c r="AG17" s="7"/>
    </row>
    <row r="18" spans="1:133" ht="15.75" x14ac:dyDescent="0.25">
      <c r="A18" s="507"/>
      <c r="B18" s="67"/>
      <c r="C18" s="528" t="s">
        <v>28</v>
      </c>
      <c r="D18" s="42"/>
      <c r="E18" s="293">
        <v>0</v>
      </c>
      <c r="F18" s="294">
        <f>$R$9</f>
        <v>0.01</v>
      </c>
      <c r="G18" s="294">
        <f>IF($O$11&gt;=1,$R$9,"")</f>
        <v>0.01</v>
      </c>
      <c r="H18" s="294">
        <f>IF($O$11&gt;=2,$R$9,"")</f>
        <v>0.01</v>
      </c>
      <c r="I18" s="294">
        <f>IF($O$11&gt;=3,$R$9,"")</f>
        <v>0.01</v>
      </c>
      <c r="J18" s="294">
        <f>IF($O$11&gt;=4,$R$9,"")</f>
        <v>0.01</v>
      </c>
      <c r="K18" s="294">
        <f>IF($O$11&gt;=5,$R$9,"")</f>
        <v>0.01</v>
      </c>
      <c r="L18" s="294">
        <f>IF($O$11&gt;=6,$R$9,"")</f>
        <v>0.01</v>
      </c>
      <c r="M18" s="294" t="str">
        <f>IF($O$11&gt;=7,$R$9,"")</f>
        <v/>
      </c>
      <c r="N18" s="294" t="str">
        <f>IF($O$11&gt;=8,$R$9,"")</f>
        <v/>
      </c>
      <c r="O18" s="294" t="str">
        <f>IF($O$11&gt;=9,$R$9,"")</f>
        <v/>
      </c>
      <c r="P18" s="294" t="str">
        <f>IF($O$11&gt;=10,$R$9,"")</f>
        <v/>
      </c>
      <c r="Q18" s="294" t="str">
        <f>IF($O$11&gt;=11,$R$9,"")</f>
        <v/>
      </c>
      <c r="R18" s="294" t="str">
        <f>IF($O$11&gt;=12,$R$9,"")</f>
        <v/>
      </c>
      <c r="S18" s="294" t="str">
        <f>IF($O$11&gt;=13,$R$9,"")</f>
        <v/>
      </c>
      <c r="T18" s="294" t="str">
        <f>IF($O$11&gt;=14,$R$9,"")</f>
        <v/>
      </c>
      <c r="U18" s="295" t="str">
        <f>IF($O$11&gt;=15,$R$9,"")</f>
        <v/>
      </c>
      <c r="V18" s="294" t="str">
        <f>IF($O$11&gt;=16,$R$9,"")</f>
        <v/>
      </c>
      <c r="W18" s="294" t="str">
        <f>IF($O$11&gt;=17,$R$9,"")</f>
        <v/>
      </c>
      <c r="X18" s="294" t="str">
        <f>IF($O$11&gt;=18,$R$9,"")</f>
        <v/>
      </c>
      <c r="Y18" s="294" t="str">
        <f>IF($O$11&gt;=19,$R$9,"")</f>
        <v/>
      </c>
      <c r="Z18" s="294" t="str">
        <f>IF($O$11&gt;=20,$R$9,"")</f>
        <v/>
      </c>
      <c r="AA18" s="294" t="str">
        <f>IF($O$11&gt;=21,$R$9,"")</f>
        <v/>
      </c>
      <c r="AB18" s="294" t="str">
        <f>IF($O$11&gt;=22,$R$9,"")</f>
        <v/>
      </c>
      <c r="AC18" s="294" t="str">
        <f>IF($O$11&gt;=23,$R$9,"")</f>
        <v/>
      </c>
      <c r="AD18" s="294" t="str">
        <f>IF($O$11&gt;=24,$R$9,"")</f>
        <v/>
      </c>
      <c r="AE18" s="295" t="str">
        <f>IF($O$11&gt;=25,$R$9,"")</f>
        <v/>
      </c>
    </row>
    <row r="19" spans="1:133" ht="15.75" outlineLevel="1" x14ac:dyDescent="0.25">
      <c r="A19" s="507">
        <f t="shared" ref="A19:A25" si="1">SUM(D19:AE19)</f>
        <v>7255216.8243642496</v>
      </c>
      <c r="B19" s="68"/>
      <c r="C19" s="43" t="s">
        <v>29</v>
      </c>
      <c r="D19" s="44">
        <f>'ACQUISITION FINANCEMENT'!C14</f>
        <v>7255216.8243642496</v>
      </c>
      <c r="E19" s="296"/>
      <c r="F19" s="297"/>
      <c r="G19" s="298"/>
      <c r="H19" s="297"/>
      <c r="I19" s="297"/>
      <c r="J19" s="297"/>
      <c r="K19" s="299"/>
      <c r="L19" s="297"/>
      <c r="M19" s="297"/>
      <c r="N19" s="297"/>
      <c r="O19" s="297"/>
      <c r="P19" s="297"/>
      <c r="Q19" s="297"/>
      <c r="R19" s="297"/>
      <c r="S19" s="297"/>
      <c r="T19" s="297"/>
      <c r="U19" s="300"/>
      <c r="V19" s="297"/>
      <c r="W19" s="297"/>
      <c r="X19" s="297"/>
      <c r="Y19" s="297"/>
      <c r="Z19" s="297"/>
      <c r="AA19" s="297"/>
      <c r="AB19" s="297"/>
      <c r="AC19" s="297"/>
      <c r="AD19" s="297"/>
      <c r="AE19" s="300"/>
      <c r="AF19" s="7"/>
      <c r="AG19" s="7"/>
      <c r="AH19" s="7"/>
    </row>
    <row r="20" spans="1:133" ht="16.5" outlineLevel="1" thickBot="1" x14ac:dyDescent="0.3">
      <c r="A20" s="507">
        <f t="shared" si="1"/>
        <v>462431.97000000003</v>
      </c>
      <c r="B20" s="66"/>
      <c r="C20" s="43" t="s">
        <v>16</v>
      </c>
      <c r="D20" s="44"/>
      <c r="E20" s="483">
        <f>'ACQUISITION FINANCEMENT'!C17</f>
        <v>462431.97000000003</v>
      </c>
      <c r="F20" s="484"/>
      <c r="G20" s="485"/>
      <c r="H20" s="484"/>
      <c r="I20" s="484"/>
      <c r="J20" s="484"/>
      <c r="K20" s="484"/>
      <c r="L20" s="333"/>
      <c r="M20" s="333"/>
      <c r="N20" s="333"/>
      <c r="O20" s="333"/>
      <c r="P20" s="333"/>
      <c r="Q20" s="333"/>
      <c r="R20" s="333"/>
      <c r="S20" s="333"/>
      <c r="T20" s="333"/>
      <c r="U20" s="334"/>
      <c r="V20" s="333"/>
      <c r="W20" s="333"/>
      <c r="X20" s="333"/>
      <c r="Y20" s="333"/>
      <c r="Z20" s="333"/>
      <c r="AA20" s="333"/>
      <c r="AB20" s="333"/>
      <c r="AC20" s="333"/>
      <c r="AD20" s="333"/>
      <c r="AE20" s="334"/>
      <c r="AF20" s="7"/>
      <c r="AG20" s="7"/>
      <c r="AH20" s="7"/>
    </row>
    <row r="21" spans="1:133" ht="16.5" thickBot="1" x14ac:dyDescent="0.3">
      <c r="A21" s="508">
        <f t="shared" si="1"/>
        <v>11294374.914364249</v>
      </c>
      <c r="B21" s="287"/>
      <c r="C21" s="64" t="s">
        <v>30</v>
      </c>
      <c r="D21" s="45">
        <f>SUM(D19:D20)</f>
        <v>7255216.8243642496</v>
      </c>
      <c r="E21" s="466">
        <f>SUM(E19:E20)</f>
        <v>462431.97000000003</v>
      </c>
      <c r="F21" s="301">
        <f>SUM(F17:F20)</f>
        <v>475711.01</v>
      </c>
      <c r="G21" s="301">
        <f>SUM(G17:G20)</f>
        <v>475711.01</v>
      </c>
      <c r="H21" s="301">
        <f>SUM(H17:H20)</f>
        <v>475711.01</v>
      </c>
      <c r="I21" s="301">
        <f>SUM(I17:I20)</f>
        <v>475711.01</v>
      </c>
      <c r="J21" s="301">
        <f t="shared" ref="J21:AE21" si="2">SUM(J17:J20)</f>
        <v>475711.01</v>
      </c>
      <c r="K21" s="301">
        <f t="shared" si="2"/>
        <v>596105.01</v>
      </c>
      <c r="L21" s="301">
        <f t="shared" si="2"/>
        <v>602066.06000000006</v>
      </c>
      <c r="M21" s="301">
        <f t="shared" si="2"/>
        <v>0</v>
      </c>
      <c r="N21" s="301">
        <f t="shared" si="2"/>
        <v>0</v>
      </c>
      <c r="O21" s="301">
        <f t="shared" si="2"/>
        <v>0</v>
      </c>
      <c r="P21" s="301">
        <f t="shared" si="2"/>
        <v>0</v>
      </c>
      <c r="Q21" s="301">
        <f t="shared" si="2"/>
        <v>0</v>
      </c>
      <c r="R21" s="301">
        <f t="shared" si="2"/>
        <v>0</v>
      </c>
      <c r="S21" s="301">
        <f t="shared" si="2"/>
        <v>0</v>
      </c>
      <c r="T21" s="301">
        <f t="shared" si="2"/>
        <v>0</v>
      </c>
      <c r="U21" s="302">
        <f t="shared" si="2"/>
        <v>0</v>
      </c>
      <c r="V21" s="301">
        <f t="shared" si="2"/>
        <v>0</v>
      </c>
      <c r="W21" s="301">
        <f t="shared" si="2"/>
        <v>0</v>
      </c>
      <c r="X21" s="301">
        <f t="shared" si="2"/>
        <v>0</v>
      </c>
      <c r="Y21" s="301">
        <f t="shared" si="2"/>
        <v>0</v>
      </c>
      <c r="Z21" s="301">
        <f t="shared" si="2"/>
        <v>0</v>
      </c>
      <c r="AA21" s="301">
        <f t="shared" si="2"/>
        <v>0</v>
      </c>
      <c r="AB21" s="301">
        <f t="shared" si="2"/>
        <v>0</v>
      </c>
      <c r="AC21" s="301">
        <f t="shared" si="2"/>
        <v>0</v>
      </c>
      <c r="AD21" s="301">
        <f t="shared" si="2"/>
        <v>0</v>
      </c>
      <c r="AE21" s="302">
        <f t="shared" si="2"/>
        <v>0</v>
      </c>
      <c r="AF21" s="7"/>
      <c r="AG21" s="7"/>
      <c r="AH21" s="7"/>
    </row>
    <row r="22" spans="1:133" ht="31.5" outlineLevel="1" x14ac:dyDescent="0.25">
      <c r="A22" s="509">
        <f t="shared" si="1"/>
        <v>9500000</v>
      </c>
      <c r="B22" s="499"/>
      <c r="C22" s="486" t="s">
        <v>31</v>
      </c>
      <c r="D22" s="195">
        <f>'ACQUISITION FINANCEMENT'!F4</f>
        <v>9500000</v>
      </c>
      <c r="E22" s="303"/>
      <c r="F22" s="304"/>
      <c r="G22" s="304"/>
      <c r="H22" s="304"/>
      <c r="I22" s="304"/>
      <c r="J22" s="304"/>
      <c r="K22" s="304"/>
      <c r="L22" s="305"/>
      <c r="M22" s="305"/>
      <c r="N22" s="305"/>
      <c r="O22" s="305"/>
      <c r="P22" s="305"/>
      <c r="Q22" s="305"/>
      <c r="R22" s="305"/>
      <c r="S22" s="305"/>
      <c r="T22" s="305"/>
      <c r="U22" s="306"/>
      <c r="V22" s="305"/>
      <c r="W22" s="305"/>
      <c r="X22" s="305"/>
      <c r="Y22" s="305"/>
      <c r="Z22" s="305"/>
      <c r="AA22" s="305"/>
      <c r="AB22" s="305"/>
      <c r="AC22" s="305"/>
      <c r="AD22" s="305"/>
      <c r="AE22" s="306"/>
      <c r="AF22" s="7"/>
      <c r="AG22" s="7"/>
      <c r="AH22" s="7"/>
    </row>
    <row r="23" spans="1:133" ht="15.75" outlineLevel="1" x14ac:dyDescent="0.25">
      <c r="A23" s="509">
        <f t="shared" si="1"/>
        <v>570000</v>
      </c>
      <c r="B23" s="500">
        <f>'ACQUISITION FINANCEMENT'!C27</f>
        <v>0.06</v>
      </c>
      <c r="C23" s="43" t="s">
        <v>32</v>
      </c>
      <c r="D23" s="46">
        <f>$B23*D$22</f>
        <v>570000</v>
      </c>
      <c r="E23" s="307"/>
      <c r="F23" s="308"/>
      <c r="G23" s="308">
        <f>$B23*G$22</f>
        <v>0</v>
      </c>
      <c r="H23" s="308">
        <f t="shared" ref="H23:I23" si="3">$B23*H$22</f>
        <v>0</v>
      </c>
      <c r="I23" s="308">
        <f t="shared" si="3"/>
        <v>0</v>
      </c>
      <c r="J23" s="308"/>
      <c r="K23" s="308"/>
      <c r="L23" s="297"/>
      <c r="M23" s="297"/>
      <c r="N23" s="297"/>
      <c r="O23" s="297"/>
      <c r="P23" s="297"/>
      <c r="Q23" s="297"/>
      <c r="R23" s="297"/>
      <c r="S23" s="297"/>
      <c r="T23" s="297"/>
      <c r="U23" s="300"/>
      <c r="V23" s="297"/>
      <c r="W23" s="297"/>
      <c r="X23" s="297"/>
      <c r="Y23" s="297"/>
      <c r="Z23" s="297"/>
      <c r="AA23" s="297"/>
      <c r="AB23" s="297"/>
      <c r="AC23" s="297"/>
      <c r="AD23" s="297"/>
      <c r="AE23" s="300"/>
    </row>
    <row r="24" spans="1:133" ht="15.75" outlineLevel="1" x14ac:dyDescent="0.25">
      <c r="A24" s="509">
        <f t="shared" si="1"/>
        <v>285000</v>
      </c>
      <c r="B24" s="500">
        <f>'ACQUISITION FINANCEMENT'!C29</f>
        <v>0.03</v>
      </c>
      <c r="C24" s="43" t="s">
        <v>33</v>
      </c>
      <c r="D24" s="46">
        <f>$B24*D$22</f>
        <v>285000</v>
      </c>
      <c r="E24" s="309">
        <f>E17*$B$24</f>
        <v>0</v>
      </c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1"/>
      <c r="V24" s="310"/>
      <c r="W24" s="310"/>
      <c r="X24" s="310"/>
      <c r="Y24" s="310"/>
      <c r="Z24" s="310"/>
      <c r="AA24" s="310"/>
      <c r="AB24" s="310"/>
      <c r="AC24" s="310"/>
      <c r="AD24" s="310"/>
      <c r="AE24" s="311"/>
    </row>
    <row r="25" spans="1:133" ht="31.5" outlineLevel="1" x14ac:dyDescent="0.25">
      <c r="A25" s="509">
        <f t="shared" si="1"/>
        <v>250370.8284</v>
      </c>
      <c r="B25" s="500">
        <f>'ACQUISITION FINANCEMENT'!C30</f>
        <v>7.0000000000000007E-2</v>
      </c>
      <c r="C25" s="486" t="s">
        <v>34</v>
      </c>
      <c r="D25" s="46"/>
      <c r="E25" s="307">
        <f>E17*B25</f>
        <v>0</v>
      </c>
      <c r="F25" s="308">
        <f>F21*$B$25</f>
        <v>33299.770700000001</v>
      </c>
      <c r="G25" s="308">
        <f t="shared" ref="G25:AE25" si="4">G21*$B$25</f>
        <v>33299.770700000001</v>
      </c>
      <c r="H25" s="308">
        <f t="shared" si="4"/>
        <v>33299.770700000001</v>
      </c>
      <c r="I25" s="308">
        <f t="shared" si="4"/>
        <v>33299.770700000001</v>
      </c>
      <c r="J25" s="308">
        <f t="shared" si="4"/>
        <v>33299.770700000001</v>
      </c>
      <c r="K25" s="308">
        <f t="shared" si="4"/>
        <v>41727.350700000003</v>
      </c>
      <c r="L25" s="308">
        <f t="shared" si="4"/>
        <v>42144.624200000006</v>
      </c>
      <c r="M25" s="308">
        <f t="shared" si="4"/>
        <v>0</v>
      </c>
      <c r="N25" s="308">
        <f t="shared" si="4"/>
        <v>0</v>
      </c>
      <c r="O25" s="308">
        <f t="shared" si="4"/>
        <v>0</v>
      </c>
      <c r="P25" s="308">
        <f t="shared" si="4"/>
        <v>0</v>
      </c>
      <c r="Q25" s="308">
        <f t="shared" si="4"/>
        <v>0</v>
      </c>
      <c r="R25" s="308">
        <f t="shared" si="4"/>
        <v>0</v>
      </c>
      <c r="S25" s="308">
        <f t="shared" si="4"/>
        <v>0</v>
      </c>
      <c r="T25" s="308">
        <f t="shared" si="4"/>
        <v>0</v>
      </c>
      <c r="U25" s="312">
        <f t="shared" si="4"/>
        <v>0</v>
      </c>
      <c r="V25" s="308">
        <f t="shared" si="4"/>
        <v>0</v>
      </c>
      <c r="W25" s="308">
        <f t="shared" si="4"/>
        <v>0</v>
      </c>
      <c r="X25" s="308">
        <f t="shared" si="4"/>
        <v>0</v>
      </c>
      <c r="Y25" s="308">
        <f t="shared" si="4"/>
        <v>0</v>
      </c>
      <c r="Z25" s="308">
        <f t="shared" si="4"/>
        <v>0</v>
      </c>
      <c r="AA25" s="308">
        <f t="shared" si="4"/>
        <v>0</v>
      </c>
      <c r="AB25" s="308">
        <f t="shared" si="4"/>
        <v>0</v>
      </c>
      <c r="AC25" s="308">
        <f t="shared" si="4"/>
        <v>0</v>
      </c>
      <c r="AD25" s="308">
        <f t="shared" si="4"/>
        <v>0</v>
      </c>
      <c r="AE25" s="312">
        <f t="shared" si="4"/>
        <v>0</v>
      </c>
    </row>
    <row r="26" spans="1:133" ht="15.75" outlineLevel="1" x14ac:dyDescent="0.25">
      <c r="A26" s="509">
        <f>SUM(D26:AE26)</f>
        <v>178836.30600000001</v>
      </c>
      <c r="B26" s="500">
        <f>'ACQUISITION FINANCEMENT'!C31</f>
        <v>0.05</v>
      </c>
      <c r="C26" s="43" t="s">
        <v>35</v>
      </c>
      <c r="D26" s="46"/>
      <c r="E26" s="309"/>
      <c r="F26" s="308">
        <f>$B$26*F21</f>
        <v>23785.550500000001</v>
      </c>
      <c r="G26" s="308">
        <f t="shared" ref="G26:AE26" si="5">$B$26*G21</f>
        <v>23785.550500000001</v>
      </c>
      <c r="H26" s="308">
        <f t="shared" si="5"/>
        <v>23785.550500000001</v>
      </c>
      <c r="I26" s="308">
        <f t="shared" si="5"/>
        <v>23785.550500000001</v>
      </c>
      <c r="J26" s="308">
        <f t="shared" si="5"/>
        <v>23785.550500000001</v>
      </c>
      <c r="K26" s="308">
        <f t="shared" si="5"/>
        <v>29805.250500000002</v>
      </c>
      <c r="L26" s="308">
        <f t="shared" si="5"/>
        <v>30103.303000000004</v>
      </c>
      <c r="M26" s="308">
        <f t="shared" si="5"/>
        <v>0</v>
      </c>
      <c r="N26" s="308">
        <f t="shared" si="5"/>
        <v>0</v>
      </c>
      <c r="O26" s="308">
        <f t="shared" si="5"/>
        <v>0</v>
      </c>
      <c r="P26" s="308">
        <f t="shared" si="5"/>
        <v>0</v>
      </c>
      <c r="Q26" s="308">
        <f t="shared" si="5"/>
        <v>0</v>
      </c>
      <c r="R26" s="308">
        <f t="shared" si="5"/>
        <v>0</v>
      </c>
      <c r="S26" s="308">
        <f t="shared" si="5"/>
        <v>0</v>
      </c>
      <c r="T26" s="308">
        <f t="shared" si="5"/>
        <v>0</v>
      </c>
      <c r="U26" s="312">
        <f t="shared" si="5"/>
        <v>0</v>
      </c>
      <c r="V26" s="308">
        <f t="shared" si="5"/>
        <v>0</v>
      </c>
      <c r="W26" s="308">
        <f t="shared" si="5"/>
        <v>0</v>
      </c>
      <c r="X26" s="308">
        <f t="shared" si="5"/>
        <v>0</v>
      </c>
      <c r="Y26" s="308">
        <f t="shared" si="5"/>
        <v>0</v>
      </c>
      <c r="Z26" s="308">
        <f t="shared" si="5"/>
        <v>0</v>
      </c>
      <c r="AA26" s="308">
        <f t="shared" si="5"/>
        <v>0</v>
      </c>
      <c r="AB26" s="308">
        <f t="shared" si="5"/>
        <v>0</v>
      </c>
      <c r="AC26" s="308">
        <f t="shared" si="5"/>
        <v>0</v>
      </c>
      <c r="AD26" s="308">
        <f t="shared" si="5"/>
        <v>0</v>
      </c>
      <c r="AE26" s="312">
        <f t="shared" si="5"/>
        <v>0</v>
      </c>
      <c r="AF26" s="7"/>
      <c r="AG26" s="7"/>
    </row>
    <row r="27" spans="1:133" ht="15.75" outlineLevel="1" x14ac:dyDescent="0.25">
      <c r="A27" s="509"/>
      <c r="B27" s="500"/>
      <c r="C27" s="43" t="s">
        <v>36</v>
      </c>
      <c r="D27" s="46">
        <f>-$B27*1000</f>
        <v>0</v>
      </c>
      <c r="E27" s="307"/>
      <c r="F27" s="308"/>
      <c r="G27" s="308"/>
      <c r="H27" s="308"/>
      <c r="I27" s="308"/>
      <c r="J27" s="308"/>
      <c r="K27" s="308"/>
      <c r="L27" s="297"/>
      <c r="M27" s="297"/>
      <c r="N27" s="297"/>
      <c r="O27" s="297"/>
      <c r="P27" s="297"/>
      <c r="Q27" s="297"/>
      <c r="R27" s="297"/>
      <c r="S27" s="297"/>
      <c r="T27" s="297"/>
      <c r="U27" s="300"/>
      <c r="V27" s="297"/>
      <c r="W27" s="297"/>
      <c r="X27" s="297"/>
      <c r="Y27" s="297"/>
      <c r="Z27" s="297"/>
      <c r="AA27" s="297"/>
      <c r="AB27" s="297"/>
      <c r="AC27" s="297"/>
      <c r="AD27" s="297"/>
      <c r="AE27" s="300"/>
      <c r="AF27" s="7"/>
      <c r="AG27" s="7"/>
    </row>
    <row r="28" spans="1:133" ht="47.25" outlineLevel="1" x14ac:dyDescent="0.25">
      <c r="A28" s="509">
        <f>SUM(D28:AE28)</f>
        <v>513813.30000000005</v>
      </c>
      <c r="B28" s="501"/>
      <c r="C28" s="486" t="s">
        <v>37</v>
      </c>
      <c r="D28" s="46"/>
      <c r="E28" s="307">
        <f>K11</f>
        <v>513813.30000000005</v>
      </c>
      <c r="F28" s="308"/>
      <c r="G28" s="308"/>
      <c r="H28" s="308"/>
      <c r="I28" s="308"/>
      <c r="J28" s="308"/>
      <c r="K28" s="308"/>
      <c r="L28" s="297"/>
      <c r="M28" s="297"/>
      <c r="N28" s="297"/>
      <c r="O28" s="297"/>
      <c r="P28" s="297"/>
      <c r="Q28" s="297"/>
      <c r="R28" s="297"/>
      <c r="S28" s="297"/>
      <c r="T28" s="297"/>
      <c r="U28" s="300"/>
      <c r="V28" s="297"/>
      <c r="W28" s="297"/>
      <c r="X28" s="297"/>
      <c r="Y28" s="297"/>
      <c r="Z28" s="297"/>
      <c r="AA28" s="297"/>
      <c r="AB28" s="297"/>
      <c r="AC28" s="297"/>
      <c r="AD28" s="297"/>
      <c r="AE28" s="30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</row>
    <row r="29" spans="1:133" ht="15.75" outlineLevel="1" x14ac:dyDescent="0.25">
      <c r="A29" s="509"/>
      <c r="B29" s="501"/>
      <c r="C29" s="493" t="s">
        <v>38</v>
      </c>
      <c r="D29" s="189"/>
      <c r="E29" s="313"/>
      <c r="F29" s="308"/>
      <c r="G29" s="314"/>
      <c r="H29" s="314"/>
      <c r="I29" s="314"/>
      <c r="J29" s="314"/>
      <c r="K29" s="308"/>
      <c r="L29" s="297"/>
      <c r="M29" s="297"/>
      <c r="N29" s="297"/>
      <c r="O29" s="297"/>
      <c r="P29" s="297"/>
      <c r="Q29" s="297"/>
      <c r="R29" s="297"/>
      <c r="S29" s="297"/>
      <c r="T29" s="297"/>
      <c r="U29" s="300"/>
      <c r="V29" s="297"/>
      <c r="W29" s="297"/>
      <c r="X29" s="297"/>
      <c r="Y29" s="297"/>
      <c r="Z29" s="297"/>
      <c r="AA29" s="297"/>
      <c r="AB29" s="297"/>
      <c r="AC29" s="297"/>
      <c r="AD29" s="297"/>
      <c r="AE29" s="30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</row>
    <row r="30" spans="1:133" ht="15.75" outlineLevel="1" x14ac:dyDescent="0.25">
      <c r="A30" s="509"/>
      <c r="B30" s="501"/>
      <c r="C30" s="494"/>
      <c r="D30" s="190"/>
      <c r="E30" s="307"/>
      <c r="F30" s="308"/>
      <c r="G30" s="308"/>
      <c r="H30" s="308"/>
      <c r="I30" s="308"/>
      <c r="J30" s="308"/>
      <c r="K30" s="308"/>
      <c r="L30" s="297"/>
      <c r="M30" s="297"/>
      <c r="N30" s="297"/>
      <c r="O30" s="297"/>
      <c r="P30" s="297"/>
      <c r="Q30" s="297"/>
      <c r="R30" s="297"/>
      <c r="S30" s="297"/>
      <c r="T30" s="297"/>
      <c r="U30" s="300"/>
      <c r="V30" s="297"/>
      <c r="W30" s="297"/>
      <c r="X30" s="297"/>
      <c r="Y30" s="297"/>
      <c r="Z30" s="297"/>
      <c r="AA30" s="297"/>
      <c r="AB30" s="297"/>
      <c r="AC30" s="297"/>
      <c r="AD30" s="297"/>
      <c r="AE30" s="30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</row>
    <row r="31" spans="1:133" ht="47.25" outlineLevel="1" x14ac:dyDescent="0.25">
      <c r="A31" s="509"/>
      <c r="B31" s="500">
        <f>'ACQUISITION FINANCEMENT'!C32</f>
        <v>0.01</v>
      </c>
      <c r="C31" s="495" t="s">
        <v>39</v>
      </c>
      <c r="D31" s="191"/>
      <c r="E31" s="307"/>
      <c r="F31" s="308"/>
      <c r="G31" s="308"/>
      <c r="H31" s="308"/>
      <c r="I31" s="308"/>
      <c r="J31" s="308"/>
      <c r="K31" s="308"/>
      <c r="L31" s="297"/>
      <c r="M31" s="297"/>
      <c r="N31" s="297"/>
      <c r="O31" s="297"/>
      <c r="P31" s="297"/>
      <c r="Q31" s="297"/>
      <c r="R31" s="297"/>
      <c r="S31" s="297"/>
      <c r="T31" s="297"/>
      <c r="U31" s="300"/>
      <c r="V31" s="297"/>
      <c r="W31" s="297"/>
      <c r="X31" s="297"/>
      <c r="Y31" s="297"/>
      <c r="Z31" s="297"/>
      <c r="AA31" s="297"/>
      <c r="AB31" s="297"/>
      <c r="AC31" s="297"/>
      <c r="AD31" s="297"/>
      <c r="AE31" s="300"/>
      <c r="AF31" s="7"/>
      <c r="AG31" s="256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</row>
    <row r="32" spans="1:133" ht="15.75" outlineLevel="1" x14ac:dyDescent="0.25">
      <c r="A32" s="509"/>
      <c r="B32" s="500"/>
      <c r="C32" s="141"/>
      <c r="D32" s="192"/>
      <c r="E32" s="307"/>
      <c r="F32" s="308"/>
      <c r="G32" s="308"/>
      <c r="H32" s="308"/>
      <c r="I32" s="308"/>
      <c r="J32" s="308"/>
      <c r="K32" s="308"/>
      <c r="L32" s="297"/>
      <c r="M32" s="297"/>
      <c r="N32" s="297"/>
      <c r="O32" s="297"/>
      <c r="P32" s="297"/>
      <c r="Q32" s="297"/>
      <c r="R32" s="297"/>
      <c r="S32" s="297"/>
      <c r="T32" s="297"/>
      <c r="U32" s="300"/>
      <c r="V32" s="297"/>
      <c r="W32" s="297"/>
      <c r="X32" s="297"/>
      <c r="Y32" s="297"/>
      <c r="Z32" s="297"/>
      <c r="AA32" s="297"/>
      <c r="AB32" s="297"/>
      <c r="AC32" s="297"/>
      <c r="AD32" s="297"/>
      <c r="AE32" s="300"/>
      <c r="AF32" s="7"/>
      <c r="AG32" s="256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</row>
    <row r="33" spans="1:324" ht="15.75" outlineLevel="1" x14ac:dyDescent="0.25">
      <c r="A33" s="509"/>
      <c r="B33" s="502"/>
      <c r="C33" s="26"/>
      <c r="D33" s="193"/>
      <c r="E33" s="315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7"/>
      <c r="T33" s="297"/>
      <c r="U33" s="300"/>
      <c r="V33" s="297"/>
      <c r="W33" s="297"/>
      <c r="X33" s="297"/>
      <c r="Y33" s="297"/>
      <c r="Z33" s="297"/>
      <c r="AA33" s="297"/>
      <c r="AB33" s="297"/>
      <c r="AC33" s="297"/>
      <c r="AD33" s="297"/>
      <c r="AE33" s="300"/>
      <c r="AF33" s="7"/>
      <c r="AG33" s="256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</row>
    <row r="34" spans="1:324" ht="15.75" outlineLevel="1" x14ac:dyDescent="0.25">
      <c r="A34" s="509"/>
      <c r="B34" s="501"/>
      <c r="C34" s="26"/>
      <c r="D34" s="193"/>
      <c r="E34" s="315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7"/>
      <c r="T34" s="297"/>
      <c r="U34" s="300"/>
      <c r="V34" s="297"/>
      <c r="W34" s="297"/>
      <c r="X34" s="297"/>
      <c r="Y34" s="297"/>
      <c r="Z34" s="297"/>
      <c r="AA34" s="297"/>
      <c r="AB34" s="297"/>
      <c r="AC34" s="297"/>
      <c r="AD34" s="297"/>
      <c r="AE34" s="300"/>
      <c r="AF34" s="7"/>
      <c r="AG34" s="256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</row>
    <row r="35" spans="1:324" ht="15.75" outlineLevel="1" x14ac:dyDescent="0.25">
      <c r="A35" s="509"/>
      <c r="B35" s="501"/>
      <c r="C35" s="26"/>
      <c r="D35" s="193"/>
      <c r="E35" s="315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7"/>
      <c r="T35" s="297"/>
      <c r="U35" s="300"/>
      <c r="V35" s="297"/>
      <c r="W35" s="297"/>
      <c r="X35" s="297"/>
      <c r="Y35" s="297"/>
      <c r="Z35" s="297"/>
      <c r="AA35" s="297"/>
      <c r="AB35" s="297"/>
      <c r="AC35" s="297"/>
      <c r="AD35" s="297"/>
      <c r="AE35" s="300"/>
      <c r="AF35" s="7"/>
      <c r="AG35" s="256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</row>
    <row r="36" spans="1:324" s="285" customFormat="1" ht="15.75" outlineLevel="1" x14ac:dyDescent="0.25">
      <c r="A36" s="510"/>
      <c r="B36" s="503"/>
      <c r="C36" s="512" t="s">
        <v>119</v>
      </c>
      <c r="D36" s="284"/>
      <c r="E36" s="517">
        <f>TAM!N15</f>
        <v>297930.70999999996</v>
      </c>
      <c r="F36" s="518">
        <f>TAM!N16</f>
        <v>312827.25</v>
      </c>
      <c r="G36" s="518">
        <f>TAM!N17</f>
        <v>328468.61</v>
      </c>
      <c r="H36" s="518">
        <f>TAM!N18</f>
        <v>344892.04</v>
      </c>
      <c r="I36" s="518">
        <f>TAM!N19</f>
        <v>362136.63999999996</v>
      </c>
      <c r="J36" s="518">
        <f>TAM!N20</f>
        <v>380243.47</v>
      </c>
      <c r="K36" s="518">
        <f>TAM!N21</f>
        <v>399255.64999999997</v>
      </c>
      <c r="L36" s="518">
        <f>TAM!N22</f>
        <v>419218.41800000047</v>
      </c>
      <c r="M36" s="518">
        <f>TAM!N23</f>
        <v>0</v>
      </c>
      <c r="N36" s="518">
        <f>TAM!N24</f>
        <v>0</v>
      </c>
      <c r="O36" s="518">
        <f>TAM!N25</f>
        <v>0</v>
      </c>
      <c r="P36" s="518">
        <f>TAM!N26</f>
        <v>0</v>
      </c>
      <c r="Q36" s="518">
        <f>TAM!N27</f>
        <v>0</v>
      </c>
      <c r="R36" s="518">
        <f>TAM!N28</f>
        <v>0</v>
      </c>
      <c r="S36" s="518">
        <f>TAM!N29</f>
        <v>0</v>
      </c>
      <c r="T36" s="518">
        <f>TAM!N30</f>
        <v>0</v>
      </c>
      <c r="U36" s="519">
        <f>TAM!N31</f>
        <v>0</v>
      </c>
      <c r="V36" s="488">
        <f>TAM!N32</f>
        <v>0</v>
      </c>
      <c r="W36" s="316">
        <f>TAM!N33</f>
        <v>0</v>
      </c>
      <c r="X36" s="316">
        <f>TAM!N34</f>
        <v>0</v>
      </c>
      <c r="Y36" s="316">
        <f>TAM!N35</f>
        <v>0</v>
      </c>
      <c r="Z36" s="316">
        <f>TAM!N36</f>
        <v>0</v>
      </c>
      <c r="AA36" s="316">
        <f>TAM!N37</f>
        <v>0</v>
      </c>
      <c r="AB36" s="316">
        <f>TAM!N38</f>
        <v>0</v>
      </c>
      <c r="AC36" s="316">
        <f>TAM!N39</f>
        <v>0</v>
      </c>
      <c r="AD36" s="316">
        <f>TAM!N40</f>
        <v>0</v>
      </c>
      <c r="AE36" s="341">
        <f>TAM!N41</f>
        <v>0</v>
      </c>
      <c r="AF36" s="297"/>
      <c r="AG36" s="297"/>
      <c r="AH36" s="297"/>
      <c r="AI36" s="297"/>
      <c r="AJ36" s="297"/>
      <c r="AK36" s="297"/>
      <c r="AL36" s="297"/>
      <c r="AM36" s="297"/>
      <c r="AN36" s="297"/>
      <c r="AO36" s="297"/>
      <c r="AP36" s="297"/>
      <c r="AQ36" s="297"/>
      <c r="AR36" s="297"/>
      <c r="AS36" s="297"/>
      <c r="AT36" s="297"/>
      <c r="AU36" s="297"/>
      <c r="AV36" s="297"/>
      <c r="AW36" s="297"/>
      <c r="AX36" s="297"/>
      <c r="AY36" s="297"/>
      <c r="AZ36" s="297"/>
      <c r="BA36" s="297"/>
      <c r="BB36" s="297"/>
      <c r="BC36" s="297"/>
      <c r="BD36" s="297"/>
      <c r="BE36" s="297"/>
      <c r="BF36" s="297"/>
      <c r="BG36" s="297"/>
      <c r="BH36" s="297"/>
      <c r="BI36" s="297"/>
      <c r="BJ36" s="297"/>
      <c r="BK36" s="297"/>
      <c r="BL36" s="297"/>
      <c r="BM36" s="297"/>
      <c r="BN36" s="297"/>
      <c r="BO36" s="297"/>
      <c r="BP36" s="297"/>
      <c r="BQ36" s="297"/>
      <c r="BR36" s="297"/>
      <c r="BS36" s="297"/>
      <c r="BT36" s="297"/>
      <c r="BU36" s="297"/>
      <c r="BV36" s="297"/>
      <c r="BW36" s="297"/>
      <c r="BX36" s="297"/>
      <c r="BY36" s="297"/>
      <c r="BZ36" s="297"/>
      <c r="CA36" s="297"/>
      <c r="CB36" s="297"/>
      <c r="CC36" s="297"/>
      <c r="CD36" s="297"/>
      <c r="CE36" s="297"/>
      <c r="CF36" s="297"/>
      <c r="CG36" s="297"/>
      <c r="CH36" s="297"/>
      <c r="CI36" s="297"/>
      <c r="CJ36" s="297"/>
      <c r="CK36" s="297"/>
      <c r="CL36" s="297"/>
      <c r="CM36" s="297"/>
      <c r="CN36" s="297"/>
      <c r="CO36" s="297"/>
      <c r="CP36" s="297"/>
      <c r="CQ36" s="297"/>
      <c r="CR36" s="297"/>
      <c r="CS36" s="297"/>
      <c r="CT36" s="297"/>
      <c r="CU36" s="297"/>
      <c r="CV36" s="297"/>
      <c r="CW36" s="297"/>
      <c r="CX36" s="297"/>
      <c r="CY36" s="297"/>
      <c r="CZ36" s="297"/>
      <c r="DA36" s="297"/>
      <c r="DB36" s="297"/>
      <c r="DC36" s="297"/>
      <c r="DD36" s="297"/>
      <c r="DE36" s="297"/>
      <c r="DF36" s="297"/>
      <c r="DG36" s="297"/>
      <c r="DH36" s="297"/>
      <c r="DI36" s="297"/>
      <c r="DJ36" s="297"/>
      <c r="DK36" s="297"/>
      <c r="DL36" s="297"/>
      <c r="DM36" s="297"/>
      <c r="DN36" s="297"/>
      <c r="DO36" s="297"/>
      <c r="DP36" s="297"/>
      <c r="DQ36" s="297"/>
      <c r="DR36" s="297"/>
      <c r="DS36" s="297"/>
      <c r="DT36" s="297"/>
      <c r="DU36" s="297"/>
      <c r="DV36" s="297"/>
      <c r="DW36" s="297"/>
      <c r="DX36" s="297"/>
      <c r="DY36" s="297"/>
      <c r="DZ36" s="297"/>
      <c r="EA36" s="297"/>
      <c r="EB36" s="297"/>
      <c r="EC36" s="297"/>
      <c r="ED36" s="335">
        <f>TAM!CO44</f>
        <v>0</v>
      </c>
      <c r="EE36" s="335">
        <f>TAM!CP44</f>
        <v>0</v>
      </c>
      <c r="EF36" s="335">
        <f>TAM!CQ44</f>
        <v>0</v>
      </c>
      <c r="EG36" s="335">
        <f>TAM!CR44</f>
        <v>0</v>
      </c>
      <c r="EH36" s="335">
        <f>TAM!CS44</f>
        <v>0</v>
      </c>
      <c r="EI36" s="335">
        <f>TAM!CT44</f>
        <v>0</v>
      </c>
      <c r="EJ36" s="335">
        <f>TAM!CU44</f>
        <v>0</v>
      </c>
      <c r="EK36" s="335">
        <f>TAM!CV44</f>
        <v>0</v>
      </c>
      <c r="EL36" s="335">
        <f>TAM!CW44</f>
        <v>0</v>
      </c>
      <c r="EM36" s="335">
        <f>TAM!CX44</f>
        <v>0</v>
      </c>
      <c r="EN36" s="335">
        <f>TAM!CY44</f>
        <v>0</v>
      </c>
      <c r="EO36" s="335">
        <f>TAM!CZ44</f>
        <v>0</v>
      </c>
      <c r="EP36" s="335">
        <f>TAM!DA44</f>
        <v>0</v>
      </c>
      <c r="EQ36" s="335">
        <f>TAM!DB44</f>
        <v>0</v>
      </c>
      <c r="ER36" s="335">
        <f>TAM!DC44</f>
        <v>0</v>
      </c>
      <c r="ES36" s="335">
        <f>TAM!DD44</f>
        <v>0</v>
      </c>
      <c r="ET36" s="335">
        <f>TAM!DE44</f>
        <v>0</v>
      </c>
      <c r="EU36" s="335">
        <f>TAM!DF44</f>
        <v>0</v>
      </c>
      <c r="EV36" s="335">
        <f>TAM!DG44</f>
        <v>0</v>
      </c>
      <c r="EW36" s="335">
        <f>TAM!DH44</f>
        <v>0</v>
      </c>
      <c r="EX36" s="335">
        <f>TAM!DI44</f>
        <v>0</v>
      </c>
      <c r="EY36" s="335">
        <f>TAM!DJ44</f>
        <v>0</v>
      </c>
      <c r="EZ36" s="335">
        <f>TAM!DK44</f>
        <v>0</v>
      </c>
      <c r="FA36" s="335">
        <f>TAM!DL44</f>
        <v>0</v>
      </c>
      <c r="FB36" s="335">
        <f>TAM!DM44</f>
        <v>0</v>
      </c>
      <c r="FC36" s="335">
        <f>TAM!DN44</f>
        <v>0</v>
      </c>
      <c r="FD36" s="335">
        <f>TAM!DO44</f>
        <v>0</v>
      </c>
      <c r="FE36" s="335">
        <f>TAM!DP44</f>
        <v>0</v>
      </c>
      <c r="FF36" s="335">
        <f>TAM!DQ44</f>
        <v>0</v>
      </c>
      <c r="FG36" s="335">
        <f>TAM!DR44</f>
        <v>0</v>
      </c>
      <c r="FH36" s="335">
        <f>TAM!DS44</f>
        <v>0</v>
      </c>
      <c r="FI36" s="335">
        <f>TAM!DT44</f>
        <v>0</v>
      </c>
      <c r="FJ36" s="335">
        <f>TAM!DU44</f>
        <v>0</v>
      </c>
      <c r="FK36" s="335">
        <f>TAM!DV44</f>
        <v>0</v>
      </c>
      <c r="FL36" s="335">
        <f>TAM!DW44</f>
        <v>0</v>
      </c>
      <c r="FM36" s="335">
        <f>TAM!DX44</f>
        <v>0</v>
      </c>
      <c r="FN36" s="335">
        <f>TAM!DY44</f>
        <v>0</v>
      </c>
      <c r="FO36" s="335">
        <f>TAM!DZ44</f>
        <v>0</v>
      </c>
      <c r="FP36" s="335">
        <f>TAM!EA44</f>
        <v>0</v>
      </c>
      <c r="FQ36" s="335">
        <f>TAM!EB44</f>
        <v>0</v>
      </c>
      <c r="FR36" s="335">
        <f>TAM!EC44</f>
        <v>0</v>
      </c>
      <c r="FS36" s="335">
        <f>TAM!ED44</f>
        <v>0</v>
      </c>
      <c r="FT36" s="335">
        <f>TAM!EE44</f>
        <v>0</v>
      </c>
      <c r="FU36" s="335">
        <f>TAM!EF44</f>
        <v>0</v>
      </c>
      <c r="FV36" s="335">
        <f>TAM!EG44</f>
        <v>0</v>
      </c>
      <c r="FW36" s="335">
        <f>TAM!EH44</f>
        <v>0</v>
      </c>
      <c r="FX36" s="335">
        <f>TAM!EI44</f>
        <v>0</v>
      </c>
      <c r="FY36" s="335">
        <f>TAM!EJ44</f>
        <v>0</v>
      </c>
      <c r="FZ36" s="335">
        <f>TAM!EK44</f>
        <v>0</v>
      </c>
      <c r="GA36" s="335">
        <f>TAM!EL44</f>
        <v>0</v>
      </c>
      <c r="GB36" s="335">
        <f>TAM!EM44</f>
        <v>0</v>
      </c>
      <c r="GC36" s="335">
        <f>TAM!EN44</f>
        <v>0</v>
      </c>
      <c r="GD36" s="335">
        <f>TAM!EO44</f>
        <v>0</v>
      </c>
      <c r="GE36" s="335">
        <f>TAM!EP44</f>
        <v>0</v>
      </c>
      <c r="GF36" s="335">
        <f>TAM!EQ44</f>
        <v>0</v>
      </c>
      <c r="GG36" s="335">
        <f>TAM!ER44</f>
        <v>0</v>
      </c>
      <c r="GH36" s="335">
        <f>TAM!ES44</f>
        <v>0</v>
      </c>
      <c r="GI36" s="335">
        <f>TAM!ET44</f>
        <v>0</v>
      </c>
      <c r="GJ36" s="335">
        <f>TAM!EU44</f>
        <v>0</v>
      </c>
      <c r="GK36" s="335">
        <f>TAM!EV44</f>
        <v>0</v>
      </c>
      <c r="GL36" s="335">
        <f>TAM!EW44</f>
        <v>0</v>
      </c>
      <c r="GM36" s="335">
        <f>TAM!EX44</f>
        <v>0</v>
      </c>
      <c r="GN36" s="335">
        <f>TAM!EY44</f>
        <v>0</v>
      </c>
      <c r="GO36" s="335">
        <f>TAM!EZ44</f>
        <v>0</v>
      </c>
      <c r="GP36" s="335">
        <f>TAM!FA44</f>
        <v>0</v>
      </c>
      <c r="GQ36" s="335">
        <f>TAM!FB44</f>
        <v>0</v>
      </c>
      <c r="GR36" s="335">
        <f>TAM!FC44</f>
        <v>0</v>
      </c>
      <c r="GS36" s="335">
        <f>TAM!FD44</f>
        <v>0</v>
      </c>
      <c r="GT36" s="335">
        <f>TAM!FE44</f>
        <v>0</v>
      </c>
      <c r="GU36" s="335">
        <f>TAM!FF44</f>
        <v>0</v>
      </c>
      <c r="GV36" s="335">
        <f>TAM!FG44</f>
        <v>0</v>
      </c>
      <c r="GW36" s="335">
        <f>TAM!FH44</f>
        <v>0</v>
      </c>
      <c r="GX36" s="335">
        <f>TAM!FI44</f>
        <v>0</v>
      </c>
      <c r="GY36" s="335">
        <f>TAM!FJ44</f>
        <v>0</v>
      </c>
      <c r="GZ36" s="335">
        <f>TAM!FK44</f>
        <v>0</v>
      </c>
      <c r="HA36" s="335">
        <f>TAM!FL44</f>
        <v>0</v>
      </c>
      <c r="HB36" s="335">
        <f>TAM!FM44</f>
        <v>0</v>
      </c>
      <c r="HC36" s="335">
        <f>TAM!FN44</f>
        <v>0</v>
      </c>
      <c r="HD36" s="335">
        <f>TAM!FO44</f>
        <v>0</v>
      </c>
      <c r="HE36" s="335">
        <f>TAM!FP44</f>
        <v>0</v>
      </c>
      <c r="HF36" s="335">
        <f>TAM!FQ44</f>
        <v>0</v>
      </c>
      <c r="HG36" s="335">
        <f>TAM!FR44</f>
        <v>0</v>
      </c>
      <c r="HH36" s="335">
        <f>TAM!FS44</f>
        <v>0</v>
      </c>
      <c r="HI36" s="335">
        <f>TAM!FT44</f>
        <v>0</v>
      </c>
      <c r="HJ36" s="335">
        <f>TAM!FU44</f>
        <v>0</v>
      </c>
      <c r="HK36" s="335">
        <f>TAM!FV44</f>
        <v>0</v>
      </c>
      <c r="HL36" s="335">
        <f>TAM!FW44</f>
        <v>0</v>
      </c>
      <c r="HM36" s="335">
        <f>TAM!FX44</f>
        <v>0</v>
      </c>
      <c r="HN36" s="335">
        <f>TAM!FY44</f>
        <v>0</v>
      </c>
      <c r="HO36" s="335">
        <f>TAM!FZ44</f>
        <v>0</v>
      </c>
      <c r="HP36" s="335">
        <f>TAM!GA44</f>
        <v>0</v>
      </c>
      <c r="HQ36" s="335">
        <f>TAM!GB44</f>
        <v>0</v>
      </c>
      <c r="HR36" s="335">
        <f>TAM!GC44</f>
        <v>0</v>
      </c>
      <c r="HS36" s="335">
        <f>TAM!GD44</f>
        <v>0</v>
      </c>
      <c r="HT36" s="335">
        <f>TAM!GE44</f>
        <v>0</v>
      </c>
      <c r="HU36" s="335">
        <f>TAM!GF44</f>
        <v>0</v>
      </c>
      <c r="HV36" s="335">
        <f>TAM!GG44</f>
        <v>0</v>
      </c>
      <c r="HW36" s="335">
        <f>TAM!GH44</f>
        <v>0</v>
      </c>
      <c r="HX36" s="335">
        <f>TAM!GI44</f>
        <v>0</v>
      </c>
      <c r="HY36" s="335">
        <f>TAM!GJ44</f>
        <v>0</v>
      </c>
      <c r="HZ36" s="335">
        <f>TAM!GK44</f>
        <v>0</v>
      </c>
      <c r="IA36" s="335">
        <f>TAM!GL44</f>
        <v>0</v>
      </c>
      <c r="IB36" s="335">
        <f>TAM!GM44</f>
        <v>0</v>
      </c>
      <c r="IC36" s="335">
        <f>TAM!GN44</f>
        <v>0</v>
      </c>
      <c r="ID36" s="335">
        <f>TAM!GO44</f>
        <v>0</v>
      </c>
      <c r="IE36" s="335">
        <f>TAM!GP44</f>
        <v>0</v>
      </c>
      <c r="IF36" s="335">
        <f>TAM!GQ44</f>
        <v>0</v>
      </c>
      <c r="IG36" s="335">
        <f>TAM!GR44</f>
        <v>0</v>
      </c>
      <c r="IH36" s="335">
        <f>TAM!GS44</f>
        <v>0</v>
      </c>
      <c r="II36" s="335">
        <f>TAM!GT44</f>
        <v>0</v>
      </c>
      <c r="IJ36" s="335">
        <f>TAM!GU44</f>
        <v>0</v>
      </c>
      <c r="IK36" s="335">
        <f>TAM!GV44</f>
        <v>0</v>
      </c>
      <c r="IL36" s="335">
        <f>TAM!GW44</f>
        <v>0</v>
      </c>
      <c r="IM36" s="335">
        <f>TAM!GX44</f>
        <v>0</v>
      </c>
      <c r="IN36" s="335">
        <f>TAM!GY44</f>
        <v>0</v>
      </c>
      <c r="IO36" s="335">
        <f>TAM!GZ44</f>
        <v>0</v>
      </c>
      <c r="IP36" s="335">
        <f>TAM!HA44</f>
        <v>0</v>
      </c>
      <c r="IQ36" s="335">
        <f>TAM!HB44</f>
        <v>0</v>
      </c>
      <c r="IR36" s="335">
        <f>TAM!HC44</f>
        <v>0</v>
      </c>
      <c r="IS36" s="335">
        <f>TAM!HD44</f>
        <v>0</v>
      </c>
      <c r="IT36" s="335">
        <f>TAM!HE44</f>
        <v>0</v>
      </c>
      <c r="IU36" s="335">
        <f>TAM!HF44</f>
        <v>0</v>
      </c>
      <c r="IV36" s="335">
        <f>TAM!HG44</f>
        <v>0</v>
      </c>
      <c r="IW36" s="335">
        <f>TAM!HH44</f>
        <v>0</v>
      </c>
      <c r="IX36" s="335">
        <f>TAM!HI44</f>
        <v>0</v>
      </c>
      <c r="IY36" s="335">
        <f>TAM!HJ44</f>
        <v>0</v>
      </c>
      <c r="IZ36" s="335">
        <f>TAM!HK44</f>
        <v>0</v>
      </c>
      <c r="JA36" s="335">
        <f>TAM!HL44</f>
        <v>0</v>
      </c>
      <c r="JB36" s="335">
        <f>TAM!HM44</f>
        <v>0</v>
      </c>
      <c r="JC36" s="335">
        <f>TAM!HN44</f>
        <v>0</v>
      </c>
      <c r="JD36" s="335">
        <f>TAM!HO44</f>
        <v>0</v>
      </c>
      <c r="JE36" s="335">
        <f>TAM!HP44</f>
        <v>0</v>
      </c>
      <c r="JF36" s="335">
        <f>TAM!HQ44</f>
        <v>0</v>
      </c>
      <c r="JG36" s="335">
        <f>TAM!HR44</f>
        <v>0</v>
      </c>
      <c r="JH36" s="335">
        <f>TAM!HS44</f>
        <v>0</v>
      </c>
      <c r="JI36" s="335">
        <f>TAM!HT44</f>
        <v>0</v>
      </c>
      <c r="JJ36" s="335">
        <f>TAM!HU44</f>
        <v>0</v>
      </c>
      <c r="JK36" s="335">
        <f>TAM!HV44</f>
        <v>0</v>
      </c>
      <c r="JL36" s="335">
        <f>TAM!HW44</f>
        <v>0</v>
      </c>
      <c r="JM36" s="335">
        <f>TAM!HX44</f>
        <v>0</v>
      </c>
      <c r="JN36" s="335">
        <f>TAM!HY44</f>
        <v>0</v>
      </c>
      <c r="JO36" s="335">
        <f>TAM!HZ44</f>
        <v>0</v>
      </c>
      <c r="JP36" s="335">
        <f>TAM!IA44</f>
        <v>0</v>
      </c>
      <c r="JQ36" s="335">
        <f>TAM!IB44</f>
        <v>0</v>
      </c>
      <c r="JR36" s="335">
        <f>TAM!IC44</f>
        <v>0</v>
      </c>
      <c r="JS36" s="335">
        <f>TAM!ID44</f>
        <v>0</v>
      </c>
      <c r="JT36" s="335">
        <f>TAM!IE44</f>
        <v>0</v>
      </c>
      <c r="JU36" s="335">
        <f>TAM!IF44</f>
        <v>0</v>
      </c>
      <c r="JV36" s="335">
        <f>TAM!IG44</f>
        <v>0</v>
      </c>
      <c r="JW36" s="335">
        <f>TAM!IH44</f>
        <v>0</v>
      </c>
      <c r="JX36" s="335">
        <f>TAM!II44</f>
        <v>0</v>
      </c>
      <c r="JY36" s="335">
        <f>TAM!IJ44</f>
        <v>0</v>
      </c>
      <c r="JZ36" s="335">
        <f>TAM!IK44</f>
        <v>0</v>
      </c>
      <c r="KA36" s="335">
        <f>TAM!IL44</f>
        <v>0</v>
      </c>
      <c r="KB36" s="335">
        <f>TAM!IM44</f>
        <v>0</v>
      </c>
      <c r="KC36" s="335">
        <f>TAM!IN44</f>
        <v>0</v>
      </c>
      <c r="KD36" s="335">
        <f>TAM!IO44</f>
        <v>0</v>
      </c>
      <c r="KE36" s="335">
        <f>TAM!IP44</f>
        <v>0</v>
      </c>
      <c r="KF36" s="335">
        <f>TAM!IQ44</f>
        <v>0</v>
      </c>
      <c r="KG36" s="335">
        <f>TAM!IR44</f>
        <v>0</v>
      </c>
      <c r="KH36" s="335">
        <f>TAM!IS44</f>
        <v>0</v>
      </c>
      <c r="KI36" s="335">
        <f>TAM!IT44</f>
        <v>0</v>
      </c>
      <c r="KJ36" s="335">
        <f>TAM!IU44</f>
        <v>0</v>
      </c>
      <c r="KK36" s="335">
        <f>TAM!IV44</f>
        <v>0</v>
      </c>
      <c r="KL36" s="335">
        <f>TAM!IW44</f>
        <v>0</v>
      </c>
      <c r="KM36" s="335">
        <f>TAM!IX44</f>
        <v>0</v>
      </c>
      <c r="KN36" s="335">
        <f>TAM!IY44</f>
        <v>0</v>
      </c>
      <c r="KO36" s="335">
        <f>TAM!IZ44</f>
        <v>0</v>
      </c>
      <c r="KP36" s="335">
        <f>TAM!JA44</f>
        <v>0</v>
      </c>
      <c r="KQ36" s="335">
        <f>TAM!JB44</f>
        <v>0</v>
      </c>
      <c r="KR36" s="335">
        <f>TAM!JC44</f>
        <v>0</v>
      </c>
      <c r="KS36" s="335">
        <f>TAM!JD44</f>
        <v>0</v>
      </c>
      <c r="KT36" s="335">
        <f>TAM!JE44</f>
        <v>0</v>
      </c>
      <c r="KU36" s="335">
        <f>TAM!JF44</f>
        <v>0</v>
      </c>
      <c r="KV36" s="335">
        <f>TAM!JG44</f>
        <v>0</v>
      </c>
      <c r="KW36" s="335">
        <f>TAM!JH44</f>
        <v>0</v>
      </c>
      <c r="KX36" s="335">
        <f>TAM!JI44</f>
        <v>0</v>
      </c>
      <c r="KY36" s="335">
        <f>TAM!JJ44</f>
        <v>0</v>
      </c>
      <c r="KZ36" s="335">
        <f>TAM!JK44</f>
        <v>0</v>
      </c>
      <c r="LA36" s="335">
        <f>TAM!JL44</f>
        <v>0</v>
      </c>
      <c r="LB36" s="335">
        <f>TAM!JM44</f>
        <v>0</v>
      </c>
      <c r="LC36" s="335">
        <f>TAM!JN44</f>
        <v>0</v>
      </c>
      <c r="LD36" s="335">
        <f>TAM!JO44</f>
        <v>0</v>
      </c>
      <c r="LE36" s="335">
        <f>TAM!JP44</f>
        <v>0</v>
      </c>
      <c r="LF36" s="335">
        <f>TAM!JQ44</f>
        <v>0</v>
      </c>
      <c r="LG36" s="335">
        <f>TAM!JR44</f>
        <v>0</v>
      </c>
      <c r="LH36" s="335">
        <f>TAM!JS44</f>
        <v>0</v>
      </c>
      <c r="LI36" s="335">
        <f>TAM!JT44</f>
        <v>0</v>
      </c>
      <c r="LJ36" s="335">
        <f>TAM!JU44</f>
        <v>0</v>
      </c>
      <c r="LK36" s="335">
        <f>TAM!JV44</f>
        <v>0</v>
      </c>
      <c r="LL36" s="335">
        <f>TAM!JW44</f>
        <v>0</v>
      </c>
    </row>
    <row r="37" spans="1:324" s="285" customFormat="1" ht="15.75" outlineLevel="1" x14ac:dyDescent="0.25">
      <c r="A37" s="510"/>
      <c r="B37" s="500">
        <f>R13</f>
        <v>0.03</v>
      </c>
      <c r="C37" s="513" t="s">
        <v>120</v>
      </c>
      <c r="D37" s="286"/>
      <c r="E37" s="517">
        <f>TAM!M$15</f>
        <v>142248.64000000001</v>
      </c>
      <c r="F37" s="518">
        <f>TAM!M16</f>
        <v>127352.1</v>
      </c>
      <c r="G37" s="518">
        <f>TAM!M17</f>
        <v>111710.74</v>
      </c>
      <c r="H37" s="518">
        <f>TAM!M18</f>
        <v>95287.31</v>
      </c>
      <c r="I37" s="518">
        <f>TAM!M19</f>
        <v>78042.710000000006</v>
      </c>
      <c r="J37" s="518">
        <f>TAM!M20</f>
        <v>59935.88</v>
      </c>
      <c r="K37" s="518">
        <f>TAM!M21</f>
        <v>40923.699999999997</v>
      </c>
      <c r="L37" s="518">
        <f>TAM!M22</f>
        <v>20960.919999999998</v>
      </c>
      <c r="M37" s="518">
        <f>TAM!M23</f>
        <v>0</v>
      </c>
      <c r="N37" s="518">
        <f>TAM!M24</f>
        <v>0</v>
      </c>
      <c r="O37" s="518">
        <f>TAM!M25</f>
        <v>0</v>
      </c>
      <c r="P37" s="518">
        <f>TAM!M26</f>
        <v>0</v>
      </c>
      <c r="Q37" s="518">
        <f>TAM!M27</f>
        <v>0</v>
      </c>
      <c r="R37" s="518">
        <f>TAM!M28</f>
        <v>0</v>
      </c>
      <c r="S37" s="518">
        <f>TAM!M29</f>
        <v>0</v>
      </c>
      <c r="T37" s="518">
        <f>TAM!M30</f>
        <v>0</v>
      </c>
      <c r="U37" s="519">
        <f>TAM!M31</f>
        <v>0</v>
      </c>
      <c r="V37" s="488">
        <f>TAM!M32</f>
        <v>0</v>
      </c>
      <c r="W37" s="316">
        <f>TAM!M33</f>
        <v>0</v>
      </c>
      <c r="X37" s="316">
        <f>TAM!M34</f>
        <v>0</v>
      </c>
      <c r="Y37" s="316">
        <f>TAM!M35</f>
        <v>0</v>
      </c>
      <c r="Z37" s="316">
        <f>TAM!M36</f>
        <v>0</v>
      </c>
      <c r="AA37" s="316">
        <f>TAM!M37</f>
        <v>0</v>
      </c>
      <c r="AB37" s="316">
        <f>TAM!M38</f>
        <v>0</v>
      </c>
      <c r="AC37" s="316">
        <f>TAM!M39</f>
        <v>0</v>
      </c>
      <c r="AD37" s="316">
        <f>TAM!M40</f>
        <v>0</v>
      </c>
      <c r="AE37" s="341">
        <f>TAM!M41</f>
        <v>0</v>
      </c>
      <c r="AF37" s="467"/>
      <c r="AG37" s="467"/>
      <c r="AH37" s="467"/>
      <c r="AI37" s="467"/>
      <c r="AJ37" s="467"/>
      <c r="AK37" s="467"/>
      <c r="AL37" s="467"/>
      <c r="AM37" s="467"/>
      <c r="AN37" s="467"/>
      <c r="AO37" s="467"/>
      <c r="AP37" s="467"/>
      <c r="AQ37" s="467"/>
      <c r="AR37" s="467"/>
      <c r="AS37" s="467"/>
      <c r="AT37" s="467"/>
      <c r="AU37" s="467"/>
      <c r="AV37" s="467"/>
      <c r="AW37" s="467"/>
      <c r="AX37" s="467"/>
      <c r="AY37" s="467"/>
      <c r="AZ37" s="467"/>
      <c r="BA37" s="467"/>
      <c r="BB37" s="467"/>
      <c r="BC37" s="467"/>
      <c r="BD37" s="467"/>
      <c r="BE37" s="467"/>
      <c r="BF37" s="467"/>
      <c r="BG37" s="467"/>
      <c r="BH37" s="467"/>
      <c r="BI37" s="467"/>
      <c r="BJ37" s="467"/>
      <c r="BK37" s="467"/>
      <c r="BL37" s="467"/>
      <c r="BM37" s="467"/>
      <c r="BN37" s="467"/>
      <c r="BO37" s="467"/>
      <c r="BP37" s="467"/>
      <c r="BQ37" s="467"/>
      <c r="BR37" s="467"/>
      <c r="BS37" s="467"/>
      <c r="BT37" s="467"/>
      <c r="BU37" s="467"/>
      <c r="BV37" s="467"/>
      <c r="BW37" s="467"/>
      <c r="BX37" s="467"/>
      <c r="BY37" s="467"/>
      <c r="BZ37" s="467"/>
      <c r="CA37" s="467"/>
      <c r="CB37" s="467"/>
      <c r="CC37" s="467"/>
      <c r="CD37" s="467"/>
      <c r="CE37" s="467"/>
      <c r="CF37" s="467"/>
      <c r="CG37" s="467"/>
      <c r="CH37" s="467"/>
      <c r="CI37" s="467"/>
      <c r="CJ37" s="467"/>
      <c r="CK37" s="467"/>
      <c r="CL37" s="467"/>
      <c r="CM37" s="467"/>
      <c r="CN37" s="467"/>
      <c r="CO37" s="467"/>
      <c r="CP37" s="467"/>
      <c r="CQ37" s="467"/>
      <c r="CR37" s="467"/>
      <c r="CS37" s="467"/>
      <c r="CT37" s="467"/>
      <c r="CU37" s="467"/>
      <c r="CV37" s="467"/>
      <c r="CW37" s="467"/>
      <c r="CX37" s="467"/>
      <c r="CY37" s="467"/>
      <c r="CZ37" s="467"/>
      <c r="DA37" s="467"/>
      <c r="DB37" s="467"/>
      <c r="DC37" s="467"/>
      <c r="DD37" s="467"/>
      <c r="DE37" s="467"/>
      <c r="DF37" s="467"/>
      <c r="DG37" s="467"/>
      <c r="DH37" s="467"/>
      <c r="DI37" s="467"/>
      <c r="DJ37" s="467"/>
      <c r="DK37" s="467"/>
      <c r="DL37" s="467"/>
      <c r="DM37" s="467"/>
      <c r="DN37" s="467"/>
      <c r="DO37" s="467"/>
      <c r="DP37" s="467"/>
      <c r="DQ37" s="468"/>
      <c r="DR37" s="468"/>
      <c r="DS37" s="468"/>
      <c r="DT37" s="468"/>
      <c r="DU37" s="468"/>
      <c r="DV37" s="468"/>
      <c r="DW37" s="468"/>
      <c r="DX37" s="468"/>
      <c r="DY37" s="468"/>
      <c r="DZ37" s="468"/>
      <c r="EA37" s="468"/>
      <c r="EB37" s="468"/>
      <c r="EC37" s="468"/>
    </row>
    <row r="38" spans="1:324" ht="16.5" outlineLevel="1" thickBot="1" x14ac:dyDescent="0.3">
      <c r="A38" s="509">
        <f>SUM(D38:AE38)</f>
        <v>955910.85676800006</v>
      </c>
      <c r="B38" s="504">
        <f>O13</f>
        <v>2.8000000000000001E-2</v>
      </c>
      <c r="C38" s="496" t="s">
        <v>118</v>
      </c>
      <c r="D38" s="255"/>
      <c r="E38" s="514">
        <f>($P$14)*$B$38</f>
        <v>119488.85709600001</v>
      </c>
      <c r="F38" s="515">
        <f t="shared" ref="F38" si="6">($P$14)*$B$38</f>
        <v>119488.85709600001</v>
      </c>
      <c r="G38" s="515">
        <f>IF($O$11&gt;=1,($P$14)*$B$38,"")</f>
        <v>119488.85709600001</v>
      </c>
      <c r="H38" s="515">
        <f>IF($O$11&gt;=2,($P$14)*$B$38,"")</f>
        <v>119488.85709600001</v>
      </c>
      <c r="I38" s="515">
        <f>IF($O$11&gt;=3,($P$14)*$B$38,"")</f>
        <v>119488.85709600001</v>
      </c>
      <c r="J38" s="515">
        <f>IF($O$11&gt;=4,($P$14)*$B$38,"")</f>
        <v>119488.85709600001</v>
      </c>
      <c r="K38" s="515">
        <f>IF($O$11&gt;=5,($P$14)*$B$38,"")</f>
        <v>119488.85709600001</v>
      </c>
      <c r="L38" s="515">
        <f>IF($O$11&gt;=6,($P$14)*$B$38,"")</f>
        <v>119488.85709600001</v>
      </c>
      <c r="M38" s="515" t="str">
        <f>IF($O$11&gt;=7,($P$14)*$B$38,"")</f>
        <v/>
      </c>
      <c r="N38" s="515" t="str">
        <f>IF($O$11&gt;=8,($P$14)*$B$38,"")</f>
        <v/>
      </c>
      <c r="O38" s="515" t="str">
        <f>IF($O$11&gt;=9,($P$14)*$B$38,"")</f>
        <v/>
      </c>
      <c r="P38" s="515" t="str">
        <f>IF($O$11&gt;=10,($P$14)*$B$38,"")</f>
        <v/>
      </c>
      <c r="Q38" s="515" t="str">
        <f>IF($O$11&gt;=11,($P$14)*$B$38,"")</f>
        <v/>
      </c>
      <c r="R38" s="515" t="str">
        <f>IF($O$11&gt;=12,($P$14)*$B$38,"")</f>
        <v/>
      </c>
      <c r="S38" s="515" t="str">
        <f>IF($O$11&gt;=13,($P$14)*$B$38,"")</f>
        <v/>
      </c>
      <c r="T38" s="515" t="str">
        <f>IF($O$11&gt;=14,($P$14)*$B$38,"")</f>
        <v/>
      </c>
      <c r="U38" s="516" t="str">
        <f>IF($O$11&gt;=15,($P$14)*$B$38,"")</f>
        <v/>
      </c>
      <c r="V38" s="489" t="str">
        <f>IF($O$11&gt;=16,($P$14)*$B$38,"")</f>
        <v/>
      </c>
      <c r="W38" s="317" t="str">
        <f>IF($O$11&gt;=17,($P$14)*$B$38,"")</f>
        <v/>
      </c>
      <c r="X38" s="317" t="str">
        <f>IF($O$11&gt;=18,($P$14)*$B$38,"")</f>
        <v/>
      </c>
      <c r="Y38" s="317" t="str">
        <f>IF($O$11&gt;=19,($P$14)*$B$38,"")</f>
        <v/>
      </c>
      <c r="Z38" s="317" t="str">
        <f>IF($O$11&gt;=20,($P$14)*$B$38,"")</f>
        <v/>
      </c>
      <c r="AA38" s="317" t="str">
        <f>IF($O$11&gt;=21,($P$14)*$B$38,"")</f>
        <v/>
      </c>
      <c r="AB38" s="317" t="str">
        <f>IF($O$11&gt;=22,($P$14)*$B$38,"")</f>
        <v/>
      </c>
      <c r="AC38" s="317" t="str">
        <f>IF($O$11&gt;=23,($P$14)*$B$38,"")</f>
        <v/>
      </c>
      <c r="AD38" s="317" t="str">
        <f>IF($O$11&gt;=24,($P$14)*$B$38,"")</f>
        <v/>
      </c>
      <c r="AE38" s="342" t="str">
        <f>IF($O$11&gt;=25,($P$14)*$B$38,"")</f>
        <v/>
      </c>
      <c r="AF38" s="7"/>
      <c r="AG38" s="256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</row>
    <row r="39" spans="1:324" ht="16.5" outlineLevel="1" thickBot="1" x14ac:dyDescent="0.3">
      <c r="A39" s="509"/>
      <c r="B39" s="505"/>
      <c r="C39" s="497" t="s">
        <v>121</v>
      </c>
      <c r="D39" s="340"/>
      <c r="E39" s="520">
        <f>E38+E37+E36</f>
        <v>559668.20709599997</v>
      </c>
      <c r="F39" s="521">
        <f>F38+F37+F36</f>
        <v>559668.20709599997</v>
      </c>
      <c r="G39" s="521">
        <f>IF($O$11&gt;=1,G38+G37+G36,"")</f>
        <v>559668.20709599997</v>
      </c>
      <c r="H39" s="521">
        <f>IF($O$11&gt;=2,H38+H37+H36,"")</f>
        <v>559668.20709599997</v>
      </c>
      <c r="I39" s="521">
        <f>IF($O$11&gt;=3,I38+I37+I36,"")</f>
        <v>559668.20709599997</v>
      </c>
      <c r="J39" s="521">
        <f>IF($O$11&gt;=4,J38+J37+J36,"")</f>
        <v>559668.20709599997</v>
      </c>
      <c r="K39" s="521">
        <f>IF($O$11&gt;=5,K38+K37+K36,"")</f>
        <v>559668.20709599997</v>
      </c>
      <c r="L39" s="521">
        <f>IF($O$11&gt;=6,L38+L37+L36,"")</f>
        <v>559668.19509600045</v>
      </c>
      <c r="M39" s="521" t="str">
        <f>IF($O$11&gt;=7,M38+M37+M36,"")</f>
        <v/>
      </c>
      <c r="N39" s="521" t="str">
        <f>IF($O$11&gt;=8,N38+N37+N36,"")</f>
        <v/>
      </c>
      <c r="O39" s="521" t="str">
        <f>IF($O$11&gt;=9,O38+O37+O36,"")</f>
        <v/>
      </c>
      <c r="P39" s="521" t="str">
        <f>IF($O$11&gt;=10,P38+P37+P36,"")</f>
        <v/>
      </c>
      <c r="Q39" s="521" t="str">
        <f>IF($O$11&gt;=11,Q38+Q37+Q36,"")</f>
        <v/>
      </c>
      <c r="R39" s="521" t="str">
        <f>IF($O$11&gt;=12,R38+R37+R36,"")</f>
        <v/>
      </c>
      <c r="S39" s="521" t="str">
        <f>IF($O$11&gt;=13,S38+S37+S36,"")</f>
        <v/>
      </c>
      <c r="T39" s="521" t="str">
        <f>IF($O$11&gt;=14,T38+T37+T36,"")</f>
        <v/>
      </c>
      <c r="U39" s="522" t="str">
        <f>IF($O$11&gt;=15,U38+U37+U36,"")</f>
        <v/>
      </c>
      <c r="V39" s="318" t="str">
        <f>IF($O$11&gt;=16,V38+V37+V36,"")</f>
        <v/>
      </c>
      <c r="W39" s="318" t="str">
        <f>IF($O$11&gt;=17,W38+W37+W36,"")</f>
        <v/>
      </c>
      <c r="X39" s="318" t="str">
        <f>IF($O$11&gt;=18,X38+X37+X36,"")</f>
        <v/>
      </c>
      <c r="Y39" s="318" t="str">
        <f>IF($O$11&gt;=19,Y38+Y37+Y36,"")</f>
        <v/>
      </c>
      <c r="Z39" s="318" t="str">
        <f>IF($O$11&gt;=20,Z38+Z37+Z36,"")</f>
        <v/>
      </c>
      <c r="AA39" s="318" t="str">
        <f>IF($O$11&gt;=21,AA38+AA37+AA36,"")</f>
        <v/>
      </c>
      <c r="AB39" s="318" t="str">
        <f>IF($O$11&gt;=22,AB38+AB37+AB36,"")</f>
        <v/>
      </c>
      <c r="AC39" s="318" t="str">
        <f>IF($O$11&gt;=23,AC38+AC37+AC36,"")</f>
        <v/>
      </c>
      <c r="AD39" s="318" t="str">
        <f>IF($O$11&gt;=24,AD38+AD37+AD36,"")</f>
        <v/>
      </c>
      <c r="AE39" s="319" t="str">
        <f>IF($O$11&gt;=25,AE38+AE37+AE36,"")</f>
        <v/>
      </c>
      <c r="AF39" s="7"/>
      <c r="AG39" s="256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</row>
    <row r="40" spans="1:324" ht="16.5" outlineLevel="1" thickBot="1" x14ac:dyDescent="0.3">
      <c r="A40" s="509">
        <f>SUM(D40:AE40)</f>
        <v>4267459.182</v>
      </c>
      <c r="B40" s="506"/>
      <c r="C40" s="43" t="s">
        <v>40</v>
      </c>
      <c r="D40" s="288"/>
      <c r="E40" s="475"/>
      <c r="F40" s="476"/>
      <c r="G40" s="474" t="str">
        <f>IF($O$12=G16,P14,"")</f>
        <v/>
      </c>
      <c r="H40" s="474" t="str">
        <f>IF($O$12=H16,$P$14,"")</f>
        <v/>
      </c>
      <c r="I40" s="474" t="str">
        <f>IF($O$12=I16,P14,"")</f>
        <v/>
      </c>
      <c r="J40" s="474" t="str">
        <f>IF($O$12=J16,P14,"")</f>
        <v/>
      </c>
      <c r="K40" s="474" t="str">
        <f>IF($O$12=K16,P14,"")</f>
        <v/>
      </c>
      <c r="L40" s="474">
        <f>IF($O$12=L16,P14,"")</f>
        <v>4267459.182</v>
      </c>
      <c r="M40" s="474" t="str">
        <f>IF($O$12=M16,P14,"")</f>
        <v/>
      </c>
      <c r="N40" s="474" t="str">
        <f>IF($O$12=N16,P14,"")</f>
        <v/>
      </c>
      <c r="O40" s="474" t="str">
        <f>IF($O$12=O16,P14,"")</f>
        <v/>
      </c>
      <c r="P40" s="474" t="str">
        <f>IF($O$12=P16,P14,"")</f>
        <v/>
      </c>
      <c r="Q40" s="474" t="str">
        <f>IF($O$12=Q16,P14,"")</f>
        <v/>
      </c>
      <c r="R40" s="474" t="str">
        <f>IF($O$12=R16,P14,"")</f>
        <v/>
      </c>
      <c r="S40" s="474" t="str">
        <f>IF($O$12=S16,P14,"")</f>
        <v/>
      </c>
      <c r="T40" s="474" t="str">
        <f>IF($O$12=T16,P14,"")</f>
        <v/>
      </c>
      <c r="U40" s="477" t="str">
        <f>IF($O$12=U16,P14,"")</f>
        <v/>
      </c>
      <c r="V40" s="474" t="str">
        <f>IF($O$12=V16,P14,"")</f>
        <v/>
      </c>
      <c r="W40" s="474" t="str">
        <f>IF($O$12=W16,P14,"")</f>
        <v/>
      </c>
      <c r="X40" s="474" t="str">
        <f>IF($O$12=X16,P14,"")</f>
        <v/>
      </c>
      <c r="Y40" s="474" t="str">
        <f>IF($O$12=Y16,P14,"")</f>
        <v/>
      </c>
      <c r="Z40" s="474" t="str">
        <f>IF($O$12=Z16,P14,"")</f>
        <v/>
      </c>
      <c r="AA40" s="474" t="str">
        <f>IF($O$12=AA16,P14,"")</f>
        <v/>
      </c>
      <c r="AB40" s="474" t="str">
        <f>IF($O$12=AB16,P14,"")</f>
        <v/>
      </c>
      <c r="AC40" s="474" t="str">
        <f>IF($O$12=AC16,P14,"")</f>
        <v/>
      </c>
      <c r="AD40" s="474" t="str">
        <f>IF($O$12=AD16,P14,"")</f>
        <v/>
      </c>
      <c r="AE40" s="477" t="str">
        <f>IF($O$12=AE16,P14,"")</f>
        <v/>
      </c>
      <c r="AF40" s="7"/>
      <c r="AG40" s="256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</row>
    <row r="41" spans="1:324" ht="16.5" thickBot="1" x14ac:dyDescent="0.3">
      <c r="A41" s="511">
        <f>SUM(D41:AE41)</f>
        <v>-10388570.482975999</v>
      </c>
      <c r="B41" s="187"/>
      <c r="C41" s="194" t="s">
        <v>41</v>
      </c>
      <c r="D41" s="561">
        <f>-SUM(D22:D40)</f>
        <v>-10355000</v>
      </c>
      <c r="E41" s="478">
        <f>-SUM(E22:E40)+E39</f>
        <v>-1073481.507096</v>
      </c>
      <c r="F41" s="478">
        <f>-SUM(F22:F35)+F39</f>
        <v>502582.88589599996</v>
      </c>
      <c r="G41" s="479">
        <f>IF($O$11=1,-SUM(G22:G38)+$A$40,IF($O$11&gt;1,-SUM(G22:G40)+G39,""))</f>
        <v>-616753.52829600009</v>
      </c>
      <c r="H41" s="479">
        <f>IF($O$11=2,-SUM(H22:H38)+$A$40,IF($O$11&gt;2,-SUM(H22:H40)+H39,""))</f>
        <v>-616753.52829600009</v>
      </c>
      <c r="I41" s="478">
        <f>IF($O$11=3,-SUM(I22:I38)+$A$40,IF($O$11&gt;3,-SUM(I22:I40)+I39,""))</f>
        <v>-616753.52829600009</v>
      </c>
      <c r="J41" s="478">
        <f>IF($O$11=4,-SUM(J22:J38)+$A$40,IF($O$11&gt;4,-SUM(J22:J40)+J39,""))</f>
        <v>-616753.52829600009</v>
      </c>
      <c r="K41" s="478">
        <f>IF($O$11=5,-SUM(K22:K38)+$A$40,IF($O$11&gt;5,-SUM(K22:K40)+K39,""))</f>
        <v>-631200.80829599989</v>
      </c>
      <c r="L41" s="478">
        <f>IF($O$11=6,-SUM(L22:L38)+$A$40,IF($O$11&gt;6,-SUM(L22:L40)+L39,""))</f>
        <v>3635543.0597039997</v>
      </c>
      <c r="M41" s="478" t="str">
        <f>IF($O$11=7,-SUM(M22:M38)+$A$40,IF($O$11&gt;7,-SUM(M22:M40)+M39,""))</f>
        <v/>
      </c>
      <c r="N41" s="478" t="str">
        <f>IF($O$11=8,-SUM(N22:N38)+$A$40,IF($O$11&gt;8,-SUM(N22:N40)+N39,""))</f>
        <v/>
      </c>
      <c r="O41" s="478" t="str">
        <f>IF($O$11=9,-SUM(O22:O38)+$A$40,IF($O$11&gt;9,-SUM(O22:O40)+O39,""))</f>
        <v/>
      </c>
      <c r="P41" s="478" t="str">
        <f>IF($O$11=10,-SUM(P22:P38)+$A$40,IF($O$11&gt;10,-SUM(P22:P40)+P39,""))</f>
        <v/>
      </c>
      <c r="Q41" s="478" t="str">
        <f>IF($O$11=11,-SUM(Q22:Q38)+$A$40,IF($O$11&gt;11,-SUM(Q22:Q40)+Q39,""))</f>
        <v/>
      </c>
      <c r="R41" s="478" t="str">
        <f>IF($O$11=12,-SUM(R22:R38)+$A$40,IF($O$11&gt;12,-SUM(R22:R40)+R39,""))</f>
        <v/>
      </c>
      <c r="S41" s="478" t="str">
        <f>IF($O$11=13,-SUM(S22:S38)+$A$40,IF($O$11&gt;13,-SUM(S22:S40)+S39,""))</f>
        <v/>
      </c>
      <c r="T41" s="478" t="str">
        <f>IF($O$11=14,-SUM(T22:T38)+$A$40,IF($O$11&gt;14,-SUM(T22:T40)+T39,""))</f>
        <v/>
      </c>
      <c r="U41" s="480" t="str">
        <f>IF($O$11=15,-SUM(U22:U38)+$A$40,IF($O$11&gt;15,-SUM(U22:U40)+U39,""))</f>
        <v/>
      </c>
      <c r="V41" s="478" t="str">
        <f>IF($O$11=16,-SUM(V22:V38)+$A$40,IF($O$11&gt;16,-SUM(V22:V40)+V39,""))</f>
        <v/>
      </c>
      <c r="W41" s="478" t="str">
        <f>IF($O$11=17,-SUM(W22:W38)+$A$40,IF($O$11&gt;17,-SUM(W22:W40)+W39,""))</f>
        <v/>
      </c>
      <c r="X41" s="478" t="str">
        <f>IF($O$11=18,-SUM(X22:X38)+$A$40,IF($O$11&gt;18,-SUM(X22:X40)+X39,""))</f>
        <v/>
      </c>
      <c r="Y41" s="478" t="str">
        <f>IF($O$11=19,-SUM(Y22:Y38)+$A$40,IF($O$11&gt;19,-SUM(Y22:Y40)+Y39,""))</f>
        <v/>
      </c>
      <c r="Z41" s="478" t="str">
        <f>IF($O$11=20,-SUM(Z22:Z38)+$A$40,IF($O$11&gt;20,-SUM(Z22:Z40)+Z39,""))</f>
        <v/>
      </c>
      <c r="AA41" s="478" t="str">
        <f>IF($O$11=21,-SUM(AA22:AA38)+$A$40,IF($O$11&gt;21,-SUM(AA22:AA40)+AA39,""))</f>
        <v/>
      </c>
      <c r="AB41" s="478" t="str">
        <f>IF($O$11=22,-SUM(AB22:AB38)+$A$40,IF($O$11&gt;22,-SUM(AB22:AB40)+AB39,""))</f>
        <v/>
      </c>
      <c r="AC41" s="478" t="str">
        <f>IF($O$11=23,-SUM(AC22:AC38)+$A$40,IF($O$11&gt;23,-SUM(AC22:AC40)+AC39,""))</f>
        <v/>
      </c>
      <c r="AD41" s="478" t="str">
        <f>IF($O$11=24,-SUM(AD22:AD38)+$A$40,IF($O$11&gt;24,-SUM(AD22:AD40)+AD39,""))</f>
        <v/>
      </c>
      <c r="AE41" s="480" t="str">
        <f>IF($O$11=25,-SUM(AE22:AE38)+$A$40,IF($O$11&gt;25,-SUM(AE22:AE40)+AE39,""))</f>
        <v/>
      </c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</row>
    <row r="42" spans="1:324" ht="0.95" customHeight="1" outlineLevel="1" x14ac:dyDescent="0.25">
      <c r="A42" s="61"/>
      <c r="B42" s="146"/>
      <c r="C42" s="47" t="s">
        <v>42</v>
      </c>
      <c r="D42" s="48"/>
      <c r="E42" s="481" t="e">
        <f>-E41/E17</f>
        <v>#DIV/0!</v>
      </c>
      <c r="F42" s="320" t="e">
        <f>-F41/#REF!</f>
        <v>#REF!</v>
      </c>
      <c r="G42" s="320">
        <f>-G41/G17</f>
        <v>1.2964878430307478</v>
      </c>
      <c r="H42" s="320">
        <f>-H41/H17</f>
        <v>1.2964878430307478</v>
      </c>
      <c r="I42" s="473">
        <f>-I41/I17</f>
        <v>1.2964878430307478</v>
      </c>
      <c r="J42" s="320"/>
      <c r="K42" s="299"/>
      <c r="L42" s="297"/>
      <c r="M42" s="297"/>
      <c r="N42" s="297"/>
      <c r="O42" s="297"/>
      <c r="P42" s="297"/>
      <c r="Q42" s="297"/>
      <c r="R42" s="297"/>
      <c r="S42" s="297"/>
      <c r="T42" s="297"/>
      <c r="U42" s="300"/>
      <c r="V42" s="297"/>
      <c r="W42" s="297"/>
      <c r="X42" s="297"/>
      <c r="Y42" s="297"/>
      <c r="Z42" s="297"/>
      <c r="AA42" s="297"/>
      <c r="AB42" s="297"/>
      <c r="AC42" s="297"/>
      <c r="AD42" s="297"/>
      <c r="AE42" s="29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</row>
    <row r="43" spans="1:324" ht="0.95" customHeight="1" outlineLevel="1" x14ac:dyDescent="0.25">
      <c r="A43" s="61"/>
      <c r="B43" s="146"/>
      <c r="C43" s="49" t="s">
        <v>43</v>
      </c>
      <c r="D43" s="50"/>
      <c r="E43" s="482" t="e">
        <f>E41/$D$29</f>
        <v>#DIV/0!</v>
      </c>
      <c r="F43" s="321" t="e">
        <f>F41/$D$29</f>
        <v>#DIV/0!</v>
      </c>
      <c r="G43" s="321" t="e">
        <f>G41/$D$29</f>
        <v>#DIV/0!</v>
      </c>
      <c r="H43" s="321" t="e">
        <f>H41/$D$29</f>
        <v>#DIV/0!</v>
      </c>
      <c r="I43" s="472" t="e">
        <f>I41/$D$29</f>
        <v>#DIV/0!</v>
      </c>
      <c r="J43" s="321"/>
      <c r="K43" s="299"/>
      <c r="L43" s="297"/>
      <c r="M43" s="297"/>
      <c r="N43" s="297"/>
      <c r="O43" s="314">
        <f>-SUM(N22:N40)</f>
        <v>0</v>
      </c>
      <c r="P43" s="297"/>
      <c r="Q43" s="297"/>
      <c r="R43" s="297"/>
      <c r="S43" s="297"/>
      <c r="T43" s="297"/>
      <c r="U43" s="300"/>
      <c r="V43" s="297"/>
      <c r="W43" s="297"/>
      <c r="X43" s="297"/>
      <c r="Y43" s="297"/>
      <c r="Z43" s="297"/>
      <c r="AA43" s="297"/>
      <c r="AB43" s="297"/>
      <c r="AC43" s="297"/>
      <c r="AD43" s="297"/>
      <c r="AE43" s="29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</row>
    <row r="44" spans="1:324" ht="0.75" customHeight="1" outlineLevel="1" x14ac:dyDescent="0.25">
      <c r="A44" s="61"/>
      <c r="B44" s="146"/>
      <c r="C44" s="49" t="s">
        <v>44</v>
      </c>
      <c r="D44" s="50"/>
      <c r="E44" s="321" t="e">
        <f>#REF!-E43</f>
        <v>#REF!</v>
      </c>
      <c r="F44" s="321" t="e">
        <f>#REF!-F43</f>
        <v>#REF!</v>
      </c>
      <c r="G44" s="321" t="e">
        <f>#REF!-G43</f>
        <v>#REF!</v>
      </c>
      <c r="H44" s="321" t="e">
        <f>#REF!-H43</f>
        <v>#REF!</v>
      </c>
      <c r="I44" s="321" t="e">
        <f>#REF!-I43</f>
        <v>#REF!</v>
      </c>
      <c r="J44" s="321" t="e">
        <f>#REF!-J43</f>
        <v>#REF!</v>
      </c>
      <c r="K44" s="321" t="e">
        <f>#REF!-K43</f>
        <v>#REF!</v>
      </c>
      <c r="L44" s="321" t="e">
        <f>#REF!-L43</f>
        <v>#REF!</v>
      </c>
      <c r="M44" s="321" t="e">
        <f>#REF!-M43</f>
        <v>#REF!</v>
      </c>
      <c r="N44" s="321" t="e">
        <f>#REF!-N43</f>
        <v>#REF!</v>
      </c>
      <c r="O44" s="321" t="e">
        <f>#REF!-O43</f>
        <v>#REF!</v>
      </c>
      <c r="P44" s="321" t="e">
        <f>#REF!-P43</f>
        <v>#REF!</v>
      </c>
      <c r="Q44" s="321" t="e">
        <f>#REF!-Q43</f>
        <v>#REF!</v>
      </c>
      <c r="R44" s="321" t="e">
        <f>#REF!-R43</f>
        <v>#REF!</v>
      </c>
      <c r="S44" s="321" t="e">
        <f>#REF!-S43</f>
        <v>#REF!</v>
      </c>
      <c r="T44" s="321" t="e">
        <f>#REF!-T43</f>
        <v>#REF!</v>
      </c>
      <c r="U44" s="498" t="e">
        <f>#REF!-U43</f>
        <v>#REF!</v>
      </c>
      <c r="V44" s="321" t="e">
        <f>#REF!-V43</f>
        <v>#REF!</v>
      </c>
      <c r="W44" s="321" t="e">
        <f>#REF!-W43</f>
        <v>#REF!</v>
      </c>
      <c r="X44" s="321" t="e">
        <f>#REF!-X43</f>
        <v>#REF!</v>
      </c>
      <c r="Y44" s="321" t="e">
        <f>#REF!-Y43</f>
        <v>#REF!</v>
      </c>
      <c r="Z44" s="321" t="e">
        <f>#REF!-Z43</f>
        <v>#REF!</v>
      </c>
      <c r="AA44" s="321" t="e">
        <f>#REF!-AA43</f>
        <v>#REF!</v>
      </c>
      <c r="AB44" s="321" t="e">
        <f>#REF!-AB43</f>
        <v>#REF!</v>
      </c>
      <c r="AC44" s="321" t="e">
        <f>#REF!-AC43</f>
        <v>#REF!</v>
      </c>
      <c r="AD44" s="321" t="e">
        <f>#REF!-AD43</f>
        <v>#REF!</v>
      </c>
      <c r="AE44" s="321" t="e">
        <f>#REF!-AE43</f>
        <v>#REF!</v>
      </c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</row>
    <row r="45" spans="1:324" ht="15.75" outlineLevel="1" x14ac:dyDescent="0.25">
      <c r="A45" s="61">
        <f>SUM(D45:AE45)</f>
        <v>12041321</v>
      </c>
      <c r="B45" s="146"/>
      <c r="C45" s="51" t="s">
        <v>45</v>
      </c>
      <c r="D45" s="52"/>
      <c r="E45" s="337"/>
      <c r="F45" s="336" t="str">
        <f>IF(F16=$O$12,$F$14/$B$46,"")</f>
        <v/>
      </c>
      <c r="G45" s="336" t="str">
        <f>IF($O$11=1,$F$14/$B$46,"")</f>
        <v/>
      </c>
      <c r="H45" s="336" t="str">
        <f>IF($O$11=2,$F$14/$B$46,"")</f>
        <v/>
      </c>
      <c r="I45" s="336" t="str">
        <f>IF($O$11=3,$F$14/$B$46,"")</f>
        <v/>
      </c>
      <c r="J45" s="336" t="str">
        <f>IF($O$11=4,$F$14/$B$46,"")</f>
        <v/>
      </c>
      <c r="K45" s="336" t="str">
        <f>IF($O$11=5,$F$14/$B$46,"")</f>
        <v/>
      </c>
      <c r="L45" s="336">
        <f>IF($O$11=6,$F$14/$B$46,"")</f>
        <v>12041321</v>
      </c>
      <c r="M45" s="336" t="str">
        <f>IF($O$11=7,$F$14/$B$46,"")</f>
        <v/>
      </c>
      <c r="N45" s="336" t="str">
        <f>IF($O$11=8,$F$14/$B$46,"")</f>
        <v/>
      </c>
      <c r="O45" s="336" t="str">
        <f>IF($O$11=9,$F$14/$B$46,"")</f>
        <v/>
      </c>
      <c r="P45" s="336" t="str">
        <f>IF($O$11=10,$F$14/$B$46,"")</f>
        <v/>
      </c>
      <c r="Q45" s="336" t="str">
        <f>IF($O$11=11,$F$14/$B$46,"")</f>
        <v/>
      </c>
      <c r="R45" s="336" t="str">
        <f>IF($O$11=12,$F$14/$B$46,"")</f>
        <v/>
      </c>
      <c r="S45" s="336" t="str">
        <f>IF($O$11=13,$F$14/$B$46,"")</f>
        <v/>
      </c>
      <c r="T45" s="336" t="str">
        <f>IF($O$11=14,$F$14/$B$46,"")</f>
        <v/>
      </c>
      <c r="U45" s="338" t="str">
        <f>IF($O$11=15,$F$14/$B$46,"")</f>
        <v/>
      </c>
      <c r="V45" s="336" t="str">
        <f>IF($O$11=16,$F$14/$B$46,"")</f>
        <v/>
      </c>
      <c r="W45" s="336" t="str">
        <f>IF($O$11=17,$F$14/$B$46,"")</f>
        <v/>
      </c>
      <c r="X45" s="336" t="str">
        <f>IF($O$11=18,$F$14/$B$46,"")</f>
        <v/>
      </c>
      <c r="Y45" s="336" t="str">
        <f>IF($O$11=19,$F$14/$B$46,"")</f>
        <v/>
      </c>
      <c r="Z45" s="336" t="str">
        <f>IF($O$11=20,$F$14/$B$46,"")</f>
        <v/>
      </c>
      <c r="AA45" s="336" t="str">
        <f>IF($O$11=21,$F$14/$B$46,"")</f>
        <v/>
      </c>
      <c r="AB45" s="336" t="str">
        <f>IF($O$11=22,$F$14/$B$46,"")</f>
        <v/>
      </c>
      <c r="AC45" s="336" t="str">
        <f>IF($O$11=23,$F$14/$B$46,"")</f>
        <v/>
      </c>
      <c r="AD45" s="336" t="str">
        <f>IF($O$11=24,$F$14/$B$46,"")</f>
        <v/>
      </c>
      <c r="AE45" s="338" t="str">
        <f>IF($O$11=25,$F$14/$B$46,"")</f>
        <v/>
      </c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</row>
    <row r="46" spans="1:324" ht="15.75" outlineLevel="1" x14ac:dyDescent="0.25">
      <c r="A46" s="61"/>
      <c r="B46" s="339">
        <f>'ACQUISITION FINANCEMENT'!C33</f>
        <v>0.05</v>
      </c>
      <c r="C46" s="43" t="s">
        <v>46</v>
      </c>
      <c r="D46" s="53"/>
      <c r="E46" s="321"/>
      <c r="F46" s="321"/>
      <c r="G46" s="321"/>
      <c r="H46" s="321"/>
      <c r="I46" s="321"/>
      <c r="J46" s="321"/>
      <c r="K46" s="299"/>
      <c r="L46" s="297"/>
      <c r="M46" s="297"/>
      <c r="N46" s="297"/>
      <c r="O46" s="297"/>
      <c r="P46" s="297"/>
      <c r="Q46" s="297"/>
      <c r="R46" s="297"/>
      <c r="S46" s="297"/>
      <c r="T46" s="297"/>
      <c r="U46" s="300"/>
      <c r="V46" s="297"/>
      <c r="W46" s="297"/>
      <c r="X46" s="297"/>
      <c r="Y46" s="297"/>
      <c r="Z46" s="297"/>
      <c r="AA46" s="297"/>
      <c r="AB46" s="297"/>
      <c r="AC46" s="297"/>
      <c r="AD46" s="297"/>
      <c r="AE46" s="300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</row>
    <row r="47" spans="1:324" ht="16.5" thickBot="1" x14ac:dyDescent="0.3">
      <c r="A47" s="61">
        <f>SUM(D47:AE47)</f>
        <v>6913.3860392481074</v>
      </c>
      <c r="B47" s="146"/>
      <c r="C47" s="43" t="s">
        <v>47</v>
      </c>
      <c r="D47" s="255"/>
      <c r="E47" s="322" t="str">
        <f>IF(D16=$O$12,$A$45/$D$8,"")</f>
        <v/>
      </c>
      <c r="F47" s="322" t="str">
        <f>IF(E16=$O$12,$A$45/$D$8,"")</f>
        <v/>
      </c>
      <c r="G47" s="322" t="str">
        <f t="shared" ref="G47:AE47" si="7">IF(G16=$O$12,$A$45/$D$8,"")</f>
        <v/>
      </c>
      <c r="H47" s="322" t="str">
        <f t="shared" si="7"/>
        <v/>
      </c>
      <c r="I47" s="322" t="str">
        <f t="shared" si="7"/>
        <v/>
      </c>
      <c r="J47" s="322" t="str">
        <f t="shared" si="7"/>
        <v/>
      </c>
      <c r="K47" s="322" t="str">
        <f t="shared" si="7"/>
        <v/>
      </c>
      <c r="L47" s="322">
        <f t="shared" si="7"/>
        <v>6913.3860392481074</v>
      </c>
      <c r="M47" s="322" t="str">
        <f t="shared" si="7"/>
        <v/>
      </c>
      <c r="N47" s="322" t="str">
        <f t="shared" si="7"/>
        <v/>
      </c>
      <c r="O47" s="322" t="str">
        <f t="shared" si="7"/>
        <v/>
      </c>
      <c r="P47" s="322" t="str">
        <f t="shared" si="7"/>
        <v/>
      </c>
      <c r="Q47" s="322" t="str">
        <f t="shared" si="7"/>
        <v/>
      </c>
      <c r="R47" s="322" t="str">
        <f t="shared" si="7"/>
        <v/>
      </c>
      <c r="S47" s="322" t="str">
        <f t="shared" si="7"/>
        <v/>
      </c>
      <c r="T47" s="322" t="str">
        <f t="shared" si="7"/>
        <v/>
      </c>
      <c r="U47" s="323" t="str">
        <f t="shared" si="7"/>
        <v/>
      </c>
      <c r="V47" s="322" t="str">
        <f t="shared" si="7"/>
        <v/>
      </c>
      <c r="W47" s="322" t="str">
        <f t="shared" si="7"/>
        <v/>
      </c>
      <c r="X47" s="322" t="str">
        <f t="shared" si="7"/>
        <v/>
      </c>
      <c r="Y47" s="322" t="str">
        <f t="shared" si="7"/>
        <v/>
      </c>
      <c r="Z47" s="322" t="str">
        <f t="shared" si="7"/>
        <v/>
      </c>
      <c r="AA47" s="322" t="str">
        <f t="shared" si="7"/>
        <v/>
      </c>
      <c r="AB47" s="322" t="str">
        <f t="shared" si="7"/>
        <v/>
      </c>
      <c r="AC47" s="322" t="str">
        <f t="shared" si="7"/>
        <v/>
      </c>
      <c r="AD47" s="322" t="str">
        <f t="shared" si="7"/>
        <v/>
      </c>
      <c r="AE47" s="323" t="str">
        <f t="shared" si="7"/>
        <v/>
      </c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</row>
    <row r="48" spans="1:324" ht="20.25" customHeight="1" thickBot="1" x14ac:dyDescent="0.3">
      <c r="A48" s="63">
        <f>SUM(D48:AE48)</f>
        <v>12947125.43138825</v>
      </c>
      <c r="B48" s="186"/>
      <c r="C48" s="64" t="s">
        <v>48</v>
      </c>
      <c r="D48" s="75">
        <f>D21+D41</f>
        <v>-3099783.1756357504</v>
      </c>
      <c r="E48" s="324">
        <f>IF(E45="",E21+E41,IF(E45=$A$45,E21+E41+$A$45,E21+E41))</f>
        <v>-611049.53709600004</v>
      </c>
      <c r="F48" s="325">
        <f>IF(F45="",F21+F41,IF(F45=$A$45,F21+F41+$A$45,F21+F41))</f>
        <v>978293.89589599997</v>
      </c>
      <c r="G48" s="325">
        <f>IF($O$11=1,G21+G41+G45,IF($O$11&gt;1,G21+G41,""))</f>
        <v>-141042.51829600008</v>
      </c>
      <c r="H48" s="325">
        <f>IF($O$11=2,H21+H41+H45,IF($O$11&gt;2,H21+H41,""))</f>
        <v>-141042.51829600008</v>
      </c>
      <c r="I48" s="325">
        <f>IF($O$11=3,I21+I41+I45,IF($O$11&gt;3,I21+I41,""))</f>
        <v>-141042.51829600008</v>
      </c>
      <c r="J48" s="325">
        <f>IF($O$11=4,J21+J41+J45,IF($O$11&gt;4,J21+J41,""))</f>
        <v>-141042.51829600008</v>
      </c>
      <c r="K48" s="325">
        <f>IF($O$11=5,K21+K41+K45,IF($O$11&gt;5,K21+K41,""))</f>
        <v>-35095.798295999877</v>
      </c>
      <c r="L48" s="325">
        <f>IF($O$11=6,L21+L41+L45,IF($O$11&gt;6,L21+L41,""))</f>
        <v>16278930.119704001</v>
      </c>
      <c r="M48" s="325" t="str">
        <f>IF($O$11=7,M21+M41+M45,IF($O$11&gt;7,M21+M41,""))</f>
        <v/>
      </c>
      <c r="N48" s="325" t="str">
        <f>IF($O$11=8,N21+N41+N45,IF($O$11&gt;8,N21+N41,""))</f>
        <v/>
      </c>
      <c r="O48" s="325" t="str">
        <f>IF($O$11=9,O21+O41+O45,IF($O$11&gt;9,O21+O41,""))</f>
        <v/>
      </c>
      <c r="P48" s="325" t="str">
        <f>IF($O$11=10,P21+P41+P45,IF($O$11&gt;10,P21+P41,""))</f>
        <v/>
      </c>
      <c r="Q48" s="325" t="str">
        <f>IF($O$11=11,Q21+Q41+Q45,IF($O$11&gt;11,Q21+Q41,""))</f>
        <v/>
      </c>
      <c r="R48" s="325" t="str">
        <f>IF($O$11=12,R21+R41+R45,IF($O$11&gt;12,R21+R41,""))</f>
        <v/>
      </c>
      <c r="S48" s="325" t="str">
        <f>IF($O$11=13,S21+S41+S45,IF($O$11&gt;13,S21+S41,""))</f>
        <v/>
      </c>
      <c r="T48" s="325" t="str">
        <f>IF($O$11=14,T21+T41+T45,IF($O$11&gt;14,T21+T41,""))</f>
        <v/>
      </c>
      <c r="U48" s="469" t="str">
        <f>IF($O$11=15,U21+U41+U45,IF($O$11&gt;15,U21+U41,""))</f>
        <v/>
      </c>
      <c r="V48" s="325" t="str">
        <f>IF($O$11=16,V21+V41+V45,IF($O$11&gt;16,V21+V41,""))</f>
        <v/>
      </c>
      <c r="W48" s="325" t="str">
        <f>IF($O$11=17,W21+W41+W45,IF($O$11&gt;17,W21+W41,""))</f>
        <v/>
      </c>
      <c r="X48" s="325" t="str">
        <f>IF($O$11=18,X21+X41+X45,IF($O$11&gt;18,X21+X41,""))</f>
        <v/>
      </c>
      <c r="Y48" s="325" t="str">
        <f>IF($O$11=19,Y21+Y41+Y45,IF($O$11&gt;19,Y21+Y41,""))</f>
        <v/>
      </c>
      <c r="Z48" s="325" t="str">
        <f>IF($O$11=20,Z21+Z41+Z45,IF($O$11&gt;20,Z21+Z41,""))</f>
        <v/>
      </c>
      <c r="AA48" s="325" t="str">
        <f>IF($O$11=21,AA21+AA41+AA45,IF($O$11&gt;21,AA21+AA41,""))</f>
        <v/>
      </c>
      <c r="AB48" s="325" t="str">
        <f>IF($O$11=22,AB21+AB41+AB45,IF($O$11&gt;22,AB21+AB41,""))</f>
        <v/>
      </c>
      <c r="AC48" s="325" t="str">
        <f>IF($O$11=23,AC21+AC41+AC45,IF($O$11&gt;23,AC21+AC41,""))</f>
        <v/>
      </c>
      <c r="AD48" s="325" t="str">
        <f>IF($O$11=24,AD21+AD41+AD45,IF($O$11&gt;24,AD21+AD41,""))</f>
        <v/>
      </c>
      <c r="AE48" s="469" t="str">
        <f>IF($O$11=25,AE21+AE41+AE45,IF($O$11&gt;25,AE21+AE41,""))</f>
        <v/>
      </c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</row>
    <row r="49" spans="1:133" ht="21" customHeight="1" x14ac:dyDescent="0.25">
      <c r="A49" s="61"/>
      <c r="B49" s="41"/>
      <c r="C49" s="289" t="s">
        <v>49</v>
      </c>
      <c r="D49" s="196">
        <f>D48</f>
        <v>-3099783.1756357504</v>
      </c>
      <c r="E49" s="470">
        <f>E48+D49</f>
        <v>-3710832.7127317507</v>
      </c>
      <c r="F49" s="470">
        <f>IF($O$11&gt;=0,F48+E49,"")</f>
        <v>-2732538.8168357508</v>
      </c>
      <c r="G49" s="470">
        <f>IF($O$11&gt;=1,G48+F49,"")</f>
        <v>-2873581.3351317509</v>
      </c>
      <c r="H49" s="470">
        <f>IF($O$11&gt;=2,H48+G49,"")</f>
        <v>-3014623.853427751</v>
      </c>
      <c r="I49" s="470">
        <f>IF($O$11&gt;=3,I48+H49,"")</f>
        <v>-3155666.3717237511</v>
      </c>
      <c r="J49" s="470">
        <f>IF($O$11&gt;=4,J48+I49,"")</f>
        <v>-3296708.8900197512</v>
      </c>
      <c r="K49" s="470">
        <f>IF($O$11&gt;=5,K48+J49,"")</f>
        <v>-3331804.688315751</v>
      </c>
      <c r="L49" s="470">
        <f>IF($O$11&gt;=6,L48+K49,"")</f>
        <v>12947125.43138825</v>
      </c>
      <c r="M49" s="470" t="str">
        <f>IF($O$11&gt;=7,M48+L49,"")</f>
        <v/>
      </c>
      <c r="N49" s="470" t="str">
        <f>IF($O$11&gt;=8,N48+M49,"")</f>
        <v/>
      </c>
      <c r="O49" s="470" t="str">
        <f>IF($O$11&gt;=9,O48+N49,"")</f>
        <v/>
      </c>
      <c r="P49" s="470" t="str">
        <f>IF($O$11&gt;=10,P48+O49,"")</f>
        <v/>
      </c>
      <c r="Q49" s="470" t="str">
        <f>IF($O$11&gt;=11,Q48+P49,"")</f>
        <v/>
      </c>
      <c r="R49" s="470" t="str">
        <f>IF($O$11&gt;=12,R48+Q49,"")</f>
        <v/>
      </c>
      <c r="S49" s="470" t="str">
        <f>IF($O$11&gt;=13,S48+R49,"")</f>
        <v/>
      </c>
      <c r="T49" s="470" t="str">
        <f>IF($O$11&gt;=14,T48+S49,"")</f>
        <v/>
      </c>
      <c r="U49" s="471" t="str">
        <f>IF($O$11&gt;=15,U48+T49,"")</f>
        <v/>
      </c>
      <c r="V49" s="490" t="str">
        <f>IF($O$11&gt;=16,V48+U49,"")</f>
        <v/>
      </c>
      <c r="W49" s="470" t="str">
        <f>IF($O$11&gt;=17,W48+V49,"")</f>
        <v/>
      </c>
      <c r="X49" s="470" t="str">
        <f>IF($O$11&gt;=18,X48+W49,"")</f>
        <v/>
      </c>
      <c r="Y49" s="470" t="str">
        <f>IF($O$11&gt;=19,Y48+X49,"")</f>
        <v/>
      </c>
      <c r="Z49" s="470" t="str">
        <f>IF($O$11&gt;=20,Z48+Y49,"")</f>
        <v/>
      </c>
      <c r="AA49" s="470" t="str">
        <f>IF($O$11&gt;=21,AA48+Z49,"")</f>
        <v/>
      </c>
      <c r="AB49" s="470" t="str">
        <f>IF($O$11&gt;=22,AB48+AA49,"")</f>
        <v/>
      </c>
      <c r="AC49" s="470" t="str">
        <f>IF($O$11&gt;=23,AC48+AB49,"")</f>
        <v/>
      </c>
      <c r="AD49" s="470" t="str">
        <f>IF($O$11&gt;=24,AD48+AC49,"")</f>
        <v/>
      </c>
      <c r="AE49" s="471" t="str">
        <f>IF($O$11&gt;=25,AE48+AD49,"")</f>
        <v/>
      </c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</row>
    <row r="50" spans="1:133" ht="16.5" thickBot="1" x14ac:dyDescent="0.3">
      <c r="A50" s="61"/>
      <c r="B50" s="41"/>
      <c r="C50" s="43"/>
      <c r="D50" s="54"/>
      <c r="E50" s="326"/>
      <c r="F50" s="326"/>
      <c r="G50" s="326">
        <f>IF($O$11&gt;=1,,"")</f>
        <v>0</v>
      </c>
      <c r="H50" s="326"/>
      <c r="I50" s="326"/>
      <c r="J50" s="326"/>
      <c r="K50" s="299"/>
      <c r="L50" s="299">
        <f>IF(L16=$O$12,L21+L41+L45,"")</f>
        <v>16278930.119704001</v>
      </c>
      <c r="M50" s="297"/>
      <c r="N50" s="297"/>
      <c r="O50" s="297"/>
      <c r="P50" s="297"/>
      <c r="Q50" s="297"/>
      <c r="R50" s="297"/>
      <c r="S50" s="297"/>
      <c r="T50" s="297"/>
      <c r="U50" s="300"/>
      <c r="V50" s="297"/>
      <c r="W50" s="297"/>
      <c r="X50" s="297"/>
      <c r="Y50" s="297"/>
      <c r="Z50" s="297"/>
      <c r="AA50" s="297"/>
      <c r="AB50" s="297"/>
      <c r="AC50" s="297"/>
      <c r="AD50" s="297"/>
      <c r="AE50" s="300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</row>
    <row r="51" spans="1:133" ht="19.5" customHeight="1" x14ac:dyDescent="0.25">
      <c r="A51" s="61"/>
      <c r="B51" s="41"/>
      <c r="C51" s="55" t="s">
        <v>50</v>
      </c>
      <c r="D51" s="56"/>
      <c r="E51" s="562">
        <f>IRR(D48:AE48)</f>
        <v>0.22610507774925415</v>
      </c>
      <c r="F51" s="327"/>
      <c r="G51" s="328"/>
      <c r="H51" s="327"/>
      <c r="I51" s="327"/>
      <c r="J51" s="327"/>
      <c r="K51" s="297"/>
      <c r="L51" s="297"/>
      <c r="M51" s="297"/>
      <c r="N51" s="297"/>
      <c r="O51" s="297"/>
      <c r="P51" s="297"/>
      <c r="Q51" s="297"/>
      <c r="R51" s="297"/>
      <c r="S51" s="297"/>
      <c r="T51" s="297"/>
      <c r="U51" s="300"/>
      <c r="V51" s="297"/>
      <c r="W51" s="297"/>
      <c r="X51" s="297"/>
      <c r="Y51" s="297"/>
      <c r="Z51" s="297"/>
      <c r="AA51" s="297"/>
      <c r="AB51" s="297"/>
      <c r="AC51" s="297"/>
      <c r="AD51" s="297"/>
      <c r="AE51" s="300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</row>
    <row r="52" spans="1:133" ht="19.5" customHeight="1" x14ac:dyDescent="0.25">
      <c r="A52" s="61"/>
      <c r="B52" s="41"/>
      <c r="C52" s="57" t="s">
        <v>51</v>
      </c>
      <c r="D52" s="58"/>
      <c r="E52" s="329">
        <f>SUM(D48:AE48)</f>
        <v>12947125.43138825</v>
      </c>
      <c r="F52" s="299"/>
      <c r="G52" s="330"/>
      <c r="H52" s="330"/>
      <c r="I52" s="330"/>
      <c r="J52" s="330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300"/>
      <c r="V52" s="297"/>
      <c r="W52" s="297"/>
      <c r="X52" s="297"/>
      <c r="Y52" s="297"/>
      <c r="Z52" s="297"/>
      <c r="AA52" s="297"/>
      <c r="AB52" s="297"/>
      <c r="AC52" s="297"/>
      <c r="AD52" s="297"/>
      <c r="AE52" s="300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</row>
    <row r="53" spans="1:133" ht="19.5" customHeight="1" thickBot="1" x14ac:dyDescent="0.3">
      <c r="A53" s="61"/>
      <c r="B53" s="41"/>
      <c r="C53" s="59"/>
      <c r="D53" s="60"/>
      <c r="E53" s="331"/>
      <c r="F53" s="332"/>
      <c r="G53" s="332"/>
      <c r="H53" s="332"/>
      <c r="I53" s="332"/>
      <c r="J53" s="332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4"/>
      <c r="V53" s="333"/>
      <c r="W53" s="333"/>
      <c r="X53" s="333"/>
      <c r="Y53" s="333"/>
      <c r="Z53" s="333"/>
      <c r="AA53" s="333"/>
      <c r="AB53" s="333"/>
      <c r="AC53" s="333"/>
      <c r="AD53" s="333"/>
      <c r="AE53" s="334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</row>
    <row r="54" spans="1:133" ht="24.75" customHeight="1" x14ac:dyDescent="0.25">
      <c r="B54" s="41"/>
      <c r="C54" s="487"/>
      <c r="D54" s="529"/>
      <c r="E54" s="530"/>
      <c r="F54" s="531"/>
      <c r="G54" s="531"/>
      <c r="H54" s="531"/>
      <c r="I54" s="531"/>
      <c r="J54" s="531"/>
      <c r="K54" s="532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</row>
    <row r="55" spans="1:133" ht="15" x14ac:dyDescent="0.25">
      <c r="C55" s="7"/>
      <c r="D55" s="39"/>
      <c r="E55" s="297"/>
      <c r="F55" s="297"/>
      <c r="G55" s="297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7"/>
      <c r="AE55" s="29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</row>
    <row r="56" spans="1:133" ht="15.75" thickBot="1" x14ac:dyDescent="0.3">
      <c r="C56" s="7"/>
      <c r="D56" s="39"/>
      <c r="E56" s="297"/>
      <c r="F56" s="297"/>
      <c r="G56" s="297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297"/>
      <c r="V56" s="297"/>
      <c r="W56" s="297"/>
      <c r="X56" s="297"/>
      <c r="Y56" s="297"/>
      <c r="Z56" s="297"/>
      <c r="AA56" s="297"/>
      <c r="AB56" s="297"/>
      <c r="AC56" s="297"/>
      <c r="AD56" s="297"/>
      <c r="AE56" s="29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</row>
    <row r="57" spans="1:133" ht="15.75" thickBot="1" x14ac:dyDescent="0.3">
      <c r="C57" s="7"/>
      <c r="D57" s="7"/>
      <c r="E57" s="297"/>
      <c r="F57" s="467"/>
      <c r="G57" s="7"/>
      <c r="H57" s="533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</row>
    <row r="58" spans="1:133" ht="15" x14ac:dyDescent="0.25">
      <c r="C58" s="7"/>
      <c r="D58" s="7"/>
      <c r="E58" s="297"/>
      <c r="F58" s="46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</row>
    <row r="59" spans="1:133" ht="15" x14ac:dyDescent="0.25">
      <c r="C59" s="7"/>
      <c r="D59" s="7"/>
      <c r="E59" s="297"/>
      <c r="F59" s="46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</row>
    <row r="60" spans="1:133" ht="15" x14ac:dyDescent="0.25">
      <c r="C60" s="7"/>
      <c r="D60" s="7"/>
      <c r="E60" s="297"/>
      <c r="F60" s="46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</row>
    <row r="61" spans="1:133" ht="15" x14ac:dyDescent="0.25">
      <c r="C61" s="7"/>
      <c r="D61" s="7"/>
      <c r="E61" s="297"/>
      <c r="F61" s="46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</row>
    <row r="62" spans="1:133" ht="15" x14ac:dyDescent="0.25">
      <c r="D62" s="7"/>
      <c r="E62" s="297"/>
      <c r="F62" s="467"/>
      <c r="G62" s="7"/>
    </row>
    <row r="63" spans="1:133" ht="15" x14ac:dyDescent="0.25">
      <c r="D63" s="7"/>
      <c r="E63" s="297"/>
      <c r="F63" s="467"/>
      <c r="G63" s="7"/>
    </row>
    <row r="64" spans="1:133" ht="15" x14ac:dyDescent="0.25">
      <c r="D64" s="7"/>
      <c r="E64" s="297"/>
      <c r="F64" s="467"/>
      <c r="G64" s="7"/>
    </row>
    <row r="65" spans="4:7" ht="15" x14ac:dyDescent="0.25">
      <c r="D65" s="7"/>
      <c r="E65" s="297"/>
      <c r="F65" s="467"/>
      <c r="G65" s="7"/>
    </row>
    <row r="66" spans="4:7" ht="15" x14ac:dyDescent="0.25">
      <c r="D66" s="7"/>
      <c r="E66" s="297"/>
      <c r="F66" s="467"/>
      <c r="G66" s="7"/>
    </row>
    <row r="67" spans="4:7" ht="15" x14ac:dyDescent="0.25">
      <c r="D67" s="7"/>
      <c r="E67" s="297"/>
      <c r="F67" s="467"/>
      <c r="G67" s="7"/>
    </row>
    <row r="68" spans="4:7" ht="15" x14ac:dyDescent="0.25">
      <c r="D68" s="7"/>
      <c r="E68" s="297"/>
      <c r="F68" s="467"/>
      <c r="G68" s="7"/>
    </row>
    <row r="69" spans="4:7" ht="15" x14ac:dyDescent="0.25">
      <c r="D69" s="7"/>
      <c r="E69" s="297"/>
      <c r="F69" s="467"/>
      <c r="G69" s="7"/>
    </row>
    <row r="70" spans="4:7" ht="15" x14ac:dyDescent="0.25">
      <c r="D70" s="7"/>
      <c r="E70" s="297"/>
      <c r="F70" s="467"/>
      <c r="G70" s="7"/>
    </row>
    <row r="71" spans="4:7" ht="15" x14ac:dyDescent="0.25">
      <c r="D71" s="7"/>
      <c r="E71" s="297"/>
      <c r="F71" s="467"/>
      <c r="G71" s="7"/>
    </row>
    <row r="72" spans="4:7" ht="15" x14ac:dyDescent="0.25">
      <c r="D72" s="7"/>
      <c r="E72" s="297"/>
      <c r="F72" s="467"/>
      <c r="G72" s="7"/>
    </row>
    <row r="73" spans="4:7" ht="15" x14ac:dyDescent="0.25">
      <c r="D73" s="7"/>
      <c r="E73" s="297"/>
      <c r="F73" s="467"/>
      <c r="G73" s="7"/>
    </row>
    <row r="74" spans="4:7" ht="15" x14ac:dyDescent="0.25">
      <c r="D74" s="7"/>
      <c r="E74" s="297"/>
      <c r="F74" s="467"/>
      <c r="G74" s="7"/>
    </row>
    <row r="75" spans="4:7" ht="15" x14ac:dyDescent="0.25">
      <c r="D75" s="7"/>
      <c r="E75" s="297"/>
      <c r="F75" s="467"/>
      <c r="G75" s="7"/>
    </row>
    <row r="76" spans="4:7" ht="15" x14ac:dyDescent="0.25">
      <c r="D76" s="7"/>
      <c r="E76" s="297"/>
      <c r="F76" s="467"/>
      <c r="G76" s="7"/>
    </row>
    <row r="77" spans="4:7" ht="15" x14ac:dyDescent="0.25">
      <c r="D77" s="7"/>
      <c r="E77" s="297"/>
      <c r="F77" s="467"/>
      <c r="G77" s="7"/>
    </row>
    <row r="78" spans="4:7" ht="15" x14ac:dyDescent="0.25">
      <c r="D78" s="7"/>
      <c r="E78" s="297"/>
      <c r="F78" s="467"/>
      <c r="G78" s="7"/>
    </row>
    <row r="79" spans="4:7" ht="15" x14ac:dyDescent="0.25">
      <c r="D79" s="7"/>
      <c r="E79" s="297"/>
      <c r="F79" s="467"/>
      <c r="G79" s="7"/>
    </row>
    <row r="80" spans="4:7" ht="15" x14ac:dyDescent="0.25">
      <c r="D80" s="7"/>
      <c r="E80" s="297"/>
      <c r="F80" s="467"/>
      <c r="G80" s="7"/>
    </row>
    <row r="81" spans="4:7" ht="15" x14ac:dyDescent="0.25">
      <c r="D81" s="7"/>
      <c r="E81" s="297"/>
      <c r="F81" s="467"/>
      <c r="G81" s="7"/>
    </row>
    <row r="82" spans="4:7" ht="15" x14ac:dyDescent="0.25">
      <c r="D82" s="7"/>
      <c r="E82" s="297"/>
      <c r="F82" s="467"/>
      <c r="G82" s="7"/>
    </row>
    <row r="83" spans="4:7" ht="15" x14ac:dyDescent="0.25">
      <c r="D83" s="7"/>
      <c r="E83" s="297"/>
      <c r="F83" s="467"/>
      <c r="G83" s="7"/>
    </row>
    <row r="84" spans="4:7" ht="15" x14ac:dyDescent="0.25">
      <c r="D84" s="7"/>
      <c r="E84" s="297"/>
      <c r="F84" s="467"/>
      <c r="G84" s="7"/>
    </row>
    <row r="85" spans="4:7" ht="15" x14ac:dyDescent="0.25">
      <c r="D85" s="7"/>
      <c r="E85" s="297"/>
      <c r="F85" s="467"/>
      <c r="G85" s="7"/>
    </row>
    <row r="86" spans="4:7" ht="15" x14ac:dyDescent="0.25">
      <c r="D86" s="7"/>
      <c r="E86" s="297"/>
      <c r="F86" s="467"/>
      <c r="G86" s="7"/>
    </row>
    <row r="87" spans="4:7" ht="15" x14ac:dyDescent="0.25">
      <c r="D87" s="7"/>
      <c r="E87" s="297"/>
      <c r="F87" s="467"/>
      <c r="G87" s="7"/>
    </row>
    <row r="88" spans="4:7" ht="15" x14ac:dyDescent="0.25">
      <c r="D88" s="7"/>
      <c r="E88" s="297"/>
      <c r="F88" s="467"/>
      <c r="G88" s="7"/>
    </row>
    <row r="89" spans="4:7" ht="15" x14ac:dyDescent="0.25">
      <c r="D89" s="7"/>
      <c r="E89" s="297"/>
      <c r="F89" s="467"/>
      <c r="G89" s="7"/>
    </row>
    <row r="90" spans="4:7" ht="15" x14ac:dyDescent="0.25">
      <c r="D90" s="7"/>
      <c r="E90" s="297"/>
      <c r="F90" s="467"/>
      <c r="G90" s="7"/>
    </row>
    <row r="91" spans="4:7" ht="15" x14ac:dyDescent="0.25">
      <c r="D91" s="7"/>
      <c r="E91" s="297"/>
      <c r="F91" s="467"/>
      <c r="G91" s="7"/>
    </row>
    <row r="92" spans="4:7" ht="15" x14ac:dyDescent="0.25">
      <c r="D92" s="7"/>
      <c r="E92" s="297"/>
      <c r="F92" s="467"/>
      <c r="G92" s="7"/>
    </row>
    <row r="93" spans="4:7" ht="15" x14ac:dyDescent="0.25">
      <c r="D93" s="7"/>
      <c r="E93" s="297"/>
      <c r="F93" s="467"/>
      <c r="G93" s="7"/>
    </row>
    <row r="94" spans="4:7" ht="15" x14ac:dyDescent="0.25">
      <c r="D94" s="7"/>
      <c r="E94" s="297"/>
      <c r="F94" s="467"/>
      <c r="G94" s="7"/>
    </row>
    <row r="95" spans="4:7" ht="15" x14ac:dyDescent="0.25">
      <c r="D95" s="7"/>
      <c r="E95" s="297"/>
      <c r="F95" s="467"/>
      <c r="G95" s="7"/>
    </row>
    <row r="96" spans="4:7" ht="15" x14ac:dyDescent="0.25">
      <c r="D96" s="7"/>
      <c r="E96" s="297"/>
      <c r="F96" s="467"/>
      <c r="G96" s="7"/>
    </row>
    <row r="97" spans="4:7" ht="15" x14ac:dyDescent="0.25">
      <c r="D97" s="7"/>
      <c r="E97" s="297"/>
      <c r="F97" s="467"/>
      <c r="G97" s="7"/>
    </row>
    <row r="98" spans="4:7" ht="15" x14ac:dyDescent="0.25">
      <c r="D98" s="7"/>
      <c r="E98" s="297"/>
      <c r="F98" s="467"/>
      <c r="G98" s="7"/>
    </row>
    <row r="99" spans="4:7" ht="15" x14ac:dyDescent="0.25">
      <c r="D99" s="7"/>
      <c r="E99" s="297"/>
      <c r="F99" s="467"/>
      <c r="G99" s="7"/>
    </row>
    <row r="100" spans="4:7" ht="15" x14ac:dyDescent="0.25">
      <c r="D100" s="7"/>
      <c r="E100" s="297"/>
      <c r="F100" s="467"/>
      <c r="G100" s="7"/>
    </row>
    <row r="101" spans="4:7" ht="15" x14ac:dyDescent="0.25">
      <c r="D101" s="7"/>
      <c r="E101" s="297"/>
      <c r="F101" s="467"/>
      <c r="G101" s="7"/>
    </row>
    <row r="102" spans="4:7" ht="15" x14ac:dyDescent="0.25">
      <c r="D102" s="7"/>
      <c r="E102" s="297"/>
      <c r="F102" s="467"/>
      <c r="G102" s="7"/>
    </row>
    <row r="103" spans="4:7" ht="15" x14ac:dyDescent="0.25">
      <c r="D103" s="7"/>
      <c r="E103" s="297"/>
      <c r="F103" s="467"/>
      <c r="G103" s="7"/>
    </row>
    <row r="104" spans="4:7" ht="15" x14ac:dyDescent="0.25">
      <c r="D104" s="7"/>
      <c r="E104" s="297"/>
      <c r="F104" s="467"/>
      <c r="G104" s="7"/>
    </row>
    <row r="105" spans="4:7" ht="15" x14ac:dyDescent="0.25">
      <c r="D105" s="7"/>
      <c r="E105" s="297"/>
      <c r="F105" s="467"/>
      <c r="G105" s="7"/>
    </row>
    <row r="106" spans="4:7" ht="15" x14ac:dyDescent="0.25">
      <c r="D106" s="7"/>
      <c r="E106" s="297"/>
      <c r="F106" s="467"/>
      <c r="G106" s="7"/>
    </row>
    <row r="107" spans="4:7" ht="15" x14ac:dyDescent="0.25">
      <c r="D107" s="7"/>
      <c r="E107" s="297"/>
      <c r="F107" s="467"/>
      <c r="G107" s="7"/>
    </row>
    <row r="108" spans="4:7" ht="15" x14ac:dyDescent="0.25">
      <c r="D108" s="7"/>
      <c r="E108" s="297"/>
      <c r="F108" s="467"/>
      <c r="G108" s="7"/>
    </row>
    <row r="109" spans="4:7" ht="15" x14ac:dyDescent="0.25">
      <c r="D109" s="7"/>
      <c r="E109" s="297"/>
      <c r="F109" s="467"/>
      <c r="G109" s="7"/>
    </row>
    <row r="110" spans="4:7" ht="15" x14ac:dyDescent="0.25">
      <c r="D110" s="7"/>
      <c r="E110" s="297"/>
      <c r="F110" s="467"/>
      <c r="G110" s="7"/>
    </row>
    <row r="111" spans="4:7" ht="15" x14ac:dyDescent="0.25">
      <c r="D111" s="7"/>
      <c r="E111" s="297"/>
      <c r="F111" s="467"/>
      <c r="G111" s="7"/>
    </row>
    <row r="112" spans="4:7" ht="15" x14ac:dyDescent="0.25">
      <c r="D112" s="7"/>
      <c r="E112" s="297"/>
      <c r="F112" s="467"/>
      <c r="G112" s="7"/>
    </row>
    <row r="113" spans="4:7" ht="15" x14ac:dyDescent="0.25">
      <c r="D113" s="7"/>
      <c r="E113" s="297"/>
      <c r="F113" s="467"/>
      <c r="G113" s="7"/>
    </row>
    <row r="114" spans="4:7" ht="15" x14ac:dyDescent="0.25">
      <c r="D114" s="7"/>
      <c r="E114" s="297"/>
      <c r="F114" s="467"/>
      <c r="G114" s="7"/>
    </row>
    <row r="115" spans="4:7" ht="15" x14ac:dyDescent="0.25">
      <c r="D115" s="7"/>
      <c r="E115" s="297"/>
      <c r="F115" s="467"/>
      <c r="G115" s="7"/>
    </row>
    <row r="116" spans="4:7" ht="15" x14ac:dyDescent="0.25">
      <c r="D116" s="7"/>
      <c r="E116" s="297"/>
      <c r="F116" s="467"/>
      <c r="G116" s="7"/>
    </row>
    <row r="117" spans="4:7" ht="15" x14ac:dyDescent="0.25">
      <c r="D117" s="7"/>
      <c r="E117" s="297"/>
      <c r="F117" s="467"/>
      <c r="G117" s="7"/>
    </row>
    <row r="118" spans="4:7" ht="15" x14ac:dyDescent="0.25">
      <c r="D118" s="7"/>
      <c r="E118" s="297"/>
      <c r="F118" s="467"/>
      <c r="G118" s="7"/>
    </row>
    <row r="119" spans="4:7" ht="15" x14ac:dyDescent="0.25">
      <c r="D119" s="7"/>
      <c r="E119" s="297"/>
      <c r="F119" s="467"/>
      <c r="G119" s="7"/>
    </row>
    <row r="120" spans="4:7" ht="15" x14ac:dyDescent="0.25">
      <c r="D120" s="7"/>
      <c r="E120" s="297"/>
      <c r="F120" s="467"/>
      <c r="G120" s="7"/>
    </row>
    <row r="121" spans="4:7" ht="15" x14ac:dyDescent="0.25">
      <c r="D121" s="7"/>
      <c r="E121" s="297"/>
      <c r="F121" s="467"/>
      <c r="G121" s="7"/>
    </row>
    <row r="122" spans="4:7" ht="15" x14ac:dyDescent="0.25">
      <c r="D122" s="7"/>
      <c r="E122" s="297"/>
      <c r="F122" s="467"/>
      <c r="G122" s="7"/>
    </row>
    <row r="123" spans="4:7" ht="15" x14ac:dyDescent="0.25">
      <c r="D123" s="7"/>
      <c r="E123" s="297"/>
      <c r="F123" s="467"/>
      <c r="G123" s="7"/>
    </row>
    <row r="124" spans="4:7" ht="15" x14ac:dyDescent="0.25">
      <c r="D124" s="7"/>
      <c r="E124" s="297"/>
      <c r="F124" s="467"/>
      <c r="G124" s="7"/>
    </row>
    <row r="125" spans="4:7" ht="15" x14ac:dyDescent="0.25">
      <c r="D125" s="7"/>
      <c r="E125" s="297"/>
      <c r="F125" s="467"/>
      <c r="G125" s="7"/>
    </row>
    <row r="126" spans="4:7" ht="15" x14ac:dyDescent="0.25">
      <c r="D126" s="7"/>
      <c r="E126" s="297"/>
      <c r="F126" s="467"/>
      <c r="G126" s="7"/>
    </row>
    <row r="127" spans="4:7" ht="15" x14ac:dyDescent="0.25">
      <c r="D127" s="7"/>
      <c r="E127" s="297"/>
      <c r="F127" s="467"/>
      <c r="G127" s="7"/>
    </row>
    <row r="128" spans="4:7" ht="15" x14ac:dyDescent="0.25">
      <c r="D128" s="7"/>
      <c r="E128" s="297"/>
      <c r="F128" s="467"/>
      <c r="G128" s="7"/>
    </row>
    <row r="129" spans="4:7" ht="15" x14ac:dyDescent="0.25">
      <c r="D129" s="7"/>
      <c r="E129" s="297"/>
      <c r="F129" s="467"/>
      <c r="G129" s="7"/>
    </row>
    <row r="130" spans="4:7" ht="15" x14ac:dyDescent="0.25">
      <c r="D130" s="7"/>
      <c r="E130" s="297"/>
      <c r="F130" s="467"/>
      <c r="G130" s="7"/>
    </row>
    <row r="131" spans="4:7" ht="15" x14ac:dyDescent="0.25">
      <c r="D131" s="7"/>
      <c r="E131" s="297"/>
      <c r="F131" s="467"/>
      <c r="G131" s="7"/>
    </row>
    <row r="132" spans="4:7" ht="15" x14ac:dyDescent="0.25">
      <c r="D132" s="7"/>
      <c r="E132" s="297"/>
      <c r="F132" s="467"/>
      <c r="G132" s="7"/>
    </row>
    <row r="133" spans="4:7" ht="15" x14ac:dyDescent="0.25">
      <c r="D133" s="7"/>
      <c r="E133" s="297"/>
      <c r="F133" s="467"/>
      <c r="G133" s="7"/>
    </row>
    <row r="134" spans="4:7" ht="15" x14ac:dyDescent="0.25">
      <c r="D134" s="7"/>
      <c r="E134" s="297"/>
      <c r="F134" s="467"/>
      <c r="G134" s="7"/>
    </row>
    <row r="135" spans="4:7" ht="15" x14ac:dyDescent="0.25">
      <c r="D135" s="7"/>
      <c r="E135" s="297"/>
      <c r="F135" s="467"/>
      <c r="G135" s="7"/>
    </row>
    <row r="136" spans="4:7" ht="15" x14ac:dyDescent="0.25">
      <c r="D136" s="7"/>
      <c r="E136" s="297"/>
      <c r="F136" s="467"/>
      <c r="G136" s="7"/>
    </row>
    <row r="137" spans="4:7" ht="15" x14ac:dyDescent="0.25">
      <c r="D137" s="7"/>
      <c r="E137" s="297"/>
      <c r="F137" s="467"/>
      <c r="G137" s="7"/>
    </row>
    <row r="138" spans="4:7" ht="15" x14ac:dyDescent="0.25">
      <c r="D138" s="7"/>
      <c r="E138" s="297"/>
      <c r="F138" s="467"/>
      <c r="G138" s="7"/>
    </row>
    <row r="139" spans="4:7" ht="15" x14ac:dyDescent="0.25">
      <c r="D139" s="7"/>
      <c r="E139" s="297"/>
      <c r="F139" s="467"/>
      <c r="G139" s="7"/>
    </row>
    <row r="140" spans="4:7" ht="15" x14ac:dyDescent="0.25">
      <c r="D140" s="7"/>
      <c r="E140" s="297"/>
      <c r="F140" s="467"/>
      <c r="G140" s="7"/>
    </row>
    <row r="141" spans="4:7" ht="15" x14ac:dyDescent="0.25">
      <c r="D141" s="7"/>
      <c r="E141" s="297"/>
      <c r="F141" s="467"/>
      <c r="G141" s="7"/>
    </row>
    <row r="142" spans="4:7" ht="15" x14ac:dyDescent="0.25">
      <c r="D142" s="7"/>
      <c r="E142" s="297"/>
      <c r="F142" s="467"/>
      <c r="G142" s="7"/>
    </row>
    <row r="143" spans="4:7" ht="15" x14ac:dyDescent="0.25">
      <c r="D143" s="7"/>
      <c r="E143" s="297"/>
      <c r="F143" s="467"/>
      <c r="G143" s="7"/>
    </row>
    <row r="144" spans="4:7" ht="15" x14ac:dyDescent="0.25">
      <c r="D144" s="7"/>
      <c r="E144" s="297"/>
      <c r="F144" s="467"/>
      <c r="G144" s="7"/>
    </row>
    <row r="145" spans="4:7" ht="15" x14ac:dyDescent="0.25">
      <c r="D145" s="7"/>
      <c r="E145" s="297"/>
      <c r="F145" s="467"/>
      <c r="G145" s="7"/>
    </row>
    <row r="146" spans="4:7" ht="15" x14ac:dyDescent="0.25">
      <c r="D146" s="7"/>
      <c r="E146" s="297"/>
      <c r="F146" s="467"/>
      <c r="G146" s="7"/>
    </row>
    <row r="147" spans="4:7" ht="15" x14ac:dyDescent="0.25">
      <c r="D147" s="7"/>
      <c r="E147" s="297"/>
      <c r="F147" s="467"/>
      <c r="G147" s="7"/>
    </row>
    <row r="148" spans="4:7" ht="15" x14ac:dyDescent="0.25">
      <c r="D148" s="7"/>
      <c r="E148" s="297"/>
      <c r="F148" s="467"/>
      <c r="G148" s="7"/>
    </row>
    <row r="149" spans="4:7" ht="15" x14ac:dyDescent="0.25">
      <c r="D149" s="7"/>
      <c r="E149" s="297"/>
      <c r="F149" s="467"/>
      <c r="G149" s="7"/>
    </row>
    <row r="150" spans="4:7" ht="15" x14ac:dyDescent="0.25">
      <c r="D150" s="7"/>
      <c r="E150" s="297"/>
      <c r="F150" s="467"/>
      <c r="G150" s="7"/>
    </row>
    <row r="151" spans="4:7" ht="15" x14ac:dyDescent="0.25">
      <c r="D151" s="7"/>
      <c r="E151" s="297"/>
      <c r="F151" s="467"/>
      <c r="G151" s="7"/>
    </row>
    <row r="152" spans="4:7" ht="15" x14ac:dyDescent="0.25">
      <c r="D152" s="7"/>
      <c r="E152" s="297"/>
      <c r="F152" s="467"/>
      <c r="G152" s="7"/>
    </row>
    <row r="153" spans="4:7" ht="15" x14ac:dyDescent="0.25">
      <c r="D153" s="7"/>
      <c r="E153" s="297"/>
      <c r="F153" s="467"/>
      <c r="G153" s="7"/>
    </row>
    <row r="154" spans="4:7" ht="15" x14ac:dyDescent="0.25">
      <c r="D154" s="7"/>
      <c r="E154" s="297"/>
      <c r="F154" s="467"/>
      <c r="G154" s="7"/>
    </row>
    <row r="155" spans="4:7" ht="15" x14ac:dyDescent="0.25">
      <c r="D155" s="7"/>
      <c r="E155" s="297"/>
      <c r="F155" s="467"/>
      <c r="G155" s="7"/>
    </row>
    <row r="156" spans="4:7" ht="15" x14ac:dyDescent="0.25">
      <c r="D156" s="7"/>
      <c r="E156" s="297"/>
      <c r="F156" s="467"/>
      <c r="G156" s="7"/>
    </row>
    <row r="157" spans="4:7" ht="15" x14ac:dyDescent="0.25">
      <c r="D157" s="7"/>
      <c r="E157" s="297"/>
      <c r="F157" s="467"/>
      <c r="G157" s="7"/>
    </row>
    <row r="158" spans="4:7" ht="15" x14ac:dyDescent="0.25">
      <c r="D158" s="7"/>
      <c r="E158" s="297"/>
      <c r="F158" s="467"/>
      <c r="G158" s="7"/>
    </row>
    <row r="159" spans="4:7" ht="15" x14ac:dyDescent="0.25">
      <c r="D159" s="7"/>
      <c r="E159" s="297"/>
      <c r="F159" s="467"/>
      <c r="G159" s="7"/>
    </row>
    <row r="160" spans="4:7" ht="15" x14ac:dyDescent="0.25">
      <c r="D160" s="7"/>
      <c r="E160" s="297"/>
      <c r="F160" s="467"/>
      <c r="G160" s="7"/>
    </row>
    <row r="161" spans="4:7" ht="15" x14ac:dyDescent="0.25">
      <c r="D161" s="7"/>
      <c r="E161" s="297"/>
      <c r="F161" s="467"/>
      <c r="G161" s="7"/>
    </row>
    <row r="162" spans="4:7" ht="15" x14ac:dyDescent="0.25">
      <c r="D162" s="7"/>
      <c r="E162" s="297"/>
      <c r="F162" s="467"/>
      <c r="G162" s="7"/>
    </row>
    <row r="163" spans="4:7" ht="15" x14ac:dyDescent="0.25">
      <c r="D163" s="7"/>
      <c r="E163" s="297"/>
      <c r="F163" s="467"/>
      <c r="G163" s="7"/>
    </row>
    <row r="164" spans="4:7" ht="15" x14ac:dyDescent="0.25">
      <c r="D164" s="7"/>
      <c r="E164" s="297"/>
      <c r="F164" s="467"/>
      <c r="G164" s="7"/>
    </row>
    <row r="165" spans="4:7" ht="15" x14ac:dyDescent="0.25">
      <c r="D165" s="7"/>
      <c r="E165" s="297"/>
      <c r="F165" s="467"/>
      <c r="G165" s="7"/>
    </row>
    <row r="166" spans="4:7" ht="15" x14ac:dyDescent="0.25">
      <c r="D166" s="7"/>
      <c r="E166" s="297"/>
      <c r="F166" s="467"/>
      <c r="G166" s="7"/>
    </row>
    <row r="167" spans="4:7" ht="15" x14ac:dyDescent="0.25">
      <c r="D167" s="7"/>
      <c r="E167" s="297"/>
      <c r="F167" s="467"/>
      <c r="G167" s="7"/>
    </row>
    <row r="168" spans="4:7" ht="15" x14ac:dyDescent="0.25">
      <c r="D168" s="7"/>
      <c r="E168" s="297"/>
      <c r="F168" s="467"/>
      <c r="G168" s="7"/>
    </row>
    <row r="169" spans="4:7" ht="15" x14ac:dyDescent="0.25">
      <c r="D169" s="7"/>
      <c r="E169" s="297"/>
      <c r="F169" s="467"/>
      <c r="G169" s="7"/>
    </row>
    <row r="170" spans="4:7" ht="15" x14ac:dyDescent="0.25">
      <c r="D170" s="7"/>
      <c r="E170" s="297"/>
      <c r="F170" s="467"/>
      <c r="G170" s="7"/>
    </row>
    <row r="171" spans="4:7" ht="15" x14ac:dyDescent="0.25">
      <c r="D171" s="7"/>
      <c r="E171" s="297"/>
      <c r="F171" s="467"/>
      <c r="G171" s="7"/>
    </row>
    <row r="172" spans="4:7" ht="15" x14ac:dyDescent="0.25">
      <c r="D172" s="7"/>
      <c r="E172" s="297"/>
      <c r="F172" s="467"/>
      <c r="G172" s="7"/>
    </row>
    <row r="173" spans="4:7" ht="15" x14ac:dyDescent="0.25">
      <c r="D173" s="7"/>
      <c r="E173" s="297"/>
      <c r="F173" s="467"/>
      <c r="G173" s="7"/>
    </row>
    <row r="174" spans="4:7" ht="15" x14ac:dyDescent="0.25">
      <c r="D174" s="7"/>
      <c r="E174" s="297"/>
      <c r="F174" s="467"/>
      <c r="G174" s="7"/>
    </row>
    <row r="175" spans="4:7" ht="15" x14ac:dyDescent="0.25">
      <c r="D175" s="7"/>
      <c r="E175" s="297"/>
      <c r="F175" s="467"/>
      <c r="G175" s="7"/>
    </row>
    <row r="176" spans="4:7" ht="15" x14ac:dyDescent="0.25">
      <c r="D176" s="7"/>
      <c r="E176" s="297"/>
      <c r="F176" s="467"/>
      <c r="G176" s="7"/>
    </row>
    <row r="177" spans="4:7" ht="15" x14ac:dyDescent="0.25">
      <c r="D177" s="7"/>
      <c r="E177" s="297"/>
      <c r="F177" s="467"/>
      <c r="G177" s="7"/>
    </row>
    <row r="178" spans="4:7" ht="15" x14ac:dyDescent="0.25">
      <c r="D178" s="7"/>
      <c r="E178" s="297"/>
      <c r="F178" s="467"/>
      <c r="G178" s="7"/>
    </row>
    <row r="179" spans="4:7" ht="15" x14ac:dyDescent="0.25">
      <c r="D179" s="7"/>
      <c r="E179" s="297"/>
      <c r="F179" s="467"/>
      <c r="G179" s="7"/>
    </row>
    <row r="180" spans="4:7" ht="15" x14ac:dyDescent="0.25">
      <c r="D180" s="7"/>
      <c r="E180" s="297"/>
      <c r="F180" s="467"/>
      <c r="G180" s="7"/>
    </row>
    <row r="181" spans="4:7" ht="15" x14ac:dyDescent="0.25">
      <c r="D181" s="7"/>
      <c r="E181" s="297"/>
      <c r="F181" s="467"/>
      <c r="G181" s="7"/>
    </row>
    <row r="182" spans="4:7" ht="15" x14ac:dyDescent="0.25">
      <c r="D182" s="7"/>
      <c r="E182" s="297"/>
      <c r="F182" s="467"/>
      <c r="G182" s="7"/>
    </row>
    <row r="183" spans="4:7" ht="15" x14ac:dyDescent="0.25">
      <c r="D183" s="7"/>
      <c r="E183" s="297"/>
      <c r="F183" s="467"/>
      <c r="G183" s="7"/>
    </row>
    <row r="184" spans="4:7" ht="15" x14ac:dyDescent="0.25">
      <c r="D184" s="7"/>
      <c r="E184" s="297"/>
      <c r="F184" s="467"/>
      <c r="G184" s="7"/>
    </row>
    <row r="185" spans="4:7" ht="15" x14ac:dyDescent="0.25">
      <c r="D185" s="7"/>
      <c r="E185" s="297"/>
      <c r="F185" s="467"/>
      <c r="G185" s="7"/>
    </row>
    <row r="186" spans="4:7" ht="15" x14ac:dyDescent="0.25">
      <c r="D186" s="7"/>
      <c r="E186" s="297"/>
      <c r="F186" s="467"/>
      <c r="G186" s="7"/>
    </row>
    <row r="187" spans="4:7" ht="15" x14ac:dyDescent="0.25">
      <c r="D187" s="7"/>
      <c r="E187" s="297"/>
      <c r="F187" s="467"/>
      <c r="G187" s="7"/>
    </row>
    <row r="188" spans="4:7" ht="15" x14ac:dyDescent="0.25">
      <c r="D188" s="7"/>
      <c r="E188" s="297"/>
      <c r="F188" s="467"/>
      <c r="G188" s="7"/>
    </row>
    <row r="189" spans="4:7" ht="15" x14ac:dyDescent="0.25">
      <c r="D189" s="7"/>
      <c r="E189" s="297"/>
      <c r="F189" s="467"/>
      <c r="G189" s="7"/>
    </row>
    <row r="190" spans="4:7" ht="15" x14ac:dyDescent="0.25">
      <c r="D190" s="7"/>
      <c r="E190" s="297"/>
      <c r="F190" s="467"/>
      <c r="G190" s="7"/>
    </row>
    <row r="191" spans="4:7" ht="15" x14ac:dyDescent="0.25">
      <c r="D191" s="7"/>
      <c r="E191" s="297"/>
      <c r="F191" s="467"/>
      <c r="G191" s="7"/>
    </row>
    <row r="192" spans="4:7" ht="15" x14ac:dyDescent="0.25">
      <c r="D192" s="7"/>
      <c r="E192" s="297"/>
      <c r="F192" s="467"/>
      <c r="G192" s="7"/>
    </row>
    <row r="193" spans="4:7" ht="15" x14ac:dyDescent="0.25">
      <c r="D193" s="7"/>
      <c r="E193" s="297"/>
      <c r="F193" s="467"/>
      <c r="G193" s="7"/>
    </row>
    <row r="194" spans="4:7" ht="15" x14ac:dyDescent="0.25">
      <c r="D194" s="7"/>
      <c r="E194" s="297"/>
      <c r="F194" s="467"/>
      <c r="G194" s="7"/>
    </row>
    <row r="195" spans="4:7" ht="15" x14ac:dyDescent="0.25">
      <c r="D195" s="7"/>
      <c r="E195" s="297"/>
      <c r="F195" s="467"/>
      <c r="G195" s="7"/>
    </row>
    <row r="196" spans="4:7" ht="15" x14ac:dyDescent="0.25">
      <c r="D196" s="7"/>
      <c r="E196" s="297"/>
      <c r="F196" s="467"/>
      <c r="G196" s="7"/>
    </row>
    <row r="197" spans="4:7" ht="15" x14ac:dyDescent="0.25">
      <c r="D197" s="7"/>
      <c r="E197" s="297"/>
      <c r="F197" s="467"/>
      <c r="G197" s="7"/>
    </row>
    <row r="198" spans="4:7" ht="15" x14ac:dyDescent="0.25">
      <c r="D198" s="7"/>
      <c r="E198" s="297"/>
      <c r="F198" s="467"/>
      <c r="G198" s="7"/>
    </row>
    <row r="199" spans="4:7" ht="15" x14ac:dyDescent="0.25">
      <c r="D199" s="7"/>
      <c r="E199" s="297"/>
      <c r="F199" s="467"/>
      <c r="G199" s="7"/>
    </row>
    <row r="200" spans="4:7" ht="15" x14ac:dyDescent="0.25">
      <c r="D200" s="7"/>
      <c r="E200" s="297"/>
      <c r="F200" s="467"/>
      <c r="G200" s="7"/>
    </row>
    <row r="201" spans="4:7" ht="15" x14ac:dyDescent="0.25">
      <c r="D201" s="7"/>
      <c r="E201" s="297"/>
      <c r="F201" s="467"/>
      <c r="G201" s="7"/>
    </row>
    <row r="202" spans="4:7" ht="15" x14ac:dyDescent="0.25">
      <c r="D202" s="7"/>
      <c r="E202" s="297"/>
      <c r="F202" s="467"/>
      <c r="G202" s="7"/>
    </row>
    <row r="203" spans="4:7" ht="15" x14ac:dyDescent="0.25">
      <c r="D203" s="7"/>
      <c r="E203" s="297"/>
      <c r="F203" s="467"/>
      <c r="G203" s="7"/>
    </row>
    <row r="204" spans="4:7" ht="15" x14ac:dyDescent="0.25">
      <c r="D204" s="7"/>
      <c r="E204" s="297"/>
      <c r="F204" s="467"/>
      <c r="G204" s="7"/>
    </row>
    <row r="205" spans="4:7" ht="15" x14ac:dyDescent="0.25">
      <c r="D205" s="7"/>
      <c r="E205" s="297"/>
      <c r="F205" s="467"/>
      <c r="G205" s="7"/>
    </row>
    <row r="206" spans="4:7" ht="15" x14ac:dyDescent="0.25">
      <c r="D206" s="7"/>
      <c r="E206" s="297"/>
      <c r="F206" s="467"/>
      <c r="G206" s="7"/>
    </row>
    <row r="207" spans="4:7" ht="15" x14ac:dyDescent="0.25">
      <c r="D207" s="7"/>
      <c r="E207" s="297"/>
      <c r="F207" s="467"/>
      <c r="G207" s="7"/>
    </row>
    <row r="208" spans="4:7" ht="15" x14ac:dyDescent="0.25">
      <c r="D208" s="7"/>
      <c r="E208" s="297"/>
      <c r="F208" s="467"/>
      <c r="G208" s="7"/>
    </row>
    <row r="209" spans="4:7" ht="15" x14ac:dyDescent="0.25">
      <c r="D209" s="7"/>
      <c r="E209" s="297"/>
      <c r="F209" s="467"/>
      <c r="G209" s="7"/>
    </row>
    <row r="210" spans="4:7" ht="15" x14ac:dyDescent="0.25">
      <c r="D210" s="7"/>
      <c r="E210" s="297"/>
      <c r="F210" s="467"/>
      <c r="G210" s="7"/>
    </row>
    <row r="211" spans="4:7" ht="15" x14ac:dyDescent="0.25">
      <c r="D211" s="7"/>
      <c r="E211" s="297"/>
      <c r="F211" s="7"/>
      <c r="G211" s="7"/>
    </row>
    <row r="212" spans="4:7" ht="15" x14ac:dyDescent="0.25">
      <c r="D212" s="7"/>
      <c r="E212" s="297"/>
      <c r="F212" s="7"/>
      <c r="G212" s="7"/>
    </row>
    <row r="213" spans="4:7" ht="15" x14ac:dyDescent="0.25">
      <c r="D213" s="7"/>
      <c r="E213" s="297"/>
      <c r="F213" s="7"/>
      <c r="G213" s="7"/>
    </row>
    <row r="214" spans="4:7" ht="15" x14ac:dyDescent="0.25">
      <c r="D214" s="7"/>
      <c r="E214" s="297"/>
      <c r="F214" s="7"/>
      <c r="G214" s="7"/>
    </row>
    <row r="215" spans="4:7" ht="15" x14ac:dyDescent="0.25">
      <c r="D215" s="7"/>
      <c r="E215" s="297"/>
      <c r="F215" s="7"/>
      <c r="G215" s="7"/>
    </row>
    <row r="216" spans="4:7" ht="15" x14ac:dyDescent="0.25">
      <c r="D216" s="7"/>
      <c r="E216" s="297"/>
      <c r="F216" s="7"/>
      <c r="G216" s="7"/>
    </row>
    <row r="217" spans="4:7" ht="15" x14ac:dyDescent="0.25">
      <c r="D217" s="7"/>
      <c r="E217" s="297"/>
      <c r="F217" s="7"/>
      <c r="G217" s="7"/>
    </row>
    <row r="218" spans="4:7" ht="15" x14ac:dyDescent="0.25">
      <c r="D218" s="7"/>
      <c r="E218" s="297"/>
      <c r="F218" s="7"/>
      <c r="G218" s="7"/>
    </row>
    <row r="219" spans="4:7" ht="15" x14ac:dyDescent="0.25">
      <c r="D219" s="7"/>
      <c r="E219" s="297"/>
      <c r="F219" s="7"/>
      <c r="G219" s="7"/>
    </row>
    <row r="220" spans="4:7" ht="15" x14ac:dyDescent="0.25">
      <c r="D220" s="7"/>
      <c r="E220" s="297"/>
      <c r="F220" s="7"/>
      <c r="G220" s="7"/>
    </row>
    <row r="221" spans="4:7" ht="15" x14ac:dyDescent="0.25">
      <c r="D221" s="7"/>
      <c r="E221" s="297"/>
      <c r="F221" s="7"/>
      <c r="G221" s="7"/>
    </row>
    <row r="222" spans="4:7" ht="15" x14ac:dyDescent="0.25">
      <c r="D222" s="7"/>
      <c r="E222" s="297"/>
      <c r="F222" s="7"/>
      <c r="G222" s="7"/>
    </row>
    <row r="223" spans="4:7" ht="15" x14ac:dyDescent="0.25">
      <c r="D223" s="7"/>
      <c r="E223" s="297"/>
      <c r="F223" s="7"/>
      <c r="G223" s="7"/>
    </row>
    <row r="224" spans="4:7" ht="15" x14ac:dyDescent="0.25">
      <c r="D224" s="7"/>
      <c r="E224" s="297"/>
      <c r="F224" s="7"/>
      <c r="G224" s="7"/>
    </row>
    <row r="225" spans="4:7" ht="15" x14ac:dyDescent="0.25">
      <c r="D225" s="7"/>
      <c r="E225" s="297"/>
      <c r="F225" s="7"/>
      <c r="G225" s="7"/>
    </row>
    <row r="226" spans="4:7" ht="15" x14ac:dyDescent="0.25">
      <c r="D226" s="7"/>
      <c r="E226" s="297"/>
      <c r="F226" s="7"/>
      <c r="G226" s="7"/>
    </row>
    <row r="227" spans="4:7" ht="15" x14ac:dyDescent="0.25">
      <c r="D227" s="7"/>
      <c r="E227" s="297"/>
      <c r="F227" s="7"/>
      <c r="G227" s="7"/>
    </row>
    <row r="228" spans="4:7" ht="15" x14ac:dyDescent="0.25">
      <c r="D228" s="7"/>
      <c r="E228" s="297"/>
      <c r="F228" s="7"/>
      <c r="G228" s="7"/>
    </row>
    <row r="229" spans="4:7" ht="15" x14ac:dyDescent="0.25">
      <c r="D229" s="7"/>
      <c r="E229" s="297"/>
      <c r="F229" s="7"/>
      <c r="G229" s="7"/>
    </row>
    <row r="230" spans="4:7" ht="15" x14ac:dyDescent="0.25">
      <c r="D230" s="7"/>
      <c r="E230" s="297"/>
      <c r="F230" s="7"/>
      <c r="G230" s="7"/>
    </row>
    <row r="231" spans="4:7" ht="15" x14ac:dyDescent="0.25">
      <c r="D231" s="7"/>
      <c r="E231" s="297"/>
      <c r="F231" s="7"/>
      <c r="G231" s="7"/>
    </row>
    <row r="232" spans="4:7" ht="15" x14ac:dyDescent="0.25">
      <c r="D232" s="7"/>
      <c r="E232" s="297"/>
      <c r="F232" s="7"/>
      <c r="G232" s="7"/>
    </row>
    <row r="233" spans="4:7" ht="15" x14ac:dyDescent="0.25">
      <c r="D233" s="7"/>
      <c r="E233" s="297"/>
      <c r="F233" s="7"/>
      <c r="G233" s="7"/>
    </row>
    <row r="234" spans="4:7" ht="15" x14ac:dyDescent="0.25">
      <c r="D234" s="7"/>
      <c r="E234" s="297"/>
      <c r="F234" s="7"/>
      <c r="G234" s="7"/>
    </row>
    <row r="235" spans="4:7" ht="15" x14ac:dyDescent="0.25">
      <c r="D235" s="7"/>
      <c r="E235" s="297"/>
      <c r="F235" s="7"/>
      <c r="G235" s="7"/>
    </row>
    <row r="236" spans="4:7" ht="15" x14ac:dyDescent="0.25">
      <c r="D236" s="7"/>
      <c r="E236" s="297"/>
      <c r="F236" s="7"/>
      <c r="G236" s="7"/>
    </row>
    <row r="237" spans="4:7" ht="15" x14ac:dyDescent="0.25">
      <c r="D237" s="7"/>
      <c r="E237" s="297"/>
      <c r="F237" s="7"/>
      <c r="G237" s="7"/>
    </row>
    <row r="238" spans="4:7" ht="15" x14ac:dyDescent="0.25">
      <c r="D238" s="7"/>
      <c r="E238" s="297"/>
      <c r="F238" s="7"/>
      <c r="G238" s="7"/>
    </row>
    <row r="239" spans="4:7" ht="15" x14ac:dyDescent="0.25">
      <c r="D239" s="7"/>
      <c r="E239" s="297"/>
      <c r="F239" s="7"/>
      <c r="G239" s="7"/>
    </row>
    <row r="240" spans="4:7" ht="15" x14ac:dyDescent="0.25">
      <c r="D240" s="7"/>
      <c r="E240" s="297"/>
      <c r="F240" s="7"/>
      <c r="G240" s="7"/>
    </row>
    <row r="241" spans="4:7" ht="15" x14ac:dyDescent="0.25">
      <c r="D241" s="7"/>
      <c r="E241" s="297"/>
      <c r="F241" s="7"/>
      <c r="G241" s="7"/>
    </row>
    <row r="242" spans="4:7" ht="15" x14ac:dyDescent="0.25">
      <c r="D242" s="7"/>
      <c r="E242" s="297"/>
      <c r="F242" s="7"/>
      <c r="G242" s="7"/>
    </row>
    <row r="243" spans="4:7" ht="15" x14ac:dyDescent="0.25">
      <c r="D243" s="7"/>
      <c r="E243" s="297"/>
      <c r="F243" s="7"/>
      <c r="G243" s="7"/>
    </row>
    <row r="244" spans="4:7" ht="15" x14ac:dyDescent="0.25">
      <c r="D244" s="7"/>
      <c r="E244" s="297"/>
      <c r="F244" s="7"/>
      <c r="G244" s="7"/>
    </row>
    <row r="245" spans="4:7" ht="15" x14ac:dyDescent="0.25">
      <c r="D245" s="7"/>
      <c r="E245" s="297"/>
      <c r="F245" s="7"/>
      <c r="G245" s="7"/>
    </row>
    <row r="246" spans="4:7" ht="15" x14ac:dyDescent="0.25">
      <c r="D246" s="7"/>
      <c r="E246" s="297"/>
      <c r="F246" s="7"/>
      <c r="G246" s="7"/>
    </row>
    <row r="247" spans="4:7" ht="15" x14ac:dyDescent="0.25">
      <c r="D247" s="7"/>
      <c r="E247" s="297"/>
      <c r="F247" s="7"/>
      <c r="G247" s="7"/>
    </row>
    <row r="248" spans="4:7" ht="15" x14ac:dyDescent="0.25">
      <c r="D248" s="7"/>
      <c r="E248" s="297"/>
      <c r="F248" s="7"/>
      <c r="G248" s="7"/>
    </row>
    <row r="249" spans="4:7" ht="15" x14ac:dyDescent="0.25">
      <c r="D249" s="7"/>
      <c r="E249" s="297"/>
      <c r="F249" s="7"/>
      <c r="G249" s="7"/>
    </row>
    <row r="250" spans="4:7" ht="15" x14ac:dyDescent="0.25">
      <c r="D250" s="7"/>
      <c r="E250" s="297"/>
      <c r="F250" s="7"/>
      <c r="G250" s="7"/>
    </row>
    <row r="251" spans="4:7" ht="15" x14ac:dyDescent="0.25">
      <c r="D251" s="7"/>
      <c r="E251" s="297"/>
      <c r="F251" s="7"/>
      <c r="G251" s="7"/>
    </row>
    <row r="252" spans="4:7" ht="15" x14ac:dyDescent="0.25">
      <c r="D252" s="7"/>
      <c r="E252" s="297"/>
      <c r="F252" s="7"/>
      <c r="G252" s="7"/>
    </row>
    <row r="253" spans="4:7" ht="15" x14ac:dyDescent="0.25">
      <c r="D253" s="7"/>
      <c r="E253" s="297"/>
      <c r="F253" s="7"/>
      <c r="G253" s="7"/>
    </row>
    <row r="254" spans="4:7" ht="15" x14ac:dyDescent="0.25">
      <c r="D254" s="7"/>
      <c r="E254" s="297"/>
      <c r="F254" s="7"/>
      <c r="G254" s="7"/>
    </row>
    <row r="255" spans="4:7" ht="15" x14ac:dyDescent="0.25">
      <c r="D255" s="7"/>
      <c r="E255" s="297"/>
      <c r="F255" s="7"/>
      <c r="G255" s="7"/>
    </row>
    <row r="256" spans="4:7" ht="15" x14ac:dyDescent="0.25">
      <c r="D256" s="7"/>
      <c r="E256" s="297"/>
      <c r="F256" s="7"/>
      <c r="G256" s="7"/>
    </row>
    <row r="257" spans="4:7" ht="15" x14ac:dyDescent="0.25">
      <c r="D257" s="7"/>
      <c r="E257" s="297"/>
      <c r="F257" s="7"/>
      <c r="G257" s="7"/>
    </row>
    <row r="258" spans="4:7" ht="15" x14ac:dyDescent="0.25">
      <c r="D258" s="7"/>
      <c r="E258" s="297"/>
      <c r="F258" s="7"/>
      <c r="G258" s="7"/>
    </row>
    <row r="259" spans="4:7" ht="15" x14ac:dyDescent="0.25">
      <c r="D259" s="7"/>
      <c r="E259" s="297"/>
      <c r="F259" s="7"/>
      <c r="G259" s="7"/>
    </row>
    <row r="260" spans="4:7" ht="15" x14ac:dyDescent="0.25">
      <c r="D260" s="7"/>
      <c r="E260" s="297"/>
      <c r="F260" s="7"/>
      <c r="G260" s="7"/>
    </row>
    <row r="261" spans="4:7" ht="15" x14ac:dyDescent="0.25">
      <c r="D261" s="7"/>
      <c r="E261" s="297"/>
      <c r="F261" s="7"/>
      <c r="G261" s="7"/>
    </row>
    <row r="262" spans="4:7" ht="15" x14ac:dyDescent="0.25">
      <c r="D262" s="7"/>
      <c r="E262" s="297"/>
      <c r="F262" s="7"/>
      <c r="G262" s="7"/>
    </row>
    <row r="263" spans="4:7" ht="15" x14ac:dyDescent="0.25">
      <c r="D263" s="7"/>
      <c r="E263" s="297"/>
      <c r="F263" s="7"/>
      <c r="G263" s="7"/>
    </row>
    <row r="264" spans="4:7" ht="15" x14ac:dyDescent="0.25">
      <c r="D264" s="7"/>
      <c r="E264" s="297"/>
      <c r="F264" s="7"/>
      <c r="G264" s="7"/>
    </row>
    <row r="265" spans="4:7" ht="15" x14ac:dyDescent="0.25">
      <c r="D265" s="7"/>
      <c r="E265" s="297"/>
      <c r="F265" s="7"/>
      <c r="G265" s="7"/>
    </row>
    <row r="266" spans="4:7" ht="15" x14ac:dyDescent="0.25">
      <c r="D266" s="7"/>
      <c r="E266" s="297"/>
      <c r="F266" s="7"/>
      <c r="G266" s="7"/>
    </row>
    <row r="267" spans="4:7" ht="15" x14ac:dyDescent="0.25">
      <c r="D267" s="7"/>
      <c r="E267" s="297"/>
      <c r="F267" s="7"/>
      <c r="G267" s="7"/>
    </row>
    <row r="268" spans="4:7" ht="15" x14ac:dyDescent="0.25">
      <c r="D268" s="7"/>
      <c r="E268" s="297"/>
      <c r="F268" s="7"/>
      <c r="G268" s="7"/>
    </row>
    <row r="269" spans="4:7" ht="15" x14ac:dyDescent="0.25">
      <c r="D269" s="7"/>
      <c r="E269" s="297"/>
      <c r="F269" s="7"/>
      <c r="G269" s="7"/>
    </row>
    <row r="270" spans="4:7" ht="15" x14ac:dyDescent="0.25">
      <c r="D270" s="7"/>
      <c r="E270" s="297"/>
      <c r="F270" s="7"/>
      <c r="G270" s="7"/>
    </row>
    <row r="271" spans="4:7" ht="15" x14ac:dyDescent="0.25">
      <c r="D271" s="7"/>
      <c r="E271" s="297"/>
      <c r="F271" s="7"/>
      <c r="G271" s="7"/>
    </row>
    <row r="272" spans="4:7" ht="15" x14ac:dyDescent="0.25">
      <c r="D272" s="7"/>
      <c r="E272" s="297"/>
      <c r="F272" s="7"/>
      <c r="G272" s="7"/>
    </row>
    <row r="273" spans="4:7" ht="15" x14ac:dyDescent="0.25">
      <c r="D273" s="7"/>
      <c r="E273" s="297"/>
      <c r="F273" s="7"/>
      <c r="G273" s="7"/>
    </row>
    <row r="274" spans="4:7" ht="15" x14ac:dyDescent="0.25">
      <c r="D274" s="7"/>
      <c r="E274" s="297"/>
      <c r="F274" s="7"/>
      <c r="G274" s="7"/>
    </row>
    <row r="275" spans="4:7" ht="15" x14ac:dyDescent="0.25">
      <c r="D275" s="7"/>
      <c r="E275" s="297"/>
      <c r="F275" s="7"/>
      <c r="G275" s="7"/>
    </row>
    <row r="276" spans="4:7" ht="15" x14ac:dyDescent="0.25">
      <c r="D276" s="7"/>
      <c r="E276" s="297"/>
      <c r="F276" s="7"/>
      <c r="G276" s="7"/>
    </row>
    <row r="277" spans="4:7" ht="15" x14ac:dyDescent="0.25">
      <c r="D277" s="7"/>
      <c r="E277" s="297"/>
      <c r="F277" s="7"/>
      <c r="G277" s="7"/>
    </row>
    <row r="278" spans="4:7" ht="15" x14ac:dyDescent="0.25">
      <c r="D278" s="7"/>
      <c r="E278" s="297"/>
      <c r="F278" s="7"/>
      <c r="G278" s="7"/>
    </row>
    <row r="279" spans="4:7" ht="15" x14ac:dyDescent="0.25">
      <c r="D279" s="7"/>
      <c r="E279" s="297"/>
      <c r="F279" s="7"/>
      <c r="G279" s="7"/>
    </row>
    <row r="280" spans="4:7" ht="15" x14ac:dyDescent="0.25">
      <c r="D280" s="7"/>
      <c r="E280" s="297"/>
      <c r="F280" s="7"/>
      <c r="G280" s="7"/>
    </row>
    <row r="281" spans="4:7" ht="15" x14ac:dyDescent="0.25">
      <c r="D281" s="7"/>
      <c r="E281" s="297"/>
      <c r="F281" s="7"/>
      <c r="G281" s="7"/>
    </row>
    <row r="282" spans="4:7" ht="15" x14ac:dyDescent="0.25">
      <c r="D282" s="7"/>
      <c r="E282" s="297"/>
      <c r="F282" s="7"/>
      <c r="G282" s="7"/>
    </row>
    <row r="283" spans="4:7" ht="15" x14ac:dyDescent="0.25">
      <c r="D283" s="7"/>
      <c r="E283" s="297"/>
      <c r="F283" s="7"/>
      <c r="G283" s="7"/>
    </row>
    <row r="284" spans="4:7" ht="15" x14ac:dyDescent="0.25">
      <c r="D284" s="7"/>
      <c r="E284" s="297"/>
      <c r="F284" s="7"/>
      <c r="G284" s="7"/>
    </row>
    <row r="285" spans="4:7" ht="15" x14ac:dyDescent="0.25">
      <c r="D285" s="7"/>
      <c r="E285" s="297"/>
      <c r="F285" s="7"/>
      <c r="G285" s="7"/>
    </row>
    <row r="286" spans="4:7" ht="15" x14ac:dyDescent="0.25">
      <c r="D286" s="7"/>
      <c r="E286" s="297"/>
      <c r="F286" s="7"/>
      <c r="G286" s="7"/>
    </row>
    <row r="287" spans="4:7" ht="15" x14ac:dyDescent="0.25">
      <c r="D287" s="7"/>
      <c r="E287" s="297"/>
      <c r="F287" s="7"/>
      <c r="G287" s="7"/>
    </row>
    <row r="288" spans="4:7" ht="15" x14ac:dyDescent="0.25">
      <c r="D288" s="7"/>
      <c r="E288" s="297"/>
      <c r="F288" s="7"/>
      <c r="G288" s="7"/>
    </row>
    <row r="289" spans="4:7" ht="15" x14ac:dyDescent="0.25">
      <c r="D289" s="7"/>
      <c r="E289" s="297"/>
      <c r="F289" s="7"/>
      <c r="G289" s="7"/>
    </row>
    <row r="290" spans="4:7" ht="15" x14ac:dyDescent="0.25">
      <c r="D290" s="7"/>
      <c r="E290" s="297"/>
      <c r="F290" s="7"/>
      <c r="G290" s="7"/>
    </row>
    <row r="291" spans="4:7" ht="15" x14ac:dyDescent="0.25">
      <c r="D291" s="7"/>
      <c r="E291" s="297"/>
      <c r="F291" s="7"/>
      <c r="G291" s="7"/>
    </row>
    <row r="292" spans="4:7" ht="15" x14ac:dyDescent="0.25">
      <c r="D292" s="7"/>
      <c r="E292" s="297"/>
      <c r="F292" s="7"/>
      <c r="G292" s="7"/>
    </row>
    <row r="293" spans="4:7" ht="15" x14ac:dyDescent="0.25">
      <c r="D293" s="7"/>
      <c r="E293" s="297"/>
      <c r="F293" s="7"/>
      <c r="G293" s="7"/>
    </row>
    <row r="294" spans="4:7" ht="15" x14ac:dyDescent="0.25">
      <c r="D294" s="7"/>
      <c r="E294" s="297"/>
      <c r="F294" s="7"/>
      <c r="G294" s="7"/>
    </row>
    <row r="295" spans="4:7" ht="15" x14ac:dyDescent="0.25">
      <c r="D295" s="7"/>
      <c r="E295" s="297"/>
      <c r="F295" s="7"/>
      <c r="G295" s="7"/>
    </row>
    <row r="296" spans="4:7" ht="15" x14ac:dyDescent="0.25">
      <c r="D296" s="7"/>
      <c r="E296" s="297"/>
      <c r="F296" s="7"/>
      <c r="G296" s="7"/>
    </row>
    <row r="297" spans="4:7" ht="15" x14ac:dyDescent="0.25">
      <c r="D297" s="7"/>
      <c r="E297" s="297"/>
      <c r="F297" s="7"/>
      <c r="G297" s="7"/>
    </row>
    <row r="298" spans="4:7" ht="15" x14ac:dyDescent="0.25">
      <c r="D298" s="7"/>
      <c r="E298" s="297"/>
      <c r="F298" s="7"/>
      <c r="G298" s="7"/>
    </row>
    <row r="299" spans="4:7" ht="15" x14ac:dyDescent="0.25">
      <c r="D299" s="7"/>
      <c r="E299" s="297"/>
      <c r="F299" s="7"/>
      <c r="G299" s="7"/>
    </row>
    <row r="300" spans="4:7" ht="15" x14ac:dyDescent="0.25">
      <c r="D300" s="7"/>
      <c r="E300" s="297"/>
      <c r="F300" s="7"/>
      <c r="G300" s="7"/>
    </row>
    <row r="301" spans="4:7" ht="15" x14ac:dyDescent="0.25">
      <c r="D301" s="7"/>
      <c r="E301" s="297"/>
      <c r="F301" s="7"/>
      <c r="G301" s="7"/>
    </row>
    <row r="302" spans="4:7" ht="15" x14ac:dyDescent="0.25">
      <c r="D302" s="7"/>
      <c r="E302" s="297"/>
      <c r="F302" s="7"/>
      <c r="G302" s="7"/>
    </row>
    <row r="303" spans="4:7" ht="15" x14ac:dyDescent="0.25">
      <c r="D303" s="7"/>
      <c r="E303" s="297"/>
      <c r="F303" s="7"/>
      <c r="G303" s="7"/>
    </row>
    <row r="304" spans="4:7" ht="15" x14ac:dyDescent="0.25">
      <c r="D304" s="7"/>
      <c r="E304" s="297"/>
      <c r="F304" s="7"/>
      <c r="G304" s="7"/>
    </row>
    <row r="305" spans="4:7" ht="15" x14ac:dyDescent="0.25">
      <c r="D305" s="7"/>
      <c r="E305" s="297"/>
      <c r="F305" s="7"/>
      <c r="G305" s="7"/>
    </row>
    <row r="306" spans="4:7" ht="15" x14ac:dyDescent="0.25">
      <c r="D306" s="7"/>
      <c r="E306" s="297"/>
      <c r="F306" s="7"/>
      <c r="G306" s="7"/>
    </row>
    <row r="307" spans="4:7" ht="15" x14ac:dyDescent="0.25">
      <c r="D307" s="7"/>
      <c r="E307" s="297"/>
      <c r="F307" s="7"/>
      <c r="G307" s="7"/>
    </row>
    <row r="308" spans="4:7" ht="15" x14ac:dyDescent="0.25">
      <c r="D308" s="7"/>
      <c r="E308" s="297"/>
      <c r="F308" s="7"/>
      <c r="G308" s="7"/>
    </row>
    <row r="309" spans="4:7" ht="15" x14ac:dyDescent="0.25">
      <c r="D309" s="7"/>
      <c r="E309" s="297"/>
      <c r="F309" s="7"/>
      <c r="G309" s="7"/>
    </row>
    <row r="310" spans="4:7" ht="15" x14ac:dyDescent="0.25">
      <c r="D310" s="7"/>
      <c r="E310" s="297"/>
      <c r="F310" s="7"/>
      <c r="G310" s="7"/>
    </row>
    <row r="311" spans="4:7" ht="15" x14ac:dyDescent="0.25">
      <c r="D311" s="7"/>
      <c r="E311" s="297"/>
      <c r="F311" s="7"/>
      <c r="G311" s="7"/>
    </row>
    <row r="312" spans="4:7" ht="15" x14ac:dyDescent="0.25">
      <c r="D312" s="7"/>
      <c r="E312" s="297"/>
      <c r="F312" s="7"/>
      <c r="G312" s="7"/>
    </row>
    <row r="313" spans="4:7" ht="15" x14ac:dyDescent="0.25">
      <c r="D313" s="7"/>
      <c r="E313" s="297"/>
      <c r="F313" s="7"/>
      <c r="G313" s="7"/>
    </row>
    <row r="314" spans="4:7" ht="15" x14ac:dyDescent="0.25">
      <c r="D314" s="7"/>
      <c r="E314" s="297"/>
      <c r="F314" s="7"/>
      <c r="G314" s="7"/>
    </row>
    <row r="315" spans="4:7" ht="15" x14ac:dyDescent="0.25">
      <c r="D315" s="7"/>
      <c r="E315" s="297"/>
      <c r="F315" s="7"/>
      <c r="G315" s="7"/>
    </row>
    <row r="316" spans="4:7" ht="15" x14ac:dyDescent="0.25">
      <c r="D316" s="7"/>
      <c r="E316" s="297"/>
      <c r="F316" s="7"/>
      <c r="G316" s="7"/>
    </row>
    <row r="317" spans="4:7" ht="15" x14ac:dyDescent="0.25">
      <c r="D317" s="7"/>
      <c r="E317" s="297"/>
      <c r="F317" s="7"/>
      <c r="G317" s="7"/>
    </row>
    <row r="318" spans="4:7" ht="15" x14ac:dyDescent="0.25">
      <c r="D318" s="7"/>
      <c r="E318" s="297"/>
      <c r="F318" s="7"/>
      <c r="G318" s="7"/>
    </row>
    <row r="319" spans="4:7" ht="15" x14ac:dyDescent="0.25">
      <c r="D319" s="7"/>
      <c r="E319" s="297"/>
      <c r="F319" s="7"/>
      <c r="G319" s="7"/>
    </row>
    <row r="320" spans="4:7" ht="15" x14ac:dyDescent="0.25">
      <c r="D320" s="7"/>
      <c r="E320" s="297"/>
      <c r="F320" s="7"/>
      <c r="G320" s="7"/>
    </row>
    <row r="321" spans="4:7" ht="15" x14ac:dyDescent="0.25">
      <c r="D321" s="7"/>
      <c r="E321" s="297"/>
      <c r="F321" s="7"/>
      <c r="G321" s="7"/>
    </row>
    <row r="322" spans="4:7" ht="15" x14ac:dyDescent="0.25">
      <c r="D322" s="7"/>
      <c r="E322" s="297"/>
      <c r="F322" s="7"/>
      <c r="G322" s="7"/>
    </row>
    <row r="323" spans="4:7" ht="15" x14ac:dyDescent="0.25">
      <c r="D323" s="7"/>
      <c r="E323" s="297"/>
      <c r="F323" s="7"/>
      <c r="G323" s="7"/>
    </row>
    <row r="324" spans="4:7" ht="15" x14ac:dyDescent="0.25">
      <c r="E324" s="335"/>
    </row>
    <row r="325" spans="4:7" ht="15" x14ac:dyDescent="0.25">
      <c r="E325" s="335"/>
    </row>
    <row r="326" spans="4:7" ht="15" x14ac:dyDescent="0.25">
      <c r="E326" s="335"/>
    </row>
    <row r="327" spans="4:7" ht="15" x14ac:dyDescent="0.25">
      <c r="E327" s="335"/>
    </row>
    <row r="328" spans="4:7" ht="15" x14ac:dyDescent="0.25">
      <c r="E328" s="335"/>
    </row>
    <row r="329" spans="4:7" ht="15" x14ac:dyDescent="0.25">
      <c r="E329" s="335"/>
    </row>
    <row r="330" spans="4:7" ht="15" x14ac:dyDescent="0.25">
      <c r="E330" s="335"/>
    </row>
    <row r="331" spans="4:7" ht="15" x14ac:dyDescent="0.25">
      <c r="E331" s="335"/>
    </row>
    <row r="332" spans="4:7" ht="15" x14ac:dyDescent="0.25">
      <c r="E332" s="335"/>
    </row>
    <row r="333" spans="4:7" ht="15" x14ac:dyDescent="0.25">
      <c r="E333" s="335"/>
    </row>
    <row r="334" spans="4:7" ht="15" x14ac:dyDescent="0.25">
      <c r="E334" s="335"/>
    </row>
    <row r="335" spans="4:7" ht="15" x14ac:dyDescent="0.25">
      <c r="E335" s="335"/>
    </row>
    <row r="336" spans="4:7" ht="15" x14ac:dyDescent="0.25">
      <c r="E336" s="335"/>
    </row>
    <row r="337" spans="5:5" ht="15" x14ac:dyDescent="0.25">
      <c r="E337" s="335"/>
    </row>
    <row r="338" spans="5:5" ht="15" x14ac:dyDescent="0.25">
      <c r="E338" s="335"/>
    </row>
    <row r="339" spans="5:5" ht="15" x14ac:dyDescent="0.25">
      <c r="E339" s="335"/>
    </row>
    <row r="340" spans="5:5" ht="15" x14ac:dyDescent="0.25">
      <c r="E340" s="335"/>
    </row>
    <row r="341" spans="5:5" ht="15" x14ac:dyDescent="0.25">
      <c r="E341" s="335"/>
    </row>
    <row r="342" spans="5:5" ht="15" x14ac:dyDescent="0.25">
      <c r="E342" s="335"/>
    </row>
    <row r="343" spans="5:5" ht="15" x14ac:dyDescent="0.25">
      <c r="E343" s="335"/>
    </row>
    <row r="344" spans="5:5" ht="15" x14ac:dyDescent="0.25">
      <c r="E344" s="335"/>
    </row>
    <row r="345" spans="5:5" ht="15" x14ac:dyDescent="0.25">
      <c r="E345" s="335"/>
    </row>
    <row r="346" spans="5:5" ht="15" x14ac:dyDescent="0.25">
      <c r="E346" s="335"/>
    </row>
    <row r="347" spans="5:5" ht="15" x14ac:dyDescent="0.25">
      <c r="E347" s="335"/>
    </row>
    <row r="348" spans="5:5" ht="15" x14ac:dyDescent="0.25">
      <c r="E348" s="335"/>
    </row>
    <row r="349" spans="5:5" ht="15" x14ac:dyDescent="0.25">
      <c r="E349" s="335"/>
    </row>
    <row r="350" spans="5:5" ht="15" x14ac:dyDescent="0.25">
      <c r="E350" s="335"/>
    </row>
    <row r="351" spans="5:5" ht="15" x14ac:dyDescent="0.25">
      <c r="E351" s="335"/>
    </row>
    <row r="352" spans="5:5" ht="15" x14ac:dyDescent="0.25">
      <c r="E352" s="335"/>
    </row>
    <row r="353" spans="5:5" ht="15" x14ac:dyDescent="0.25">
      <c r="E353" s="335"/>
    </row>
    <row r="354" spans="5:5" ht="15" x14ac:dyDescent="0.25">
      <c r="E354" s="335"/>
    </row>
    <row r="355" spans="5:5" ht="15" x14ac:dyDescent="0.25">
      <c r="E355" s="335"/>
    </row>
    <row r="356" spans="5:5" ht="15" x14ac:dyDescent="0.25">
      <c r="E356" s="335"/>
    </row>
    <row r="357" spans="5:5" ht="15" x14ac:dyDescent="0.25">
      <c r="E357" s="335"/>
    </row>
    <row r="358" spans="5:5" ht="15" x14ac:dyDescent="0.25">
      <c r="E358" s="335"/>
    </row>
    <row r="359" spans="5:5" ht="15" x14ac:dyDescent="0.25">
      <c r="E359" s="335"/>
    </row>
    <row r="360" spans="5:5" ht="15" x14ac:dyDescent="0.25">
      <c r="E360" s="335"/>
    </row>
    <row r="361" spans="5:5" ht="15" x14ac:dyDescent="0.25">
      <c r="E361" s="335"/>
    </row>
    <row r="362" spans="5:5" ht="15" x14ac:dyDescent="0.25">
      <c r="E362" s="335"/>
    </row>
    <row r="363" spans="5:5" ht="15" x14ac:dyDescent="0.25">
      <c r="E363" s="335"/>
    </row>
    <row r="364" spans="5:5" ht="15" x14ac:dyDescent="0.25">
      <c r="E364" s="335"/>
    </row>
    <row r="365" spans="5:5" ht="15" x14ac:dyDescent="0.25">
      <c r="E365" s="335"/>
    </row>
    <row r="366" spans="5:5" ht="15" x14ac:dyDescent="0.25">
      <c r="E366" s="335"/>
    </row>
    <row r="367" spans="5:5" ht="15" x14ac:dyDescent="0.25">
      <c r="E367" s="335"/>
    </row>
    <row r="368" spans="5:5" ht="15" x14ac:dyDescent="0.25">
      <c r="E368" s="335"/>
    </row>
    <row r="369" spans="5:5" ht="15" x14ac:dyDescent="0.25">
      <c r="E369" s="335"/>
    </row>
    <row r="370" spans="5:5" ht="15" x14ac:dyDescent="0.25">
      <c r="E370" s="335"/>
    </row>
    <row r="371" spans="5:5" ht="15" x14ac:dyDescent="0.25">
      <c r="E371" s="335"/>
    </row>
    <row r="372" spans="5:5" ht="15" x14ac:dyDescent="0.25">
      <c r="E372" s="335"/>
    </row>
    <row r="373" spans="5:5" ht="15" x14ac:dyDescent="0.25">
      <c r="E373" s="335"/>
    </row>
    <row r="374" spans="5:5" ht="15" x14ac:dyDescent="0.25">
      <c r="E374" s="335"/>
    </row>
    <row r="375" spans="5:5" ht="15" x14ac:dyDescent="0.25">
      <c r="E375" s="335">
        <f>TAM!N334</f>
        <v>0</v>
      </c>
    </row>
  </sheetData>
  <mergeCells count="9">
    <mergeCell ref="D3:L3"/>
    <mergeCell ref="D4:L4"/>
    <mergeCell ref="D5:L5"/>
    <mergeCell ref="G14:H14"/>
    <mergeCell ref="G8:I8"/>
    <mergeCell ref="G9:I9"/>
    <mergeCell ref="G10:I10"/>
    <mergeCell ref="G11:I11"/>
    <mergeCell ref="G12:I12"/>
  </mergeCells>
  <conditionalFormatting sqref="I14:J14 D14 S6:S7 C8:C14 E6:F7 C3:C5 S2 M8:M13 T2:IU15 F54:R56 N15:R15 D8:D11 F8 F28 G27:IU32 F20:F21 B2:B16 G19:IU23 AF49:IU49 C19:E32 B18:B32 Y33:IU34 Y35:AE35 AG35:IU35 J35 AF25:IU26 F50:J50 F24:IU24 F26:AE26 DQ37:IU37 F211:R65506 G57:R210 C38:IU48 C16:IU18 S50:IU65506 K50:R53 B34:B65535 C50:E65506">
    <cfRule type="cellIs" dxfId="18" priority="16" stopIfTrue="1" operator="equal">
      <formula>0</formula>
    </cfRule>
  </conditionalFormatting>
  <conditionalFormatting sqref="I51:J53">
    <cfRule type="expression" dxfId="17" priority="17" stopIfTrue="1">
      <formula>#REF!=5</formula>
    </cfRule>
  </conditionalFormatting>
  <conditionalFormatting sqref="H51:H53">
    <cfRule type="expression" dxfId="16" priority="18" stopIfTrue="1">
      <formula>#REF!=4</formula>
    </cfRule>
  </conditionalFormatting>
  <conditionalFormatting sqref="G51:G53">
    <cfRule type="expression" dxfId="15" priority="19" stopIfTrue="1">
      <formula>#REF!=3</formula>
    </cfRule>
  </conditionalFormatting>
  <conditionalFormatting sqref="F51:F53">
    <cfRule type="expression" dxfId="14" priority="20" stopIfTrue="1">
      <formula>#REF!=2</formula>
    </cfRule>
  </conditionalFormatting>
  <conditionalFormatting sqref="C49:AE49">
    <cfRule type="cellIs" dxfId="13" priority="21" stopIfTrue="1" operator="equal">
      <formula>0</formula>
    </cfRule>
  </conditionalFormatting>
  <conditionalFormatting sqref="F25:AE25">
    <cfRule type="cellIs" dxfId="12" priority="14" stopIfTrue="1" operator="equal">
      <formula>0</formula>
    </cfRule>
  </conditionalFormatting>
  <conditionalFormatting sqref="C37:D37">
    <cfRule type="cellIs" dxfId="11" priority="7" stopIfTrue="1" operator="equal">
      <formula>0</formula>
    </cfRule>
  </conditionalFormatting>
  <conditionalFormatting sqref="C36:D36">
    <cfRule type="cellIs" dxfId="10" priority="6" stopIfTrue="1" operator="equal">
      <formula>0</formula>
    </cfRule>
  </conditionalFormatting>
  <conditionalFormatting sqref="E37:DP37">
    <cfRule type="cellIs" dxfId="9" priority="5" stopIfTrue="1" operator="equal">
      <formula>0</formula>
    </cfRule>
  </conditionalFormatting>
  <conditionalFormatting sqref="LG36:LL36">
    <cfRule type="cellIs" dxfId="8" priority="4" stopIfTrue="1" operator="equal">
      <formula>0</formula>
    </cfRule>
  </conditionalFormatting>
  <conditionalFormatting sqref="E36:LF36">
    <cfRule type="cellIs" dxfId="7" priority="2" stopIfTrue="1" operator="equal">
      <formula>0</formula>
    </cfRule>
  </conditionalFormatting>
  <conditionalFormatting sqref="F57:F210">
    <cfRule type="cellIs" dxfId="6" priority="1" stopIfTrue="1" operator="equal">
      <formula>0</formula>
    </cfRule>
  </conditionalFormatting>
  <pageMargins left="0.23622047244094488" right="0.23622047244094488" top="0.74803149606299213" bottom="0.74803149606299213" header="0.31496062992125984" footer="0.31496062992125984"/>
  <pageSetup paperSize="8" scale="80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2"/>
  </sheetPr>
  <dimension ref="A1:W449"/>
  <sheetViews>
    <sheetView showGridLines="0" workbookViewId="0">
      <pane ySplit="13" topLeftCell="A14" activePane="bottomLeft" state="frozen"/>
      <selection pane="bottomLeft" activeCell="F3" sqref="F3"/>
    </sheetView>
  </sheetViews>
  <sheetFormatPr baseColWidth="10" defaultRowHeight="12.75" x14ac:dyDescent="0.2"/>
  <cols>
    <col min="1" max="1" width="1.85546875" style="346" customWidth="1"/>
    <col min="2" max="2" width="11.42578125" style="348"/>
    <col min="3" max="3" width="12" style="347" customWidth="1"/>
    <col min="4" max="4" width="11.7109375" style="346" bestFit="1" customWidth="1"/>
    <col min="5" max="6" width="11.42578125" style="347"/>
    <col min="7" max="7" width="2.7109375" style="346" customWidth="1"/>
    <col min="8" max="8" width="7.7109375" style="346" customWidth="1"/>
    <col min="9" max="9" width="5.28515625" style="346" customWidth="1"/>
    <col min="10" max="10" width="6.28515625" style="465" customWidth="1"/>
    <col min="11" max="11" width="11.5703125" style="346" bestFit="1" customWidth="1"/>
    <col min="12" max="12" width="11.85546875" style="346" customWidth="1"/>
    <col min="13" max="13" width="11.42578125" style="346"/>
    <col min="14" max="14" width="12.140625" style="346" customWidth="1"/>
    <col min="15" max="15" width="11.42578125" style="346"/>
    <col min="16" max="16" width="12.5703125" style="346" customWidth="1"/>
    <col min="17" max="17" width="4.28515625" style="346" customWidth="1"/>
    <col min="18" max="18" width="11.28515625" style="438" hidden="1" customWidth="1"/>
    <col min="19" max="19" width="15.42578125" style="450" hidden="1" customWidth="1"/>
    <col min="20" max="20" width="10.28515625" style="346" hidden="1" customWidth="1"/>
    <col min="21" max="23" width="13.7109375" style="346" hidden="1" customWidth="1"/>
    <col min="24" max="16384" width="11.42578125" style="346"/>
  </cols>
  <sheetData>
    <row r="1" spans="1:23" ht="13.5" thickBot="1" x14ac:dyDescent="0.25">
      <c r="D1" s="435"/>
      <c r="F1" s="436"/>
      <c r="H1" s="258"/>
      <c r="I1" s="258"/>
      <c r="J1" s="259"/>
      <c r="K1" s="260"/>
      <c r="L1" s="437"/>
      <c r="M1" s="435"/>
      <c r="N1" s="435"/>
      <c r="O1" s="435"/>
      <c r="P1" s="435"/>
      <c r="Q1" s="435"/>
      <c r="S1" s="439">
        <f>IF(ISERROR(#REF!),2,#REF!)</f>
        <v>2</v>
      </c>
      <c r="T1" s="425">
        <f>IF(Periodicite="M",12)+IF(Periodicite="T",4)+IF(Periodicite="S",2)+IF(Periodicite="A",1)+IF(Periodicite="H",52)+IF(Periodicite="Q",26)+IF(Periodicite="B",24)</f>
        <v>1</v>
      </c>
      <c r="U1" s="424" t="s">
        <v>131</v>
      </c>
      <c r="V1" s="433" t="s">
        <v>132</v>
      </c>
      <c r="W1" s="432" t="s">
        <v>133</v>
      </c>
    </row>
    <row r="2" spans="1:23" ht="12.75" customHeight="1" x14ac:dyDescent="0.2">
      <c r="B2" s="440" t="s">
        <v>134</v>
      </c>
      <c r="C2" s="431"/>
      <c r="D2" s="411"/>
      <c r="E2" s="430"/>
      <c r="F2" s="430"/>
      <c r="G2" s="411"/>
      <c r="H2" s="411"/>
      <c r="I2" s="411"/>
      <c r="J2" s="428"/>
      <c r="K2" s="441" t="s">
        <v>135</v>
      </c>
      <c r="L2" s="411"/>
      <c r="M2" s="410"/>
      <c r="N2" s="441" t="s">
        <v>136</v>
      </c>
      <c r="O2" s="429"/>
      <c r="P2" s="428"/>
      <c r="Q2" s="435"/>
      <c r="S2" s="439" t="b">
        <f>IF(ISERROR(#REF!),TRUE,IF(#REF!=1,TRUE,FALSE))</f>
        <v>1</v>
      </c>
      <c r="T2" s="425">
        <f>T3*NbEchAn/12</f>
        <v>8</v>
      </c>
      <c r="U2" s="424" t="s">
        <v>137</v>
      </c>
      <c r="V2" s="423">
        <v>2</v>
      </c>
      <c r="W2" s="346">
        <v>4</v>
      </c>
    </row>
    <row r="3" spans="1:23" x14ac:dyDescent="0.2">
      <c r="B3" s="408"/>
      <c r="C3" s="415" t="s">
        <v>138</v>
      </c>
      <c r="D3" s="261">
        <f>'TRI '!P15</f>
        <v>2844972.7880000002</v>
      </c>
      <c r="E3" s="415" t="s">
        <v>139</v>
      </c>
      <c r="F3" s="434">
        <f>'TRI '!O11</f>
        <v>6</v>
      </c>
      <c r="G3" s="442" t="s">
        <v>140</v>
      </c>
      <c r="H3" s="400"/>
      <c r="I3" s="400"/>
      <c r="J3" s="443"/>
      <c r="K3" s="401" t="s">
        <v>141</v>
      </c>
      <c r="L3" s="407"/>
      <c r="M3" s="427"/>
      <c r="N3" s="576" t="s">
        <v>142</v>
      </c>
      <c r="O3" s="577"/>
      <c r="P3" s="426">
        <f>MAX(K14:K447)</f>
        <v>46022</v>
      </c>
      <c r="Q3" s="435"/>
      <c r="R3" s="444"/>
      <c r="S3" s="439">
        <f>IF(ISERROR(#REF!),99999,#REF!)</f>
        <v>99999</v>
      </c>
      <c r="T3" s="425">
        <f>F3*12+F4</f>
        <v>96</v>
      </c>
      <c r="U3" s="424" t="s">
        <v>143</v>
      </c>
      <c r="V3" s="423" t="b">
        <f>V2=1</f>
        <v>0</v>
      </c>
      <c r="W3" s="346" t="s">
        <v>144</v>
      </c>
    </row>
    <row r="4" spans="1:23" ht="13.5" thickBot="1" x14ac:dyDescent="0.25">
      <c r="B4" s="408"/>
      <c r="C4" s="402"/>
      <c r="D4" s="400"/>
      <c r="E4" s="422" t="s">
        <v>145</v>
      </c>
      <c r="F4" s="421">
        <f>12*'TRI '!R15</f>
        <v>24</v>
      </c>
      <c r="G4" s="442" t="s">
        <v>146</v>
      </c>
      <c r="H4" s="400"/>
      <c r="I4" s="400"/>
      <c r="J4" s="443"/>
      <c r="K4" s="394" t="s">
        <v>147</v>
      </c>
      <c r="L4" s="420"/>
      <c r="M4" s="419"/>
      <c r="N4" s="576" t="s">
        <v>148</v>
      </c>
      <c r="O4" s="577"/>
      <c r="P4" s="404">
        <f>MAX(H14:H447)</f>
        <v>8</v>
      </c>
      <c r="Q4" s="435"/>
      <c r="S4" s="439">
        <f>IF(ISERROR(#REF!),99999,#REF!)</f>
        <v>99999</v>
      </c>
      <c r="T4" s="418">
        <f>IF(TauxActuariel,((D5+1)^(1/NbEchAn))-1,D5/NbEchAn)</f>
        <v>0.05</v>
      </c>
      <c r="U4" s="417" t="s">
        <v>149</v>
      </c>
      <c r="V4" s="416" t="s">
        <v>150</v>
      </c>
      <c r="W4" s="346" t="s">
        <v>151</v>
      </c>
    </row>
    <row r="5" spans="1:23" ht="15" x14ac:dyDescent="0.25">
      <c r="B5" s="408"/>
      <c r="C5" s="415" t="s">
        <v>152</v>
      </c>
      <c r="D5" s="445">
        <v>0.05</v>
      </c>
      <c r="E5" s="402"/>
      <c r="F5" s="414" t="s">
        <v>153</v>
      </c>
      <c r="G5" s="413"/>
      <c r="H5" s="413" t="s">
        <v>154</v>
      </c>
      <c r="I5" s="413"/>
      <c r="J5" s="412"/>
      <c r="K5" s="441" t="s">
        <v>150</v>
      </c>
      <c r="L5" s="411"/>
      <c r="M5" s="410"/>
      <c r="N5" s="576" t="s">
        <v>155</v>
      </c>
      <c r="O5" s="577"/>
      <c r="P5" s="344">
        <f>SUM(M14:M447)</f>
        <v>676462</v>
      </c>
      <c r="Q5" s="435"/>
      <c r="S5" s="446">
        <f>IF(1&lt;=NoEchMaxi,
IF(ISERROR(#REF!),ROUND(L15*R15,NbDeci),#REF!),
0)</f>
        <v>142248.64000000001</v>
      </c>
      <c r="T5" s="409">
        <f>0+IF(Periodicite="M",1)+IF(Periodicite="T",3)+IF(Periodicite="S",6)+IF(Periodicite="A",12)+IF(Periodicite="B",0.5)</f>
        <v>12</v>
      </c>
      <c r="U5" s="387" t="s">
        <v>156</v>
      </c>
      <c r="V5" s="398">
        <v>1</v>
      </c>
      <c r="W5" s="346" t="s">
        <v>157</v>
      </c>
    </row>
    <row r="6" spans="1:23" ht="15" x14ac:dyDescent="0.25">
      <c r="B6" s="408"/>
      <c r="C6" s="402"/>
      <c r="D6" s="400"/>
      <c r="E6" s="402"/>
      <c r="F6" s="447">
        <v>43465</v>
      </c>
      <c r="G6" s="400"/>
      <c r="H6" s="407"/>
      <c r="I6" s="407"/>
      <c r="J6" s="406"/>
      <c r="K6" s="405"/>
      <c r="L6" s="400"/>
      <c r="M6" s="404"/>
      <c r="N6" s="576" t="s">
        <v>158</v>
      </c>
      <c r="O6" s="577"/>
      <c r="P6" s="344">
        <f>SUM(N14:N447)-SUMIF(C14:C447,"&lt;0")</f>
        <v>2844972.7880000002</v>
      </c>
      <c r="Q6" s="435"/>
      <c r="S6" s="446">
        <f>IF(1&gt;NoEchMaxi,
0,
   IF(ISERROR(#REF!),
   IF(1&lt;=Différé,IF(DiffTotal,-INT1E,0),IF(1&gt;=NoEchRemb,L15,IF(S15-(M15*EchFIXE)&gt;L15-2,L15,S15-(M15*EchFIXE))))+C15,#REF!))</f>
        <v>297930.70999999996</v>
      </c>
      <c r="T6" s="388">
        <f>0+IF(Periodicite="H",7)+IF(Periodicite="Q",14)</f>
        <v>0</v>
      </c>
      <c r="U6" s="387" t="s">
        <v>159</v>
      </c>
      <c r="V6" s="398" t="b">
        <f>IF(Différé&gt;0,V5=1,FALSE)</f>
        <v>0</v>
      </c>
      <c r="W6" s="346" t="s">
        <v>160</v>
      </c>
    </row>
    <row r="7" spans="1:23" ht="15" x14ac:dyDescent="0.25">
      <c r="B7" s="403"/>
      <c r="C7" s="402"/>
      <c r="D7" s="400"/>
      <c r="E7" s="402"/>
      <c r="F7" s="402"/>
      <c r="G7" s="400"/>
      <c r="H7" s="400"/>
      <c r="I7" s="400"/>
      <c r="J7" s="443"/>
      <c r="K7" s="401" t="s">
        <v>161</v>
      </c>
      <c r="L7" s="400"/>
      <c r="M7" s="399"/>
      <c r="N7" s="576" t="s">
        <v>162</v>
      </c>
      <c r="O7" s="577"/>
      <c r="P7" s="344">
        <f>SUM(O14:O447)</f>
        <v>0</v>
      </c>
      <c r="Q7" s="435"/>
      <c r="S7" s="448">
        <f xml:space="preserve">
IF(ISERROR(#REF!),
IF(Ijour=0,MIN(DATE(YEAR(DebAmort),MONTH(DebAmort)-MoisD-Imois,Jour2),DATE(YEAR(DebAmort),MONTH(DebAmort)-MoisD+1-Imois,0)),DATE(YEAR(DebAmort),MONTH(DebAmort),Jour1-Ijour)),#REF!)</f>
        <v>43100</v>
      </c>
      <c r="T7" s="388">
        <f>DAY(DebAmort)</f>
        <v>31</v>
      </c>
      <c r="U7" s="387" t="s">
        <v>163</v>
      </c>
      <c r="V7" s="398" t="b">
        <f>IF(Différé&gt;0,V5=2,FALSE)</f>
        <v>0</v>
      </c>
      <c r="W7" s="346" t="s">
        <v>164</v>
      </c>
    </row>
    <row r="8" spans="1:23" ht="13.5" thickBot="1" x14ac:dyDescent="0.25">
      <c r="B8" s="397"/>
      <c r="C8" s="396" t="str">
        <f>IF(EchFIXE,"Montant échéance fixe :","Capital / échéance :")</f>
        <v>Montant échéance fixe :</v>
      </c>
      <c r="D8" s="262">
        <f>IF(OR(D5=0,NOT(EchFIXE)),ROUND(MtEmprunt/NbEch,NbDeci),ROUND(MtEmprunt*TxPer/(1-((1+TxPer)^-NbEch)),NbDeci))</f>
        <v>440179.35</v>
      </c>
      <c r="E8" s="395"/>
      <c r="F8" s="395"/>
      <c r="G8" s="393"/>
      <c r="H8" s="393"/>
      <c r="I8" s="393"/>
      <c r="J8" s="449"/>
      <c r="K8" s="394" t="s">
        <v>165</v>
      </c>
      <c r="L8" s="393"/>
      <c r="M8" s="392"/>
      <c r="N8" s="578" t="s">
        <v>166</v>
      </c>
      <c r="O8" s="579"/>
      <c r="P8" s="263">
        <f>SUM(P5:P7)</f>
        <v>3521434.7880000002</v>
      </c>
      <c r="Q8" s="435"/>
      <c r="T8" s="388">
        <f>IF(Periodicite="B",IF(T7&gt;15,MIN(T7-15,15),T7+15),T7)</f>
        <v>31</v>
      </c>
      <c r="U8" s="387" t="s">
        <v>167</v>
      </c>
      <c r="V8" s="391">
        <f>M7*NbEchAn/12</f>
        <v>0</v>
      </c>
      <c r="W8" s="346" t="s">
        <v>168</v>
      </c>
    </row>
    <row r="9" spans="1:23" ht="13.5" thickBot="1" x14ac:dyDescent="0.25">
      <c r="B9" s="451"/>
      <c r="C9" s="452"/>
      <c r="D9" s="451"/>
      <c r="E9" s="390"/>
      <c r="F9" s="389"/>
      <c r="G9" s="451"/>
      <c r="H9" s="453"/>
      <c r="I9" s="453"/>
      <c r="J9" s="453"/>
      <c r="K9" s="451"/>
      <c r="L9" s="451"/>
      <c r="M9" s="451"/>
      <c r="N9" s="451"/>
      <c r="O9" s="451"/>
      <c r="P9" s="451"/>
      <c r="Q9" s="363"/>
      <c r="T9" s="388">
        <f>IF(Jour2&lt;Jour1,1,0)</f>
        <v>0</v>
      </c>
      <c r="U9" s="387" t="s">
        <v>169</v>
      </c>
      <c r="V9" s="386" t="s">
        <v>170</v>
      </c>
      <c r="W9" s="346" t="s">
        <v>171</v>
      </c>
    </row>
    <row r="10" spans="1:23" ht="15.75" thickBot="1" x14ac:dyDescent="0.3">
      <c r="B10" s="581" t="s">
        <v>172</v>
      </c>
      <c r="C10" s="582"/>
      <c r="D10" s="582"/>
      <c r="E10" s="582"/>
      <c r="F10" s="583"/>
      <c r="H10" s="586" t="s">
        <v>173</v>
      </c>
      <c r="I10" s="587"/>
      <c r="J10" s="587"/>
      <c r="K10" s="587"/>
      <c r="L10" s="587"/>
      <c r="M10" s="587"/>
      <c r="N10" s="587"/>
      <c r="O10" s="587"/>
      <c r="P10" s="588"/>
      <c r="Q10" s="350"/>
      <c r="R10" s="584" t="s">
        <v>174</v>
      </c>
      <c r="S10" s="585"/>
      <c r="V10" s="379">
        <f>D3</f>
        <v>2844972.7880000002</v>
      </c>
      <c r="W10" s="385" t="str">
        <f>UPPER(LEFT(INDEX(W3:W9,W2,1)))</f>
        <v>A</v>
      </c>
    </row>
    <row r="11" spans="1:23" ht="15" x14ac:dyDescent="0.25">
      <c r="B11" s="384">
        <f>COUNTIF(B15:B447,"&gt;0")</f>
        <v>0</v>
      </c>
      <c r="C11" s="383">
        <f>COUNTIF(C15:C447,"&gt;0")+COUNTIF(C15:C447,"&lt;0")</f>
        <v>0</v>
      </c>
      <c r="D11" s="383">
        <f>COUNTIF(D15:D447,"&gt;0")</f>
        <v>0</v>
      </c>
      <c r="E11" s="383">
        <f>COUNTIF(E15:E447,"&gt;0")</f>
        <v>0</v>
      </c>
      <c r="F11" s="382">
        <f>COUNTIF(F14:F447,"&gt;0")</f>
        <v>0</v>
      </c>
      <c r="H11" s="381"/>
      <c r="I11" s="597" t="s">
        <v>175</v>
      </c>
      <c r="J11" s="380"/>
      <c r="K11" s="573" t="s">
        <v>176</v>
      </c>
      <c r="L11" s="614" t="s">
        <v>177</v>
      </c>
      <c r="M11" s="608" t="s">
        <v>178</v>
      </c>
      <c r="N11" s="573" t="s">
        <v>179</v>
      </c>
      <c r="O11" s="573" t="s">
        <v>180</v>
      </c>
      <c r="P11" s="611" t="s">
        <v>181</v>
      </c>
      <c r="Q11" s="350"/>
      <c r="R11" s="605" t="s">
        <v>149</v>
      </c>
      <c r="S11" s="602" t="s">
        <v>182</v>
      </c>
      <c r="V11" s="379">
        <f>INDEX(L15:L996,Différé+1,1)</f>
        <v>2844972.7880000002</v>
      </c>
    </row>
    <row r="12" spans="1:23" ht="12.75" customHeight="1" x14ac:dyDescent="0.25">
      <c r="B12" s="589" t="s">
        <v>183</v>
      </c>
      <c r="C12" s="591" t="s">
        <v>184</v>
      </c>
      <c r="D12" s="593" t="s">
        <v>185</v>
      </c>
      <c r="E12" s="591" t="s">
        <v>186</v>
      </c>
      <c r="F12" s="595" t="s">
        <v>187</v>
      </c>
      <c r="G12" s="364"/>
      <c r="H12" s="378" t="s">
        <v>188</v>
      </c>
      <c r="I12" s="598"/>
      <c r="J12" s="377" t="s">
        <v>189</v>
      </c>
      <c r="K12" s="600"/>
      <c r="L12" s="615"/>
      <c r="M12" s="609"/>
      <c r="N12" s="574"/>
      <c r="O12" s="574"/>
      <c r="P12" s="612"/>
      <c r="Q12" s="370"/>
      <c r="R12" s="606"/>
      <c r="S12" s="603"/>
      <c r="V12" s="376">
        <f>IF(DiffTotal,V11,V10)</f>
        <v>2844972.7880000002</v>
      </c>
    </row>
    <row r="13" spans="1:23" ht="12.75" customHeight="1" thickBot="1" x14ac:dyDescent="0.25">
      <c r="A13" s="364"/>
      <c r="B13" s="590"/>
      <c r="C13" s="592"/>
      <c r="D13" s="594"/>
      <c r="E13" s="592"/>
      <c r="F13" s="596"/>
      <c r="G13" s="364"/>
      <c r="H13" s="375" t="s">
        <v>190</v>
      </c>
      <c r="I13" s="599"/>
      <c r="J13" s="374"/>
      <c r="K13" s="601"/>
      <c r="L13" s="616"/>
      <c r="M13" s="610"/>
      <c r="N13" s="575"/>
      <c r="O13" s="575"/>
      <c r="P13" s="613"/>
      <c r="Q13" s="370"/>
      <c r="R13" s="607"/>
      <c r="S13" s="604"/>
    </row>
    <row r="14" spans="1:23" s="364" customFormat="1" ht="13.5" customHeight="1" thickBot="1" x14ac:dyDescent="0.25">
      <c r="B14" s="454"/>
      <c r="C14" s="264">
        <f>IF(M8&gt;0,-M8,-D3)</f>
        <v>-2844972.7880000002</v>
      </c>
      <c r="D14" s="580" t="s">
        <v>165</v>
      </c>
      <c r="E14" s="580"/>
      <c r="F14" s="373"/>
      <c r="G14" s="455"/>
      <c r="H14" s="456">
        <v>0</v>
      </c>
      <c r="I14" s="372"/>
      <c r="J14" s="371">
        <f t="shared" ref="J14:J77" si="0">IF(ISNUMBER(K14),YEAR(K14),"")</f>
        <v>2017</v>
      </c>
      <c r="K14" s="457">
        <f>DATDB</f>
        <v>43100</v>
      </c>
      <c r="L14" s="265">
        <v>0</v>
      </c>
      <c r="M14" s="266"/>
      <c r="N14" s="265">
        <f>C14</f>
        <v>-2844972.7880000002</v>
      </c>
      <c r="O14" s="265">
        <f>F14</f>
        <v>0</v>
      </c>
      <c r="P14" s="267">
        <f t="shared" ref="P14:P77" si="1">SUM(M14:O14)</f>
        <v>-2844972.7880000002</v>
      </c>
      <c r="Q14" s="370"/>
      <c r="R14" s="458"/>
      <c r="S14" s="459"/>
    </row>
    <row r="15" spans="1:23" s="364" customFormat="1" ht="12.75" customHeight="1" x14ac:dyDescent="0.25">
      <c r="B15" s="369"/>
      <c r="C15" s="268"/>
      <c r="D15" s="368"/>
      <c r="E15" s="367"/>
      <c r="F15" s="366"/>
      <c r="G15" s="346"/>
      <c r="H15" s="358">
        <f t="shared" ref="H15:H78" si="2">IF(L15=0,"",H14+1)</f>
        <v>1</v>
      </c>
      <c r="I15" s="460">
        <f t="shared" ref="I15:I78" si="3">IF(L15&gt;0,NbEch+Différé+1-H15,"")</f>
        <v>8</v>
      </c>
      <c r="J15" s="460">
        <f t="shared" si="0"/>
        <v>2018</v>
      </c>
      <c r="K15" s="365">
        <f>DATE(YEAR(DebAmort),MONTH(DebAmort),DAY(DebAmort))</f>
        <v>43465</v>
      </c>
      <c r="L15" s="272">
        <f t="shared" ref="L15:L78" si="4">L14-N14</f>
        <v>2844972.7880000002</v>
      </c>
      <c r="M15" s="271">
        <f>INT1E</f>
        <v>142248.64000000001</v>
      </c>
      <c r="N15" s="272">
        <f>CAP1E+C15</f>
        <v>297930.70999999996</v>
      </c>
      <c r="O15" s="273">
        <f t="shared" ref="O15:O78" si="5">IF(OR(L15=0,H15&gt;NoEchMaxi),0,ROUND(FraisF+FraisV*L15,NbDeci))+F15</f>
        <v>0</v>
      </c>
      <c r="P15" s="345">
        <f t="shared" si="1"/>
        <v>440179.35</v>
      </c>
      <c r="Q15" s="350"/>
      <c r="R15" s="461">
        <f>IF(B15&gt;0,IF(TauxActuariel,((B15+1)^(1/NbEchAn))-1,B15/NbEchAn),TxPer)</f>
        <v>0.05</v>
      </c>
      <c r="S15" s="462">
        <f>IF(E15&gt;0,E15,IF(D15&gt;0,IF(AND(EchFIXE,R15&gt;0),ROUND((L15-C15)*R15/(1-((1+R15)^-D15)),NbDeci),ROUND(L15/D15,NbDeci)),MtEch))</f>
        <v>440179.35</v>
      </c>
    </row>
    <row r="16" spans="1:23" s="364" customFormat="1" ht="13.5" customHeight="1" x14ac:dyDescent="0.25">
      <c r="A16" s="346"/>
      <c r="B16" s="362"/>
      <c r="C16" s="269"/>
      <c r="D16" s="361"/>
      <c r="E16" s="360"/>
      <c r="F16" s="359"/>
      <c r="G16" s="346"/>
      <c r="H16" s="358">
        <f t="shared" si="2"/>
        <v>2</v>
      </c>
      <c r="I16" s="460">
        <f t="shared" si="3"/>
        <v>7</v>
      </c>
      <c r="J16" s="463">
        <f t="shared" si="0"/>
        <v>2019</v>
      </c>
      <c r="K16" s="357">
        <f>IF(L16=0,"",IF(Ijour=0,MIN(DATE(YEAR(DebAmort),MONTH(DebAmort)+MoisD+(H16-1)*Imois,Jour2),DATE(YEAR(DebAmort),MONTH(DebAmort)+MoisD+1+(H16-1)*Imois,0)),DATE(YEAR(DebAmort),MONTH(DebAmort),Jour1+(H16-1)*Ijour)))</f>
        <v>43830</v>
      </c>
      <c r="L16" s="270">
        <f t="shared" si="4"/>
        <v>2547042.0780000002</v>
      </c>
      <c r="M16" s="271">
        <f t="shared" ref="M16:M79" si="6">IF(H16&lt;=NoEchMaxi,ROUND(L16*R16,NbDeci),0)</f>
        <v>127352.1</v>
      </c>
      <c r="N16" s="272">
        <f t="shared" ref="N16:N79" si="7">IF(OR(H16&lt;=Différé,H16&gt;NoEchMaxi),IF(DiffTotal,-M16,0),IF(H16&gt;=NoEchRemb,L16,IF(S16-(M16*EchFIXE)&gt;L16-2,L16,S16-(M16*EchFIXE))))+C16</f>
        <v>312827.25</v>
      </c>
      <c r="O16" s="273">
        <f t="shared" si="5"/>
        <v>0</v>
      </c>
      <c r="P16" s="274">
        <f t="shared" si="1"/>
        <v>440179.35</v>
      </c>
      <c r="Q16" s="350"/>
      <c r="R16" s="461">
        <f t="shared" ref="R16:R79" si="8">IF(B16&gt;0,IF(TauxActuariel,((B16+1)^(1/NbEchAn))-1,B16/NbEchAn),R15)</f>
        <v>0.05</v>
      </c>
      <c r="S16" s="462">
        <f t="shared" ref="S16:S79" si="9">IF(E16&gt;0,E16,IF(D16&gt;0,IF(AND(EchFIXE,R16&gt;0),ROUND((L16-C16)*R16/(1-((1+R16)^-D16)),NbDeci),ROUND(L16/D16,NbDeci)),S15))</f>
        <v>440179.35</v>
      </c>
    </row>
    <row r="17" spans="2:19" ht="15" x14ac:dyDescent="0.25">
      <c r="B17" s="362"/>
      <c r="C17" s="269"/>
      <c r="D17" s="361"/>
      <c r="E17" s="360"/>
      <c r="F17" s="359"/>
      <c r="H17" s="358">
        <f t="shared" si="2"/>
        <v>3</v>
      </c>
      <c r="I17" s="460">
        <f t="shared" si="3"/>
        <v>6</v>
      </c>
      <c r="J17" s="463">
        <f t="shared" si="0"/>
        <v>2020</v>
      </c>
      <c r="K17" s="357">
        <f>IF(L17=0,"",IF(Ijour=0,MIN(DATE(YEAR(DebAmort),MONTH(DebAmort)+(H17-1)*Imois,Jour1),DATE(YEAR(DebAmort),MONTH(DebAmort)+1+(H17-1)*Imois,0)),DATE(YEAR(DebAmort),MONTH(DebAmort),Jour1+(H17-1)*Ijour)))</f>
        <v>44196</v>
      </c>
      <c r="L17" s="270">
        <f t="shared" si="4"/>
        <v>2234214.8280000002</v>
      </c>
      <c r="M17" s="271">
        <f t="shared" si="6"/>
        <v>111710.74</v>
      </c>
      <c r="N17" s="272">
        <f t="shared" si="7"/>
        <v>328468.61</v>
      </c>
      <c r="O17" s="273">
        <f t="shared" si="5"/>
        <v>0</v>
      </c>
      <c r="P17" s="274">
        <f t="shared" si="1"/>
        <v>440179.35</v>
      </c>
      <c r="Q17" s="350"/>
      <c r="R17" s="461">
        <f t="shared" si="8"/>
        <v>0.05</v>
      </c>
      <c r="S17" s="462">
        <f t="shared" si="9"/>
        <v>440179.35</v>
      </c>
    </row>
    <row r="18" spans="2:19" ht="15" x14ac:dyDescent="0.25">
      <c r="B18" s="362"/>
      <c r="C18" s="269"/>
      <c r="D18" s="361"/>
      <c r="E18" s="360"/>
      <c r="F18" s="359"/>
      <c r="H18" s="358">
        <f t="shared" si="2"/>
        <v>4</v>
      </c>
      <c r="I18" s="460">
        <f t="shared" si="3"/>
        <v>5</v>
      </c>
      <c r="J18" s="463">
        <f t="shared" si="0"/>
        <v>2021</v>
      </c>
      <c r="K18" s="357">
        <f>IF(L18=0,"",IF(Ijour=0,MIN(DATE(YEAR(DebAmort),MONTH(DebAmort)+MoisD+(H18-1)*Imois,Jour2),DATE(YEAR(DebAmort),MONTH(DebAmort)+MoisD+1+(H18-1)*Imois,0)),DATE(YEAR(DebAmort),MONTH(DebAmort),Jour1+(H18-1)*Ijour)))</f>
        <v>44561</v>
      </c>
      <c r="L18" s="270">
        <f t="shared" si="4"/>
        <v>1905746.2180000003</v>
      </c>
      <c r="M18" s="271">
        <f t="shared" si="6"/>
        <v>95287.31</v>
      </c>
      <c r="N18" s="272">
        <f t="shared" si="7"/>
        <v>344892.04</v>
      </c>
      <c r="O18" s="273">
        <f t="shared" si="5"/>
        <v>0</v>
      </c>
      <c r="P18" s="274">
        <f t="shared" si="1"/>
        <v>440179.35</v>
      </c>
      <c r="Q18" s="350"/>
      <c r="R18" s="461">
        <f t="shared" si="8"/>
        <v>0.05</v>
      </c>
      <c r="S18" s="462">
        <f t="shared" si="9"/>
        <v>440179.35</v>
      </c>
    </row>
    <row r="19" spans="2:19" ht="15" x14ac:dyDescent="0.25">
      <c r="B19" s="362"/>
      <c r="C19" s="269"/>
      <c r="D19" s="361"/>
      <c r="E19" s="360"/>
      <c r="F19" s="359"/>
      <c r="H19" s="358">
        <f t="shared" si="2"/>
        <v>5</v>
      </c>
      <c r="I19" s="460">
        <f t="shared" si="3"/>
        <v>4</v>
      </c>
      <c r="J19" s="463">
        <f t="shared" si="0"/>
        <v>2022</v>
      </c>
      <c r="K19" s="357">
        <f>IF(L19=0,"",IF(Ijour=0,MIN(DATE(YEAR(DebAmort),MONTH(DebAmort)+(H19-1)*Imois,Jour1),DATE(YEAR(DebAmort),MONTH(DebAmort)+1+(H19-1)*Imois,0)),DATE(YEAR(DebAmort),MONTH(DebAmort),Jour1+(H19-1)*Ijour)))</f>
        <v>44926</v>
      </c>
      <c r="L19" s="270">
        <f t="shared" si="4"/>
        <v>1560854.1780000003</v>
      </c>
      <c r="M19" s="271">
        <f t="shared" si="6"/>
        <v>78042.710000000006</v>
      </c>
      <c r="N19" s="272">
        <f t="shared" si="7"/>
        <v>362136.63999999996</v>
      </c>
      <c r="O19" s="273">
        <f t="shared" si="5"/>
        <v>0</v>
      </c>
      <c r="P19" s="274">
        <f t="shared" si="1"/>
        <v>440179.35</v>
      </c>
      <c r="Q19" s="350"/>
      <c r="R19" s="461">
        <f t="shared" si="8"/>
        <v>0.05</v>
      </c>
      <c r="S19" s="462">
        <f t="shared" si="9"/>
        <v>440179.35</v>
      </c>
    </row>
    <row r="20" spans="2:19" ht="15" x14ac:dyDescent="0.25">
      <c r="B20" s="362"/>
      <c r="C20" s="269"/>
      <c r="D20" s="361"/>
      <c r="E20" s="360"/>
      <c r="F20" s="359"/>
      <c r="H20" s="358">
        <f t="shared" si="2"/>
        <v>6</v>
      </c>
      <c r="I20" s="460">
        <f t="shared" si="3"/>
        <v>3</v>
      </c>
      <c r="J20" s="463">
        <f t="shared" si="0"/>
        <v>2023</v>
      </c>
      <c r="K20" s="357">
        <f>IF(L20=0,"",IF(Ijour=0,MIN(DATE(YEAR(DebAmort),MONTH(DebAmort)+MoisD+(H20-1)*Imois,Jour2),DATE(YEAR(DebAmort),MONTH(DebAmort)+MoisD+1+(H20-1)*Imois,0)),DATE(YEAR(DebAmort),MONTH(DebAmort),Jour1+(H20-1)*Ijour)))</f>
        <v>45291</v>
      </c>
      <c r="L20" s="270">
        <f t="shared" si="4"/>
        <v>1198717.5380000004</v>
      </c>
      <c r="M20" s="271">
        <f t="shared" si="6"/>
        <v>59935.88</v>
      </c>
      <c r="N20" s="272">
        <f t="shared" si="7"/>
        <v>380243.47</v>
      </c>
      <c r="O20" s="273">
        <f t="shared" si="5"/>
        <v>0</v>
      </c>
      <c r="P20" s="274">
        <f t="shared" si="1"/>
        <v>440179.35</v>
      </c>
      <c r="Q20" s="350"/>
      <c r="R20" s="461">
        <f t="shared" si="8"/>
        <v>0.05</v>
      </c>
      <c r="S20" s="462">
        <f t="shared" si="9"/>
        <v>440179.35</v>
      </c>
    </row>
    <row r="21" spans="2:19" ht="15" x14ac:dyDescent="0.25">
      <c r="B21" s="362"/>
      <c r="C21" s="269"/>
      <c r="D21" s="361"/>
      <c r="E21" s="360"/>
      <c r="F21" s="359"/>
      <c r="H21" s="358">
        <f t="shared" si="2"/>
        <v>7</v>
      </c>
      <c r="I21" s="460">
        <f t="shared" si="3"/>
        <v>2</v>
      </c>
      <c r="J21" s="463">
        <f t="shared" si="0"/>
        <v>2024</v>
      </c>
      <c r="K21" s="357">
        <f>IF(L21=0,"",IF(Ijour=0,MIN(DATE(YEAR(DebAmort),MONTH(DebAmort)+(H21-1)*Imois,Jour1),DATE(YEAR(DebAmort),MONTH(DebAmort)+1+(H21-1)*Imois,0)),DATE(YEAR(DebAmort),MONTH(DebAmort),Jour1+(H21-1)*Ijour)))</f>
        <v>45657</v>
      </c>
      <c r="L21" s="270">
        <f t="shared" si="4"/>
        <v>818474.06800000044</v>
      </c>
      <c r="M21" s="271">
        <f t="shared" si="6"/>
        <v>40923.699999999997</v>
      </c>
      <c r="N21" s="272">
        <f t="shared" si="7"/>
        <v>399255.64999999997</v>
      </c>
      <c r="O21" s="273">
        <f t="shared" si="5"/>
        <v>0</v>
      </c>
      <c r="P21" s="274">
        <f t="shared" si="1"/>
        <v>440179.35</v>
      </c>
      <c r="Q21" s="350"/>
      <c r="R21" s="461">
        <f t="shared" si="8"/>
        <v>0.05</v>
      </c>
      <c r="S21" s="462">
        <f t="shared" si="9"/>
        <v>440179.35</v>
      </c>
    </row>
    <row r="22" spans="2:19" ht="15" x14ac:dyDescent="0.25">
      <c r="B22" s="362"/>
      <c r="C22" s="269"/>
      <c r="D22" s="361"/>
      <c r="E22" s="360"/>
      <c r="F22" s="359"/>
      <c r="H22" s="358">
        <f t="shared" si="2"/>
        <v>8</v>
      </c>
      <c r="I22" s="460">
        <f t="shared" si="3"/>
        <v>1</v>
      </c>
      <c r="J22" s="463">
        <f t="shared" si="0"/>
        <v>2025</v>
      </c>
      <c r="K22" s="357">
        <f>IF(L22=0,"",IF(Ijour=0,MIN(DATE(YEAR(DebAmort),MONTH(DebAmort)+MoisD+(H22-1)*Imois,Jour2),DATE(YEAR(DebAmort),MONTH(DebAmort)+MoisD+1+(H22-1)*Imois,0)),DATE(YEAR(DebAmort),MONTH(DebAmort),Jour1+(H22-1)*Ijour)))</f>
        <v>46022</v>
      </c>
      <c r="L22" s="270">
        <f t="shared" si="4"/>
        <v>419218.41800000047</v>
      </c>
      <c r="M22" s="271">
        <f t="shared" si="6"/>
        <v>20960.919999999998</v>
      </c>
      <c r="N22" s="272">
        <f t="shared" si="7"/>
        <v>419218.41800000047</v>
      </c>
      <c r="O22" s="273">
        <f t="shared" si="5"/>
        <v>0</v>
      </c>
      <c r="P22" s="274">
        <f t="shared" si="1"/>
        <v>440179.33800000045</v>
      </c>
      <c r="Q22" s="350"/>
      <c r="R22" s="461">
        <f t="shared" si="8"/>
        <v>0.05</v>
      </c>
      <c r="S22" s="462">
        <f t="shared" si="9"/>
        <v>440179.35</v>
      </c>
    </row>
    <row r="23" spans="2:19" ht="15" x14ac:dyDescent="0.25">
      <c r="B23" s="362"/>
      <c r="C23" s="269"/>
      <c r="D23" s="361"/>
      <c r="E23" s="360"/>
      <c r="F23" s="359"/>
      <c r="H23" s="358" t="str">
        <f t="shared" si="2"/>
        <v/>
      </c>
      <c r="I23" s="460" t="str">
        <f t="shared" si="3"/>
        <v/>
      </c>
      <c r="J23" s="463" t="str">
        <f t="shared" si="0"/>
        <v/>
      </c>
      <c r="K23" s="357" t="str">
        <f>IF(L23=0,"",IF(Ijour=0,MIN(DATE(YEAR(DebAmort),MONTH(DebAmort)+(H23-1)*Imois,Jour1),DATE(YEAR(DebAmort),MONTH(DebAmort)+1+(H23-1)*Imois,0)),DATE(YEAR(DebAmort),MONTH(DebAmort),Jour1+(H23-1)*Ijour)))</f>
        <v/>
      </c>
      <c r="L23" s="270">
        <f t="shared" si="4"/>
        <v>0</v>
      </c>
      <c r="M23" s="271">
        <f t="shared" si="6"/>
        <v>0</v>
      </c>
      <c r="N23" s="272">
        <f t="shared" si="7"/>
        <v>0</v>
      </c>
      <c r="O23" s="273">
        <f t="shared" si="5"/>
        <v>0</v>
      </c>
      <c r="P23" s="274">
        <f t="shared" si="1"/>
        <v>0</v>
      </c>
      <c r="Q23" s="350"/>
      <c r="R23" s="461">
        <f t="shared" si="8"/>
        <v>0.05</v>
      </c>
      <c r="S23" s="462">
        <f t="shared" si="9"/>
        <v>440179.35</v>
      </c>
    </row>
    <row r="24" spans="2:19" ht="15" x14ac:dyDescent="0.25">
      <c r="B24" s="362"/>
      <c r="C24" s="269"/>
      <c r="D24" s="361"/>
      <c r="E24" s="360"/>
      <c r="F24" s="359"/>
      <c r="H24" s="358" t="str">
        <f t="shared" si="2"/>
        <v/>
      </c>
      <c r="I24" s="460" t="str">
        <f t="shared" si="3"/>
        <v/>
      </c>
      <c r="J24" s="463" t="str">
        <f t="shared" si="0"/>
        <v/>
      </c>
      <c r="K24" s="357" t="str">
        <f>IF(L24=0,"",IF(Ijour=0,MIN(DATE(YEAR(DebAmort),MONTH(DebAmort)+MoisD+(H24-1)*Imois,Jour2),DATE(YEAR(DebAmort),MONTH(DebAmort)+MoisD+1+(H24-1)*Imois,0)),DATE(YEAR(DebAmort),MONTH(DebAmort),Jour1+(H24-1)*Ijour)))</f>
        <v/>
      </c>
      <c r="L24" s="270">
        <f t="shared" si="4"/>
        <v>0</v>
      </c>
      <c r="M24" s="271">
        <f t="shared" si="6"/>
        <v>0</v>
      </c>
      <c r="N24" s="272">
        <f t="shared" si="7"/>
        <v>0</v>
      </c>
      <c r="O24" s="273">
        <f t="shared" si="5"/>
        <v>0</v>
      </c>
      <c r="P24" s="274">
        <f t="shared" si="1"/>
        <v>0</v>
      </c>
      <c r="Q24" s="350"/>
      <c r="R24" s="461">
        <f t="shared" si="8"/>
        <v>0.05</v>
      </c>
      <c r="S24" s="462">
        <f t="shared" si="9"/>
        <v>440179.35</v>
      </c>
    </row>
    <row r="25" spans="2:19" ht="15" x14ac:dyDescent="0.25">
      <c r="B25" s="362"/>
      <c r="C25" s="269"/>
      <c r="D25" s="361"/>
      <c r="E25" s="360"/>
      <c r="F25" s="359"/>
      <c r="H25" s="358" t="str">
        <f t="shared" si="2"/>
        <v/>
      </c>
      <c r="I25" s="460" t="str">
        <f t="shared" si="3"/>
        <v/>
      </c>
      <c r="J25" s="463" t="str">
        <f t="shared" si="0"/>
        <v/>
      </c>
      <c r="K25" s="357" t="str">
        <f>IF(L25=0,"",IF(Ijour=0,MIN(DATE(YEAR(DebAmort),MONTH(DebAmort)+(H25-1)*Imois,Jour1),DATE(YEAR(DebAmort),MONTH(DebAmort)+1+(H25-1)*Imois,0)),DATE(YEAR(DebAmort),MONTH(DebAmort),Jour1+(H25-1)*Ijour)))</f>
        <v/>
      </c>
      <c r="L25" s="270">
        <f t="shared" si="4"/>
        <v>0</v>
      </c>
      <c r="M25" s="271">
        <f t="shared" si="6"/>
        <v>0</v>
      </c>
      <c r="N25" s="272">
        <f t="shared" si="7"/>
        <v>0</v>
      </c>
      <c r="O25" s="273">
        <f t="shared" si="5"/>
        <v>0</v>
      </c>
      <c r="P25" s="274">
        <f t="shared" si="1"/>
        <v>0</v>
      </c>
      <c r="Q25" s="350"/>
      <c r="R25" s="461">
        <f t="shared" si="8"/>
        <v>0.05</v>
      </c>
      <c r="S25" s="462">
        <f t="shared" si="9"/>
        <v>440179.35</v>
      </c>
    </row>
    <row r="26" spans="2:19" ht="15" x14ac:dyDescent="0.25">
      <c r="B26" s="362"/>
      <c r="C26" s="269"/>
      <c r="D26" s="361"/>
      <c r="E26" s="360"/>
      <c r="F26" s="359"/>
      <c r="H26" s="358" t="str">
        <f t="shared" si="2"/>
        <v/>
      </c>
      <c r="I26" s="460" t="str">
        <f t="shared" si="3"/>
        <v/>
      </c>
      <c r="J26" s="463" t="str">
        <f t="shared" si="0"/>
        <v/>
      </c>
      <c r="K26" s="357" t="str">
        <f>IF(L26=0,"",IF(Ijour=0,MIN(DATE(YEAR(DebAmort),MONTH(DebAmort)+MoisD+(H26-1)*Imois,Jour2),DATE(YEAR(DebAmort),MONTH(DebAmort)+MoisD+1+(H26-1)*Imois,0)),DATE(YEAR(DebAmort),MONTH(DebAmort),Jour1+(H26-1)*Ijour)))</f>
        <v/>
      </c>
      <c r="L26" s="270">
        <f t="shared" si="4"/>
        <v>0</v>
      </c>
      <c r="M26" s="271">
        <f t="shared" si="6"/>
        <v>0</v>
      </c>
      <c r="N26" s="272">
        <f t="shared" si="7"/>
        <v>0</v>
      </c>
      <c r="O26" s="273">
        <f t="shared" si="5"/>
        <v>0</v>
      </c>
      <c r="P26" s="274">
        <f t="shared" si="1"/>
        <v>0</v>
      </c>
      <c r="Q26" s="350"/>
      <c r="R26" s="461">
        <f t="shared" si="8"/>
        <v>0.05</v>
      </c>
      <c r="S26" s="462">
        <f t="shared" si="9"/>
        <v>440179.35</v>
      </c>
    </row>
    <row r="27" spans="2:19" ht="15" x14ac:dyDescent="0.25">
      <c r="B27" s="362"/>
      <c r="C27" s="269"/>
      <c r="D27" s="361"/>
      <c r="E27" s="360"/>
      <c r="F27" s="359"/>
      <c r="H27" s="358" t="str">
        <f t="shared" si="2"/>
        <v/>
      </c>
      <c r="I27" s="460" t="str">
        <f t="shared" si="3"/>
        <v/>
      </c>
      <c r="J27" s="463" t="str">
        <f t="shared" si="0"/>
        <v/>
      </c>
      <c r="K27" s="357" t="str">
        <f>IF(L27=0,"",IF(Ijour=0,MIN(DATE(YEAR(DebAmort),MONTH(DebAmort)+(H27-1)*Imois,Jour1),DATE(YEAR(DebAmort),MONTH(DebAmort)+1+(H27-1)*Imois,0)),DATE(YEAR(DebAmort),MONTH(DebAmort),Jour1+(H27-1)*Ijour)))</f>
        <v/>
      </c>
      <c r="L27" s="270">
        <f t="shared" si="4"/>
        <v>0</v>
      </c>
      <c r="M27" s="271">
        <f t="shared" si="6"/>
        <v>0</v>
      </c>
      <c r="N27" s="272">
        <f t="shared" si="7"/>
        <v>0</v>
      </c>
      <c r="O27" s="273">
        <f t="shared" si="5"/>
        <v>0</v>
      </c>
      <c r="P27" s="274">
        <f t="shared" si="1"/>
        <v>0</v>
      </c>
      <c r="Q27" s="350"/>
      <c r="R27" s="461">
        <f t="shared" si="8"/>
        <v>0.05</v>
      </c>
      <c r="S27" s="462">
        <f t="shared" si="9"/>
        <v>440179.35</v>
      </c>
    </row>
    <row r="28" spans="2:19" ht="15" x14ac:dyDescent="0.25">
      <c r="B28" s="362"/>
      <c r="C28" s="269"/>
      <c r="D28" s="361"/>
      <c r="E28" s="360"/>
      <c r="F28" s="359"/>
      <c r="H28" s="358" t="str">
        <f t="shared" si="2"/>
        <v/>
      </c>
      <c r="I28" s="460" t="str">
        <f t="shared" si="3"/>
        <v/>
      </c>
      <c r="J28" s="463" t="str">
        <f t="shared" si="0"/>
        <v/>
      </c>
      <c r="K28" s="357" t="str">
        <f>IF(L28=0,"",IF(Ijour=0,MIN(DATE(YEAR(DebAmort),MONTH(DebAmort)+MoisD+(H28-1)*Imois,Jour2),DATE(YEAR(DebAmort),MONTH(DebAmort)+MoisD+1+(H28-1)*Imois,0)),DATE(YEAR(DebAmort),MONTH(DebAmort),Jour1+(H28-1)*Ijour)))</f>
        <v/>
      </c>
      <c r="L28" s="270">
        <f t="shared" si="4"/>
        <v>0</v>
      </c>
      <c r="M28" s="271">
        <f t="shared" si="6"/>
        <v>0</v>
      </c>
      <c r="N28" s="272">
        <f t="shared" si="7"/>
        <v>0</v>
      </c>
      <c r="O28" s="273">
        <f t="shared" si="5"/>
        <v>0</v>
      </c>
      <c r="P28" s="274">
        <f t="shared" si="1"/>
        <v>0</v>
      </c>
      <c r="Q28" s="350"/>
      <c r="R28" s="461">
        <f t="shared" si="8"/>
        <v>0.05</v>
      </c>
      <c r="S28" s="462">
        <f t="shared" si="9"/>
        <v>440179.35</v>
      </c>
    </row>
    <row r="29" spans="2:19" ht="15" x14ac:dyDescent="0.25">
      <c r="B29" s="362"/>
      <c r="C29" s="269"/>
      <c r="D29" s="361"/>
      <c r="E29" s="360"/>
      <c r="F29" s="359"/>
      <c r="H29" s="358" t="str">
        <f t="shared" si="2"/>
        <v/>
      </c>
      <c r="I29" s="460" t="str">
        <f t="shared" si="3"/>
        <v/>
      </c>
      <c r="J29" s="463" t="str">
        <f t="shared" si="0"/>
        <v/>
      </c>
      <c r="K29" s="357" t="str">
        <f>IF(L29=0,"",IF(Ijour=0,MIN(DATE(YEAR(DebAmort),MONTH(DebAmort)+(H29-1)*Imois,Jour1),DATE(YEAR(DebAmort),MONTH(DebAmort)+1+(H29-1)*Imois,0)),DATE(YEAR(DebAmort),MONTH(DebAmort),Jour1+(H29-1)*Ijour)))</f>
        <v/>
      </c>
      <c r="L29" s="270">
        <f t="shared" si="4"/>
        <v>0</v>
      </c>
      <c r="M29" s="271">
        <f t="shared" si="6"/>
        <v>0</v>
      </c>
      <c r="N29" s="272">
        <f t="shared" si="7"/>
        <v>0</v>
      </c>
      <c r="O29" s="273">
        <f t="shared" si="5"/>
        <v>0</v>
      </c>
      <c r="P29" s="274">
        <f t="shared" si="1"/>
        <v>0</v>
      </c>
      <c r="Q29" s="350"/>
      <c r="R29" s="461">
        <f t="shared" si="8"/>
        <v>0.05</v>
      </c>
      <c r="S29" s="462">
        <f t="shared" si="9"/>
        <v>440179.35</v>
      </c>
    </row>
    <row r="30" spans="2:19" ht="15" x14ac:dyDescent="0.25">
      <c r="B30" s="362"/>
      <c r="C30" s="269"/>
      <c r="D30" s="361"/>
      <c r="E30" s="360"/>
      <c r="F30" s="359"/>
      <c r="H30" s="358" t="str">
        <f t="shared" si="2"/>
        <v/>
      </c>
      <c r="I30" s="460" t="str">
        <f t="shared" si="3"/>
        <v/>
      </c>
      <c r="J30" s="463" t="str">
        <f t="shared" si="0"/>
        <v/>
      </c>
      <c r="K30" s="357" t="str">
        <f>IF(L30=0,"",IF(Ijour=0,MIN(DATE(YEAR(DebAmort),MONTH(DebAmort)+MoisD+(H30-1)*Imois,Jour2),DATE(YEAR(DebAmort),MONTH(DebAmort)+MoisD+1+(H30-1)*Imois,0)),DATE(YEAR(DebAmort),MONTH(DebAmort),Jour1+(H30-1)*Ijour)))</f>
        <v/>
      </c>
      <c r="L30" s="270">
        <f t="shared" si="4"/>
        <v>0</v>
      </c>
      <c r="M30" s="271">
        <f t="shared" si="6"/>
        <v>0</v>
      </c>
      <c r="N30" s="272">
        <f t="shared" si="7"/>
        <v>0</v>
      </c>
      <c r="O30" s="273">
        <f t="shared" si="5"/>
        <v>0</v>
      </c>
      <c r="P30" s="274">
        <f t="shared" si="1"/>
        <v>0</v>
      </c>
      <c r="Q30" s="350"/>
      <c r="R30" s="461">
        <f t="shared" si="8"/>
        <v>0.05</v>
      </c>
      <c r="S30" s="462">
        <f t="shared" si="9"/>
        <v>440179.35</v>
      </c>
    </row>
    <row r="31" spans="2:19" ht="15" x14ac:dyDescent="0.25">
      <c r="B31" s="362"/>
      <c r="C31" s="269"/>
      <c r="D31" s="361"/>
      <c r="E31" s="360"/>
      <c r="F31" s="359"/>
      <c r="H31" s="358" t="str">
        <f t="shared" si="2"/>
        <v/>
      </c>
      <c r="I31" s="460" t="str">
        <f t="shared" si="3"/>
        <v/>
      </c>
      <c r="J31" s="463" t="str">
        <f t="shared" si="0"/>
        <v/>
      </c>
      <c r="K31" s="357" t="str">
        <f>IF(L31=0,"",IF(Ijour=0,MIN(DATE(YEAR(DebAmort),MONTH(DebAmort)+(H31-1)*Imois,Jour1),DATE(YEAR(DebAmort),MONTH(DebAmort)+1+(H31-1)*Imois,0)),DATE(YEAR(DebAmort),MONTH(DebAmort),Jour1+(H31-1)*Ijour)))</f>
        <v/>
      </c>
      <c r="L31" s="270">
        <f t="shared" si="4"/>
        <v>0</v>
      </c>
      <c r="M31" s="271">
        <f t="shared" si="6"/>
        <v>0</v>
      </c>
      <c r="N31" s="272">
        <f t="shared" si="7"/>
        <v>0</v>
      </c>
      <c r="O31" s="273">
        <f t="shared" si="5"/>
        <v>0</v>
      </c>
      <c r="P31" s="274">
        <f t="shared" si="1"/>
        <v>0</v>
      </c>
      <c r="Q31" s="350"/>
      <c r="R31" s="461">
        <f t="shared" si="8"/>
        <v>0.05</v>
      </c>
      <c r="S31" s="462">
        <f t="shared" si="9"/>
        <v>440179.35</v>
      </c>
    </row>
    <row r="32" spans="2:19" ht="15" x14ac:dyDescent="0.25">
      <c r="B32" s="362"/>
      <c r="C32" s="269"/>
      <c r="D32" s="361"/>
      <c r="E32" s="360"/>
      <c r="F32" s="359"/>
      <c r="H32" s="358" t="str">
        <f t="shared" si="2"/>
        <v/>
      </c>
      <c r="I32" s="460" t="str">
        <f t="shared" si="3"/>
        <v/>
      </c>
      <c r="J32" s="463" t="str">
        <f t="shared" si="0"/>
        <v/>
      </c>
      <c r="K32" s="357" t="str">
        <f>IF(L32=0,"",IF(Ijour=0,MIN(DATE(YEAR(DebAmort),MONTH(DebAmort)+MoisD+(H32-1)*Imois,Jour2),DATE(YEAR(DebAmort),MONTH(DebAmort)+MoisD+1+(H32-1)*Imois,0)),DATE(YEAR(DebAmort),MONTH(DebAmort),Jour1+(H32-1)*Ijour)))</f>
        <v/>
      </c>
      <c r="L32" s="270">
        <f t="shared" si="4"/>
        <v>0</v>
      </c>
      <c r="M32" s="271">
        <f t="shared" si="6"/>
        <v>0</v>
      </c>
      <c r="N32" s="272">
        <f t="shared" si="7"/>
        <v>0</v>
      </c>
      <c r="O32" s="273">
        <f t="shared" si="5"/>
        <v>0</v>
      </c>
      <c r="P32" s="274">
        <f t="shared" si="1"/>
        <v>0</v>
      </c>
      <c r="Q32" s="350"/>
      <c r="R32" s="461">
        <f t="shared" si="8"/>
        <v>0.05</v>
      </c>
      <c r="S32" s="462">
        <f t="shared" si="9"/>
        <v>440179.35</v>
      </c>
    </row>
    <row r="33" spans="2:19" ht="15" x14ac:dyDescent="0.25">
      <c r="B33" s="362"/>
      <c r="C33" s="269"/>
      <c r="D33" s="361"/>
      <c r="E33" s="360"/>
      <c r="F33" s="359"/>
      <c r="H33" s="358" t="str">
        <f t="shared" si="2"/>
        <v/>
      </c>
      <c r="I33" s="460" t="str">
        <f t="shared" si="3"/>
        <v/>
      </c>
      <c r="J33" s="463" t="str">
        <f t="shared" si="0"/>
        <v/>
      </c>
      <c r="K33" s="357" t="str">
        <f>IF(L33=0,"",IF(Ijour=0,MIN(DATE(YEAR(DebAmort),MONTH(DebAmort)+(H33-1)*Imois,Jour1),DATE(YEAR(DebAmort),MONTH(DebAmort)+1+(H33-1)*Imois,0)),DATE(YEAR(DebAmort),MONTH(DebAmort),Jour1+(H33-1)*Ijour)))</f>
        <v/>
      </c>
      <c r="L33" s="270">
        <f t="shared" si="4"/>
        <v>0</v>
      </c>
      <c r="M33" s="271">
        <f t="shared" si="6"/>
        <v>0</v>
      </c>
      <c r="N33" s="272">
        <f t="shared" si="7"/>
        <v>0</v>
      </c>
      <c r="O33" s="273">
        <f t="shared" si="5"/>
        <v>0</v>
      </c>
      <c r="P33" s="274">
        <f t="shared" si="1"/>
        <v>0</v>
      </c>
      <c r="Q33" s="350"/>
      <c r="R33" s="461">
        <f t="shared" si="8"/>
        <v>0.05</v>
      </c>
      <c r="S33" s="462">
        <f t="shared" si="9"/>
        <v>440179.35</v>
      </c>
    </row>
    <row r="34" spans="2:19" ht="15" x14ac:dyDescent="0.25">
      <c r="B34" s="362"/>
      <c r="C34" s="269"/>
      <c r="D34" s="361"/>
      <c r="E34" s="360"/>
      <c r="F34" s="359"/>
      <c r="H34" s="358" t="str">
        <f t="shared" si="2"/>
        <v/>
      </c>
      <c r="I34" s="460" t="str">
        <f t="shared" si="3"/>
        <v/>
      </c>
      <c r="J34" s="463" t="str">
        <f t="shared" si="0"/>
        <v/>
      </c>
      <c r="K34" s="357" t="str">
        <f>IF(L34=0,"",IF(Ijour=0,MIN(DATE(YEAR(DebAmort),MONTH(DebAmort)+MoisD+(H34-1)*Imois,Jour2),DATE(YEAR(DebAmort),MONTH(DebAmort)+MoisD+1+(H34-1)*Imois,0)),DATE(YEAR(DebAmort),MONTH(DebAmort),Jour1+(H34-1)*Ijour)))</f>
        <v/>
      </c>
      <c r="L34" s="270">
        <f t="shared" si="4"/>
        <v>0</v>
      </c>
      <c r="M34" s="271">
        <f t="shared" si="6"/>
        <v>0</v>
      </c>
      <c r="N34" s="272">
        <f t="shared" si="7"/>
        <v>0</v>
      </c>
      <c r="O34" s="273">
        <f t="shared" si="5"/>
        <v>0</v>
      </c>
      <c r="P34" s="274">
        <f t="shared" si="1"/>
        <v>0</v>
      </c>
      <c r="Q34" s="350"/>
      <c r="R34" s="461">
        <f t="shared" si="8"/>
        <v>0.05</v>
      </c>
      <c r="S34" s="462">
        <f t="shared" si="9"/>
        <v>440179.35</v>
      </c>
    </row>
    <row r="35" spans="2:19" ht="15" x14ac:dyDescent="0.25">
      <c r="B35" s="362"/>
      <c r="C35" s="269"/>
      <c r="D35" s="361"/>
      <c r="E35" s="360"/>
      <c r="F35" s="359"/>
      <c r="H35" s="358" t="str">
        <f t="shared" si="2"/>
        <v/>
      </c>
      <c r="I35" s="460" t="str">
        <f t="shared" si="3"/>
        <v/>
      </c>
      <c r="J35" s="463" t="str">
        <f t="shared" si="0"/>
        <v/>
      </c>
      <c r="K35" s="357" t="str">
        <f>IF(L35=0,"",IF(Ijour=0,MIN(DATE(YEAR(DebAmort),MONTH(DebAmort)+(H35-1)*Imois,Jour1),DATE(YEAR(DebAmort),MONTH(DebAmort)+1+(H35-1)*Imois,0)),DATE(YEAR(DebAmort),MONTH(DebAmort),Jour1+(H35-1)*Ijour)))</f>
        <v/>
      </c>
      <c r="L35" s="270">
        <f t="shared" si="4"/>
        <v>0</v>
      </c>
      <c r="M35" s="271">
        <f t="shared" si="6"/>
        <v>0</v>
      </c>
      <c r="N35" s="272">
        <f t="shared" si="7"/>
        <v>0</v>
      </c>
      <c r="O35" s="273">
        <f t="shared" si="5"/>
        <v>0</v>
      </c>
      <c r="P35" s="274">
        <f t="shared" si="1"/>
        <v>0</v>
      </c>
      <c r="Q35" s="350"/>
      <c r="R35" s="461">
        <f t="shared" si="8"/>
        <v>0.05</v>
      </c>
      <c r="S35" s="462">
        <f t="shared" si="9"/>
        <v>440179.35</v>
      </c>
    </row>
    <row r="36" spans="2:19" ht="15" x14ac:dyDescent="0.25">
      <c r="B36" s="362"/>
      <c r="C36" s="269"/>
      <c r="D36" s="361"/>
      <c r="E36" s="360"/>
      <c r="F36" s="359"/>
      <c r="H36" s="358" t="str">
        <f t="shared" si="2"/>
        <v/>
      </c>
      <c r="I36" s="460" t="str">
        <f t="shared" si="3"/>
        <v/>
      </c>
      <c r="J36" s="463" t="str">
        <f t="shared" si="0"/>
        <v/>
      </c>
      <c r="K36" s="357" t="str">
        <f>IF(L36=0,"",IF(Ijour=0,MIN(DATE(YEAR(DebAmort),MONTH(DebAmort)+MoisD+(H36-1)*Imois,Jour2),DATE(YEAR(DebAmort),MONTH(DebAmort)+MoisD+1+(H36-1)*Imois,0)),DATE(YEAR(DebAmort),MONTH(DebAmort),Jour1+(H36-1)*Ijour)))</f>
        <v/>
      </c>
      <c r="L36" s="270">
        <f t="shared" si="4"/>
        <v>0</v>
      </c>
      <c r="M36" s="271">
        <f t="shared" si="6"/>
        <v>0</v>
      </c>
      <c r="N36" s="272">
        <f t="shared" si="7"/>
        <v>0</v>
      </c>
      <c r="O36" s="273">
        <f t="shared" si="5"/>
        <v>0</v>
      </c>
      <c r="P36" s="274">
        <f t="shared" si="1"/>
        <v>0</v>
      </c>
      <c r="Q36" s="350"/>
      <c r="R36" s="461">
        <f t="shared" si="8"/>
        <v>0.05</v>
      </c>
      <c r="S36" s="462">
        <f t="shared" si="9"/>
        <v>440179.35</v>
      </c>
    </row>
    <row r="37" spans="2:19" ht="15" x14ac:dyDescent="0.25">
      <c r="B37" s="362"/>
      <c r="C37" s="269"/>
      <c r="D37" s="361"/>
      <c r="E37" s="360"/>
      <c r="F37" s="359"/>
      <c r="H37" s="358" t="str">
        <f t="shared" si="2"/>
        <v/>
      </c>
      <c r="I37" s="460" t="str">
        <f t="shared" si="3"/>
        <v/>
      </c>
      <c r="J37" s="463" t="str">
        <f t="shared" si="0"/>
        <v/>
      </c>
      <c r="K37" s="357" t="str">
        <f>IF(L37=0,"",IF(Ijour=0,MIN(DATE(YEAR(DebAmort),MONTH(DebAmort)+(H37-1)*Imois,Jour1),DATE(YEAR(DebAmort),MONTH(DebAmort)+1+(H37-1)*Imois,0)),DATE(YEAR(DebAmort),MONTH(DebAmort),Jour1+(H37-1)*Ijour)))</f>
        <v/>
      </c>
      <c r="L37" s="270">
        <f t="shared" si="4"/>
        <v>0</v>
      </c>
      <c r="M37" s="271">
        <f t="shared" si="6"/>
        <v>0</v>
      </c>
      <c r="N37" s="272">
        <f t="shared" si="7"/>
        <v>0</v>
      </c>
      <c r="O37" s="273">
        <f t="shared" si="5"/>
        <v>0</v>
      </c>
      <c r="P37" s="274">
        <f t="shared" si="1"/>
        <v>0</v>
      </c>
      <c r="Q37" s="350"/>
      <c r="R37" s="461">
        <f t="shared" si="8"/>
        <v>0.05</v>
      </c>
      <c r="S37" s="462">
        <f t="shared" si="9"/>
        <v>440179.35</v>
      </c>
    </row>
    <row r="38" spans="2:19" ht="15" x14ac:dyDescent="0.25">
      <c r="B38" s="362"/>
      <c r="C38" s="269"/>
      <c r="D38" s="361"/>
      <c r="E38" s="360"/>
      <c r="F38" s="359"/>
      <c r="H38" s="358" t="str">
        <f t="shared" si="2"/>
        <v/>
      </c>
      <c r="I38" s="460" t="str">
        <f t="shared" si="3"/>
        <v/>
      </c>
      <c r="J38" s="463" t="str">
        <f t="shared" si="0"/>
        <v/>
      </c>
      <c r="K38" s="357" t="str">
        <f>IF(L38=0,"",IF(Ijour=0,MIN(DATE(YEAR(DebAmort),MONTH(DebAmort)+MoisD+(H38-1)*Imois,Jour2),DATE(YEAR(DebAmort),MONTH(DebAmort)+MoisD+1+(H38-1)*Imois,0)),DATE(YEAR(DebAmort),MONTH(DebAmort),Jour1+(H38-1)*Ijour)))</f>
        <v/>
      </c>
      <c r="L38" s="270">
        <f t="shared" si="4"/>
        <v>0</v>
      </c>
      <c r="M38" s="271">
        <f t="shared" si="6"/>
        <v>0</v>
      </c>
      <c r="N38" s="272">
        <f t="shared" si="7"/>
        <v>0</v>
      </c>
      <c r="O38" s="273">
        <f t="shared" si="5"/>
        <v>0</v>
      </c>
      <c r="P38" s="274">
        <f t="shared" si="1"/>
        <v>0</v>
      </c>
      <c r="Q38" s="350"/>
      <c r="R38" s="461">
        <f t="shared" si="8"/>
        <v>0.05</v>
      </c>
      <c r="S38" s="462">
        <f t="shared" si="9"/>
        <v>440179.35</v>
      </c>
    </row>
    <row r="39" spans="2:19" ht="15" x14ac:dyDescent="0.25">
      <c r="B39" s="362"/>
      <c r="C39" s="269"/>
      <c r="D39" s="361"/>
      <c r="E39" s="360"/>
      <c r="F39" s="359"/>
      <c r="H39" s="358" t="str">
        <f t="shared" si="2"/>
        <v/>
      </c>
      <c r="I39" s="460" t="str">
        <f t="shared" si="3"/>
        <v/>
      </c>
      <c r="J39" s="463" t="str">
        <f t="shared" si="0"/>
        <v/>
      </c>
      <c r="K39" s="357" t="str">
        <f>IF(L39=0,"",IF(Ijour=0,MIN(DATE(YEAR(DebAmort),MONTH(DebAmort)+(H39-1)*Imois,Jour1),DATE(YEAR(DebAmort),MONTH(DebAmort)+1+(H39-1)*Imois,0)),DATE(YEAR(DebAmort),MONTH(DebAmort),Jour1+(H39-1)*Ijour)))</f>
        <v/>
      </c>
      <c r="L39" s="270">
        <f t="shared" si="4"/>
        <v>0</v>
      </c>
      <c r="M39" s="271">
        <f t="shared" si="6"/>
        <v>0</v>
      </c>
      <c r="N39" s="272">
        <f t="shared" si="7"/>
        <v>0</v>
      </c>
      <c r="O39" s="273">
        <f t="shared" si="5"/>
        <v>0</v>
      </c>
      <c r="P39" s="274">
        <f t="shared" si="1"/>
        <v>0</v>
      </c>
      <c r="Q39" s="350"/>
      <c r="R39" s="461">
        <f t="shared" si="8"/>
        <v>0.05</v>
      </c>
      <c r="S39" s="462">
        <f t="shared" si="9"/>
        <v>440179.35</v>
      </c>
    </row>
    <row r="40" spans="2:19" ht="15" x14ac:dyDescent="0.25">
      <c r="B40" s="362"/>
      <c r="C40" s="269"/>
      <c r="D40" s="361"/>
      <c r="E40" s="360"/>
      <c r="F40" s="359"/>
      <c r="H40" s="358" t="str">
        <f t="shared" si="2"/>
        <v/>
      </c>
      <c r="I40" s="460" t="str">
        <f t="shared" si="3"/>
        <v/>
      </c>
      <c r="J40" s="463" t="str">
        <f t="shared" si="0"/>
        <v/>
      </c>
      <c r="K40" s="357" t="str">
        <f>IF(L40=0,"",IF(Ijour=0,MIN(DATE(YEAR(DebAmort),MONTH(DebAmort)+MoisD+(H40-1)*Imois,Jour2),DATE(YEAR(DebAmort),MONTH(DebAmort)+MoisD+1+(H40-1)*Imois,0)),DATE(YEAR(DebAmort),MONTH(DebAmort),Jour1+(H40-1)*Ijour)))</f>
        <v/>
      </c>
      <c r="L40" s="270">
        <f t="shared" si="4"/>
        <v>0</v>
      </c>
      <c r="M40" s="271">
        <f t="shared" si="6"/>
        <v>0</v>
      </c>
      <c r="N40" s="272">
        <f t="shared" si="7"/>
        <v>0</v>
      </c>
      <c r="O40" s="273">
        <f t="shared" si="5"/>
        <v>0</v>
      </c>
      <c r="P40" s="274">
        <f t="shared" si="1"/>
        <v>0</v>
      </c>
      <c r="Q40" s="350"/>
      <c r="R40" s="461">
        <f t="shared" si="8"/>
        <v>0.05</v>
      </c>
      <c r="S40" s="462">
        <f t="shared" si="9"/>
        <v>440179.35</v>
      </c>
    </row>
    <row r="41" spans="2:19" ht="15" x14ac:dyDescent="0.25">
      <c r="B41" s="362"/>
      <c r="C41" s="269"/>
      <c r="D41" s="361"/>
      <c r="E41" s="360"/>
      <c r="F41" s="359"/>
      <c r="H41" s="358" t="str">
        <f t="shared" si="2"/>
        <v/>
      </c>
      <c r="I41" s="460" t="str">
        <f t="shared" si="3"/>
        <v/>
      </c>
      <c r="J41" s="463" t="str">
        <f t="shared" si="0"/>
        <v/>
      </c>
      <c r="K41" s="357" t="str">
        <f>IF(L41=0,"",IF(Ijour=0,MIN(DATE(YEAR(DebAmort),MONTH(DebAmort)+(H41-1)*Imois,Jour1),DATE(YEAR(DebAmort),MONTH(DebAmort)+1+(H41-1)*Imois,0)),DATE(YEAR(DebAmort),MONTH(DebAmort),Jour1+(H41-1)*Ijour)))</f>
        <v/>
      </c>
      <c r="L41" s="270">
        <f t="shared" si="4"/>
        <v>0</v>
      </c>
      <c r="M41" s="271">
        <f t="shared" si="6"/>
        <v>0</v>
      </c>
      <c r="N41" s="272">
        <f t="shared" si="7"/>
        <v>0</v>
      </c>
      <c r="O41" s="273">
        <f t="shared" si="5"/>
        <v>0</v>
      </c>
      <c r="P41" s="274">
        <f t="shared" si="1"/>
        <v>0</v>
      </c>
      <c r="Q41" s="350"/>
      <c r="R41" s="461">
        <f t="shared" si="8"/>
        <v>0.05</v>
      </c>
      <c r="S41" s="462">
        <f t="shared" si="9"/>
        <v>440179.35</v>
      </c>
    </row>
    <row r="42" spans="2:19" ht="15" x14ac:dyDescent="0.25">
      <c r="B42" s="362"/>
      <c r="C42" s="269"/>
      <c r="D42" s="361"/>
      <c r="E42" s="360"/>
      <c r="F42" s="359"/>
      <c r="H42" s="358" t="str">
        <f t="shared" si="2"/>
        <v/>
      </c>
      <c r="I42" s="460" t="str">
        <f t="shared" si="3"/>
        <v/>
      </c>
      <c r="J42" s="463" t="str">
        <f t="shared" si="0"/>
        <v/>
      </c>
      <c r="K42" s="357" t="str">
        <f>IF(L42=0,"",IF(Ijour=0,MIN(DATE(YEAR(DebAmort),MONTH(DebAmort)+MoisD+(H42-1)*Imois,Jour2),DATE(YEAR(DebAmort),MONTH(DebAmort)+MoisD+1+(H42-1)*Imois,0)),DATE(YEAR(DebAmort),MONTH(DebAmort),Jour1+(H42-1)*Ijour)))</f>
        <v/>
      </c>
      <c r="L42" s="270">
        <f t="shared" si="4"/>
        <v>0</v>
      </c>
      <c r="M42" s="271">
        <f t="shared" si="6"/>
        <v>0</v>
      </c>
      <c r="N42" s="272">
        <f t="shared" si="7"/>
        <v>0</v>
      </c>
      <c r="O42" s="273">
        <f t="shared" si="5"/>
        <v>0</v>
      </c>
      <c r="P42" s="274">
        <f t="shared" si="1"/>
        <v>0</v>
      </c>
      <c r="Q42" s="350"/>
      <c r="R42" s="461">
        <f t="shared" si="8"/>
        <v>0.05</v>
      </c>
      <c r="S42" s="462">
        <f t="shared" si="9"/>
        <v>440179.35</v>
      </c>
    </row>
    <row r="43" spans="2:19" ht="15" x14ac:dyDescent="0.25">
      <c r="B43" s="362"/>
      <c r="C43" s="269"/>
      <c r="D43" s="361"/>
      <c r="E43" s="360"/>
      <c r="F43" s="359"/>
      <c r="H43" s="358" t="str">
        <f t="shared" si="2"/>
        <v/>
      </c>
      <c r="I43" s="460" t="str">
        <f t="shared" si="3"/>
        <v/>
      </c>
      <c r="J43" s="463" t="str">
        <f t="shared" si="0"/>
        <v/>
      </c>
      <c r="K43" s="357" t="str">
        <f>IF(L43=0,"",IF(Ijour=0,MIN(DATE(YEAR(DebAmort),MONTH(DebAmort)+(H43-1)*Imois,Jour1),DATE(YEAR(DebAmort),MONTH(DebAmort)+1+(H43-1)*Imois,0)),DATE(YEAR(DebAmort),MONTH(DebAmort),Jour1+(H43-1)*Ijour)))</f>
        <v/>
      </c>
      <c r="L43" s="270">
        <f t="shared" si="4"/>
        <v>0</v>
      </c>
      <c r="M43" s="271">
        <f t="shared" si="6"/>
        <v>0</v>
      </c>
      <c r="N43" s="272">
        <f t="shared" si="7"/>
        <v>0</v>
      </c>
      <c r="O43" s="273">
        <f t="shared" si="5"/>
        <v>0</v>
      </c>
      <c r="P43" s="274">
        <f t="shared" si="1"/>
        <v>0</v>
      </c>
      <c r="Q43" s="350"/>
      <c r="R43" s="461">
        <f t="shared" si="8"/>
        <v>0.05</v>
      </c>
      <c r="S43" s="462">
        <f t="shared" si="9"/>
        <v>440179.35</v>
      </c>
    </row>
    <row r="44" spans="2:19" ht="15" x14ac:dyDescent="0.25">
      <c r="B44" s="362"/>
      <c r="C44" s="269"/>
      <c r="D44" s="361"/>
      <c r="E44" s="360"/>
      <c r="F44" s="359"/>
      <c r="H44" s="358" t="str">
        <f t="shared" si="2"/>
        <v/>
      </c>
      <c r="I44" s="460" t="str">
        <f t="shared" si="3"/>
        <v/>
      </c>
      <c r="J44" s="463" t="str">
        <f t="shared" si="0"/>
        <v/>
      </c>
      <c r="K44" s="357" t="str">
        <f>IF(L44=0,"",IF(Ijour=0,MIN(DATE(YEAR(DebAmort),MONTH(DebAmort)+MoisD+(H44-1)*Imois,Jour2),DATE(YEAR(DebAmort),MONTH(DebAmort)+MoisD+1+(H44-1)*Imois,0)),DATE(YEAR(DebAmort),MONTH(DebAmort),Jour1+(H44-1)*Ijour)))</f>
        <v/>
      </c>
      <c r="L44" s="270">
        <f t="shared" si="4"/>
        <v>0</v>
      </c>
      <c r="M44" s="271">
        <f t="shared" si="6"/>
        <v>0</v>
      </c>
      <c r="N44" s="272">
        <f t="shared" si="7"/>
        <v>0</v>
      </c>
      <c r="O44" s="273">
        <f t="shared" si="5"/>
        <v>0</v>
      </c>
      <c r="P44" s="274">
        <f t="shared" si="1"/>
        <v>0</v>
      </c>
      <c r="Q44" s="350"/>
      <c r="R44" s="461">
        <f t="shared" si="8"/>
        <v>0.05</v>
      </c>
      <c r="S44" s="462">
        <f t="shared" si="9"/>
        <v>440179.35</v>
      </c>
    </row>
    <row r="45" spans="2:19" ht="15" x14ac:dyDescent="0.25">
      <c r="B45" s="362"/>
      <c r="C45" s="269"/>
      <c r="D45" s="361"/>
      <c r="E45" s="360"/>
      <c r="F45" s="359"/>
      <c r="H45" s="358" t="str">
        <f t="shared" si="2"/>
        <v/>
      </c>
      <c r="I45" s="460" t="str">
        <f t="shared" si="3"/>
        <v/>
      </c>
      <c r="J45" s="463" t="str">
        <f t="shared" si="0"/>
        <v/>
      </c>
      <c r="K45" s="357" t="str">
        <f>IF(L45=0,"",IF(Ijour=0,MIN(DATE(YEAR(DebAmort),MONTH(DebAmort)+(H45-1)*Imois,Jour1),DATE(YEAR(DebAmort),MONTH(DebAmort)+1+(H45-1)*Imois,0)),DATE(YEAR(DebAmort),MONTH(DebAmort),Jour1+(H45-1)*Ijour)))</f>
        <v/>
      </c>
      <c r="L45" s="270">
        <f t="shared" si="4"/>
        <v>0</v>
      </c>
      <c r="M45" s="271">
        <f t="shared" si="6"/>
        <v>0</v>
      </c>
      <c r="N45" s="272">
        <f t="shared" si="7"/>
        <v>0</v>
      </c>
      <c r="O45" s="273">
        <f t="shared" si="5"/>
        <v>0</v>
      </c>
      <c r="P45" s="274">
        <f t="shared" si="1"/>
        <v>0</v>
      </c>
      <c r="Q45" s="350"/>
      <c r="R45" s="461">
        <f t="shared" si="8"/>
        <v>0.05</v>
      </c>
      <c r="S45" s="462">
        <f t="shared" si="9"/>
        <v>440179.35</v>
      </c>
    </row>
    <row r="46" spans="2:19" ht="15" x14ac:dyDescent="0.25">
      <c r="B46" s="362"/>
      <c r="C46" s="269"/>
      <c r="D46" s="361"/>
      <c r="E46" s="360"/>
      <c r="F46" s="359"/>
      <c r="H46" s="358" t="str">
        <f t="shared" si="2"/>
        <v/>
      </c>
      <c r="I46" s="460" t="str">
        <f t="shared" si="3"/>
        <v/>
      </c>
      <c r="J46" s="463" t="str">
        <f t="shared" si="0"/>
        <v/>
      </c>
      <c r="K46" s="357" t="str">
        <f>IF(L46=0,"",IF(Ijour=0,MIN(DATE(YEAR(DebAmort),MONTH(DebAmort)+MoisD+(H46-1)*Imois,Jour2),DATE(YEAR(DebAmort),MONTH(DebAmort)+MoisD+1+(H46-1)*Imois,0)),DATE(YEAR(DebAmort),MONTH(DebAmort),Jour1+(H46-1)*Ijour)))</f>
        <v/>
      </c>
      <c r="L46" s="270">
        <f t="shared" si="4"/>
        <v>0</v>
      </c>
      <c r="M46" s="271">
        <f t="shared" si="6"/>
        <v>0</v>
      </c>
      <c r="N46" s="272">
        <f t="shared" si="7"/>
        <v>0</v>
      </c>
      <c r="O46" s="273">
        <f t="shared" si="5"/>
        <v>0</v>
      </c>
      <c r="P46" s="274">
        <f t="shared" si="1"/>
        <v>0</v>
      </c>
      <c r="Q46" s="350"/>
      <c r="R46" s="461">
        <f t="shared" si="8"/>
        <v>0.05</v>
      </c>
      <c r="S46" s="462">
        <f t="shared" si="9"/>
        <v>440179.35</v>
      </c>
    </row>
    <row r="47" spans="2:19" ht="15" x14ac:dyDescent="0.25">
      <c r="B47" s="362"/>
      <c r="C47" s="269"/>
      <c r="D47" s="361"/>
      <c r="E47" s="360"/>
      <c r="F47" s="359"/>
      <c r="H47" s="358" t="str">
        <f t="shared" si="2"/>
        <v/>
      </c>
      <c r="I47" s="460" t="str">
        <f t="shared" si="3"/>
        <v/>
      </c>
      <c r="J47" s="463" t="str">
        <f t="shared" si="0"/>
        <v/>
      </c>
      <c r="K47" s="357" t="str">
        <f>IF(L47=0,"",IF(Ijour=0,MIN(DATE(YEAR(DebAmort),MONTH(DebAmort)+(H47-1)*Imois,Jour1),DATE(YEAR(DebAmort),MONTH(DebAmort)+1+(H47-1)*Imois,0)),DATE(YEAR(DebAmort),MONTH(DebAmort),Jour1+(H47-1)*Ijour)))</f>
        <v/>
      </c>
      <c r="L47" s="270">
        <f t="shared" si="4"/>
        <v>0</v>
      </c>
      <c r="M47" s="271">
        <f t="shared" si="6"/>
        <v>0</v>
      </c>
      <c r="N47" s="272">
        <f t="shared" si="7"/>
        <v>0</v>
      </c>
      <c r="O47" s="273">
        <f t="shared" si="5"/>
        <v>0</v>
      </c>
      <c r="P47" s="274">
        <f t="shared" si="1"/>
        <v>0</v>
      </c>
      <c r="Q47" s="350"/>
      <c r="R47" s="461">
        <f t="shared" si="8"/>
        <v>0.05</v>
      </c>
      <c r="S47" s="462">
        <f t="shared" si="9"/>
        <v>440179.35</v>
      </c>
    </row>
    <row r="48" spans="2:19" ht="15" x14ac:dyDescent="0.25">
      <c r="B48" s="362"/>
      <c r="C48" s="269"/>
      <c r="D48" s="361"/>
      <c r="E48" s="360"/>
      <c r="F48" s="359"/>
      <c r="H48" s="358" t="str">
        <f t="shared" si="2"/>
        <v/>
      </c>
      <c r="I48" s="460" t="str">
        <f t="shared" si="3"/>
        <v/>
      </c>
      <c r="J48" s="463" t="str">
        <f t="shared" si="0"/>
        <v/>
      </c>
      <c r="K48" s="357" t="str">
        <f>IF(L48=0,"",IF(Ijour=0,MIN(DATE(YEAR(DebAmort),MONTH(DebAmort)+MoisD+(H48-1)*Imois,Jour2),DATE(YEAR(DebAmort),MONTH(DebAmort)+MoisD+1+(H48-1)*Imois,0)),DATE(YEAR(DebAmort),MONTH(DebAmort),Jour1+(H48-1)*Ijour)))</f>
        <v/>
      </c>
      <c r="L48" s="270">
        <f t="shared" si="4"/>
        <v>0</v>
      </c>
      <c r="M48" s="271">
        <f t="shared" si="6"/>
        <v>0</v>
      </c>
      <c r="N48" s="272">
        <f t="shared" si="7"/>
        <v>0</v>
      </c>
      <c r="O48" s="273">
        <f t="shared" si="5"/>
        <v>0</v>
      </c>
      <c r="P48" s="274">
        <f t="shared" si="1"/>
        <v>0</v>
      </c>
      <c r="Q48" s="350"/>
      <c r="R48" s="461">
        <f t="shared" si="8"/>
        <v>0.05</v>
      </c>
      <c r="S48" s="462">
        <f t="shared" si="9"/>
        <v>440179.35</v>
      </c>
    </row>
    <row r="49" spans="2:19" ht="15" x14ac:dyDescent="0.25">
      <c r="B49" s="362"/>
      <c r="C49" s="269"/>
      <c r="D49" s="361"/>
      <c r="E49" s="360"/>
      <c r="F49" s="359"/>
      <c r="H49" s="358" t="str">
        <f t="shared" si="2"/>
        <v/>
      </c>
      <c r="I49" s="460" t="str">
        <f t="shared" si="3"/>
        <v/>
      </c>
      <c r="J49" s="463" t="str">
        <f t="shared" si="0"/>
        <v/>
      </c>
      <c r="K49" s="357" t="str">
        <f>IF(L49=0,"",IF(Ijour=0,MIN(DATE(YEAR(DebAmort),MONTH(DebAmort)+(H49-1)*Imois,Jour1),DATE(YEAR(DebAmort),MONTH(DebAmort)+1+(H49-1)*Imois,0)),DATE(YEAR(DebAmort),MONTH(DebAmort),Jour1+(H49-1)*Ijour)))</f>
        <v/>
      </c>
      <c r="L49" s="270">
        <f t="shared" si="4"/>
        <v>0</v>
      </c>
      <c r="M49" s="271">
        <f t="shared" si="6"/>
        <v>0</v>
      </c>
      <c r="N49" s="272">
        <f t="shared" si="7"/>
        <v>0</v>
      </c>
      <c r="O49" s="273">
        <f t="shared" si="5"/>
        <v>0</v>
      </c>
      <c r="P49" s="274">
        <f t="shared" si="1"/>
        <v>0</v>
      </c>
      <c r="Q49" s="350"/>
      <c r="R49" s="461">
        <f t="shared" si="8"/>
        <v>0.05</v>
      </c>
      <c r="S49" s="462">
        <f t="shared" si="9"/>
        <v>440179.35</v>
      </c>
    </row>
    <row r="50" spans="2:19" ht="15" x14ac:dyDescent="0.25">
      <c r="B50" s="362"/>
      <c r="C50" s="269"/>
      <c r="D50" s="361"/>
      <c r="E50" s="360"/>
      <c r="F50" s="359"/>
      <c r="H50" s="358" t="str">
        <f t="shared" si="2"/>
        <v/>
      </c>
      <c r="I50" s="460" t="str">
        <f t="shared" si="3"/>
        <v/>
      </c>
      <c r="J50" s="463" t="str">
        <f t="shared" si="0"/>
        <v/>
      </c>
      <c r="K50" s="357" t="str">
        <f>IF(L50=0,"",IF(Ijour=0,MIN(DATE(YEAR(DebAmort),MONTH(DebAmort)+MoisD+(H50-1)*Imois,Jour2),DATE(YEAR(DebAmort),MONTH(DebAmort)+MoisD+1+(H50-1)*Imois,0)),DATE(YEAR(DebAmort),MONTH(DebAmort),Jour1+(H50-1)*Ijour)))</f>
        <v/>
      </c>
      <c r="L50" s="270">
        <f t="shared" si="4"/>
        <v>0</v>
      </c>
      <c r="M50" s="271">
        <f t="shared" si="6"/>
        <v>0</v>
      </c>
      <c r="N50" s="272">
        <f t="shared" si="7"/>
        <v>0</v>
      </c>
      <c r="O50" s="273">
        <f t="shared" si="5"/>
        <v>0</v>
      </c>
      <c r="P50" s="274">
        <f t="shared" si="1"/>
        <v>0</v>
      </c>
      <c r="Q50" s="350"/>
      <c r="R50" s="461">
        <f t="shared" si="8"/>
        <v>0.05</v>
      </c>
      <c r="S50" s="462">
        <f t="shared" si="9"/>
        <v>440179.35</v>
      </c>
    </row>
    <row r="51" spans="2:19" ht="15" x14ac:dyDescent="0.25">
      <c r="B51" s="362"/>
      <c r="C51" s="269"/>
      <c r="D51" s="361"/>
      <c r="E51" s="360"/>
      <c r="F51" s="359"/>
      <c r="H51" s="358" t="str">
        <f t="shared" si="2"/>
        <v/>
      </c>
      <c r="I51" s="460" t="str">
        <f t="shared" si="3"/>
        <v/>
      </c>
      <c r="J51" s="463" t="str">
        <f t="shared" si="0"/>
        <v/>
      </c>
      <c r="K51" s="357" t="str">
        <f>IF(L51=0,"",IF(Ijour=0,MIN(DATE(YEAR(DebAmort),MONTH(DebAmort)+(H51-1)*Imois,Jour1),DATE(YEAR(DebAmort),MONTH(DebAmort)+1+(H51-1)*Imois,0)),DATE(YEAR(DebAmort),MONTH(DebAmort),Jour1+(H51-1)*Ijour)))</f>
        <v/>
      </c>
      <c r="L51" s="270">
        <f t="shared" si="4"/>
        <v>0</v>
      </c>
      <c r="M51" s="271">
        <f t="shared" si="6"/>
        <v>0</v>
      </c>
      <c r="N51" s="272">
        <f t="shared" si="7"/>
        <v>0</v>
      </c>
      <c r="O51" s="273">
        <f t="shared" si="5"/>
        <v>0</v>
      </c>
      <c r="P51" s="274">
        <f t="shared" si="1"/>
        <v>0</v>
      </c>
      <c r="Q51" s="350"/>
      <c r="R51" s="461">
        <f t="shared" si="8"/>
        <v>0.05</v>
      </c>
      <c r="S51" s="462">
        <f t="shared" si="9"/>
        <v>440179.35</v>
      </c>
    </row>
    <row r="52" spans="2:19" ht="15" x14ac:dyDescent="0.25">
      <c r="B52" s="362"/>
      <c r="C52" s="269"/>
      <c r="D52" s="361"/>
      <c r="E52" s="360"/>
      <c r="F52" s="359"/>
      <c r="H52" s="358" t="str">
        <f t="shared" si="2"/>
        <v/>
      </c>
      <c r="I52" s="460" t="str">
        <f t="shared" si="3"/>
        <v/>
      </c>
      <c r="J52" s="463" t="str">
        <f t="shared" si="0"/>
        <v/>
      </c>
      <c r="K52" s="357" t="str">
        <f>IF(L52=0,"",IF(Ijour=0,MIN(DATE(YEAR(DebAmort),MONTH(DebAmort)+MoisD+(H52-1)*Imois,Jour2),DATE(YEAR(DebAmort),MONTH(DebAmort)+MoisD+1+(H52-1)*Imois,0)),DATE(YEAR(DebAmort),MONTH(DebAmort),Jour1+(H52-1)*Ijour)))</f>
        <v/>
      </c>
      <c r="L52" s="270">
        <f t="shared" si="4"/>
        <v>0</v>
      </c>
      <c r="M52" s="271">
        <f t="shared" si="6"/>
        <v>0</v>
      </c>
      <c r="N52" s="272">
        <f t="shared" si="7"/>
        <v>0</v>
      </c>
      <c r="O52" s="273">
        <f t="shared" si="5"/>
        <v>0</v>
      </c>
      <c r="P52" s="274">
        <f t="shared" si="1"/>
        <v>0</v>
      </c>
      <c r="Q52" s="350"/>
      <c r="R52" s="461">
        <f t="shared" si="8"/>
        <v>0.05</v>
      </c>
      <c r="S52" s="462">
        <f t="shared" si="9"/>
        <v>440179.35</v>
      </c>
    </row>
    <row r="53" spans="2:19" ht="15" x14ac:dyDescent="0.25">
      <c r="B53" s="362"/>
      <c r="C53" s="269"/>
      <c r="D53" s="361"/>
      <c r="E53" s="360"/>
      <c r="F53" s="359"/>
      <c r="H53" s="358" t="str">
        <f t="shared" si="2"/>
        <v/>
      </c>
      <c r="I53" s="460" t="str">
        <f t="shared" si="3"/>
        <v/>
      </c>
      <c r="J53" s="463" t="str">
        <f t="shared" si="0"/>
        <v/>
      </c>
      <c r="K53" s="357" t="str">
        <f>IF(L53=0,"",IF(Ijour=0,MIN(DATE(YEAR(DebAmort),MONTH(DebAmort)+(H53-1)*Imois,Jour1),DATE(YEAR(DebAmort),MONTH(DebAmort)+1+(H53-1)*Imois,0)),DATE(YEAR(DebAmort),MONTH(DebAmort),Jour1+(H53-1)*Ijour)))</f>
        <v/>
      </c>
      <c r="L53" s="270">
        <f t="shared" si="4"/>
        <v>0</v>
      </c>
      <c r="M53" s="271">
        <f t="shared" si="6"/>
        <v>0</v>
      </c>
      <c r="N53" s="272">
        <f t="shared" si="7"/>
        <v>0</v>
      </c>
      <c r="O53" s="273">
        <f t="shared" si="5"/>
        <v>0</v>
      </c>
      <c r="P53" s="274">
        <f t="shared" si="1"/>
        <v>0</v>
      </c>
      <c r="Q53" s="350"/>
      <c r="R53" s="461">
        <f t="shared" si="8"/>
        <v>0.05</v>
      </c>
      <c r="S53" s="462">
        <f t="shared" si="9"/>
        <v>440179.35</v>
      </c>
    </row>
    <row r="54" spans="2:19" ht="15" x14ac:dyDescent="0.25">
      <c r="B54" s="362"/>
      <c r="C54" s="269"/>
      <c r="D54" s="361"/>
      <c r="E54" s="360"/>
      <c r="F54" s="359"/>
      <c r="H54" s="358" t="str">
        <f t="shared" si="2"/>
        <v/>
      </c>
      <c r="I54" s="460" t="str">
        <f t="shared" si="3"/>
        <v/>
      </c>
      <c r="J54" s="463" t="str">
        <f t="shared" si="0"/>
        <v/>
      </c>
      <c r="K54" s="357" t="str">
        <f>IF(L54=0,"",IF(Ijour=0,MIN(DATE(YEAR(DebAmort),MONTH(DebAmort)+MoisD+(H54-1)*Imois,Jour2),DATE(YEAR(DebAmort),MONTH(DebAmort)+MoisD+1+(H54-1)*Imois,0)),DATE(YEAR(DebAmort),MONTH(DebAmort),Jour1+(H54-1)*Ijour)))</f>
        <v/>
      </c>
      <c r="L54" s="270">
        <f t="shared" si="4"/>
        <v>0</v>
      </c>
      <c r="M54" s="271">
        <f t="shared" si="6"/>
        <v>0</v>
      </c>
      <c r="N54" s="272">
        <f t="shared" si="7"/>
        <v>0</v>
      </c>
      <c r="O54" s="273">
        <f t="shared" si="5"/>
        <v>0</v>
      </c>
      <c r="P54" s="274">
        <f t="shared" si="1"/>
        <v>0</v>
      </c>
      <c r="Q54" s="350"/>
      <c r="R54" s="461">
        <f t="shared" si="8"/>
        <v>0.05</v>
      </c>
      <c r="S54" s="462">
        <f t="shared" si="9"/>
        <v>440179.35</v>
      </c>
    </row>
    <row r="55" spans="2:19" ht="15" x14ac:dyDescent="0.25">
      <c r="B55" s="362"/>
      <c r="C55" s="269"/>
      <c r="D55" s="361"/>
      <c r="E55" s="360"/>
      <c r="F55" s="359"/>
      <c r="H55" s="358" t="str">
        <f t="shared" si="2"/>
        <v/>
      </c>
      <c r="I55" s="460" t="str">
        <f t="shared" si="3"/>
        <v/>
      </c>
      <c r="J55" s="463" t="str">
        <f t="shared" si="0"/>
        <v/>
      </c>
      <c r="K55" s="357" t="str">
        <f>IF(L55=0,"",IF(Ijour=0,MIN(DATE(YEAR(DebAmort),MONTH(DebAmort)+(H55-1)*Imois,Jour1),DATE(YEAR(DebAmort),MONTH(DebAmort)+1+(H55-1)*Imois,0)),DATE(YEAR(DebAmort),MONTH(DebAmort),Jour1+(H55-1)*Ijour)))</f>
        <v/>
      </c>
      <c r="L55" s="270">
        <f t="shared" si="4"/>
        <v>0</v>
      </c>
      <c r="M55" s="271">
        <f t="shared" si="6"/>
        <v>0</v>
      </c>
      <c r="N55" s="272">
        <f t="shared" si="7"/>
        <v>0</v>
      </c>
      <c r="O55" s="273">
        <f t="shared" si="5"/>
        <v>0</v>
      </c>
      <c r="P55" s="274">
        <f t="shared" si="1"/>
        <v>0</v>
      </c>
      <c r="Q55" s="350"/>
      <c r="R55" s="461">
        <f t="shared" si="8"/>
        <v>0.05</v>
      </c>
      <c r="S55" s="462">
        <f t="shared" si="9"/>
        <v>440179.35</v>
      </c>
    </row>
    <row r="56" spans="2:19" ht="15" x14ac:dyDescent="0.25">
      <c r="B56" s="362"/>
      <c r="C56" s="269"/>
      <c r="D56" s="361"/>
      <c r="E56" s="360"/>
      <c r="F56" s="359"/>
      <c r="H56" s="358" t="str">
        <f t="shared" si="2"/>
        <v/>
      </c>
      <c r="I56" s="460" t="str">
        <f t="shared" si="3"/>
        <v/>
      </c>
      <c r="J56" s="463" t="str">
        <f t="shared" si="0"/>
        <v/>
      </c>
      <c r="K56" s="357" t="str">
        <f>IF(L56=0,"",IF(Ijour=0,MIN(DATE(YEAR(DebAmort),MONTH(DebAmort)+MoisD+(H56-1)*Imois,Jour2),DATE(YEAR(DebAmort),MONTH(DebAmort)+MoisD+1+(H56-1)*Imois,0)),DATE(YEAR(DebAmort),MONTH(DebAmort),Jour1+(H56-1)*Ijour)))</f>
        <v/>
      </c>
      <c r="L56" s="270">
        <f t="shared" si="4"/>
        <v>0</v>
      </c>
      <c r="M56" s="271">
        <f t="shared" si="6"/>
        <v>0</v>
      </c>
      <c r="N56" s="272">
        <f t="shared" si="7"/>
        <v>0</v>
      </c>
      <c r="O56" s="273">
        <f t="shared" si="5"/>
        <v>0</v>
      </c>
      <c r="P56" s="274">
        <f t="shared" si="1"/>
        <v>0</v>
      </c>
      <c r="Q56" s="350"/>
      <c r="R56" s="461">
        <f t="shared" si="8"/>
        <v>0.05</v>
      </c>
      <c r="S56" s="462">
        <f t="shared" si="9"/>
        <v>440179.35</v>
      </c>
    </row>
    <row r="57" spans="2:19" ht="15" x14ac:dyDescent="0.25">
      <c r="B57" s="362"/>
      <c r="C57" s="269"/>
      <c r="D57" s="361"/>
      <c r="E57" s="360"/>
      <c r="F57" s="359"/>
      <c r="H57" s="358" t="str">
        <f t="shared" si="2"/>
        <v/>
      </c>
      <c r="I57" s="460" t="str">
        <f t="shared" si="3"/>
        <v/>
      </c>
      <c r="J57" s="463" t="str">
        <f t="shared" si="0"/>
        <v/>
      </c>
      <c r="K57" s="357" t="str">
        <f>IF(L57=0,"",IF(Ijour=0,MIN(DATE(YEAR(DebAmort),MONTH(DebAmort)+(H57-1)*Imois,Jour1),DATE(YEAR(DebAmort),MONTH(DebAmort)+1+(H57-1)*Imois,0)),DATE(YEAR(DebAmort),MONTH(DebAmort),Jour1+(H57-1)*Ijour)))</f>
        <v/>
      </c>
      <c r="L57" s="270">
        <f t="shared" si="4"/>
        <v>0</v>
      </c>
      <c r="M57" s="271">
        <f t="shared" si="6"/>
        <v>0</v>
      </c>
      <c r="N57" s="272">
        <f t="shared" si="7"/>
        <v>0</v>
      </c>
      <c r="O57" s="273">
        <f t="shared" si="5"/>
        <v>0</v>
      </c>
      <c r="P57" s="274">
        <f t="shared" si="1"/>
        <v>0</v>
      </c>
      <c r="Q57" s="350"/>
      <c r="R57" s="461">
        <f t="shared" si="8"/>
        <v>0.05</v>
      </c>
      <c r="S57" s="462">
        <f t="shared" si="9"/>
        <v>440179.35</v>
      </c>
    </row>
    <row r="58" spans="2:19" ht="15" x14ac:dyDescent="0.25">
      <c r="B58" s="362"/>
      <c r="C58" s="269"/>
      <c r="D58" s="361"/>
      <c r="E58" s="360"/>
      <c r="F58" s="359"/>
      <c r="H58" s="358" t="str">
        <f t="shared" si="2"/>
        <v/>
      </c>
      <c r="I58" s="460" t="str">
        <f t="shared" si="3"/>
        <v/>
      </c>
      <c r="J58" s="463" t="str">
        <f t="shared" si="0"/>
        <v/>
      </c>
      <c r="K58" s="357" t="str">
        <f>IF(L58=0,"",IF(Ijour=0,MIN(DATE(YEAR(DebAmort),MONTH(DebAmort)+MoisD+(H58-1)*Imois,Jour2),DATE(YEAR(DebAmort),MONTH(DebAmort)+MoisD+1+(H58-1)*Imois,0)),DATE(YEAR(DebAmort),MONTH(DebAmort),Jour1+(H58-1)*Ijour)))</f>
        <v/>
      </c>
      <c r="L58" s="270">
        <f t="shared" si="4"/>
        <v>0</v>
      </c>
      <c r="M58" s="271">
        <f t="shared" si="6"/>
        <v>0</v>
      </c>
      <c r="N58" s="272">
        <f t="shared" si="7"/>
        <v>0</v>
      </c>
      <c r="O58" s="273">
        <f t="shared" si="5"/>
        <v>0</v>
      </c>
      <c r="P58" s="274">
        <f t="shared" si="1"/>
        <v>0</v>
      </c>
      <c r="Q58" s="350"/>
      <c r="R58" s="461">
        <f t="shared" si="8"/>
        <v>0.05</v>
      </c>
      <c r="S58" s="462">
        <f t="shared" si="9"/>
        <v>440179.35</v>
      </c>
    </row>
    <row r="59" spans="2:19" ht="15" x14ac:dyDescent="0.25">
      <c r="B59" s="362"/>
      <c r="C59" s="269"/>
      <c r="D59" s="361"/>
      <c r="E59" s="360"/>
      <c r="F59" s="359"/>
      <c r="H59" s="358" t="str">
        <f t="shared" si="2"/>
        <v/>
      </c>
      <c r="I59" s="460" t="str">
        <f t="shared" si="3"/>
        <v/>
      </c>
      <c r="J59" s="463" t="str">
        <f t="shared" si="0"/>
        <v/>
      </c>
      <c r="K59" s="357" t="str">
        <f>IF(L59=0,"",IF(Ijour=0,MIN(DATE(YEAR(DebAmort),MONTH(DebAmort)+(H59-1)*Imois,Jour1),DATE(YEAR(DebAmort),MONTH(DebAmort)+1+(H59-1)*Imois,0)),DATE(YEAR(DebAmort),MONTH(DebAmort),Jour1+(H59-1)*Ijour)))</f>
        <v/>
      </c>
      <c r="L59" s="270">
        <f t="shared" si="4"/>
        <v>0</v>
      </c>
      <c r="M59" s="271">
        <f t="shared" si="6"/>
        <v>0</v>
      </c>
      <c r="N59" s="272">
        <f t="shared" si="7"/>
        <v>0</v>
      </c>
      <c r="O59" s="273">
        <f t="shared" si="5"/>
        <v>0</v>
      </c>
      <c r="P59" s="274">
        <f t="shared" si="1"/>
        <v>0</v>
      </c>
      <c r="Q59" s="350"/>
      <c r="R59" s="461">
        <f t="shared" si="8"/>
        <v>0.05</v>
      </c>
      <c r="S59" s="462">
        <f t="shared" si="9"/>
        <v>440179.35</v>
      </c>
    </row>
    <row r="60" spans="2:19" ht="15" x14ac:dyDescent="0.25">
      <c r="B60" s="362"/>
      <c r="C60" s="269"/>
      <c r="D60" s="361"/>
      <c r="E60" s="360"/>
      <c r="F60" s="359"/>
      <c r="H60" s="358" t="str">
        <f t="shared" si="2"/>
        <v/>
      </c>
      <c r="I60" s="460" t="str">
        <f t="shared" si="3"/>
        <v/>
      </c>
      <c r="J60" s="463" t="str">
        <f t="shared" si="0"/>
        <v/>
      </c>
      <c r="K60" s="357" t="str">
        <f>IF(L60=0,"",IF(Ijour=0,MIN(DATE(YEAR(DebAmort),MONTH(DebAmort)+MoisD+(H60-1)*Imois,Jour2),DATE(YEAR(DebAmort),MONTH(DebAmort)+MoisD+1+(H60-1)*Imois,0)),DATE(YEAR(DebAmort),MONTH(DebAmort),Jour1+(H60-1)*Ijour)))</f>
        <v/>
      </c>
      <c r="L60" s="270">
        <f t="shared" si="4"/>
        <v>0</v>
      </c>
      <c r="M60" s="271">
        <f t="shared" si="6"/>
        <v>0</v>
      </c>
      <c r="N60" s="272">
        <f t="shared" si="7"/>
        <v>0</v>
      </c>
      <c r="O60" s="273">
        <f t="shared" si="5"/>
        <v>0</v>
      </c>
      <c r="P60" s="274">
        <f t="shared" si="1"/>
        <v>0</v>
      </c>
      <c r="Q60" s="350"/>
      <c r="R60" s="461">
        <f t="shared" si="8"/>
        <v>0.05</v>
      </c>
      <c r="S60" s="462">
        <f t="shared" si="9"/>
        <v>440179.35</v>
      </c>
    </row>
    <row r="61" spans="2:19" ht="15" x14ac:dyDescent="0.25">
      <c r="B61" s="362"/>
      <c r="C61" s="269"/>
      <c r="D61" s="361"/>
      <c r="E61" s="360"/>
      <c r="F61" s="359"/>
      <c r="H61" s="358" t="str">
        <f t="shared" si="2"/>
        <v/>
      </c>
      <c r="I61" s="460" t="str">
        <f t="shared" si="3"/>
        <v/>
      </c>
      <c r="J61" s="463" t="str">
        <f t="shared" si="0"/>
        <v/>
      </c>
      <c r="K61" s="357" t="str">
        <f>IF(L61=0,"",IF(Ijour=0,MIN(DATE(YEAR(DebAmort),MONTH(DebAmort)+(H61-1)*Imois,Jour1),DATE(YEAR(DebAmort),MONTH(DebAmort)+1+(H61-1)*Imois,0)),DATE(YEAR(DebAmort),MONTH(DebAmort),Jour1+(H61-1)*Ijour)))</f>
        <v/>
      </c>
      <c r="L61" s="270">
        <f t="shared" si="4"/>
        <v>0</v>
      </c>
      <c r="M61" s="271">
        <f t="shared" si="6"/>
        <v>0</v>
      </c>
      <c r="N61" s="272">
        <f t="shared" si="7"/>
        <v>0</v>
      </c>
      <c r="O61" s="273">
        <f t="shared" si="5"/>
        <v>0</v>
      </c>
      <c r="P61" s="274">
        <f t="shared" si="1"/>
        <v>0</v>
      </c>
      <c r="Q61" s="350"/>
      <c r="R61" s="461">
        <f t="shared" si="8"/>
        <v>0.05</v>
      </c>
      <c r="S61" s="462">
        <f t="shared" si="9"/>
        <v>440179.35</v>
      </c>
    </row>
    <row r="62" spans="2:19" ht="15" x14ac:dyDescent="0.25">
      <c r="B62" s="362"/>
      <c r="C62" s="269"/>
      <c r="D62" s="361"/>
      <c r="E62" s="360"/>
      <c r="F62" s="359"/>
      <c r="H62" s="358" t="str">
        <f t="shared" si="2"/>
        <v/>
      </c>
      <c r="I62" s="460" t="str">
        <f t="shared" si="3"/>
        <v/>
      </c>
      <c r="J62" s="463" t="str">
        <f t="shared" si="0"/>
        <v/>
      </c>
      <c r="K62" s="357" t="str">
        <f>IF(L62=0,"",IF(Ijour=0,MIN(DATE(YEAR(DebAmort),MONTH(DebAmort)+MoisD+(H62-1)*Imois,Jour2),DATE(YEAR(DebAmort),MONTH(DebAmort)+MoisD+1+(H62-1)*Imois,0)),DATE(YEAR(DebAmort),MONTH(DebAmort),Jour1+(H62-1)*Ijour)))</f>
        <v/>
      </c>
      <c r="L62" s="270">
        <f t="shared" si="4"/>
        <v>0</v>
      </c>
      <c r="M62" s="271">
        <f t="shared" si="6"/>
        <v>0</v>
      </c>
      <c r="N62" s="272">
        <f t="shared" si="7"/>
        <v>0</v>
      </c>
      <c r="O62" s="273">
        <f t="shared" si="5"/>
        <v>0</v>
      </c>
      <c r="P62" s="274">
        <f t="shared" si="1"/>
        <v>0</v>
      </c>
      <c r="Q62" s="350"/>
      <c r="R62" s="461">
        <f t="shared" si="8"/>
        <v>0.05</v>
      </c>
      <c r="S62" s="462">
        <f t="shared" si="9"/>
        <v>440179.35</v>
      </c>
    </row>
    <row r="63" spans="2:19" ht="15" x14ac:dyDescent="0.25">
      <c r="B63" s="362"/>
      <c r="C63" s="269"/>
      <c r="D63" s="361"/>
      <c r="E63" s="360"/>
      <c r="F63" s="359"/>
      <c r="H63" s="358" t="str">
        <f t="shared" si="2"/>
        <v/>
      </c>
      <c r="I63" s="460" t="str">
        <f t="shared" si="3"/>
        <v/>
      </c>
      <c r="J63" s="463" t="str">
        <f t="shared" si="0"/>
        <v/>
      </c>
      <c r="K63" s="357" t="str">
        <f>IF(L63=0,"",IF(Ijour=0,MIN(DATE(YEAR(DebAmort),MONTH(DebAmort)+(H63-1)*Imois,Jour1),DATE(YEAR(DebAmort),MONTH(DebAmort)+1+(H63-1)*Imois,0)),DATE(YEAR(DebAmort),MONTH(DebAmort),Jour1+(H63-1)*Ijour)))</f>
        <v/>
      </c>
      <c r="L63" s="270">
        <f t="shared" si="4"/>
        <v>0</v>
      </c>
      <c r="M63" s="271">
        <f t="shared" si="6"/>
        <v>0</v>
      </c>
      <c r="N63" s="272">
        <f t="shared" si="7"/>
        <v>0</v>
      </c>
      <c r="O63" s="273">
        <f t="shared" si="5"/>
        <v>0</v>
      </c>
      <c r="P63" s="274">
        <f t="shared" si="1"/>
        <v>0</v>
      </c>
      <c r="Q63" s="350"/>
      <c r="R63" s="461">
        <f t="shared" si="8"/>
        <v>0.05</v>
      </c>
      <c r="S63" s="462">
        <f t="shared" si="9"/>
        <v>440179.35</v>
      </c>
    </row>
    <row r="64" spans="2:19" ht="15" x14ac:dyDescent="0.25">
      <c r="B64" s="362"/>
      <c r="C64" s="269"/>
      <c r="D64" s="361"/>
      <c r="E64" s="360"/>
      <c r="F64" s="359"/>
      <c r="H64" s="358" t="str">
        <f t="shared" si="2"/>
        <v/>
      </c>
      <c r="I64" s="460" t="str">
        <f t="shared" si="3"/>
        <v/>
      </c>
      <c r="J64" s="463" t="str">
        <f t="shared" si="0"/>
        <v/>
      </c>
      <c r="K64" s="357" t="str">
        <f>IF(L64=0,"",IF(Ijour=0,MIN(DATE(YEAR(DebAmort),MONTH(DebAmort)+MoisD+(H64-1)*Imois,Jour2),DATE(YEAR(DebAmort),MONTH(DebAmort)+MoisD+1+(H64-1)*Imois,0)),DATE(YEAR(DebAmort),MONTH(DebAmort),Jour1+(H64-1)*Ijour)))</f>
        <v/>
      </c>
      <c r="L64" s="270">
        <f t="shared" si="4"/>
        <v>0</v>
      </c>
      <c r="M64" s="271">
        <f t="shared" si="6"/>
        <v>0</v>
      </c>
      <c r="N64" s="272">
        <f t="shared" si="7"/>
        <v>0</v>
      </c>
      <c r="O64" s="273">
        <f t="shared" si="5"/>
        <v>0</v>
      </c>
      <c r="P64" s="274">
        <f t="shared" si="1"/>
        <v>0</v>
      </c>
      <c r="Q64" s="350"/>
      <c r="R64" s="461">
        <f t="shared" si="8"/>
        <v>0.05</v>
      </c>
      <c r="S64" s="462">
        <f t="shared" si="9"/>
        <v>440179.35</v>
      </c>
    </row>
    <row r="65" spans="2:19" ht="15" x14ac:dyDescent="0.25">
      <c r="B65" s="362"/>
      <c r="C65" s="269"/>
      <c r="D65" s="361"/>
      <c r="E65" s="360"/>
      <c r="F65" s="359"/>
      <c r="H65" s="358" t="str">
        <f t="shared" si="2"/>
        <v/>
      </c>
      <c r="I65" s="460" t="str">
        <f t="shared" si="3"/>
        <v/>
      </c>
      <c r="J65" s="463" t="str">
        <f t="shared" si="0"/>
        <v/>
      </c>
      <c r="K65" s="357" t="str">
        <f>IF(L65=0,"",IF(Ijour=0,MIN(DATE(YEAR(DebAmort),MONTH(DebAmort)+(H65-1)*Imois,Jour1),DATE(YEAR(DebAmort),MONTH(DebAmort)+1+(H65-1)*Imois,0)),DATE(YEAR(DebAmort),MONTH(DebAmort),Jour1+(H65-1)*Ijour)))</f>
        <v/>
      </c>
      <c r="L65" s="270">
        <f t="shared" si="4"/>
        <v>0</v>
      </c>
      <c r="M65" s="271">
        <f t="shared" si="6"/>
        <v>0</v>
      </c>
      <c r="N65" s="272">
        <f t="shared" si="7"/>
        <v>0</v>
      </c>
      <c r="O65" s="273">
        <f t="shared" si="5"/>
        <v>0</v>
      </c>
      <c r="P65" s="274">
        <f t="shared" si="1"/>
        <v>0</v>
      </c>
      <c r="Q65" s="350"/>
      <c r="R65" s="461">
        <f t="shared" si="8"/>
        <v>0.05</v>
      </c>
      <c r="S65" s="462">
        <f t="shared" si="9"/>
        <v>440179.35</v>
      </c>
    </row>
    <row r="66" spans="2:19" ht="15" x14ac:dyDescent="0.25">
      <c r="B66" s="362"/>
      <c r="C66" s="269"/>
      <c r="D66" s="361"/>
      <c r="E66" s="360"/>
      <c r="F66" s="359"/>
      <c r="H66" s="358" t="str">
        <f t="shared" si="2"/>
        <v/>
      </c>
      <c r="I66" s="460" t="str">
        <f t="shared" si="3"/>
        <v/>
      </c>
      <c r="J66" s="463" t="str">
        <f t="shared" si="0"/>
        <v/>
      </c>
      <c r="K66" s="357" t="str">
        <f>IF(L66=0,"",IF(Ijour=0,MIN(DATE(YEAR(DebAmort),MONTH(DebAmort)+MoisD+(H66-1)*Imois,Jour2),DATE(YEAR(DebAmort),MONTH(DebAmort)+MoisD+1+(H66-1)*Imois,0)),DATE(YEAR(DebAmort),MONTH(DebAmort),Jour1+(H66-1)*Ijour)))</f>
        <v/>
      </c>
      <c r="L66" s="270">
        <f t="shared" si="4"/>
        <v>0</v>
      </c>
      <c r="M66" s="271">
        <f t="shared" si="6"/>
        <v>0</v>
      </c>
      <c r="N66" s="272">
        <f t="shared" si="7"/>
        <v>0</v>
      </c>
      <c r="O66" s="273">
        <f t="shared" si="5"/>
        <v>0</v>
      </c>
      <c r="P66" s="274">
        <f t="shared" si="1"/>
        <v>0</v>
      </c>
      <c r="Q66" s="350"/>
      <c r="R66" s="461">
        <f t="shared" si="8"/>
        <v>0.05</v>
      </c>
      <c r="S66" s="462">
        <f t="shared" si="9"/>
        <v>440179.35</v>
      </c>
    </row>
    <row r="67" spans="2:19" ht="15" x14ac:dyDescent="0.25">
      <c r="B67" s="362"/>
      <c r="C67" s="269"/>
      <c r="D67" s="361"/>
      <c r="E67" s="360"/>
      <c r="F67" s="359"/>
      <c r="H67" s="358" t="str">
        <f t="shared" si="2"/>
        <v/>
      </c>
      <c r="I67" s="460" t="str">
        <f t="shared" si="3"/>
        <v/>
      </c>
      <c r="J67" s="463" t="str">
        <f t="shared" si="0"/>
        <v/>
      </c>
      <c r="K67" s="357" t="str">
        <f>IF(L67=0,"",IF(Ijour=0,MIN(DATE(YEAR(DebAmort),MONTH(DebAmort)+(H67-1)*Imois,Jour1),DATE(YEAR(DebAmort),MONTH(DebAmort)+1+(H67-1)*Imois,0)),DATE(YEAR(DebAmort),MONTH(DebAmort),Jour1+(H67-1)*Ijour)))</f>
        <v/>
      </c>
      <c r="L67" s="270">
        <f t="shared" si="4"/>
        <v>0</v>
      </c>
      <c r="M67" s="271">
        <f t="shared" si="6"/>
        <v>0</v>
      </c>
      <c r="N67" s="272">
        <f t="shared" si="7"/>
        <v>0</v>
      </c>
      <c r="O67" s="273">
        <f t="shared" si="5"/>
        <v>0</v>
      </c>
      <c r="P67" s="274">
        <f t="shared" si="1"/>
        <v>0</v>
      </c>
      <c r="Q67" s="350"/>
      <c r="R67" s="461">
        <f t="shared" si="8"/>
        <v>0.05</v>
      </c>
      <c r="S67" s="462">
        <f t="shared" si="9"/>
        <v>440179.35</v>
      </c>
    </row>
    <row r="68" spans="2:19" ht="15" x14ac:dyDescent="0.25">
      <c r="B68" s="362"/>
      <c r="C68" s="269"/>
      <c r="D68" s="361"/>
      <c r="E68" s="360"/>
      <c r="F68" s="359"/>
      <c r="H68" s="358" t="str">
        <f t="shared" si="2"/>
        <v/>
      </c>
      <c r="I68" s="460" t="str">
        <f t="shared" si="3"/>
        <v/>
      </c>
      <c r="J68" s="463" t="str">
        <f t="shared" si="0"/>
        <v/>
      </c>
      <c r="K68" s="357" t="str">
        <f>IF(L68=0,"",IF(Ijour=0,MIN(DATE(YEAR(DebAmort),MONTH(DebAmort)+MoisD+(H68-1)*Imois,Jour2),DATE(YEAR(DebAmort),MONTH(DebAmort)+MoisD+1+(H68-1)*Imois,0)),DATE(YEAR(DebAmort),MONTH(DebAmort),Jour1+(H68-1)*Ijour)))</f>
        <v/>
      </c>
      <c r="L68" s="270">
        <f t="shared" si="4"/>
        <v>0</v>
      </c>
      <c r="M68" s="271">
        <f t="shared" si="6"/>
        <v>0</v>
      </c>
      <c r="N68" s="272">
        <f t="shared" si="7"/>
        <v>0</v>
      </c>
      <c r="O68" s="273">
        <f t="shared" si="5"/>
        <v>0</v>
      </c>
      <c r="P68" s="274">
        <f t="shared" si="1"/>
        <v>0</v>
      </c>
      <c r="Q68" s="350"/>
      <c r="R68" s="461">
        <f t="shared" si="8"/>
        <v>0.05</v>
      </c>
      <c r="S68" s="462">
        <f t="shared" si="9"/>
        <v>440179.35</v>
      </c>
    </row>
    <row r="69" spans="2:19" ht="15" x14ac:dyDescent="0.25">
      <c r="B69" s="362"/>
      <c r="C69" s="269"/>
      <c r="D69" s="361"/>
      <c r="E69" s="360"/>
      <c r="F69" s="359"/>
      <c r="H69" s="358" t="str">
        <f t="shared" si="2"/>
        <v/>
      </c>
      <c r="I69" s="460" t="str">
        <f t="shared" si="3"/>
        <v/>
      </c>
      <c r="J69" s="463" t="str">
        <f t="shared" si="0"/>
        <v/>
      </c>
      <c r="K69" s="357" t="str">
        <f>IF(L69=0,"",IF(Ijour=0,MIN(DATE(YEAR(DebAmort),MONTH(DebAmort)+(H69-1)*Imois,Jour1),DATE(YEAR(DebAmort),MONTH(DebAmort)+1+(H69-1)*Imois,0)),DATE(YEAR(DebAmort),MONTH(DebAmort),Jour1+(H69-1)*Ijour)))</f>
        <v/>
      </c>
      <c r="L69" s="270">
        <f t="shared" si="4"/>
        <v>0</v>
      </c>
      <c r="M69" s="271">
        <f t="shared" si="6"/>
        <v>0</v>
      </c>
      <c r="N69" s="272">
        <f t="shared" si="7"/>
        <v>0</v>
      </c>
      <c r="O69" s="273">
        <f t="shared" si="5"/>
        <v>0</v>
      </c>
      <c r="P69" s="274">
        <f t="shared" si="1"/>
        <v>0</v>
      </c>
      <c r="Q69" s="350"/>
      <c r="R69" s="461">
        <f t="shared" si="8"/>
        <v>0.05</v>
      </c>
      <c r="S69" s="462">
        <f t="shared" si="9"/>
        <v>440179.35</v>
      </c>
    </row>
    <row r="70" spans="2:19" ht="15" x14ac:dyDescent="0.25">
      <c r="B70" s="362"/>
      <c r="C70" s="269"/>
      <c r="D70" s="361"/>
      <c r="E70" s="360"/>
      <c r="F70" s="359"/>
      <c r="H70" s="358" t="str">
        <f t="shared" si="2"/>
        <v/>
      </c>
      <c r="I70" s="460" t="str">
        <f t="shared" si="3"/>
        <v/>
      </c>
      <c r="J70" s="463" t="str">
        <f t="shared" si="0"/>
        <v/>
      </c>
      <c r="K70" s="357" t="str">
        <f>IF(L70=0,"",IF(Ijour=0,MIN(DATE(YEAR(DebAmort),MONTH(DebAmort)+MoisD+(H70-1)*Imois,Jour2),DATE(YEAR(DebAmort),MONTH(DebAmort)+MoisD+1+(H70-1)*Imois,0)),DATE(YEAR(DebAmort),MONTH(DebAmort),Jour1+(H70-1)*Ijour)))</f>
        <v/>
      </c>
      <c r="L70" s="270">
        <f t="shared" si="4"/>
        <v>0</v>
      </c>
      <c r="M70" s="271">
        <f t="shared" si="6"/>
        <v>0</v>
      </c>
      <c r="N70" s="272">
        <f t="shared" si="7"/>
        <v>0</v>
      </c>
      <c r="O70" s="273">
        <f t="shared" si="5"/>
        <v>0</v>
      </c>
      <c r="P70" s="274">
        <f t="shared" si="1"/>
        <v>0</v>
      </c>
      <c r="Q70" s="350"/>
      <c r="R70" s="461">
        <f t="shared" si="8"/>
        <v>0.05</v>
      </c>
      <c r="S70" s="462">
        <f t="shared" si="9"/>
        <v>440179.35</v>
      </c>
    </row>
    <row r="71" spans="2:19" ht="15" x14ac:dyDescent="0.25">
      <c r="B71" s="362"/>
      <c r="C71" s="269"/>
      <c r="D71" s="361"/>
      <c r="E71" s="360"/>
      <c r="F71" s="359"/>
      <c r="H71" s="358" t="str">
        <f t="shared" si="2"/>
        <v/>
      </c>
      <c r="I71" s="460" t="str">
        <f t="shared" si="3"/>
        <v/>
      </c>
      <c r="J71" s="463" t="str">
        <f t="shared" si="0"/>
        <v/>
      </c>
      <c r="K71" s="357" t="str">
        <f>IF(L71=0,"",IF(Ijour=0,MIN(DATE(YEAR(DebAmort),MONTH(DebAmort)+(H71-1)*Imois,Jour1),DATE(YEAR(DebAmort),MONTH(DebAmort)+1+(H71-1)*Imois,0)),DATE(YEAR(DebAmort),MONTH(DebAmort),Jour1+(H71-1)*Ijour)))</f>
        <v/>
      </c>
      <c r="L71" s="270">
        <f t="shared" si="4"/>
        <v>0</v>
      </c>
      <c r="M71" s="271">
        <f t="shared" si="6"/>
        <v>0</v>
      </c>
      <c r="N71" s="272">
        <f t="shared" si="7"/>
        <v>0</v>
      </c>
      <c r="O71" s="273">
        <f t="shared" si="5"/>
        <v>0</v>
      </c>
      <c r="P71" s="274">
        <f t="shared" si="1"/>
        <v>0</v>
      </c>
      <c r="Q71" s="350"/>
      <c r="R71" s="461">
        <f t="shared" si="8"/>
        <v>0.05</v>
      </c>
      <c r="S71" s="462">
        <f t="shared" si="9"/>
        <v>440179.35</v>
      </c>
    </row>
    <row r="72" spans="2:19" ht="15" x14ac:dyDescent="0.25">
      <c r="B72" s="362"/>
      <c r="C72" s="269"/>
      <c r="D72" s="361"/>
      <c r="E72" s="360"/>
      <c r="F72" s="359"/>
      <c r="H72" s="358" t="str">
        <f t="shared" si="2"/>
        <v/>
      </c>
      <c r="I72" s="460" t="str">
        <f t="shared" si="3"/>
        <v/>
      </c>
      <c r="J72" s="463" t="str">
        <f t="shared" si="0"/>
        <v/>
      </c>
      <c r="K72" s="357" t="str">
        <f>IF(L72=0,"",IF(Ijour=0,MIN(DATE(YEAR(DebAmort),MONTH(DebAmort)+MoisD+(H72-1)*Imois,Jour2),DATE(YEAR(DebAmort),MONTH(DebAmort)+MoisD+1+(H72-1)*Imois,0)),DATE(YEAR(DebAmort),MONTH(DebAmort),Jour1+(H72-1)*Ijour)))</f>
        <v/>
      </c>
      <c r="L72" s="270">
        <f t="shared" si="4"/>
        <v>0</v>
      </c>
      <c r="M72" s="271">
        <f t="shared" si="6"/>
        <v>0</v>
      </c>
      <c r="N72" s="272">
        <f t="shared" si="7"/>
        <v>0</v>
      </c>
      <c r="O72" s="273">
        <f t="shared" si="5"/>
        <v>0</v>
      </c>
      <c r="P72" s="274">
        <f t="shared" si="1"/>
        <v>0</v>
      </c>
      <c r="Q72" s="350"/>
      <c r="R72" s="461">
        <f t="shared" si="8"/>
        <v>0.05</v>
      </c>
      <c r="S72" s="462">
        <f t="shared" si="9"/>
        <v>440179.35</v>
      </c>
    </row>
    <row r="73" spans="2:19" ht="15" x14ac:dyDescent="0.25">
      <c r="B73" s="362"/>
      <c r="C73" s="269"/>
      <c r="D73" s="361"/>
      <c r="E73" s="360"/>
      <c r="F73" s="359"/>
      <c r="H73" s="358" t="str">
        <f t="shared" si="2"/>
        <v/>
      </c>
      <c r="I73" s="460" t="str">
        <f t="shared" si="3"/>
        <v/>
      </c>
      <c r="J73" s="463" t="str">
        <f t="shared" si="0"/>
        <v/>
      </c>
      <c r="K73" s="357" t="str">
        <f>IF(L73=0,"",IF(Ijour=0,MIN(DATE(YEAR(DebAmort),MONTH(DebAmort)+(H73-1)*Imois,Jour1),DATE(YEAR(DebAmort),MONTH(DebAmort)+1+(H73-1)*Imois,0)),DATE(YEAR(DebAmort),MONTH(DebAmort),Jour1+(H73-1)*Ijour)))</f>
        <v/>
      </c>
      <c r="L73" s="270">
        <f t="shared" si="4"/>
        <v>0</v>
      </c>
      <c r="M73" s="271">
        <f t="shared" si="6"/>
        <v>0</v>
      </c>
      <c r="N73" s="272">
        <f t="shared" si="7"/>
        <v>0</v>
      </c>
      <c r="O73" s="273">
        <f t="shared" si="5"/>
        <v>0</v>
      </c>
      <c r="P73" s="274">
        <f t="shared" si="1"/>
        <v>0</v>
      </c>
      <c r="Q73" s="350"/>
      <c r="R73" s="461">
        <f t="shared" si="8"/>
        <v>0.05</v>
      </c>
      <c r="S73" s="462">
        <f t="shared" si="9"/>
        <v>440179.35</v>
      </c>
    </row>
    <row r="74" spans="2:19" ht="15" x14ac:dyDescent="0.25">
      <c r="B74" s="362"/>
      <c r="C74" s="269"/>
      <c r="D74" s="361"/>
      <c r="E74" s="360"/>
      <c r="F74" s="359"/>
      <c r="H74" s="358" t="str">
        <f t="shared" si="2"/>
        <v/>
      </c>
      <c r="I74" s="460" t="str">
        <f t="shared" si="3"/>
        <v/>
      </c>
      <c r="J74" s="463" t="str">
        <f t="shared" si="0"/>
        <v/>
      </c>
      <c r="K74" s="357" t="str">
        <f>IF(L74=0,"",IF(Ijour=0,MIN(DATE(YEAR(DebAmort),MONTH(DebAmort)+MoisD+(H74-1)*Imois,Jour2),DATE(YEAR(DebAmort),MONTH(DebAmort)+MoisD+1+(H74-1)*Imois,0)),DATE(YEAR(DebAmort),MONTH(DebAmort),Jour1+(H74-1)*Ijour)))</f>
        <v/>
      </c>
      <c r="L74" s="270">
        <f t="shared" si="4"/>
        <v>0</v>
      </c>
      <c r="M74" s="271">
        <f t="shared" si="6"/>
        <v>0</v>
      </c>
      <c r="N74" s="272">
        <f t="shared" si="7"/>
        <v>0</v>
      </c>
      <c r="O74" s="273">
        <f t="shared" si="5"/>
        <v>0</v>
      </c>
      <c r="P74" s="274">
        <f t="shared" si="1"/>
        <v>0</v>
      </c>
      <c r="Q74" s="350"/>
      <c r="R74" s="461">
        <f t="shared" si="8"/>
        <v>0.05</v>
      </c>
      <c r="S74" s="462">
        <f t="shared" si="9"/>
        <v>440179.35</v>
      </c>
    </row>
    <row r="75" spans="2:19" ht="15" x14ac:dyDescent="0.25">
      <c r="B75" s="362"/>
      <c r="C75" s="269"/>
      <c r="D75" s="361"/>
      <c r="E75" s="360"/>
      <c r="F75" s="359"/>
      <c r="H75" s="358" t="str">
        <f t="shared" si="2"/>
        <v/>
      </c>
      <c r="I75" s="460" t="str">
        <f t="shared" si="3"/>
        <v/>
      </c>
      <c r="J75" s="463" t="str">
        <f t="shared" si="0"/>
        <v/>
      </c>
      <c r="K75" s="357" t="str">
        <f>IF(L75=0,"",IF(Ijour=0,MIN(DATE(YEAR(DebAmort),MONTH(DebAmort)+(H75-1)*Imois,Jour1),DATE(YEAR(DebAmort),MONTH(DebAmort)+1+(H75-1)*Imois,0)),DATE(YEAR(DebAmort),MONTH(DebAmort),Jour1+(H75-1)*Ijour)))</f>
        <v/>
      </c>
      <c r="L75" s="270">
        <f t="shared" si="4"/>
        <v>0</v>
      </c>
      <c r="M75" s="271">
        <f t="shared" si="6"/>
        <v>0</v>
      </c>
      <c r="N75" s="272">
        <f t="shared" si="7"/>
        <v>0</v>
      </c>
      <c r="O75" s="273">
        <f t="shared" si="5"/>
        <v>0</v>
      </c>
      <c r="P75" s="274">
        <f t="shared" si="1"/>
        <v>0</v>
      </c>
      <c r="Q75" s="350"/>
      <c r="R75" s="461">
        <f t="shared" si="8"/>
        <v>0.05</v>
      </c>
      <c r="S75" s="462">
        <f t="shared" si="9"/>
        <v>440179.35</v>
      </c>
    </row>
    <row r="76" spans="2:19" ht="15" x14ac:dyDescent="0.25">
      <c r="B76" s="362"/>
      <c r="C76" s="269"/>
      <c r="D76" s="361"/>
      <c r="E76" s="360"/>
      <c r="F76" s="359"/>
      <c r="H76" s="358" t="str">
        <f t="shared" si="2"/>
        <v/>
      </c>
      <c r="I76" s="460" t="str">
        <f t="shared" si="3"/>
        <v/>
      </c>
      <c r="J76" s="463" t="str">
        <f t="shared" si="0"/>
        <v/>
      </c>
      <c r="K76" s="357" t="str">
        <f>IF(L76=0,"",IF(Ijour=0,MIN(DATE(YEAR(DebAmort),MONTH(DebAmort)+MoisD+(H76-1)*Imois,Jour2),DATE(YEAR(DebAmort),MONTH(DebAmort)+MoisD+1+(H76-1)*Imois,0)),DATE(YEAR(DebAmort),MONTH(DebAmort),Jour1+(H76-1)*Ijour)))</f>
        <v/>
      </c>
      <c r="L76" s="270">
        <f t="shared" si="4"/>
        <v>0</v>
      </c>
      <c r="M76" s="271">
        <f t="shared" si="6"/>
        <v>0</v>
      </c>
      <c r="N76" s="272">
        <f t="shared" si="7"/>
        <v>0</v>
      </c>
      <c r="O76" s="273">
        <f t="shared" si="5"/>
        <v>0</v>
      </c>
      <c r="P76" s="274">
        <f t="shared" si="1"/>
        <v>0</v>
      </c>
      <c r="Q76" s="350"/>
      <c r="R76" s="461">
        <f t="shared" si="8"/>
        <v>0.05</v>
      </c>
      <c r="S76" s="462">
        <f t="shared" si="9"/>
        <v>440179.35</v>
      </c>
    </row>
    <row r="77" spans="2:19" ht="15" x14ac:dyDescent="0.25">
      <c r="B77" s="362"/>
      <c r="C77" s="269"/>
      <c r="D77" s="361"/>
      <c r="E77" s="360"/>
      <c r="F77" s="359"/>
      <c r="H77" s="358" t="str">
        <f t="shared" si="2"/>
        <v/>
      </c>
      <c r="I77" s="460" t="str">
        <f t="shared" si="3"/>
        <v/>
      </c>
      <c r="J77" s="463" t="str">
        <f t="shared" si="0"/>
        <v/>
      </c>
      <c r="K77" s="357" t="str">
        <f>IF(L77=0,"",IF(Ijour=0,MIN(DATE(YEAR(DebAmort),MONTH(DebAmort)+(H77-1)*Imois,Jour1),DATE(YEAR(DebAmort),MONTH(DebAmort)+1+(H77-1)*Imois,0)),DATE(YEAR(DebAmort),MONTH(DebAmort),Jour1+(H77-1)*Ijour)))</f>
        <v/>
      </c>
      <c r="L77" s="270">
        <f t="shared" si="4"/>
        <v>0</v>
      </c>
      <c r="M77" s="271">
        <f t="shared" si="6"/>
        <v>0</v>
      </c>
      <c r="N77" s="272">
        <f t="shared" si="7"/>
        <v>0</v>
      </c>
      <c r="O77" s="273">
        <f t="shared" si="5"/>
        <v>0</v>
      </c>
      <c r="P77" s="274">
        <f t="shared" si="1"/>
        <v>0</v>
      </c>
      <c r="Q77" s="350"/>
      <c r="R77" s="461">
        <f t="shared" si="8"/>
        <v>0.05</v>
      </c>
      <c r="S77" s="462">
        <f t="shared" si="9"/>
        <v>440179.35</v>
      </c>
    </row>
    <row r="78" spans="2:19" ht="15" x14ac:dyDescent="0.25">
      <c r="B78" s="362"/>
      <c r="C78" s="269"/>
      <c r="D78" s="361"/>
      <c r="E78" s="360"/>
      <c r="F78" s="359"/>
      <c r="H78" s="358" t="str">
        <f t="shared" si="2"/>
        <v/>
      </c>
      <c r="I78" s="460" t="str">
        <f t="shared" si="3"/>
        <v/>
      </c>
      <c r="J78" s="463" t="str">
        <f t="shared" ref="J78:J141" si="10">IF(ISNUMBER(K78),YEAR(K78),"")</f>
        <v/>
      </c>
      <c r="K78" s="357" t="str">
        <f>IF(L78=0,"",IF(Ijour=0,MIN(DATE(YEAR(DebAmort),MONTH(DebAmort)+MoisD+(H78-1)*Imois,Jour2),DATE(YEAR(DebAmort),MONTH(DebAmort)+MoisD+1+(H78-1)*Imois,0)),DATE(YEAR(DebAmort),MONTH(DebAmort),Jour1+(H78-1)*Ijour)))</f>
        <v/>
      </c>
      <c r="L78" s="270">
        <f t="shared" si="4"/>
        <v>0</v>
      </c>
      <c r="M78" s="271">
        <f t="shared" si="6"/>
        <v>0</v>
      </c>
      <c r="N78" s="272">
        <f t="shared" si="7"/>
        <v>0</v>
      </c>
      <c r="O78" s="273">
        <f t="shared" si="5"/>
        <v>0</v>
      </c>
      <c r="P78" s="274">
        <f t="shared" ref="P78:P141" si="11">SUM(M78:O78)</f>
        <v>0</v>
      </c>
      <c r="Q78" s="350"/>
      <c r="R78" s="461">
        <f t="shared" si="8"/>
        <v>0.05</v>
      </c>
      <c r="S78" s="462">
        <f t="shared" si="9"/>
        <v>440179.35</v>
      </c>
    </row>
    <row r="79" spans="2:19" ht="15" x14ac:dyDescent="0.25">
      <c r="B79" s="362"/>
      <c r="C79" s="269"/>
      <c r="D79" s="361"/>
      <c r="E79" s="360"/>
      <c r="F79" s="359"/>
      <c r="H79" s="358" t="str">
        <f t="shared" ref="H79:H142" si="12">IF(L79=0,"",H78+1)</f>
        <v/>
      </c>
      <c r="I79" s="460" t="str">
        <f t="shared" ref="I79:I142" si="13">IF(L79&gt;0,NbEch+Différé+1-H79,"")</f>
        <v/>
      </c>
      <c r="J79" s="463" t="str">
        <f t="shared" si="10"/>
        <v/>
      </c>
      <c r="K79" s="357" t="str">
        <f>IF(L79=0,"",IF(Ijour=0,MIN(DATE(YEAR(DebAmort),MONTH(DebAmort)+(H79-1)*Imois,Jour1),DATE(YEAR(DebAmort),MONTH(DebAmort)+1+(H79-1)*Imois,0)),DATE(YEAR(DebAmort),MONTH(DebAmort),Jour1+(H79-1)*Ijour)))</f>
        <v/>
      </c>
      <c r="L79" s="270">
        <f t="shared" ref="L79:L142" si="14">L78-N78</f>
        <v>0</v>
      </c>
      <c r="M79" s="271">
        <f t="shared" si="6"/>
        <v>0</v>
      </c>
      <c r="N79" s="272">
        <f t="shared" si="7"/>
        <v>0</v>
      </c>
      <c r="O79" s="273">
        <f t="shared" ref="O79:O142" si="15">IF(OR(L79=0,H79&gt;NoEchMaxi),0,ROUND(FraisF+FraisV*L79,NbDeci))+F79</f>
        <v>0</v>
      </c>
      <c r="P79" s="274">
        <f t="shared" si="11"/>
        <v>0</v>
      </c>
      <c r="Q79" s="350"/>
      <c r="R79" s="461">
        <f t="shared" si="8"/>
        <v>0.05</v>
      </c>
      <c r="S79" s="462">
        <f t="shared" si="9"/>
        <v>440179.35</v>
      </c>
    </row>
    <row r="80" spans="2:19" ht="15" x14ac:dyDescent="0.25">
      <c r="B80" s="362"/>
      <c r="C80" s="269"/>
      <c r="D80" s="361"/>
      <c r="E80" s="360"/>
      <c r="F80" s="359"/>
      <c r="H80" s="358" t="str">
        <f t="shared" si="12"/>
        <v/>
      </c>
      <c r="I80" s="460" t="str">
        <f t="shared" si="13"/>
        <v/>
      </c>
      <c r="J80" s="463" t="str">
        <f t="shared" si="10"/>
        <v/>
      </c>
      <c r="K80" s="357" t="str">
        <f>IF(L80=0,"",IF(Ijour=0,MIN(DATE(YEAR(DebAmort),MONTH(DebAmort)+MoisD+(H80-1)*Imois,Jour2),DATE(YEAR(DebAmort),MONTH(DebAmort)+MoisD+1+(H80-1)*Imois,0)),DATE(YEAR(DebAmort),MONTH(DebAmort),Jour1+(H80-1)*Ijour)))</f>
        <v/>
      </c>
      <c r="L80" s="270">
        <f t="shared" si="14"/>
        <v>0</v>
      </c>
      <c r="M80" s="271">
        <f t="shared" ref="M80:M143" si="16">IF(H80&lt;=NoEchMaxi,ROUND(L80*R80,NbDeci),0)</f>
        <v>0</v>
      </c>
      <c r="N80" s="272">
        <f t="shared" ref="N80:N143" si="17">IF(OR(H80&lt;=Différé,H80&gt;NoEchMaxi),IF(DiffTotal,-M80,0),IF(H80&gt;=NoEchRemb,L80,IF(S80-(M80*EchFIXE)&gt;L80-2,L80,S80-(M80*EchFIXE))))+C80</f>
        <v>0</v>
      </c>
      <c r="O80" s="273">
        <f t="shared" si="15"/>
        <v>0</v>
      </c>
      <c r="P80" s="274">
        <f t="shared" si="11"/>
        <v>0</v>
      </c>
      <c r="Q80" s="350"/>
      <c r="R80" s="461">
        <f t="shared" ref="R80:R143" si="18">IF(B80&gt;0,IF(TauxActuariel,((B80+1)^(1/NbEchAn))-1,B80/NbEchAn),R79)</f>
        <v>0.05</v>
      </c>
      <c r="S80" s="462">
        <f t="shared" ref="S80:S143" si="19">IF(E80&gt;0,E80,IF(D80&gt;0,IF(AND(EchFIXE,R80&gt;0),ROUND((L80-C80)*R80/(1-((1+R80)^-D80)),NbDeci),ROUND(L80/D80,NbDeci)),S79))</f>
        <v>440179.35</v>
      </c>
    </row>
    <row r="81" spans="2:19" ht="15" x14ac:dyDescent="0.25">
      <c r="B81" s="362"/>
      <c r="C81" s="269"/>
      <c r="D81" s="361"/>
      <c r="E81" s="360"/>
      <c r="F81" s="359"/>
      <c r="H81" s="358" t="str">
        <f t="shared" si="12"/>
        <v/>
      </c>
      <c r="I81" s="460" t="str">
        <f t="shared" si="13"/>
        <v/>
      </c>
      <c r="J81" s="463" t="str">
        <f t="shared" si="10"/>
        <v/>
      </c>
      <c r="K81" s="357" t="str">
        <f>IF(L81=0,"",IF(Ijour=0,MIN(DATE(YEAR(DebAmort),MONTH(DebAmort)+(H81-1)*Imois,Jour1),DATE(YEAR(DebAmort),MONTH(DebAmort)+1+(H81-1)*Imois,0)),DATE(YEAR(DebAmort),MONTH(DebAmort),Jour1+(H81-1)*Ijour)))</f>
        <v/>
      </c>
      <c r="L81" s="270">
        <f t="shared" si="14"/>
        <v>0</v>
      </c>
      <c r="M81" s="271">
        <f t="shared" si="16"/>
        <v>0</v>
      </c>
      <c r="N81" s="272">
        <f t="shared" si="17"/>
        <v>0</v>
      </c>
      <c r="O81" s="273">
        <f t="shared" si="15"/>
        <v>0</v>
      </c>
      <c r="P81" s="274">
        <f t="shared" si="11"/>
        <v>0</v>
      </c>
      <c r="Q81" s="350"/>
      <c r="R81" s="461">
        <f t="shared" si="18"/>
        <v>0.05</v>
      </c>
      <c r="S81" s="462">
        <f t="shared" si="19"/>
        <v>440179.35</v>
      </c>
    </row>
    <row r="82" spans="2:19" ht="15" x14ac:dyDescent="0.25">
      <c r="B82" s="362"/>
      <c r="C82" s="269"/>
      <c r="D82" s="361"/>
      <c r="E82" s="360"/>
      <c r="F82" s="359"/>
      <c r="H82" s="358" t="str">
        <f t="shared" si="12"/>
        <v/>
      </c>
      <c r="I82" s="460" t="str">
        <f t="shared" si="13"/>
        <v/>
      </c>
      <c r="J82" s="463" t="str">
        <f t="shared" si="10"/>
        <v/>
      </c>
      <c r="K82" s="357" t="str">
        <f>IF(L82=0,"",IF(Ijour=0,MIN(DATE(YEAR(DebAmort),MONTH(DebAmort)+MoisD+(H82-1)*Imois,Jour2),DATE(YEAR(DebAmort),MONTH(DebAmort)+MoisD+1+(H82-1)*Imois,0)),DATE(YEAR(DebAmort),MONTH(DebAmort),Jour1+(H82-1)*Ijour)))</f>
        <v/>
      </c>
      <c r="L82" s="270">
        <f t="shared" si="14"/>
        <v>0</v>
      </c>
      <c r="M82" s="271">
        <f t="shared" si="16"/>
        <v>0</v>
      </c>
      <c r="N82" s="272">
        <f t="shared" si="17"/>
        <v>0</v>
      </c>
      <c r="O82" s="273">
        <f t="shared" si="15"/>
        <v>0</v>
      </c>
      <c r="P82" s="274">
        <f t="shared" si="11"/>
        <v>0</v>
      </c>
      <c r="Q82" s="350"/>
      <c r="R82" s="461">
        <f t="shared" si="18"/>
        <v>0.05</v>
      </c>
      <c r="S82" s="462">
        <f t="shared" si="19"/>
        <v>440179.35</v>
      </c>
    </row>
    <row r="83" spans="2:19" ht="15" x14ac:dyDescent="0.25">
      <c r="B83" s="362"/>
      <c r="C83" s="269"/>
      <c r="D83" s="361"/>
      <c r="E83" s="360"/>
      <c r="F83" s="359"/>
      <c r="H83" s="358" t="str">
        <f t="shared" si="12"/>
        <v/>
      </c>
      <c r="I83" s="460" t="str">
        <f t="shared" si="13"/>
        <v/>
      </c>
      <c r="J83" s="463" t="str">
        <f t="shared" si="10"/>
        <v/>
      </c>
      <c r="K83" s="357" t="str">
        <f>IF(L83=0,"",IF(Ijour=0,MIN(DATE(YEAR(DebAmort),MONTH(DebAmort)+(H83-1)*Imois,Jour1),DATE(YEAR(DebAmort),MONTH(DebAmort)+1+(H83-1)*Imois,0)),DATE(YEAR(DebAmort),MONTH(DebAmort),Jour1+(H83-1)*Ijour)))</f>
        <v/>
      </c>
      <c r="L83" s="270">
        <f t="shared" si="14"/>
        <v>0</v>
      </c>
      <c r="M83" s="271">
        <f t="shared" si="16"/>
        <v>0</v>
      </c>
      <c r="N83" s="272">
        <f t="shared" si="17"/>
        <v>0</v>
      </c>
      <c r="O83" s="273">
        <f t="shared" si="15"/>
        <v>0</v>
      </c>
      <c r="P83" s="274">
        <f t="shared" si="11"/>
        <v>0</v>
      </c>
      <c r="Q83" s="350"/>
      <c r="R83" s="461">
        <f t="shared" si="18"/>
        <v>0.05</v>
      </c>
      <c r="S83" s="462">
        <f t="shared" si="19"/>
        <v>440179.35</v>
      </c>
    </row>
    <row r="84" spans="2:19" ht="15" x14ac:dyDescent="0.25">
      <c r="B84" s="362"/>
      <c r="C84" s="269"/>
      <c r="D84" s="361"/>
      <c r="E84" s="360"/>
      <c r="F84" s="359"/>
      <c r="H84" s="358" t="str">
        <f t="shared" si="12"/>
        <v/>
      </c>
      <c r="I84" s="460" t="str">
        <f t="shared" si="13"/>
        <v/>
      </c>
      <c r="J84" s="463" t="str">
        <f t="shared" si="10"/>
        <v/>
      </c>
      <c r="K84" s="357" t="str">
        <f>IF(L84=0,"",IF(Ijour=0,MIN(DATE(YEAR(DebAmort),MONTH(DebAmort)+MoisD+(H84-1)*Imois,Jour2),DATE(YEAR(DebAmort),MONTH(DebAmort)+MoisD+1+(H84-1)*Imois,0)),DATE(YEAR(DebAmort),MONTH(DebAmort),Jour1+(H84-1)*Ijour)))</f>
        <v/>
      </c>
      <c r="L84" s="270">
        <f t="shared" si="14"/>
        <v>0</v>
      </c>
      <c r="M84" s="271">
        <f t="shared" si="16"/>
        <v>0</v>
      </c>
      <c r="N84" s="272">
        <f t="shared" si="17"/>
        <v>0</v>
      </c>
      <c r="O84" s="273">
        <f t="shared" si="15"/>
        <v>0</v>
      </c>
      <c r="P84" s="274">
        <f t="shared" si="11"/>
        <v>0</v>
      </c>
      <c r="Q84" s="350"/>
      <c r="R84" s="461">
        <f t="shared" si="18"/>
        <v>0.05</v>
      </c>
      <c r="S84" s="462">
        <f t="shared" si="19"/>
        <v>440179.35</v>
      </c>
    </row>
    <row r="85" spans="2:19" ht="15" x14ac:dyDescent="0.25">
      <c r="B85" s="362"/>
      <c r="C85" s="269"/>
      <c r="D85" s="361"/>
      <c r="E85" s="360"/>
      <c r="F85" s="359"/>
      <c r="H85" s="358" t="str">
        <f t="shared" si="12"/>
        <v/>
      </c>
      <c r="I85" s="460" t="str">
        <f t="shared" si="13"/>
        <v/>
      </c>
      <c r="J85" s="463" t="str">
        <f t="shared" si="10"/>
        <v/>
      </c>
      <c r="K85" s="357" t="str">
        <f>IF(L85=0,"",IF(Ijour=0,MIN(DATE(YEAR(DebAmort),MONTH(DebAmort)+(H85-1)*Imois,Jour1),DATE(YEAR(DebAmort),MONTH(DebAmort)+1+(H85-1)*Imois,0)),DATE(YEAR(DebAmort),MONTH(DebAmort),Jour1+(H85-1)*Ijour)))</f>
        <v/>
      </c>
      <c r="L85" s="270">
        <f t="shared" si="14"/>
        <v>0</v>
      </c>
      <c r="M85" s="271">
        <f t="shared" si="16"/>
        <v>0</v>
      </c>
      <c r="N85" s="272">
        <f t="shared" si="17"/>
        <v>0</v>
      </c>
      <c r="O85" s="273">
        <f t="shared" si="15"/>
        <v>0</v>
      </c>
      <c r="P85" s="274">
        <f t="shared" si="11"/>
        <v>0</v>
      </c>
      <c r="Q85" s="350"/>
      <c r="R85" s="461">
        <f t="shared" si="18"/>
        <v>0.05</v>
      </c>
      <c r="S85" s="462">
        <f t="shared" si="19"/>
        <v>440179.35</v>
      </c>
    </row>
    <row r="86" spans="2:19" ht="15" x14ac:dyDescent="0.25">
      <c r="B86" s="362"/>
      <c r="C86" s="269"/>
      <c r="D86" s="361"/>
      <c r="E86" s="360"/>
      <c r="F86" s="359"/>
      <c r="H86" s="358" t="str">
        <f t="shared" si="12"/>
        <v/>
      </c>
      <c r="I86" s="460" t="str">
        <f t="shared" si="13"/>
        <v/>
      </c>
      <c r="J86" s="463" t="str">
        <f t="shared" si="10"/>
        <v/>
      </c>
      <c r="K86" s="357" t="str">
        <f>IF(L86=0,"",IF(Ijour=0,MIN(DATE(YEAR(DebAmort),MONTH(DebAmort)+MoisD+(H86-1)*Imois,Jour2),DATE(YEAR(DebAmort),MONTH(DebAmort)+MoisD+1+(H86-1)*Imois,0)),DATE(YEAR(DebAmort),MONTH(DebAmort),Jour1+(H86-1)*Ijour)))</f>
        <v/>
      </c>
      <c r="L86" s="270">
        <f t="shared" si="14"/>
        <v>0</v>
      </c>
      <c r="M86" s="271">
        <f t="shared" si="16"/>
        <v>0</v>
      </c>
      <c r="N86" s="272">
        <f t="shared" si="17"/>
        <v>0</v>
      </c>
      <c r="O86" s="273">
        <f t="shared" si="15"/>
        <v>0</v>
      </c>
      <c r="P86" s="274">
        <f t="shared" si="11"/>
        <v>0</v>
      </c>
      <c r="Q86" s="350"/>
      <c r="R86" s="461">
        <f t="shared" si="18"/>
        <v>0.05</v>
      </c>
      <c r="S86" s="462">
        <f t="shared" si="19"/>
        <v>440179.35</v>
      </c>
    </row>
    <row r="87" spans="2:19" ht="15" x14ac:dyDescent="0.25">
      <c r="B87" s="362"/>
      <c r="C87" s="269"/>
      <c r="D87" s="361"/>
      <c r="E87" s="360"/>
      <c r="F87" s="359"/>
      <c r="H87" s="358" t="str">
        <f t="shared" si="12"/>
        <v/>
      </c>
      <c r="I87" s="460" t="str">
        <f t="shared" si="13"/>
        <v/>
      </c>
      <c r="J87" s="463" t="str">
        <f t="shared" si="10"/>
        <v/>
      </c>
      <c r="K87" s="357" t="str">
        <f>IF(L87=0,"",IF(Ijour=0,MIN(DATE(YEAR(DebAmort),MONTH(DebAmort)+(H87-1)*Imois,Jour1),DATE(YEAR(DebAmort),MONTH(DebAmort)+1+(H87-1)*Imois,0)),DATE(YEAR(DebAmort),MONTH(DebAmort),Jour1+(H87-1)*Ijour)))</f>
        <v/>
      </c>
      <c r="L87" s="270">
        <f t="shared" si="14"/>
        <v>0</v>
      </c>
      <c r="M87" s="271">
        <f t="shared" si="16"/>
        <v>0</v>
      </c>
      <c r="N87" s="272">
        <f t="shared" si="17"/>
        <v>0</v>
      </c>
      <c r="O87" s="273">
        <f t="shared" si="15"/>
        <v>0</v>
      </c>
      <c r="P87" s="274">
        <f t="shared" si="11"/>
        <v>0</v>
      </c>
      <c r="Q87" s="350"/>
      <c r="R87" s="461">
        <f t="shared" si="18"/>
        <v>0.05</v>
      </c>
      <c r="S87" s="462">
        <f t="shared" si="19"/>
        <v>440179.35</v>
      </c>
    </row>
    <row r="88" spans="2:19" ht="15" x14ac:dyDescent="0.25">
      <c r="B88" s="362"/>
      <c r="C88" s="269"/>
      <c r="D88" s="361"/>
      <c r="E88" s="360"/>
      <c r="F88" s="359"/>
      <c r="H88" s="358" t="str">
        <f t="shared" si="12"/>
        <v/>
      </c>
      <c r="I88" s="460" t="str">
        <f t="shared" si="13"/>
        <v/>
      </c>
      <c r="J88" s="463" t="str">
        <f t="shared" si="10"/>
        <v/>
      </c>
      <c r="K88" s="357" t="str">
        <f>IF(L88=0,"",IF(Ijour=0,MIN(DATE(YEAR(DebAmort),MONTH(DebAmort)+MoisD+(H88-1)*Imois,Jour2),DATE(YEAR(DebAmort),MONTH(DebAmort)+MoisD+1+(H88-1)*Imois,0)),DATE(YEAR(DebAmort),MONTH(DebAmort),Jour1+(H88-1)*Ijour)))</f>
        <v/>
      </c>
      <c r="L88" s="270">
        <f t="shared" si="14"/>
        <v>0</v>
      </c>
      <c r="M88" s="271">
        <f t="shared" si="16"/>
        <v>0</v>
      </c>
      <c r="N88" s="272">
        <f t="shared" si="17"/>
        <v>0</v>
      </c>
      <c r="O88" s="273">
        <f t="shared" si="15"/>
        <v>0</v>
      </c>
      <c r="P88" s="274">
        <f t="shared" si="11"/>
        <v>0</v>
      </c>
      <c r="Q88" s="350"/>
      <c r="R88" s="461">
        <f t="shared" si="18"/>
        <v>0.05</v>
      </c>
      <c r="S88" s="462">
        <f t="shared" si="19"/>
        <v>440179.35</v>
      </c>
    </row>
    <row r="89" spans="2:19" ht="15" x14ac:dyDescent="0.25">
      <c r="B89" s="362"/>
      <c r="C89" s="269"/>
      <c r="D89" s="361"/>
      <c r="E89" s="360"/>
      <c r="F89" s="359"/>
      <c r="H89" s="358" t="str">
        <f t="shared" si="12"/>
        <v/>
      </c>
      <c r="I89" s="460" t="str">
        <f t="shared" si="13"/>
        <v/>
      </c>
      <c r="J89" s="463" t="str">
        <f t="shared" si="10"/>
        <v/>
      </c>
      <c r="K89" s="357" t="str">
        <f>IF(L89=0,"",IF(Ijour=0,MIN(DATE(YEAR(DebAmort),MONTH(DebAmort)+(H89-1)*Imois,Jour1),DATE(YEAR(DebAmort),MONTH(DebAmort)+1+(H89-1)*Imois,0)),DATE(YEAR(DebAmort),MONTH(DebAmort),Jour1+(H89-1)*Ijour)))</f>
        <v/>
      </c>
      <c r="L89" s="270">
        <f t="shared" si="14"/>
        <v>0</v>
      </c>
      <c r="M89" s="271">
        <f t="shared" si="16"/>
        <v>0</v>
      </c>
      <c r="N89" s="272">
        <f t="shared" si="17"/>
        <v>0</v>
      </c>
      <c r="O89" s="273">
        <f t="shared" si="15"/>
        <v>0</v>
      </c>
      <c r="P89" s="274">
        <f t="shared" si="11"/>
        <v>0</v>
      </c>
      <c r="Q89" s="350"/>
      <c r="R89" s="461">
        <f t="shared" si="18"/>
        <v>0.05</v>
      </c>
      <c r="S89" s="462">
        <f t="shared" si="19"/>
        <v>440179.35</v>
      </c>
    </row>
    <row r="90" spans="2:19" ht="15" x14ac:dyDescent="0.25">
      <c r="B90" s="362"/>
      <c r="C90" s="269"/>
      <c r="D90" s="361"/>
      <c r="E90" s="360"/>
      <c r="F90" s="359"/>
      <c r="H90" s="358" t="str">
        <f t="shared" si="12"/>
        <v/>
      </c>
      <c r="I90" s="460" t="str">
        <f t="shared" si="13"/>
        <v/>
      </c>
      <c r="J90" s="463" t="str">
        <f t="shared" si="10"/>
        <v/>
      </c>
      <c r="K90" s="357" t="str">
        <f>IF(L90=0,"",IF(Ijour=0,MIN(DATE(YEAR(DebAmort),MONTH(DebAmort)+MoisD+(H90-1)*Imois,Jour2),DATE(YEAR(DebAmort),MONTH(DebAmort)+MoisD+1+(H90-1)*Imois,0)),DATE(YEAR(DebAmort),MONTH(DebAmort),Jour1+(H90-1)*Ijour)))</f>
        <v/>
      </c>
      <c r="L90" s="270">
        <f t="shared" si="14"/>
        <v>0</v>
      </c>
      <c r="M90" s="271">
        <f t="shared" si="16"/>
        <v>0</v>
      </c>
      <c r="N90" s="272">
        <f t="shared" si="17"/>
        <v>0</v>
      </c>
      <c r="O90" s="273">
        <f t="shared" si="15"/>
        <v>0</v>
      </c>
      <c r="P90" s="274">
        <f t="shared" si="11"/>
        <v>0</v>
      </c>
      <c r="Q90" s="350"/>
      <c r="R90" s="461">
        <f t="shared" si="18"/>
        <v>0.05</v>
      </c>
      <c r="S90" s="462">
        <f t="shared" si="19"/>
        <v>440179.35</v>
      </c>
    </row>
    <row r="91" spans="2:19" ht="15" x14ac:dyDescent="0.25">
      <c r="B91" s="362"/>
      <c r="C91" s="269"/>
      <c r="D91" s="361"/>
      <c r="E91" s="360"/>
      <c r="F91" s="359"/>
      <c r="H91" s="358" t="str">
        <f t="shared" si="12"/>
        <v/>
      </c>
      <c r="I91" s="460" t="str">
        <f t="shared" si="13"/>
        <v/>
      </c>
      <c r="J91" s="463" t="str">
        <f t="shared" si="10"/>
        <v/>
      </c>
      <c r="K91" s="357" t="str">
        <f>IF(L91=0,"",IF(Ijour=0,MIN(DATE(YEAR(DebAmort),MONTH(DebAmort)+(H91-1)*Imois,Jour1),DATE(YEAR(DebAmort),MONTH(DebAmort)+1+(H91-1)*Imois,0)),DATE(YEAR(DebAmort),MONTH(DebAmort),Jour1+(H91-1)*Ijour)))</f>
        <v/>
      </c>
      <c r="L91" s="270">
        <f t="shared" si="14"/>
        <v>0</v>
      </c>
      <c r="M91" s="271">
        <f t="shared" si="16"/>
        <v>0</v>
      </c>
      <c r="N91" s="272">
        <f t="shared" si="17"/>
        <v>0</v>
      </c>
      <c r="O91" s="273">
        <f t="shared" si="15"/>
        <v>0</v>
      </c>
      <c r="P91" s="274">
        <f t="shared" si="11"/>
        <v>0</v>
      </c>
      <c r="Q91" s="350"/>
      <c r="R91" s="461">
        <f t="shared" si="18"/>
        <v>0.05</v>
      </c>
      <c r="S91" s="462">
        <f t="shared" si="19"/>
        <v>440179.35</v>
      </c>
    </row>
    <row r="92" spans="2:19" ht="15" x14ac:dyDescent="0.25">
      <c r="B92" s="362"/>
      <c r="C92" s="269"/>
      <c r="D92" s="361"/>
      <c r="E92" s="360"/>
      <c r="F92" s="359"/>
      <c r="H92" s="358" t="str">
        <f t="shared" si="12"/>
        <v/>
      </c>
      <c r="I92" s="460" t="str">
        <f t="shared" si="13"/>
        <v/>
      </c>
      <c r="J92" s="463" t="str">
        <f t="shared" si="10"/>
        <v/>
      </c>
      <c r="K92" s="357" t="str">
        <f>IF(L92=0,"",IF(Ijour=0,MIN(DATE(YEAR(DebAmort),MONTH(DebAmort)+MoisD+(H92-1)*Imois,Jour2),DATE(YEAR(DebAmort),MONTH(DebAmort)+MoisD+1+(H92-1)*Imois,0)),DATE(YEAR(DebAmort),MONTH(DebAmort),Jour1+(H92-1)*Ijour)))</f>
        <v/>
      </c>
      <c r="L92" s="270">
        <f t="shared" si="14"/>
        <v>0</v>
      </c>
      <c r="M92" s="271">
        <f t="shared" si="16"/>
        <v>0</v>
      </c>
      <c r="N92" s="272">
        <f t="shared" si="17"/>
        <v>0</v>
      </c>
      <c r="O92" s="273">
        <f t="shared" si="15"/>
        <v>0</v>
      </c>
      <c r="P92" s="274">
        <f t="shared" si="11"/>
        <v>0</v>
      </c>
      <c r="Q92" s="350"/>
      <c r="R92" s="461">
        <f t="shared" si="18"/>
        <v>0.05</v>
      </c>
      <c r="S92" s="462">
        <f t="shared" si="19"/>
        <v>440179.35</v>
      </c>
    </row>
    <row r="93" spans="2:19" ht="15" x14ac:dyDescent="0.25">
      <c r="B93" s="362"/>
      <c r="C93" s="269"/>
      <c r="D93" s="361"/>
      <c r="E93" s="360"/>
      <c r="F93" s="359"/>
      <c r="H93" s="358" t="str">
        <f t="shared" si="12"/>
        <v/>
      </c>
      <c r="I93" s="460" t="str">
        <f t="shared" si="13"/>
        <v/>
      </c>
      <c r="J93" s="463" t="str">
        <f t="shared" si="10"/>
        <v/>
      </c>
      <c r="K93" s="357" t="str">
        <f>IF(L93=0,"",IF(Ijour=0,MIN(DATE(YEAR(DebAmort),MONTH(DebAmort)+(H93-1)*Imois,Jour1),DATE(YEAR(DebAmort),MONTH(DebAmort)+1+(H93-1)*Imois,0)),DATE(YEAR(DebAmort),MONTH(DebAmort),Jour1+(H93-1)*Ijour)))</f>
        <v/>
      </c>
      <c r="L93" s="270">
        <f t="shared" si="14"/>
        <v>0</v>
      </c>
      <c r="M93" s="271">
        <f t="shared" si="16"/>
        <v>0</v>
      </c>
      <c r="N93" s="272">
        <f t="shared" si="17"/>
        <v>0</v>
      </c>
      <c r="O93" s="273">
        <f t="shared" si="15"/>
        <v>0</v>
      </c>
      <c r="P93" s="274">
        <f t="shared" si="11"/>
        <v>0</v>
      </c>
      <c r="Q93" s="350"/>
      <c r="R93" s="461">
        <f t="shared" si="18"/>
        <v>0.05</v>
      </c>
      <c r="S93" s="462">
        <f t="shared" si="19"/>
        <v>440179.35</v>
      </c>
    </row>
    <row r="94" spans="2:19" ht="15" x14ac:dyDescent="0.25">
      <c r="B94" s="362"/>
      <c r="C94" s="269"/>
      <c r="D94" s="361"/>
      <c r="E94" s="360"/>
      <c r="F94" s="359"/>
      <c r="H94" s="358" t="str">
        <f t="shared" si="12"/>
        <v/>
      </c>
      <c r="I94" s="460" t="str">
        <f t="shared" si="13"/>
        <v/>
      </c>
      <c r="J94" s="463" t="str">
        <f t="shared" si="10"/>
        <v/>
      </c>
      <c r="K94" s="357" t="str">
        <f>IF(L94=0,"",IF(Ijour=0,MIN(DATE(YEAR(DebAmort),MONTH(DebAmort)+MoisD+(H94-1)*Imois,Jour2),DATE(YEAR(DebAmort),MONTH(DebAmort)+MoisD+1+(H94-1)*Imois,0)),DATE(YEAR(DebAmort),MONTH(DebAmort),Jour1+(H94-1)*Ijour)))</f>
        <v/>
      </c>
      <c r="L94" s="270">
        <f t="shared" si="14"/>
        <v>0</v>
      </c>
      <c r="M94" s="271">
        <f t="shared" si="16"/>
        <v>0</v>
      </c>
      <c r="N94" s="272">
        <f t="shared" si="17"/>
        <v>0</v>
      </c>
      <c r="O94" s="273">
        <f t="shared" si="15"/>
        <v>0</v>
      </c>
      <c r="P94" s="274">
        <f t="shared" si="11"/>
        <v>0</v>
      </c>
      <c r="Q94" s="350"/>
      <c r="R94" s="461">
        <f t="shared" si="18"/>
        <v>0.05</v>
      </c>
      <c r="S94" s="462">
        <f t="shared" si="19"/>
        <v>440179.35</v>
      </c>
    </row>
    <row r="95" spans="2:19" ht="15" x14ac:dyDescent="0.25">
      <c r="B95" s="362"/>
      <c r="C95" s="269"/>
      <c r="D95" s="361"/>
      <c r="E95" s="360"/>
      <c r="F95" s="359"/>
      <c r="H95" s="358" t="str">
        <f t="shared" si="12"/>
        <v/>
      </c>
      <c r="I95" s="460" t="str">
        <f t="shared" si="13"/>
        <v/>
      </c>
      <c r="J95" s="463" t="str">
        <f t="shared" si="10"/>
        <v/>
      </c>
      <c r="K95" s="357" t="str">
        <f>IF(L95=0,"",IF(Ijour=0,MIN(DATE(YEAR(DebAmort),MONTH(DebAmort)+(H95-1)*Imois,Jour1),DATE(YEAR(DebAmort),MONTH(DebAmort)+1+(H95-1)*Imois,0)),DATE(YEAR(DebAmort),MONTH(DebAmort),Jour1+(H95-1)*Ijour)))</f>
        <v/>
      </c>
      <c r="L95" s="270">
        <f t="shared" si="14"/>
        <v>0</v>
      </c>
      <c r="M95" s="271">
        <f t="shared" si="16"/>
        <v>0</v>
      </c>
      <c r="N95" s="272">
        <f t="shared" si="17"/>
        <v>0</v>
      </c>
      <c r="O95" s="273">
        <f t="shared" si="15"/>
        <v>0</v>
      </c>
      <c r="P95" s="274">
        <f t="shared" si="11"/>
        <v>0</v>
      </c>
      <c r="Q95" s="350"/>
      <c r="R95" s="461">
        <f t="shared" si="18"/>
        <v>0.05</v>
      </c>
      <c r="S95" s="462">
        <f t="shared" si="19"/>
        <v>440179.35</v>
      </c>
    </row>
    <row r="96" spans="2:19" ht="15" x14ac:dyDescent="0.25">
      <c r="B96" s="362"/>
      <c r="C96" s="269"/>
      <c r="D96" s="361"/>
      <c r="E96" s="360"/>
      <c r="F96" s="359"/>
      <c r="H96" s="358" t="str">
        <f t="shared" si="12"/>
        <v/>
      </c>
      <c r="I96" s="460" t="str">
        <f t="shared" si="13"/>
        <v/>
      </c>
      <c r="J96" s="463" t="str">
        <f t="shared" si="10"/>
        <v/>
      </c>
      <c r="K96" s="357" t="str">
        <f>IF(L96=0,"",IF(Ijour=0,MIN(DATE(YEAR(DebAmort),MONTH(DebAmort)+MoisD+(H96-1)*Imois,Jour2),DATE(YEAR(DebAmort),MONTH(DebAmort)+MoisD+1+(H96-1)*Imois,0)),DATE(YEAR(DebAmort),MONTH(DebAmort),Jour1+(H96-1)*Ijour)))</f>
        <v/>
      </c>
      <c r="L96" s="270">
        <f t="shared" si="14"/>
        <v>0</v>
      </c>
      <c r="M96" s="271">
        <f t="shared" si="16"/>
        <v>0</v>
      </c>
      <c r="N96" s="272">
        <f t="shared" si="17"/>
        <v>0</v>
      </c>
      <c r="O96" s="273">
        <f t="shared" si="15"/>
        <v>0</v>
      </c>
      <c r="P96" s="274">
        <f t="shared" si="11"/>
        <v>0</v>
      </c>
      <c r="Q96" s="350"/>
      <c r="R96" s="461">
        <f t="shared" si="18"/>
        <v>0.05</v>
      </c>
      <c r="S96" s="462">
        <f t="shared" si="19"/>
        <v>440179.35</v>
      </c>
    </row>
    <row r="97" spans="2:19" ht="15" x14ac:dyDescent="0.25">
      <c r="B97" s="362"/>
      <c r="C97" s="269"/>
      <c r="D97" s="361"/>
      <c r="E97" s="360"/>
      <c r="F97" s="359"/>
      <c r="H97" s="358" t="str">
        <f t="shared" si="12"/>
        <v/>
      </c>
      <c r="I97" s="460" t="str">
        <f t="shared" si="13"/>
        <v/>
      </c>
      <c r="J97" s="463" t="str">
        <f t="shared" si="10"/>
        <v/>
      </c>
      <c r="K97" s="357" t="str">
        <f>IF(L97=0,"",IF(Ijour=0,MIN(DATE(YEAR(DebAmort),MONTH(DebAmort)+(H97-1)*Imois,Jour1),DATE(YEAR(DebAmort),MONTH(DebAmort)+1+(H97-1)*Imois,0)),DATE(YEAR(DebAmort),MONTH(DebAmort),Jour1+(H97-1)*Ijour)))</f>
        <v/>
      </c>
      <c r="L97" s="270">
        <f t="shared" si="14"/>
        <v>0</v>
      </c>
      <c r="M97" s="271">
        <f t="shared" si="16"/>
        <v>0</v>
      </c>
      <c r="N97" s="272">
        <f t="shared" si="17"/>
        <v>0</v>
      </c>
      <c r="O97" s="273">
        <f t="shared" si="15"/>
        <v>0</v>
      </c>
      <c r="P97" s="274">
        <f t="shared" si="11"/>
        <v>0</v>
      </c>
      <c r="Q97" s="350"/>
      <c r="R97" s="461">
        <f t="shared" si="18"/>
        <v>0.05</v>
      </c>
      <c r="S97" s="462">
        <f t="shared" si="19"/>
        <v>440179.35</v>
      </c>
    </row>
    <row r="98" spans="2:19" ht="15" x14ac:dyDescent="0.25">
      <c r="B98" s="362"/>
      <c r="C98" s="269"/>
      <c r="D98" s="361"/>
      <c r="E98" s="360"/>
      <c r="F98" s="359"/>
      <c r="H98" s="358" t="str">
        <f t="shared" si="12"/>
        <v/>
      </c>
      <c r="I98" s="460" t="str">
        <f t="shared" si="13"/>
        <v/>
      </c>
      <c r="J98" s="463" t="str">
        <f t="shared" si="10"/>
        <v/>
      </c>
      <c r="K98" s="357" t="str">
        <f>IF(L98=0,"",IF(Ijour=0,MIN(DATE(YEAR(DebAmort),MONTH(DebAmort)+MoisD+(H98-1)*Imois,Jour2),DATE(YEAR(DebAmort),MONTH(DebAmort)+MoisD+1+(H98-1)*Imois,0)),DATE(YEAR(DebAmort),MONTH(DebAmort),Jour1+(H98-1)*Ijour)))</f>
        <v/>
      </c>
      <c r="L98" s="270">
        <f t="shared" si="14"/>
        <v>0</v>
      </c>
      <c r="M98" s="271">
        <f t="shared" si="16"/>
        <v>0</v>
      </c>
      <c r="N98" s="272">
        <f t="shared" si="17"/>
        <v>0</v>
      </c>
      <c r="O98" s="273">
        <f t="shared" si="15"/>
        <v>0</v>
      </c>
      <c r="P98" s="274">
        <f t="shared" si="11"/>
        <v>0</v>
      </c>
      <c r="Q98" s="350"/>
      <c r="R98" s="461">
        <f t="shared" si="18"/>
        <v>0.05</v>
      </c>
      <c r="S98" s="462">
        <f t="shared" si="19"/>
        <v>440179.35</v>
      </c>
    </row>
    <row r="99" spans="2:19" ht="15" x14ac:dyDescent="0.25">
      <c r="B99" s="362"/>
      <c r="C99" s="269"/>
      <c r="D99" s="361"/>
      <c r="E99" s="360"/>
      <c r="F99" s="359"/>
      <c r="H99" s="358" t="str">
        <f t="shared" si="12"/>
        <v/>
      </c>
      <c r="I99" s="460" t="str">
        <f t="shared" si="13"/>
        <v/>
      </c>
      <c r="J99" s="463" t="str">
        <f t="shared" si="10"/>
        <v/>
      </c>
      <c r="K99" s="357" t="str">
        <f>IF(L99=0,"",IF(Ijour=0,MIN(DATE(YEAR(DebAmort),MONTH(DebAmort)+(H99-1)*Imois,Jour1),DATE(YEAR(DebAmort),MONTH(DebAmort)+1+(H99-1)*Imois,0)),DATE(YEAR(DebAmort),MONTH(DebAmort),Jour1+(H99-1)*Ijour)))</f>
        <v/>
      </c>
      <c r="L99" s="270">
        <f t="shared" si="14"/>
        <v>0</v>
      </c>
      <c r="M99" s="271">
        <f t="shared" si="16"/>
        <v>0</v>
      </c>
      <c r="N99" s="272">
        <f t="shared" si="17"/>
        <v>0</v>
      </c>
      <c r="O99" s="273">
        <f t="shared" si="15"/>
        <v>0</v>
      </c>
      <c r="P99" s="274">
        <f t="shared" si="11"/>
        <v>0</v>
      </c>
      <c r="Q99" s="350"/>
      <c r="R99" s="461">
        <f t="shared" si="18"/>
        <v>0.05</v>
      </c>
      <c r="S99" s="462">
        <f t="shared" si="19"/>
        <v>440179.35</v>
      </c>
    </row>
    <row r="100" spans="2:19" ht="15" x14ac:dyDescent="0.25">
      <c r="B100" s="362"/>
      <c r="C100" s="269"/>
      <c r="D100" s="361"/>
      <c r="E100" s="360"/>
      <c r="F100" s="359"/>
      <c r="H100" s="358" t="str">
        <f t="shared" si="12"/>
        <v/>
      </c>
      <c r="I100" s="460" t="str">
        <f t="shared" si="13"/>
        <v/>
      </c>
      <c r="J100" s="463" t="str">
        <f t="shared" si="10"/>
        <v/>
      </c>
      <c r="K100" s="357" t="str">
        <f>IF(L100=0,"",IF(Ijour=0,MIN(DATE(YEAR(DebAmort),MONTH(DebAmort)+MoisD+(H100-1)*Imois,Jour2),DATE(YEAR(DebAmort),MONTH(DebAmort)+MoisD+1+(H100-1)*Imois,0)),DATE(YEAR(DebAmort),MONTH(DebAmort),Jour1+(H100-1)*Ijour)))</f>
        <v/>
      </c>
      <c r="L100" s="270">
        <f t="shared" si="14"/>
        <v>0</v>
      </c>
      <c r="M100" s="271">
        <f t="shared" si="16"/>
        <v>0</v>
      </c>
      <c r="N100" s="272">
        <f t="shared" si="17"/>
        <v>0</v>
      </c>
      <c r="O100" s="273">
        <f t="shared" si="15"/>
        <v>0</v>
      </c>
      <c r="P100" s="274">
        <f t="shared" si="11"/>
        <v>0</v>
      </c>
      <c r="Q100" s="350"/>
      <c r="R100" s="461">
        <f t="shared" si="18"/>
        <v>0.05</v>
      </c>
      <c r="S100" s="462">
        <f t="shared" si="19"/>
        <v>440179.35</v>
      </c>
    </row>
    <row r="101" spans="2:19" ht="15" x14ac:dyDescent="0.25">
      <c r="B101" s="362"/>
      <c r="C101" s="269"/>
      <c r="D101" s="361"/>
      <c r="E101" s="360"/>
      <c r="F101" s="359"/>
      <c r="H101" s="358" t="str">
        <f t="shared" si="12"/>
        <v/>
      </c>
      <c r="I101" s="460" t="str">
        <f t="shared" si="13"/>
        <v/>
      </c>
      <c r="J101" s="463" t="str">
        <f t="shared" si="10"/>
        <v/>
      </c>
      <c r="K101" s="357" t="str">
        <f>IF(L101=0,"",IF(Ijour=0,MIN(DATE(YEAR(DebAmort),MONTH(DebAmort)+(H101-1)*Imois,Jour1),DATE(YEAR(DebAmort),MONTH(DebAmort)+1+(H101-1)*Imois,0)),DATE(YEAR(DebAmort),MONTH(DebAmort),Jour1+(H101-1)*Ijour)))</f>
        <v/>
      </c>
      <c r="L101" s="270">
        <f t="shared" si="14"/>
        <v>0</v>
      </c>
      <c r="M101" s="271">
        <f t="shared" si="16"/>
        <v>0</v>
      </c>
      <c r="N101" s="272">
        <f t="shared" si="17"/>
        <v>0</v>
      </c>
      <c r="O101" s="273">
        <f t="shared" si="15"/>
        <v>0</v>
      </c>
      <c r="P101" s="274">
        <f t="shared" si="11"/>
        <v>0</v>
      </c>
      <c r="Q101" s="350"/>
      <c r="R101" s="461">
        <f t="shared" si="18"/>
        <v>0.05</v>
      </c>
      <c r="S101" s="462">
        <f t="shared" si="19"/>
        <v>440179.35</v>
      </c>
    </row>
    <row r="102" spans="2:19" ht="15" x14ac:dyDescent="0.25">
      <c r="B102" s="362"/>
      <c r="C102" s="269"/>
      <c r="D102" s="361"/>
      <c r="E102" s="360"/>
      <c r="F102" s="359"/>
      <c r="H102" s="358" t="str">
        <f t="shared" si="12"/>
        <v/>
      </c>
      <c r="I102" s="460" t="str">
        <f t="shared" si="13"/>
        <v/>
      </c>
      <c r="J102" s="463" t="str">
        <f t="shared" si="10"/>
        <v/>
      </c>
      <c r="K102" s="357" t="str">
        <f>IF(L102=0,"",IF(Ijour=0,MIN(DATE(YEAR(DebAmort),MONTH(DebAmort)+MoisD+(H102-1)*Imois,Jour2),DATE(YEAR(DebAmort),MONTH(DebAmort)+MoisD+1+(H102-1)*Imois,0)),DATE(YEAR(DebAmort),MONTH(DebAmort),Jour1+(H102-1)*Ijour)))</f>
        <v/>
      </c>
      <c r="L102" s="270">
        <f t="shared" si="14"/>
        <v>0</v>
      </c>
      <c r="M102" s="271">
        <f t="shared" si="16"/>
        <v>0</v>
      </c>
      <c r="N102" s="272">
        <f t="shared" si="17"/>
        <v>0</v>
      </c>
      <c r="O102" s="273">
        <f t="shared" si="15"/>
        <v>0</v>
      </c>
      <c r="P102" s="274">
        <f t="shared" si="11"/>
        <v>0</v>
      </c>
      <c r="Q102" s="350"/>
      <c r="R102" s="461">
        <f t="shared" si="18"/>
        <v>0.05</v>
      </c>
      <c r="S102" s="462">
        <f t="shared" si="19"/>
        <v>440179.35</v>
      </c>
    </row>
    <row r="103" spans="2:19" ht="15" x14ac:dyDescent="0.25">
      <c r="B103" s="362"/>
      <c r="C103" s="269"/>
      <c r="D103" s="361"/>
      <c r="E103" s="360"/>
      <c r="F103" s="359"/>
      <c r="H103" s="358" t="str">
        <f t="shared" si="12"/>
        <v/>
      </c>
      <c r="I103" s="460" t="str">
        <f t="shared" si="13"/>
        <v/>
      </c>
      <c r="J103" s="463" t="str">
        <f t="shared" si="10"/>
        <v/>
      </c>
      <c r="K103" s="357" t="str">
        <f>IF(L103=0,"",IF(Ijour=0,MIN(DATE(YEAR(DebAmort),MONTH(DebAmort)+(H103-1)*Imois,Jour1),DATE(YEAR(DebAmort),MONTH(DebAmort)+1+(H103-1)*Imois,0)),DATE(YEAR(DebAmort),MONTH(DebAmort),Jour1+(H103-1)*Ijour)))</f>
        <v/>
      </c>
      <c r="L103" s="270">
        <f t="shared" si="14"/>
        <v>0</v>
      </c>
      <c r="M103" s="271">
        <f t="shared" si="16"/>
        <v>0</v>
      </c>
      <c r="N103" s="272">
        <f t="shared" si="17"/>
        <v>0</v>
      </c>
      <c r="O103" s="273">
        <f t="shared" si="15"/>
        <v>0</v>
      </c>
      <c r="P103" s="274">
        <f t="shared" si="11"/>
        <v>0</v>
      </c>
      <c r="Q103" s="350"/>
      <c r="R103" s="461">
        <f t="shared" si="18"/>
        <v>0.05</v>
      </c>
      <c r="S103" s="462">
        <f t="shared" si="19"/>
        <v>440179.35</v>
      </c>
    </row>
    <row r="104" spans="2:19" ht="15" x14ac:dyDescent="0.25">
      <c r="B104" s="362"/>
      <c r="C104" s="269"/>
      <c r="D104" s="361"/>
      <c r="E104" s="360"/>
      <c r="F104" s="359"/>
      <c r="H104" s="358" t="str">
        <f t="shared" si="12"/>
        <v/>
      </c>
      <c r="I104" s="460" t="str">
        <f t="shared" si="13"/>
        <v/>
      </c>
      <c r="J104" s="463" t="str">
        <f t="shared" si="10"/>
        <v/>
      </c>
      <c r="K104" s="357" t="str">
        <f>IF(L104=0,"",IF(Ijour=0,MIN(DATE(YEAR(DebAmort),MONTH(DebAmort)+MoisD+(H104-1)*Imois,Jour2),DATE(YEAR(DebAmort),MONTH(DebAmort)+MoisD+1+(H104-1)*Imois,0)),DATE(YEAR(DebAmort),MONTH(DebAmort),Jour1+(H104-1)*Ijour)))</f>
        <v/>
      </c>
      <c r="L104" s="270">
        <f t="shared" si="14"/>
        <v>0</v>
      </c>
      <c r="M104" s="271">
        <f t="shared" si="16"/>
        <v>0</v>
      </c>
      <c r="N104" s="272">
        <f t="shared" si="17"/>
        <v>0</v>
      </c>
      <c r="O104" s="273">
        <f t="shared" si="15"/>
        <v>0</v>
      </c>
      <c r="P104" s="274">
        <f t="shared" si="11"/>
        <v>0</v>
      </c>
      <c r="Q104" s="350"/>
      <c r="R104" s="461">
        <f t="shared" si="18"/>
        <v>0.05</v>
      </c>
      <c r="S104" s="462">
        <f t="shared" si="19"/>
        <v>440179.35</v>
      </c>
    </row>
    <row r="105" spans="2:19" ht="15" x14ac:dyDescent="0.25">
      <c r="B105" s="362"/>
      <c r="C105" s="269"/>
      <c r="D105" s="361"/>
      <c r="E105" s="360"/>
      <c r="F105" s="359"/>
      <c r="H105" s="358" t="str">
        <f t="shared" si="12"/>
        <v/>
      </c>
      <c r="I105" s="460" t="str">
        <f t="shared" si="13"/>
        <v/>
      </c>
      <c r="J105" s="463" t="str">
        <f t="shared" si="10"/>
        <v/>
      </c>
      <c r="K105" s="357" t="str">
        <f>IF(L105=0,"",IF(Ijour=0,MIN(DATE(YEAR(DebAmort),MONTH(DebAmort)+(H105-1)*Imois,Jour1),DATE(YEAR(DebAmort),MONTH(DebAmort)+1+(H105-1)*Imois,0)),DATE(YEAR(DebAmort),MONTH(DebAmort),Jour1+(H105-1)*Ijour)))</f>
        <v/>
      </c>
      <c r="L105" s="270">
        <f t="shared" si="14"/>
        <v>0</v>
      </c>
      <c r="M105" s="271">
        <f t="shared" si="16"/>
        <v>0</v>
      </c>
      <c r="N105" s="272">
        <f t="shared" si="17"/>
        <v>0</v>
      </c>
      <c r="O105" s="273">
        <f t="shared" si="15"/>
        <v>0</v>
      </c>
      <c r="P105" s="274">
        <f t="shared" si="11"/>
        <v>0</v>
      </c>
      <c r="Q105" s="350"/>
      <c r="R105" s="461">
        <f t="shared" si="18"/>
        <v>0.05</v>
      </c>
      <c r="S105" s="462">
        <f t="shared" si="19"/>
        <v>440179.35</v>
      </c>
    </row>
    <row r="106" spans="2:19" ht="15" x14ac:dyDescent="0.25">
      <c r="B106" s="362"/>
      <c r="C106" s="269"/>
      <c r="D106" s="361"/>
      <c r="E106" s="360"/>
      <c r="F106" s="359"/>
      <c r="H106" s="358" t="str">
        <f t="shared" si="12"/>
        <v/>
      </c>
      <c r="I106" s="460" t="str">
        <f t="shared" si="13"/>
        <v/>
      </c>
      <c r="J106" s="463" t="str">
        <f t="shared" si="10"/>
        <v/>
      </c>
      <c r="K106" s="357" t="str">
        <f>IF(L106=0,"",IF(Ijour=0,MIN(DATE(YEAR(DebAmort),MONTH(DebAmort)+MoisD+(H106-1)*Imois,Jour2),DATE(YEAR(DebAmort),MONTH(DebAmort)+MoisD+1+(H106-1)*Imois,0)),DATE(YEAR(DebAmort),MONTH(DebAmort),Jour1+(H106-1)*Ijour)))</f>
        <v/>
      </c>
      <c r="L106" s="270">
        <f t="shared" si="14"/>
        <v>0</v>
      </c>
      <c r="M106" s="271">
        <f t="shared" si="16"/>
        <v>0</v>
      </c>
      <c r="N106" s="272">
        <f t="shared" si="17"/>
        <v>0</v>
      </c>
      <c r="O106" s="273">
        <f t="shared" si="15"/>
        <v>0</v>
      </c>
      <c r="P106" s="274">
        <f t="shared" si="11"/>
        <v>0</v>
      </c>
      <c r="Q106" s="350"/>
      <c r="R106" s="461">
        <f t="shared" si="18"/>
        <v>0.05</v>
      </c>
      <c r="S106" s="462">
        <f t="shared" si="19"/>
        <v>440179.35</v>
      </c>
    </row>
    <row r="107" spans="2:19" ht="15" x14ac:dyDescent="0.25">
      <c r="B107" s="362"/>
      <c r="C107" s="269"/>
      <c r="D107" s="361"/>
      <c r="E107" s="360"/>
      <c r="F107" s="359"/>
      <c r="H107" s="358" t="str">
        <f t="shared" si="12"/>
        <v/>
      </c>
      <c r="I107" s="460" t="str">
        <f t="shared" si="13"/>
        <v/>
      </c>
      <c r="J107" s="463" t="str">
        <f t="shared" si="10"/>
        <v/>
      </c>
      <c r="K107" s="357" t="str">
        <f>IF(L107=0,"",IF(Ijour=0,MIN(DATE(YEAR(DebAmort),MONTH(DebAmort)+(H107-1)*Imois,Jour1),DATE(YEAR(DebAmort),MONTH(DebAmort)+1+(H107-1)*Imois,0)),DATE(YEAR(DebAmort),MONTH(DebAmort),Jour1+(H107-1)*Ijour)))</f>
        <v/>
      </c>
      <c r="L107" s="270">
        <f t="shared" si="14"/>
        <v>0</v>
      </c>
      <c r="M107" s="271">
        <f t="shared" si="16"/>
        <v>0</v>
      </c>
      <c r="N107" s="272">
        <f t="shared" si="17"/>
        <v>0</v>
      </c>
      <c r="O107" s="273">
        <f t="shared" si="15"/>
        <v>0</v>
      </c>
      <c r="P107" s="274">
        <f t="shared" si="11"/>
        <v>0</v>
      </c>
      <c r="Q107" s="350"/>
      <c r="R107" s="461">
        <f t="shared" si="18"/>
        <v>0.05</v>
      </c>
      <c r="S107" s="462">
        <f t="shared" si="19"/>
        <v>440179.35</v>
      </c>
    </row>
    <row r="108" spans="2:19" ht="15" x14ac:dyDescent="0.25">
      <c r="B108" s="362"/>
      <c r="C108" s="269"/>
      <c r="D108" s="361"/>
      <c r="E108" s="360"/>
      <c r="F108" s="359"/>
      <c r="H108" s="358" t="str">
        <f t="shared" si="12"/>
        <v/>
      </c>
      <c r="I108" s="460" t="str">
        <f t="shared" si="13"/>
        <v/>
      </c>
      <c r="J108" s="463" t="str">
        <f t="shared" si="10"/>
        <v/>
      </c>
      <c r="K108" s="357" t="str">
        <f>IF(L108=0,"",IF(Ijour=0,MIN(DATE(YEAR(DebAmort),MONTH(DebAmort)+MoisD+(H108-1)*Imois,Jour2),DATE(YEAR(DebAmort),MONTH(DebAmort)+MoisD+1+(H108-1)*Imois,0)),DATE(YEAR(DebAmort),MONTH(DebAmort),Jour1+(H108-1)*Ijour)))</f>
        <v/>
      </c>
      <c r="L108" s="270">
        <f t="shared" si="14"/>
        <v>0</v>
      </c>
      <c r="M108" s="271">
        <f t="shared" si="16"/>
        <v>0</v>
      </c>
      <c r="N108" s="272">
        <f t="shared" si="17"/>
        <v>0</v>
      </c>
      <c r="O108" s="273">
        <f t="shared" si="15"/>
        <v>0</v>
      </c>
      <c r="P108" s="274">
        <f t="shared" si="11"/>
        <v>0</v>
      </c>
      <c r="Q108" s="350"/>
      <c r="R108" s="461">
        <f t="shared" si="18"/>
        <v>0.05</v>
      </c>
      <c r="S108" s="462">
        <f t="shared" si="19"/>
        <v>440179.35</v>
      </c>
    </row>
    <row r="109" spans="2:19" ht="15" x14ac:dyDescent="0.25">
      <c r="B109" s="362"/>
      <c r="C109" s="269"/>
      <c r="D109" s="361"/>
      <c r="E109" s="360"/>
      <c r="F109" s="359"/>
      <c r="H109" s="358" t="str">
        <f t="shared" si="12"/>
        <v/>
      </c>
      <c r="I109" s="460" t="str">
        <f t="shared" si="13"/>
        <v/>
      </c>
      <c r="J109" s="463" t="str">
        <f t="shared" si="10"/>
        <v/>
      </c>
      <c r="K109" s="357" t="str">
        <f>IF(L109=0,"",IF(Ijour=0,MIN(DATE(YEAR(DebAmort),MONTH(DebAmort)+(H109-1)*Imois,Jour1),DATE(YEAR(DebAmort),MONTH(DebAmort)+1+(H109-1)*Imois,0)),DATE(YEAR(DebAmort),MONTH(DebAmort),Jour1+(H109-1)*Ijour)))</f>
        <v/>
      </c>
      <c r="L109" s="270">
        <f t="shared" si="14"/>
        <v>0</v>
      </c>
      <c r="M109" s="271">
        <f t="shared" si="16"/>
        <v>0</v>
      </c>
      <c r="N109" s="272">
        <f t="shared" si="17"/>
        <v>0</v>
      </c>
      <c r="O109" s="273">
        <f t="shared" si="15"/>
        <v>0</v>
      </c>
      <c r="P109" s="274">
        <f t="shared" si="11"/>
        <v>0</v>
      </c>
      <c r="Q109" s="350"/>
      <c r="R109" s="461">
        <f t="shared" si="18"/>
        <v>0.05</v>
      </c>
      <c r="S109" s="462">
        <f t="shared" si="19"/>
        <v>440179.35</v>
      </c>
    </row>
    <row r="110" spans="2:19" ht="15" x14ac:dyDescent="0.25">
      <c r="B110" s="362"/>
      <c r="C110" s="269"/>
      <c r="D110" s="361"/>
      <c r="E110" s="360"/>
      <c r="F110" s="359"/>
      <c r="H110" s="358" t="str">
        <f t="shared" si="12"/>
        <v/>
      </c>
      <c r="I110" s="460" t="str">
        <f t="shared" si="13"/>
        <v/>
      </c>
      <c r="J110" s="463" t="str">
        <f t="shared" si="10"/>
        <v/>
      </c>
      <c r="K110" s="357" t="str">
        <f>IF(L110=0,"",IF(Ijour=0,MIN(DATE(YEAR(DebAmort),MONTH(DebAmort)+MoisD+(H110-1)*Imois,Jour2),DATE(YEAR(DebAmort),MONTH(DebAmort)+MoisD+1+(H110-1)*Imois,0)),DATE(YEAR(DebAmort),MONTH(DebAmort),Jour1+(H110-1)*Ijour)))</f>
        <v/>
      </c>
      <c r="L110" s="270">
        <f t="shared" si="14"/>
        <v>0</v>
      </c>
      <c r="M110" s="271">
        <f t="shared" si="16"/>
        <v>0</v>
      </c>
      <c r="N110" s="272">
        <f t="shared" si="17"/>
        <v>0</v>
      </c>
      <c r="O110" s="273">
        <f t="shared" si="15"/>
        <v>0</v>
      </c>
      <c r="P110" s="274">
        <f t="shared" si="11"/>
        <v>0</v>
      </c>
      <c r="Q110" s="350"/>
      <c r="R110" s="461">
        <f t="shared" si="18"/>
        <v>0.05</v>
      </c>
      <c r="S110" s="462">
        <f t="shared" si="19"/>
        <v>440179.35</v>
      </c>
    </row>
    <row r="111" spans="2:19" ht="15" x14ac:dyDescent="0.25">
      <c r="B111" s="362"/>
      <c r="C111" s="269"/>
      <c r="D111" s="361"/>
      <c r="E111" s="360"/>
      <c r="F111" s="359"/>
      <c r="H111" s="358" t="str">
        <f t="shared" si="12"/>
        <v/>
      </c>
      <c r="I111" s="460" t="str">
        <f t="shared" si="13"/>
        <v/>
      </c>
      <c r="J111" s="463" t="str">
        <f t="shared" si="10"/>
        <v/>
      </c>
      <c r="K111" s="357" t="str">
        <f>IF(L111=0,"",IF(Ijour=0,MIN(DATE(YEAR(DebAmort),MONTH(DebAmort)+(H111-1)*Imois,Jour1),DATE(YEAR(DebAmort),MONTH(DebAmort)+1+(H111-1)*Imois,0)),DATE(YEAR(DebAmort),MONTH(DebAmort),Jour1+(H111-1)*Ijour)))</f>
        <v/>
      </c>
      <c r="L111" s="270">
        <f t="shared" si="14"/>
        <v>0</v>
      </c>
      <c r="M111" s="271">
        <f t="shared" si="16"/>
        <v>0</v>
      </c>
      <c r="N111" s="272">
        <f t="shared" si="17"/>
        <v>0</v>
      </c>
      <c r="O111" s="273">
        <f t="shared" si="15"/>
        <v>0</v>
      </c>
      <c r="P111" s="274">
        <f t="shared" si="11"/>
        <v>0</v>
      </c>
      <c r="Q111" s="350"/>
      <c r="R111" s="461">
        <f t="shared" si="18"/>
        <v>0.05</v>
      </c>
      <c r="S111" s="462">
        <f t="shared" si="19"/>
        <v>440179.35</v>
      </c>
    </row>
    <row r="112" spans="2:19" ht="15" x14ac:dyDescent="0.25">
      <c r="B112" s="362"/>
      <c r="C112" s="269"/>
      <c r="D112" s="361"/>
      <c r="E112" s="360"/>
      <c r="F112" s="359"/>
      <c r="H112" s="358" t="str">
        <f t="shared" si="12"/>
        <v/>
      </c>
      <c r="I112" s="460" t="str">
        <f t="shared" si="13"/>
        <v/>
      </c>
      <c r="J112" s="463" t="str">
        <f t="shared" si="10"/>
        <v/>
      </c>
      <c r="K112" s="357" t="str">
        <f>IF(L112=0,"",IF(Ijour=0,MIN(DATE(YEAR(DebAmort),MONTH(DebAmort)+MoisD+(H112-1)*Imois,Jour2),DATE(YEAR(DebAmort),MONTH(DebAmort)+MoisD+1+(H112-1)*Imois,0)),DATE(YEAR(DebAmort),MONTH(DebAmort),Jour1+(H112-1)*Ijour)))</f>
        <v/>
      </c>
      <c r="L112" s="270">
        <f t="shared" si="14"/>
        <v>0</v>
      </c>
      <c r="M112" s="271">
        <f t="shared" si="16"/>
        <v>0</v>
      </c>
      <c r="N112" s="272">
        <f t="shared" si="17"/>
        <v>0</v>
      </c>
      <c r="O112" s="273">
        <f t="shared" si="15"/>
        <v>0</v>
      </c>
      <c r="P112" s="274">
        <f t="shared" si="11"/>
        <v>0</v>
      </c>
      <c r="Q112" s="350"/>
      <c r="R112" s="461">
        <f t="shared" si="18"/>
        <v>0.05</v>
      </c>
      <c r="S112" s="462">
        <f t="shared" si="19"/>
        <v>440179.35</v>
      </c>
    </row>
    <row r="113" spans="2:19" ht="15" x14ac:dyDescent="0.25">
      <c r="B113" s="362"/>
      <c r="C113" s="269"/>
      <c r="D113" s="361"/>
      <c r="E113" s="360"/>
      <c r="F113" s="359"/>
      <c r="H113" s="358" t="str">
        <f t="shared" si="12"/>
        <v/>
      </c>
      <c r="I113" s="460" t="str">
        <f t="shared" si="13"/>
        <v/>
      </c>
      <c r="J113" s="463" t="str">
        <f t="shared" si="10"/>
        <v/>
      </c>
      <c r="K113" s="357" t="str">
        <f>IF(L113=0,"",IF(Ijour=0,MIN(DATE(YEAR(DebAmort),MONTH(DebAmort)+(H113-1)*Imois,Jour1),DATE(YEAR(DebAmort),MONTH(DebAmort)+1+(H113-1)*Imois,0)),DATE(YEAR(DebAmort),MONTH(DebAmort),Jour1+(H113-1)*Ijour)))</f>
        <v/>
      </c>
      <c r="L113" s="270">
        <f t="shared" si="14"/>
        <v>0</v>
      </c>
      <c r="M113" s="271">
        <f t="shared" si="16"/>
        <v>0</v>
      </c>
      <c r="N113" s="272">
        <f t="shared" si="17"/>
        <v>0</v>
      </c>
      <c r="O113" s="273">
        <f t="shared" si="15"/>
        <v>0</v>
      </c>
      <c r="P113" s="274">
        <f t="shared" si="11"/>
        <v>0</v>
      </c>
      <c r="Q113" s="350"/>
      <c r="R113" s="461">
        <f t="shared" si="18"/>
        <v>0.05</v>
      </c>
      <c r="S113" s="462">
        <f t="shared" si="19"/>
        <v>440179.35</v>
      </c>
    </row>
    <row r="114" spans="2:19" ht="15" x14ac:dyDescent="0.25">
      <c r="B114" s="362"/>
      <c r="C114" s="269"/>
      <c r="D114" s="361"/>
      <c r="E114" s="360"/>
      <c r="F114" s="359"/>
      <c r="H114" s="358" t="str">
        <f t="shared" si="12"/>
        <v/>
      </c>
      <c r="I114" s="460" t="str">
        <f t="shared" si="13"/>
        <v/>
      </c>
      <c r="J114" s="463" t="str">
        <f t="shared" si="10"/>
        <v/>
      </c>
      <c r="K114" s="357" t="str">
        <f>IF(L114=0,"",IF(Ijour=0,MIN(DATE(YEAR(DebAmort),MONTH(DebAmort)+MoisD+(H114-1)*Imois,Jour2),DATE(YEAR(DebAmort),MONTH(DebAmort)+MoisD+1+(H114-1)*Imois,0)),DATE(YEAR(DebAmort),MONTH(DebAmort),Jour1+(H114-1)*Ijour)))</f>
        <v/>
      </c>
      <c r="L114" s="270">
        <f t="shared" si="14"/>
        <v>0</v>
      </c>
      <c r="M114" s="271">
        <f t="shared" si="16"/>
        <v>0</v>
      </c>
      <c r="N114" s="272">
        <f t="shared" si="17"/>
        <v>0</v>
      </c>
      <c r="O114" s="273">
        <f t="shared" si="15"/>
        <v>0</v>
      </c>
      <c r="P114" s="274">
        <f t="shared" si="11"/>
        <v>0</v>
      </c>
      <c r="Q114" s="350"/>
      <c r="R114" s="461">
        <f t="shared" si="18"/>
        <v>0.05</v>
      </c>
      <c r="S114" s="462">
        <f t="shared" si="19"/>
        <v>440179.35</v>
      </c>
    </row>
    <row r="115" spans="2:19" ht="15" x14ac:dyDescent="0.25">
      <c r="B115" s="362"/>
      <c r="C115" s="269"/>
      <c r="D115" s="361"/>
      <c r="E115" s="360"/>
      <c r="F115" s="359"/>
      <c r="H115" s="358" t="str">
        <f t="shared" si="12"/>
        <v/>
      </c>
      <c r="I115" s="460" t="str">
        <f t="shared" si="13"/>
        <v/>
      </c>
      <c r="J115" s="463" t="str">
        <f t="shared" si="10"/>
        <v/>
      </c>
      <c r="K115" s="357" t="str">
        <f>IF(L115=0,"",IF(Ijour=0,MIN(DATE(YEAR(DebAmort),MONTH(DebAmort)+(H115-1)*Imois,Jour1),DATE(YEAR(DebAmort),MONTH(DebAmort)+1+(H115-1)*Imois,0)),DATE(YEAR(DebAmort),MONTH(DebAmort),Jour1+(H115-1)*Ijour)))</f>
        <v/>
      </c>
      <c r="L115" s="270">
        <f t="shared" si="14"/>
        <v>0</v>
      </c>
      <c r="M115" s="271">
        <f t="shared" si="16"/>
        <v>0</v>
      </c>
      <c r="N115" s="272">
        <f t="shared" si="17"/>
        <v>0</v>
      </c>
      <c r="O115" s="273">
        <f t="shared" si="15"/>
        <v>0</v>
      </c>
      <c r="P115" s="274">
        <f t="shared" si="11"/>
        <v>0</v>
      </c>
      <c r="Q115" s="350"/>
      <c r="R115" s="461">
        <f t="shared" si="18"/>
        <v>0.05</v>
      </c>
      <c r="S115" s="462">
        <f t="shared" si="19"/>
        <v>440179.35</v>
      </c>
    </row>
    <row r="116" spans="2:19" ht="15" x14ac:dyDescent="0.25">
      <c r="B116" s="362"/>
      <c r="C116" s="269"/>
      <c r="D116" s="361"/>
      <c r="E116" s="360"/>
      <c r="F116" s="359"/>
      <c r="H116" s="358" t="str">
        <f t="shared" si="12"/>
        <v/>
      </c>
      <c r="I116" s="460" t="str">
        <f t="shared" si="13"/>
        <v/>
      </c>
      <c r="J116" s="463" t="str">
        <f t="shared" si="10"/>
        <v/>
      </c>
      <c r="K116" s="357" t="str">
        <f>IF(L116=0,"",IF(Ijour=0,MIN(DATE(YEAR(DebAmort),MONTH(DebAmort)+MoisD+(H116-1)*Imois,Jour2),DATE(YEAR(DebAmort),MONTH(DebAmort)+MoisD+1+(H116-1)*Imois,0)),DATE(YEAR(DebAmort),MONTH(DebAmort),Jour1+(H116-1)*Ijour)))</f>
        <v/>
      </c>
      <c r="L116" s="270">
        <f t="shared" si="14"/>
        <v>0</v>
      </c>
      <c r="M116" s="271">
        <f t="shared" si="16"/>
        <v>0</v>
      </c>
      <c r="N116" s="272">
        <f t="shared" si="17"/>
        <v>0</v>
      </c>
      <c r="O116" s="273">
        <f t="shared" si="15"/>
        <v>0</v>
      </c>
      <c r="P116" s="274">
        <f t="shared" si="11"/>
        <v>0</v>
      </c>
      <c r="Q116" s="350"/>
      <c r="R116" s="461">
        <f t="shared" si="18"/>
        <v>0.05</v>
      </c>
      <c r="S116" s="462">
        <f t="shared" si="19"/>
        <v>440179.35</v>
      </c>
    </row>
    <row r="117" spans="2:19" ht="15" x14ac:dyDescent="0.25">
      <c r="B117" s="362"/>
      <c r="C117" s="269"/>
      <c r="D117" s="361"/>
      <c r="E117" s="360"/>
      <c r="F117" s="359"/>
      <c r="H117" s="358" t="str">
        <f t="shared" si="12"/>
        <v/>
      </c>
      <c r="I117" s="460" t="str">
        <f t="shared" si="13"/>
        <v/>
      </c>
      <c r="J117" s="463" t="str">
        <f t="shared" si="10"/>
        <v/>
      </c>
      <c r="K117" s="357" t="str">
        <f>IF(L117=0,"",IF(Ijour=0,MIN(DATE(YEAR(DebAmort),MONTH(DebAmort)+(H117-1)*Imois,Jour1),DATE(YEAR(DebAmort),MONTH(DebAmort)+1+(H117-1)*Imois,0)),DATE(YEAR(DebAmort),MONTH(DebAmort),Jour1+(H117-1)*Ijour)))</f>
        <v/>
      </c>
      <c r="L117" s="270">
        <f t="shared" si="14"/>
        <v>0</v>
      </c>
      <c r="M117" s="271">
        <f t="shared" si="16"/>
        <v>0</v>
      </c>
      <c r="N117" s="272">
        <f t="shared" si="17"/>
        <v>0</v>
      </c>
      <c r="O117" s="273">
        <f t="shared" si="15"/>
        <v>0</v>
      </c>
      <c r="P117" s="274">
        <f t="shared" si="11"/>
        <v>0</v>
      </c>
      <c r="Q117" s="350"/>
      <c r="R117" s="461">
        <f t="shared" si="18"/>
        <v>0.05</v>
      </c>
      <c r="S117" s="462">
        <f t="shared" si="19"/>
        <v>440179.35</v>
      </c>
    </row>
    <row r="118" spans="2:19" ht="15" x14ac:dyDescent="0.25">
      <c r="B118" s="362"/>
      <c r="C118" s="269"/>
      <c r="D118" s="361"/>
      <c r="E118" s="360"/>
      <c r="F118" s="359"/>
      <c r="H118" s="358" t="str">
        <f t="shared" si="12"/>
        <v/>
      </c>
      <c r="I118" s="460" t="str">
        <f t="shared" si="13"/>
        <v/>
      </c>
      <c r="J118" s="463" t="str">
        <f t="shared" si="10"/>
        <v/>
      </c>
      <c r="K118" s="357" t="str">
        <f>IF(L118=0,"",IF(Ijour=0,MIN(DATE(YEAR(DebAmort),MONTH(DebAmort)+MoisD+(H118-1)*Imois,Jour2),DATE(YEAR(DebAmort),MONTH(DebAmort)+MoisD+1+(H118-1)*Imois,0)),DATE(YEAR(DebAmort),MONTH(DebAmort),Jour1+(H118-1)*Ijour)))</f>
        <v/>
      </c>
      <c r="L118" s="270">
        <f t="shared" si="14"/>
        <v>0</v>
      </c>
      <c r="M118" s="271">
        <f t="shared" si="16"/>
        <v>0</v>
      </c>
      <c r="N118" s="272">
        <f t="shared" si="17"/>
        <v>0</v>
      </c>
      <c r="O118" s="273">
        <f t="shared" si="15"/>
        <v>0</v>
      </c>
      <c r="P118" s="274">
        <f t="shared" si="11"/>
        <v>0</v>
      </c>
      <c r="Q118" s="350"/>
      <c r="R118" s="461">
        <f t="shared" si="18"/>
        <v>0.05</v>
      </c>
      <c r="S118" s="462">
        <f t="shared" si="19"/>
        <v>440179.35</v>
      </c>
    </row>
    <row r="119" spans="2:19" ht="15" x14ac:dyDescent="0.25">
      <c r="B119" s="362"/>
      <c r="C119" s="269"/>
      <c r="D119" s="361"/>
      <c r="E119" s="360"/>
      <c r="F119" s="359"/>
      <c r="H119" s="358" t="str">
        <f t="shared" si="12"/>
        <v/>
      </c>
      <c r="I119" s="460" t="str">
        <f t="shared" si="13"/>
        <v/>
      </c>
      <c r="J119" s="463" t="str">
        <f t="shared" si="10"/>
        <v/>
      </c>
      <c r="K119" s="357" t="str">
        <f>IF(L119=0,"",IF(Ijour=0,MIN(DATE(YEAR(DebAmort),MONTH(DebAmort)+(H119-1)*Imois,Jour1),DATE(YEAR(DebAmort),MONTH(DebAmort)+1+(H119-1)*Imois,0)),DATE(YEAR(DebAmort),MONTH(DebAmort),Jour1+(H119-1)*Ijour)))</f>
        <v/>
      </c>
      <c r="L119" s="270">
        <f t="shared" si="14"/>
        <v>0</v>
      </c>
      <c r="M119" s="271">
        <f t="shared" si="16"/>
        <v>0</v>
      </c>
      <c r="N119" s="272">
        <f t="shared" si="17"/>
        <v>0</v>
      </c>
      <c r="O119" s="273">
        <f t="shared" si="15"/>
        <v>0</v>
      </c>
      <c r="P119" s="274">
        <f t="shared" si="11"/>
        <v>0</v>
      </c>
      <c r="Q119" s="350"/>
      <c r="R119" s="461">
        <f t="shared" si="18"/>
        <v>0.05</v>
      </c>
      <c r="S119" s="462">
        <f t="shared" si="19"/>
        <v>440179.35</v>
      </c>
    </row>
    <row r="120" spans="2:19" ht="15" x14ac:dyDescent="0.25">
      <c r="B120" s="362"/>
      <c r="C120" s="269"/>
      <c r="D120" s="361"/>
      <c r="E120" s="360"/>
      <c r="F120" s="359"/>
      <c r="H120" s="358" t="str">
        <f t="shared" si="12"/>
        <v/>
      </c>
      <c r="I120" s="460" t="str">
        <f t="shared" si="13"/>
        <v/>
      </c>
      <c r="J120" s="463" t="str">
        <f t="shared" si="10"/>
        <v/>
      </c>
      <c r="K120" s="357" t="str">
        <f>IF(L120=0,"",IF(Ijour=0,MIN(DATE(YEAR(DebAmort),MONTH(DebAmort)+MoisD+(H120-1)*Imois,Jour2),DATE(YEAR(DebAmort),MONTH(DebAmort)+MoisD+1+(H120-1)*Imois,0)),DATE(YEAR(DebAmort),MONTH(DebAmort),Jour1+(H120-1)*Ijour)))</f>
        <v/>
      </c>
      <c r="L120" s="270">
        <f t="shared" si="14"/>
        <v>0</v>
      </c>
      <c r="M120" s="271">
        <f t="shared" si="16"/>
        <v>0</v>
      </c>
      <c r="N120" s="272">
        <f t="shared" si="17"/>
        <v>0</v>
      </c>
      <c r="O120" s="273">
        <f t="shared" si="15"/>
        <v>0</v>
      </c>
      <c r="P120" s="274">
        <f t="shared" si="11"/>
        <v>0</v>
      </c>
      <c r="Q120" s="350"/>
      <c r="R120" s="461">
        <f t="shared" si="18"/>
        <v>0.05</v>
      </c>
      <c r="S120" s="462">
        <f t="shared" si="19"/>
        <v>440179.35</v>
      </c>
    </row>
    <row r="121" spans="2:19" ht="15" x14ac:dyDescent="0.25">
      <c r="B121" s="362"/>
      <c r="C121" s="269"/>
      <c r="D121" s="361"/>
      <c r="E121" s="360"/>
      <c r="F121" s="359"/>
      <c r="H121" s="358" t="str">
        <f t="shared" si="12"/>
        <v/>
      </c>
      <c r="I121" s="460" t="str">
        <f t="shared" si="13"/>
        <v/>
      </c>
      <c r="J121" s="463" t="str">
        <f t="shared" si="10"/>
        <v/>
      </c>
      <c r="K121" s="357" t="str">
        <f>IF(L121=0,"",IF(Ijour=0,MIN(DATE(YEAR(DebAmort),MONTH(DebAmort)+(H121-1)*Imois,Jour1),DATE(YEAR(DebAmort),MONTH(DebAmort)+1+(H121-1)*Imois,0)),DATE(YEAR(DebAmort),MONTH(DebAmort),Jour1+(H121-1)*Ijour)))</f>
        <v/>
      </c>
      <c r="L121" s="270">
        <f t="shared" si="14"/>
        <v>0</v>
      </c>
      <c r="M121" s="271">
        <f t="shared" si="16"/>
        <v>0</v>
      </c>
      <c r="N121" s="272">
        <f t="shared" si="17"/>
        <v>0</v>
      </c>
      <c r="O121" s="273">
        <f t="shared" si="15"/>
        <v>0</v>
      </c>
      <c r="P121" s="274">
        <f t="shared" si="11"/>
        <v>0</v>
      </c>
      <c r="Q121" s="350"/>
      <c r="R121" s="461">
        <f t="shared" si="18"/>
        <v>0.05</v>
      </c>
      <c r="S121" s="462">
        <f t="shared" si="19"/>
        <v>440179.35</v>
      </c>
    </row>
    <row r="122" spans="2:19" ht="15" x14ac:dyDescent="0.25">
      <c r="B122" s="362"/>
      <c r="C122" s="269"/>
      <c r="D122" s="361"/>
      <c r="E122" s="360"/>
      <c r="F122" s="359"/>
      <c r="H122" s="358" t="str">
        <f t="shared" si="12"/>
        <v/>
      </c>
      <c r="I122" s="460" t="str">
        <f t="shared" si="13"/>
        <v/>
      </c>
      <c r="J122" s="463" t="str">
        <f t="shared" si="10"/>
        <v/>
      </c>
      <c r="K122" s="357" t="str">
        <f>IF(L122=0,"",IF(Ijour=0,MIN(DATE(YEAR(DebAmort),MONTH(DebAmort)+MoisD+(H122-1)*Imois,Jour2),DATE(YEAR(DebAmort),MONTH(DebAmort)+MoisD+1+(H122-1)*Imois,0)),DATE(YEAR(DebAmort),MONTH(DebAmort),Jour1+(H122-1)*Ijour)))</f>
        <v/>
      </c>
      <c r="L122" s="270">
        <f t="shared" si="14"/>
        <v>0</v>
      </c>
      <c r="M122" s="271">
        <f t="shared" si="16"/>
        <v>0</v>
      </c>
      <c r="N122" s="272">
        <f t="shared" si="17"/>
        <v>0</v>
      </c>
      <c r="O122" s="273">
        <f t="shared" si="15"/>
        <v>0</v>
      </c>
      <c r="P122" s="274">
        <f t="shared" si="11"/>
        <v>0</v>
      </c>
      <c r="Q122" s="350"/>
      <c r="R122" s="461">
        <f t="shared" si="18"/>
        <v>0.05</v>
      </c>
      <c r="S122" s="462">
        <f t="shared" si="19"/>
        <v>440179.35</v>
      </c>
    </row>
    <row r="123" spans="2:19" ht="15" x14ac:dyDescent="0.25">
      <c r="B123" s="362"/>
      <c r="C123" s="269"/>
      <c r="D123" s="361"/>
      <c r="E123" s="360"/>
      <c r="F123" s="359"/>
      <c r="H123" s="358" t="str">
        <f t="shared" si="12"/>
        <v/>
      </c>
      <c r="I123" s="460" t="str">
        <f t="shared" si="13"/>
        <v/>
      </c>
      <c r="J123" s="463" t="str">
        <f t="shared" si="10"/>
        <v/>
      </c>
      <c r="K123" s="357" t="str">
        <f>IF(L123=0,"",IF(Ijour=0,MIN(DATE(YEAR(DebAmort),MONTH(DebAmort)+(H123-1)*Imois,Jour1),DATE(YEAR(DebAmort),MONTH(DebAmort)+1+(H123-1)*Imois,0)),DATE(YEAR(DebAmort),MONTH(DebAmort),Jour1+(H123-1)*Ijour)))</f>
        <v/>
      </c>
      <c r="L123" s="270">
        <f t="shared" si="14"/>
        <v>0</v>
      </c>
      <c r="M123" s="271">
        <f t="shared" si="16"/>
        <v>0</v>
      </c>
      <c r="N123" s="272">
        <f t="shared" si="17"/>
        <v>0</v>
      </c>
      <c r="O123" s="273">
        <f t="shared" si="15"/>
        <v>0</v>
      </c>
      <c r="P123" s="274">
        <f t="shared" si="11"/>
        <v>0</v>
      </c>
      <c r="Q123" s="350"/>
      <c r="R123" s="461">
        <f t="shared" si="18"/>
        <v>0.05</v>
      </c>
      <c r="S123" s="462">
        <f t="shared" si="19"/>
        <v>440179.35</v>
      </c>
    </row>
    <row r="124" spans="2:19" ht="15" x14ac:dyDescent="0.25">
      <c r="B124" s="362"/>
      <c r="C124" s="269"/>
      <c r="D124" s="361"/>
      <c r="E124" s="360"/>
      <c r="F124" s="359"/>
      <c r="H124" s="358" t="str">
        <f t="shared" si="12"/>
        <v/>
      </c>
      <c r="I124" s="460" t="str">
        <f t="shared" si="13"/>
        <v/>
      </c>
      <c r="J124" s="463" t="str">
        <f t="shared" si="10"/>
        <v/>
      </c>
      <c r="K124" s="357" t="str">
        <f>IF(L124=0,"",IF(Ijour=0,MIN(DATE(YEAR(DebAmort),MONTH(DebAmort)+MoisD+(H124-1)*Imois,Jour2),DATE(YEAR(DebAmort),MONTH(DebAmort)+MoisD+1+(H124-1)*Imois,0)),DATE(YEAR(DebAmort),MONTH(DebAmort),Jour1+(H124-1)*Ijour)))</f>
        <v/>
      </c>
      <c r="L124" s="270">
        <f t="shared" si="14"/>
        <v>0</v>
      </c>
      <c r="M124" s="271">
        <f t="shared" si="16"/>
        <v>0</v>
      </c>
      <c r="N124" s="272">
        <f t="shared" si="17"/>
        <v>0</v>
      </c>
      <c r="O124" s="273">
        <f t="shared" si="15"/>
        <v>0</v>
      </c>
      <c r="P124" s="274">
        <f t="shared" si="11"/>
        <v>0</v>
      </c>
      <c r="Q124" s="350"/>
      <c r="R124" s="461">
        <f t="shared" si="18"/>
        <v>0.05</v>
      </c>
      <c r="S124" s="462">
        <f t="shared" si="19"/>
        <v>440179.35</v>
      </c>
    </row>
    <row r="125" spans="2:19" ht="15" x14ac:dyDescent="0.25">
      <c r="B125" s="362"/>
      <c r="C125" s="269"/>
      <c r="D125" s="361"/>
      <c r="E125" s="360"/>
      <c r="F125" s="359"/>
      <c r="H125" s="358" t="str">
        <f t="shared" si="12"/>
        <v/>
      </c>
      <c r="I125" s="460" t="str">
        <f t="shared" si="13"/>
        <v/>
      </c>
      <c r="J125" s="463" t="str">
        <f t="shared" si="10"/>
        <v/>
      </c>
      <c r="K125" s="357" t="str">
        <f>IF(L125=0,"",IF(Ijour=0,MIN(DATE(YEAR(DebAmort),MONTH(DebAmort)+(H125-1)*Imois,Jour1),DATE(YEAR(DebAmort),MONTH(DebAmort)+1+(H125-1)*Imois,0)),DATE(YEAR(DebAmort),MONTH(DebAmort),Jour1+(H125-1)*Ijour)))</f>
        <v/>
      </c>
      <c r="L125" s="270">
        <f t="shared" si="14"/>
        <v>0</v>
      </c>
      <c r="M125" s="271">
        <f t="shared" si="16"/>
        <v>0</v>
      </c>
      <c r="N125" s="272">
        <f t="shared" si="17"/>
        <v>0</v>
      </c>
      <c r="O125" s="273">
        <f t="shared" si="15"/>
        <v>0</v>
      </c>
      <c r="P125" s="274">
        <f t="shared" si="11"/>
        <v>0</v>
      </c>
      <c r="Q125" s="350"/>
      <c r="R125" s="461">
        <f t="shared" si="18"/>
        <v>0.05</v>
      </c>
      <c r="S125" s="462">
        <f t="shared" si="19"/>
        <v>440179.35</v>
      </c>
    </row>
    <row r="126" spans="2:19" ht="15" x14ac:dyDescent="0.25">
      <c r="B126" s="362"/>
      <c r="C126" s="269"/>
      <c r="D126" s="361"/>
      <c r="E126" s="360"/>
      <c r="F126" s="359"/>
      <c r="H126" s="358" t="str">
        <f t="shared" si="12"/>
        <v/>
      </c>
      <c r="I126" s="460" t="str">
        <f t="shared" si="13"/>
        <v/>
      </c>
      <c r="J126" s="463" t="str">
        <f t="shared" si="10"/>
        <v/>
      </c>
      <c r="K126" s="357" t="str">
        <f>IF(L126=0,"",IF(Ijour=0,MIN(DATE(YEAR(DebAmort),MONTH(DebAmort)+MoisD+(H126-1)*Imois,Jour2),DATE(YEAR(DebAmort),MONTH(DebAmort)+MoisD+1+(H126-1)*Imois,0)),DATE(YEAR(DebAmort),MONTH(DebAmort),Jour1+(H126-1)*Ijour)))</f>
        <v/>
      </c>
      <c r="L126" s="270">
        <f t="shared" si="14"/>
        <v>0</v>
      </c>
      <c r="M126" s="271">
        <f t="shared" si="16"/>
        <v>0</v>
      </c>
      <c r="N126" s="272">
        <f t="shared" si="17"/>
        <v>0</v>
      </c>
      <c r="O126" s="273">
        <f t="shared" si="15"/>
        <v>0</v>
      </c>
      <c r="P126" s="274">
        <f t="shared" si="11"/>
        <v>0</v>
      </c>
      <c r="Q126" s="350"/>
      <c r="R126" s="461">
        <f t="shared" si="18"/>
        <v>0.05</v>
      </c>
      <c r="S126" s="462">
        <f t="shared" si="19"/>
        <v>440179.35</v>
      </c>
    </row>
    <row r="127" spans="2:19" ht="15" x14ac:dyDescent="0.25">
      <c r="B127" s="362"/>
      <c r="C127" s="269"/>
      <c r="D127" s="361"/>
      <c r="E127" s="360"/>
      <c r="F127" s="359"/>
      <c r="H127" s="358" t="str">
        <f t="shared" si="12"/>
        <v/>
      </c>
      <c r="I127" s="460" t="str">
        <f t="shared" si="13"/>
        <v/>
      </c>
      <c r="J127" s="463" t="str">
        <f t="shared" si="10"/>
        <v/>
      </c>
      <c r="K127" s="357" t="str">
        <f>IF(L127=0,"",IF(Ijour=0,MIN(DATE(YEAR(DebAmort),MONTH(DebAmort)+(H127-1)*Imois,Jour1),DATE(YEAR(DebAmort),MONTH(DebAmort)+1+(H127-1)*Imois,0)),DATE(YEAR(DebAmort),MONTH(DebAmort),Jour1+(H127-1)*Ijour)))</f>
        <v/>
      </c>
      <c r="L127" s="270">
        <f t="shared" si="14"/>
        <v>0</v>
      </c>
      <c r="M127" s="271">
        <f t="shared" si="16"/>
        <v>0</v>
      </c>
      <c r="N127" s="272">
        <f t="shared" si="17"/>
        <v>0</v>
      </c>
      <c r="O127" s="273">
        <f t="shared" si="15"/>
        <v>0</v>
      </c>
      <c r="P127" s="274">
        <f t="shared" si="11"/>
        <v>0</v>
      </c>
      <c r="Q127" s="350"/>
      <c r="R127" s="461">
        <f t="shared" si="18"/>
        <v>0.05</v>
      </c>
      <c r="S127" s="462">
        <f t="shared" si="19"/>
        <v>440179.35</v>
      </c>
    </row>
    <row r="128" spans="2:19" ht="15" x14ac:dyDescent="0.25">
      <c r="B128" s="362"/>
      <c r="C128" s="269"/>
      <c r="D128" s="361"/>
      <c r="E128" s="360"/>
      <c r="F128" s="359"/>
      <c r="H128" s="358" t="str">
        <f t="shared" si="12"/>
        <v/>
      </c>
      <c r="I128" s="460" t="str">
        <f t="shared" si="13"/>
        <v/>
      </c>
      <c r="J128" s="463" t="str">
        <f t="shared" si="10"/>
        <v/>
      </c>
      <c r="K128" s="357" t="str">
        <f>IF(L128=0,"",IF(Ijour=0,MIN(DATE(YEAR(DebAmort),MONTH(DebAmort)+MoisD+(H128-1)*Imois,Jour2),DATE(YEAR(DebAmort),MONTH(DebAmort)+MoisD+1+(H128-1)*Imois,0)),DATE(YEAR(DebAmort),MONTH(DebAmort),Jour1+(H128-1)*Ijour)))</f>
        <v/>
      </c>
      <c r="L128" s="270">
        <f t="shared" si="14"/>
        <v>0</v>
      </c>
      <c r="M128" s="271">
        <f t="shared" si="16"/>
        <v>0</v>
      </c>
      <c r="N128" s="272">
        <f t="shared" si="17"/>
        <v>0</v>
      </c>
      <c r="O128" s="273">
        <f t="shared" si="15"/>
        <v>0</v>
      </c>
      <c r="P128" s="274">
        <f t="shared" si="11"/>
        <v>0</v>
      </c>
      <c r="Q128" s="350"/>
      <c r="R128" s="461">
        <f t="shared" si="18"/>
        <v>0.05</v>
      </c>
      <c r="S128" s="462">
        <f t="shared" si="19"/>
        <v>440179.35</v>
      </c>
    </row>
    <row r="129" spans="2:19" ht="15" x14ac:dyDescent="0.25">
      <c r="B129" s="362"/>
      <c r="C129" s="269"/>
      <c r="D129" s="361"/>
      <c r="E129" s="360"/>
      <c r="F129" s="359"/>
      <c r="H129" s="358" t="str">
        <f t="shared" si="12"/>
        <v/>
      </c>
      <c r="I129" s="460" t="str">
        <f t="shared" si="13"/>
        <v/>
      </c>
      <c r="J129" s="463" t="str">
        <f t="shared" si="10"/>
        <v/>
      </c>
      <c r="K129" s="357" t="str">
        <f>IF(L129=0,"",IF(Ijour=0,MIN(DATE(YEAR(DebAmort),MONTH(DebAmort)+(H129-1)*Imois,Jour1),DATE(YEAR(DebAmort),MONTH(DebAmort)+1+(H129-1)*Imois,0)),DATE(YEAR(DebAmort),MONTH(DebAmort),Jour1+(H129-1)*Ijour)))</f>
        <v/>
      </c>
      <c r="L129" s="270">
        <f t="shared" si="14"/>
        <v>0</v>
      </c>
      <c r="M129" s="271">
        <f t="shared" si="16"/>
        <v>0</v>
      </c>
      <c r="N129" s="272">
        <f t="shared" si="17"/>
        <v>0</v>
      </c>
      <c r="O129" s="273">
        <f t="shared" si="15"/>
        <v>0</v>
      </c>
      <c r="P129" s="274">
        <f t="shared" si="11"/>
        <v>0</v>
      </c>
      <c r="Q129" s="350"/>
      <c r="R129" s="461">
        <f t="shared" si="18"/>
        <v>0.05</v>
      </c>
      <c r="S129" s="462">
        <f t="shared" si="19"/>
        <v>440179.35</v>
      </c>
    </row>
    <row r="130" spans="2:19" ht="15" x14ac:dyDescent="0.25">
      <c r="B130" s="362"/>
      <c r="C130" s="269"/>
      <c r="D130" s="361"/>
      <c r="E130" s="360"/>
      <c r="F130" s="359"/>
      <c r="H130" s="358" t="str">
        <f t="shared" si="12"/>
        <v/>
      </c>
      <c r="I130" s="460" t="str">
        <f t="shared" si="13"/>
        <v/>
      </c>
      <c r="J130" s="463" t="str">
        <f t="shared" si="10"/>
        <v/>
      </c>
      <c r="K130" s="357" t="str">
        <f>IF(L130=0,"",IF(Ijour=0,MIN(DATE(YEAR(DebAmort),MONTH(DebAmort)+MoisD+(H130-1)*Imois,Jour2),DATE(YEAR(DebAmort),MONTH(DebAmort)+MoisD+1+(H130-1)*Imois,0)),DATE(YEAR(DebAmort),MONTH(DebAmort),Jour1+(H130-1)*Ijour)))</f>
        <v/>
      </c>
      <c r="L130" s="270">
        <f t="shared" si="14"/>
        <v>0</v>
      </c>
      <c r="M130" s="271">
        <f t="shared" si="16"/>
        <v>0</v>
      </c>
      <c r="N130" s="272">
        <f t="shared" si="17"/>
        <v>0</v>
      </c>
      <c r="O130" s="273">
        <f t="shared" si="15"/>
        <v>0</v>
      </c>
      <c r="P130" s="274">
        <f t="shared" si="11"/>
        <v>0</v>
      </c>
      <c r="Q130" s="350"/>
      <c r="R130" s="461">
        <f t="shared" si="18"/>
        <v>0.05</v>
      </c>
      <c r="S130" s="462">
        <f t="shared" si="19"/>
        <v>440179.35</v>
      </c>
    </row>
    <row r="131" spans="2:19" ht="15" x14ac:dyDescent="0.25">
      <c r="B131" s="362"/>
      <c r="C131" s="269"/>
      <c r="D131" s="361"/>
      <c r="E131" s="360"/>
      <c r="F131" s="359"/>
      <c r="H131" s="358" t="str">
        <f t="shared" si="12"/>
        <v/>
      </c>
      <c r="I131" s="460" t="str">
        <f t="shared" si="13"/>
        <v/>
      </c>
      <c r="J131" s="463" t="str">
        <f t="shared" si="10"/>
        <v/>
      </c>
      <c r="K131" s="357" t="str">
        <f>IF(L131=0,"",IF(Ijour=0,MIN(DATE(YEAR(DebAmort),MONTH(DebAmort)+(H131-1)*Imois,Jour1),DATE(YEAR(DebAmort),MONTH(DebAmort)+1+(H131-1)*Imois,0)),DATE(YEAR(DebAmort),MONTH(DebAmort),Jour1+(H131-1)*Ijour)))</f>
        <v/>
      </c>
      <c r="L131" s="270">
        <f t="shared" si="14"/>
        <v>0</v>
      </c>
      <c r="M131" s="271">
        <f t="shared" si="16"/>
        <v>0</v>
      </c>
      <c r="N131" s="272">
        <f t="shared" si="17"/>
        <v>0</v>
      </c>
      <c r="O131" s="273">
        <f t="shared" si="15"/>
        <v>0</v>
      </c>
      <c r="P131" s="274">
        <f t="shared" si="11"/>
        <v>0</v>
      </c>
      <c r="Q131" s="350"/>
      <c r="R131" s="461">
        <f t="shared" si="18"/>
        <v>0.05</v>
      </c>
      <c r="S131" s="462">
        <f t="shared" si="19"/>
        <v>440179.35</v>
      </c>
    </row>
    <row r="132" spans="2:19" ht="15" x14ac:dyDescent="0.25">
      <c r="B132" s="362"/>
      <c r="C132" s="269"/>
      <c r="D132" s="361"/>
      <c r="E132" s="360"/>
      <c r="F132" s="359"/>
      <c r="H132" s="358" t="str">
        <f t="shared" si="12"/>
        <v/>
      </c>
      <c r="I132" s="460" t="str">
        <f t="shared" si="13"/>
        <v/>
      </c>
      <c r="J132" s="463" t="str">
        <f t="shared" si="10"/>
        <v/>
      </c>
      <c r="K132" s="357" t="str">
        <f>IF(L132=0,"",IF(Ijour=0,MIN(DATE(YEAR(DebAmort),MONTH(DebAmort)+MoisD+(H132-1)*Imois,Jour2),DATE(YEAR(DebAmort),MONTH(DebAmort)+MoisD+1+(H132-1)*Imois,0)),DATE(YEAR(DebAmort),MONTH(DebAmort),Jour1+(H132-1)*Ijour)))</f>
        <v/>
      </c>
      <c r="L132" s="270">
        <f t="shared" si="14"/>
        <v>0</v>
      </c>
      <c r="M132" s="271">
        <f t="shared" si="16"/>
        <v>0</v>
      </c>
      <c r="N132" s="272">
        <f t="shared" si="17"/>
        <v>0</v>
      </c>
      <c r="O132" s="273">
        <f t="shared" si="15"/>
        <v>0</v>
      </c>
      <c r="P132" s="274">
        <f t="shared" si="11"/>
        <v>0</v>
      </c>
      <c r="Q132" s="350"/>
      <c r="R132" s="461">
        <f t="shared" si="18"/>
        <v>0.05</v>
      </c>
      <c r="S132" s="462">
        <f t="shared" si="19"/>
        <v>440179.35</v>
      </c>
    </row>
    <row r="133" spans="2:19" ht="15" x14ac:dyDescent="0.25">
      <c r="B133" s="362"/>
      <c r="C133" s="269"/>
      <c r="D133" s="361"/>
      <c r="E133" s="360"/>
      <c r="F133" s="359"/>
      <c r="H133" s="358" t="str">
        <f t="shared" si="12"/>
        <v/>
      </c>
      <c r="I133" s="460" t="str">
        <f t="shared" si="13"/>
        <v/>
      </c>
      <c r="J133" s="463" t="str">
        <f t="shared" si="10"/>
        <v/>
      </c>
      <c r="K133" s="357" t="str">
        <f>IF(L133=0,"",IF(Ijour=0,MIN(DATE(YEAR(DebAmort),MONTH(DebAmort)+(H133-1)*Imois,Jour1),DATE(YEAR(DebAmort),MONTH(DebAmort)+1+(H133-1)*Imois,0)),DATE(YEAR(DebAmort),MONTH(DebAmort),Jour1+(H133-1)*Ijour)))</f>
        <v/>
      </c>
      <c r="L133" s="270">
        <f t="shared" si="14"/>
        <v>0</v>
      </c>
      <c r="M133" s="271">
        <f t="shared" si="16"/>
        <v>0</v>
      </c>
      <c r="N133" s="272">
        <f t="shared" si="17"/>
        <v>0</v>
      </c>
      <c r="O133" s="273">
        <f t="shared" si="15"/>
        <v>0</v>
      </c>
      <c r="P133" s="274">
        <f t="shared" si="11"/>
        <v>0</v>
      </c>
      <c r="Q133" s="350"/>
      <c r="R133" s="461">
        <f t="shared" si="18"/>
        <v>0.05</v>
      </c>
      <c r="S133" s="462">
        <f t="shared" si="19"/>
        <v>440179.35</v>
      </c>
    </row>
    <row r="134" spans="2:19" ht="15" x14ac:dyDescent="0.25">
      <c r="B134" s="362"/>
      <c r="C134" s="269"/>
      <c r="D134" s="361"/>
      <c r="E134" s="360"/>
      <c r="F134" s="359"/>
      <c r="H134" s="358" t="str">
        <f t="shared" si="12"/>
        <v/>
      </c>
      <c r="I134" s="460" t="str">
        <f t="shared" si="13"/>
        <v/>
      </c>
      <c r="J134" s="463" t="str">
        <f t="shared" si="10"/>
        <v/>
      </c>
      <c r="K134" s="357" t="str">
        <f>IF(L134=0,"",IF(Ijour=0,MIN(DATE(YEAR(DebAmort),MONTH(DebAmort)+MoisD+(H134-1)*Imois,Jour2),DATE(YEAR(DebAmort),MONTH(DebAmort)+MoisD+1+(H134-1)*Imois,0)),DATE(YEAR(DebAmort),MONTH(DebAmort),Jour1+(H134-1)*Ijour)))</f>
        <v/>
      </c>
      <c r="L134" s="270">
        <f t="shared" si="14"/>
        <v>0</v>
      </c>
      <c r="M134" s="271">
        <f t="shared" si="16"/>
        <v>0</v>
      </c>
      <c r="N134" s="272">
        <f t="shared" si="17"/>
        <v>0</v>
      </c>
      <c r="O134" s="273">
        <f t="shared" si="15"/>
        <v>0</v>
      </c>
      <c r="P134" s="274">
        <f t="shared" si="11"/>
        <v>0</v>
      </c>
      <c r="Q134" s="350"/>
      <c r="R134" s="461">
        <f t="shared" si="18"/>
        <v>0.05</v>
      </c>
      <c r="S134" s="462">
        <f t="shared" si="19"/>
        <v>440179.35</v>
      </c>
    </row>
    <row r="135" spans="2:19" ht="15" x14ac:dyDescent="0.25">
      <c r="B135" s="362"/>
      <c r="C135" s="269"/>
      <c r="D135" s="361"/>
      <c r="E135" s="360"/>
      <c r="F135" s="359"/>
      <c r="H135" s="358" t="str">
        <f t="shared" si="12"/>
        <v/>
      </c>
      <c r="I135" s="460" t="str">
        <f t="shared" si="13"/>
        <v/>
      </c>
      <c r="J135" s="463" t="str">
        <f t="shared" si="10"/>
        <v/>
      </c>
      <c r="K135" s="357" t="str">
        <f>IF(L135=0,"",IF(Ijour=0,MIN(DATE(YEAR(DebAmort),MONTH(DebAmort)+(H135-1)*Imois,Jour1),DATE(YEAR(DebAmort),MONTH(DebAmort)+1+(H135-1)*Imois,0)),DATE(YEAR(DebAmort),MONTH(DebAmort),Jour1+(H135-1)*Ijour)))</f>
        <v/>
      </c>
      <c r="L135" s="270">
        <f t="shared" si="14"/>
        <v>0</v>
      </c>
      <c r="M135" s="271">
        <f t="shared" si="16"/>
        <v>0</v>
      </c>
      <c r="N135" s="272">
        <f t="shared" si="17"/>
        <v>0</v>
      </c>
      <c r="O135" s="273">
        <f t="shared" si="15"/>
        <v>0</v>
      </c>
      <c r="P135" s="274">
        <f t="shared" si="11"/>
        <v>0</v>
      </c>
      <c r="Q135" s="350"/>
      <c r="R135" s="461">
        <f t="shared" si="18"/>
        <v>0.05</v>
      </c>
      <c r="S135" s="462">
        <f t="shared" si="19"/>
        <v>440179.35</v>
      </c>
    </row>
    <row r="136" spans="2:19" ht="15" x14ac:dyDescent="0.25">
      <c r="B136" s="362"/>
      <c r="C136" s="269"/>
      <c r="D136" s="361"/>
      <c r="E136" s="360"/>
      <c r="F136" s="359"/>
      <c r="H136" s="358" t="str">
        <f t="shared" si="12"/>
        <v/>
      </c>
      <c r="I136" s="460" t="str">
        <f t="shared" si="13"/>
        <v/>
      </c>
      <c r="J136" s="463" t="str">
        <f t="shared" si="10"/>
        <v/>
      </c>
      <c r="K136" s="357" t="str">
        <f>IF(L136=0,"",IF(Ijour=0,MIN(DATE(YEAR(DebAmort),MONTH(DebAmort)+MoisD+(H136-1)*Imois,Jour2),DATE(YEAR(DebAmort),MONTH(DebAmort)+MoisD+1+(H136-1)*Imois,0)),DATE(YEAR(DebAmort),MONTH(DebAmort),Jour1+(H136-1)*Ijour)))</f>
        <v/>
      </c>
      <c r="L136" s="270">
        <f t="shared" si="14"/>
        <v>0</v>
      </c>
      <c r="M136" s="271">
        <f t="shared" si="16"/>
        <v>0</v>
      </c>
      <c r="N136" s="272">
        <f t="shared" si="17"/>
        <v>0</v>
      </c>
      <c r="O136" s="273">
        <f t="shared" si="15"/>
        <v>0</v>
      </c>
      <c r="P136" s="274">
        <f t="shared" si="11"/>
        <v>0</v>
      </c>
      <c r="Q136" s="350"/>
      <c r="R136" s="461">
        <f t="shared" si="18"/>
        <v>0.05</v>
      </c>
      <c r="S136" s="462">
        <f t="shared" si="19"/>
        <v>440179.35</v>
      </c>
    </row>
    <row r="137" spans="2:19" ht="15" x14ac:dyDescent="0.25">
      <c r="B137" s="362"/>
      <c r="C137" s="269"/>
      <c r="D137" s="361"/>
      <c r="E137" s="360"/>
      <c r="F137" s="359"/>
      <c r="H137" s="358" t="str">
        <f t="shared" si="12"/>
        <v/>
      </c>
      <c r="I137" s="460" t="str">
        <f t="shared" si="13"/>
        <v/>
      </c>
      <c r="J137" s="463" t="str">
        <f t="shared" si="10"/>
        <v/>
      </c>
      <c r="K137" s="357" t="str">
        <f>IF(L137=0,"",IF(Ijour=0,MIN(DATE(YEAR(DebAmort),MONTH(DebAmort)+(H137-1)*Imois,Jour1),DATE(YEAR(DebAmort),MONTH(DebAmort)+1+(H137-1)*Imois,0)),DATE(YEAR(DebAmort),MONTH(DebAmort),Jour1+(H137-1)*Ijour)))</f>
        <v/>
      </c>
      <c r="L137" s="270">
        <f t="shared" si="14"/>
        <v>0</v>
      </c>
      <c r="M137" s="271">
        <f t="shared" si="16"/>
        <v>0</v>
      </c>
      <c r="N137" s="272">
        <f t="shared" si="17"/>
        <v>0</v>
      </c>
      <c r="O137" s="273">
        <f t="shared" si="15"/>
        <v>0</v>
      </c>
      <c r="P137" s="274">
        <f t="shared" si="11"/>
        <v>0</v>
      </c>
      <c r="Q137" s="350"/>
      <c r="R137" s="461">
        <f t="shared" si="18"/>
        <v>0.05</v>
      </c>
      <c r="S137" s="462">
        <f t="shared" si="19"/>
        <v>440179.35</v>
      </c>
    </row>
    <row r="138" spans="2:19" ht="15" x14ac:dyDescent="0.25">
      <c r="B138" s="362"/>
      <c r="C138" s="269"/>
      <c r="D138" s="361"/>
      <c r="E138" s="360"/>
      <c r="F138" s="359"/>
      <c r="H138" s="358" t="str">
        <f t="shared" si="12"/>
        <v/>
      </c>
      <c r="I138" s="460" t="str">
        <f t="shared" si="13"/>
        <v/>
      </c>
      <c r="J138" s="463" t="str">
        <f t="shared" si="10"/>
        <v/>
      </c>
      <c r="K138" s="357" t="str">
        <f>IF(L138=0,"",IF(Ijour=0,MIN(DATE(YEAR(DebAmort),MONTH(DebAmort)+MoisD+(H138-1)*Imois,Jour2),DATE(YEAR(DebAmort),MONTH(DebAmort)+MoisD+1+(H138-1)*Imois,0)),DATE(YEAR(DebAmort),MONTH(DebAmort),Jour1+(H138-1)*Ijour)))</f>
        <v/>
      </c>
      <c r="L138" s="270">
        <f t="shared" si="14"/>
        <v>0</v>
      </c>
      <c r="M138" s="271">
        <f t="shared" si="16"/>
        <v>0</v>
      </c>
      <c r="N138" s="272">
        <f t="shared" si="17"/>
        <v>0</v>
      </c>
      <c r="O138" s="273">
        <f t="shared" si="15"/>
        <v>0</v>
      </c>
      <c r="P138" s="274">
        <f t="shared" si="11"/>
        <v>0</v>
      </c>
      <c r="Q138" s="350"/>
      <c r="R138" s="461">
        <f t="shared" si="18"/>
        <v>0.05</v>
      </c>
      <c r="S138" s="462">
        <f t="shared" si="19"/>
        <v>440179.35</v>
      </c>
    </row>
    <row r="139" spans="2:19" ht="15" x14ac:dyDescent="0.25">
      <c r="B139" s="362"/>
      <c r="C139" s="269"/>
      <c r="D139" s="361"/>
      <c r="E139" s="360"/>
      <c r="F139" s="359"/>
      <c r="H139" s="358" t="str">
        <f t="shared" si="12"/>
        <v/>
      </c>
      <c r="I139" s="460" t="str">
        <f t="shared" si="13"/>
        <v/>
      </c>
      <c r="J139" s="463" t="str">
        <f t="shared" si="10"/>
        <v/>
      </c>
      <c r="K139" s="357" t="str">
        <f>IF(L139=0,"",IF(Ijour=0,MIN(DATE(YEAR(DebAmort),MONTH(DebAmort)+(H139-1)*Imois,Jour1),DATE(YEAR(DebAmort),MONTH(DebAmort)+1+(H139-1)*Imois,0)),DATE(YEAR(DebAmort),MONTH(DebAmort),Jour1+(H139-1)*Ijour)))</f>
        <v/>
      </c>
      <c r="L139" s="270">
        <f t="shared" si="14"/>
        <v>0</v>
      </c>
      <c r="M139" s="271">
        <f t="shared" si="16"/>
        <v>0</v>
      </c>
      <c r="N139" s="272">
        <f t="shared" si="17"/>
        <v>0</v>
      </c>
      <c r="O139" s="273">
        <f t="shared" si="15"/>
        <v>0</v>
      </c>
      <c r="P139" s="274">
        <f t="shared" si="11"/>
        <v>0</v>
      </c>
      <c r="Q139" s="350"/>
      <c r="R139" s="461">
        <f t="shared" si="18"/>
        <v>0.05</v>
      </c>
      <c r="S139" s="462">
        <f t="shared" si="19"/>
        <v>440179.35</v>
      </c>
    </row>
    <row r="140" spans="2:19" ht="15" x14ac:dyDescent="0.25">
      <c r="B140" s="362"/>
      <c r="C140" s="269"/>
      <c r="D140" s="361"/>
      <c r="E140" s="360"/>
      <c r="F140" s="359"/>
      <c r="H140" s="358" t="str">
        <f t="shared" si="12"/>
        <v/>
      </c>
      <c r="I140" s="460" t="str">
        <f t="shared" si="13"/>
        <v/>
      </c>
      <c r="J140" s="463" t="str">
        <f t="shared" si="10"/>
        <v/>
      </c>
      <c r="K140" s="357" t="str">
        <f>IF(L140=0,"",IF(Ijour=0,MIN(DATE(YEAR(DebAmort),MONTH(DebAmort)+MoisD+(H140-1)*Imois,Jour2),DATE(YEAR(DebAmort),MONTH(DebAmort)+MoisD+1+(H140-1)*Imois,0)),DATE(YEAR(DebAmort),MONTH(DebAmort),Jour1+(H140-1)*Ijour)))</f>
        <v/>
      </c>
      <c r="L140" s="270">
        <f t="shared" si="14"/>
        <v>0</v>
      </c>
      <c r="M140" s="271">
        <f t="shared" si="16"/>
        <v>0</v>
      </c>
      <c r="N140" s="272">
        <f t="shared" si="17"/>
        <v>0</v>
      </c>
      <c r="O140" s="273">
        <f t="shared" si="15"/>
        <v>0</v>
      </c>
      <c r="P140" s="274">
        <f t="shared" si="11"/>
        <v>0</v>
      </c>
      <c r="Q140" s="350"/>
      <c r="R140" s="461">
        <f t="shared" si="18"/>
        <v>0.05</v>
      </c>
      <c r="S140" s="462">
        <f t="shared" si="19"/>
        <v>440179.35</v>
      </c>
    </row>
    <row r="141" spans="2:19" ht="15" x14ac:dyDescent="0.25">
      <c r="B141" s="362"/>
      <c r="C141" s="269"/>
      <c r="D141" s="361"/>
      <c r="E141" s="360"/>
      <c r="F141" s="359"/>
      <c r="H141" s="358" t="str">
        <f t="shared" si="12"/>
        <v/>
      </c>
      <c r="I141" s="460" t="str">
        <f t="shared" si="13"/>
        <v/>
      </c>
      <c r="J141" s="463" t="str">
        <f t="shared" si="10"/>
        <v/>
      </c>
      <c r="K141" s="357" t="str">
        <f>IF(L141=0,"",IF(Ijour=0,MIN(DATE(YEAR(DebAmort),MONTH(DebAmort)+(H141-1)*Imois,Jour1),DATE(YEAR(DebAmort),MONTH(DebAmort)+1+(H141-1)*Imois,0)),DATE(YEAR(DebAmort),MONTH(DebAmort),Jour1+(H141-1)*Ijour)))</f>
        <v/>
      </c>
      <c r="L141" s="270">
        <f t="shared" si="14"/>
        <v>0</v>
      </c>
      <c r="M141" s="271">
        <f t="shared" si="16"/>
        <v>0</v>
      </c>
      <c r="N141" s="272">
        <f t="shared" si="17"/>
        <v>0</v>
      </c>
      <c r="O141" s="273">
        <f t="shared" si="15"/>
        <v>0</v>
      </c>
      <c r="P141" s="274">
        <f t="shared" si="11"/>
        <v>0</v>
      </c>
      <c r="Q141" s="350"/>
      <c r="R141" s="461">
        <f t="shared" si="18"/>
        <v>0.05</v>
      </c>
      <c r="S141" s="462">
        <f t="shared" si="19"/>
        <v>440179.35</v>
      </c>
    </row>
    <row r="142" spans="2:19" ht="15" x14ac:dyDescent="0.25">
      <c r="B142" s="362"/>
      <c r="C142" s="269"/>
      <c r="D142" s="361"/>
      <c r="E142" s="360"/>
      <c r="F142" s="359"/>
      <c r="H142" s="358" t="str">
        <f t="shared" si="12"/>
        <v/>
      </c>
      <c r="I142" s="460" t="str">
        <f t="shared" si="13"/>
        <v/>
      </c>
      <c r="J142" s="463" t="str">
        <f t="shared" ref="J142:J205" si="20">IF(ISNUMBER(K142),YEAR(K142),"")</f>
        <v/>
      </c>
      <c r="K142" s="357" t="str">
        <f>IF(L142=0,"",IF(Ijour=0,MIN(DATE(YEAR(DebAmort),MONTH(DebAmort)+MoisD+(H142-1)*Imois,Jour2),DATE(YEAR(DebAmort),MONTH(DebAmort)+MoisD+1+(H142-1)*Imois,0)),DATE(YEAR(DebAmort),MONTH(DebAmort),Jour1+(H142-1)*Ijour)))</f>
        <v/>
      </c>
      <c r="L142" s="270">
        <f t="shared" si="14"/>
        <v>0</v>
      </c>
      <c r="M142" s="271">
        <f t="shared" si="16"/>
        <v>0</v>
      </c>
      <c r="N142" s="272">
        <f t="shared" si="17"/>
        <v>0</v>
      </c>
      <c r="O142" s="273">
        <f t="shared" si="15"/>
        <v>0</v>
      </c>
      <c r="P142" s="274">
        <f t="shared" ref="P142:P205" si="21">SUM(M142:O142)</f>
        <v>0</v>
      </c>
      <c r="Q142" s="350"/>
      <c r="R142" s="461">
        <f t="shared" si="18"/>
        <v>0.05</v>
      </c>
      <c r="S142" s="462">
        <f t="shared" si="19"/>
        <v>440179.35</v>
      </c>
    </row>
    <row r="143" spans="2:19" ht="15" x14ac:dyDescent="0.25">
      <c r="B143" s="362"/>
      <c r="C143" s="269"/>
      <c r="D143" s="361"/>
      <c r="E143" s="360"/>
      <c r="F143" s="359"/>
      <c r="H143" s="358" t="str">
        <f t="shared" ref="H143:H206" si="22">IF(L143=0,"",H142+1)</f>
        <v/>
      </c>
      <c r="I143" s="460" t="str">
        <f t="shared" ref="I143:I206" si="23">IF(L143&gt;0,NbEch+Différé+1-H143,"")</f>
        <v/>
      </c>
      <c r="J143" s="463" t="str">
        <f t="shared" si="20"/>
        <v/>
      </c>
      <c r="K143" s="357" t="str">
        <f>IF(L143=0,"",IF(Ijour=0,MIN(DATE(YEAR(DebAmort),MONTH(DebAmort)+(H143-1)*Imois,Jour1),DATE(YEAR(DebAmort),MONTH(DebAmort)+1+(H143-1)*Imois,0)),DATE(YEAR(DebAmort),MONTH(DebAmort),Jour1+(H143-1)*Ijour)))</f>
        <v/>
      </c>
      <c r="L143" s="270">
        <f t="shared" ref="L143:L206" si="24">L142-N142</f>
        <v>0</v>
      </c>
      <c r="M143" s="271">
        <f t="shared" si="16"/>
        <v>0</v>
      </c>
      <c r="N143" s="272">
        <f t="shared" si="17"/>
        <v>0</v>
      </c>
      <c r="O143" s="273">
        <f t="shared" ref="O143:O206" si="25">IF(OR(L143=0,H143&gt;NoEchMaxi),0,ROUND(FraisF+FraisV*L143,NbDeci))+F143</f>
        <v>0</v>
      </c>
      <c r="P143" s="274">
        <f t="shared" si="21"/>
        <v>0</v>
      </c>
      <c r="Q143" s="350"/>
      <c r="R143" s="461">
        <f t="shared" si="18"/>
        <v>0.05</v>
      </c>
      <c r="S143" s="462">
        <f t="shared" si="19"/>
        <v>440179.35</v>
      </c>
    </row>
    <row r="144" spans="2:19" ht="15" x14ac:dyDescent="0.25">
      <c r="B144" s="362"/>
      <c r="C144" s="269"/>
      <c r="D144" s="361"/>
      <c r="E144" s="360"/>
      <c r="F144" s="359"/>
      <c r="H144" s="358" t="str">
        <f t="shared" si="22"/>
        <v/>
      </c>
      <c r="I144" s="460" t="str">
        <f t="shared" si="23"/>
        <v/>
      </c>
      <c r="J144" s="463" t="str">
        <f t="shared" si="20"/>
        <v/>
      </c>
      <c r="K144" s="357" t="str">
        <f>IF(L144=0,"",IF(Ijour=0,MIN(DATE(YEAR(DebAmort),MONTH(DebAmort)+MoisD+(H144-1)*Imois,Jour2),DATE(YEAR(DebAmort),MONTH(DebAmort)+MoisD+1+(H144-1)*Imois,0)),DATE(YEAR(DebAmort),MONTH(DebAmort),Jour1+(H144-1)*Ijour)))</f>
        <v/>
      </c>
      <c r="L144" s="270">
        <f t="shared" si="24"/>
        <v>0</v>
      </c>
      <c r="M144" s="271">
        <f t="shared" ref="M144:M207" si="26">IF(H144&lt;=NoEchMaxi,ROUND(L144*R144,NbDeci),0)</f>
        <v>0</v>
      </c>
      <c r="N144" s="272">
        <f t="shared" ref="N144:N207" si="27">IF(OR(H144&lt;=Différé,H144&gt;NoEchMaxi),IF(DiffTotal,-M144,0),IF(H144&gt;=NoEchRemb,L144,IF(S144-(M144*EchFIXE)&gt;L144-2,L144,S144-(M144*EchFIXE))))+C144</f>
        <v>0</v>
      </c>
      <c r="O144" s="273">
        <f t="shared" si="25"/>
        <v>0</v>
      </c>
      <c r="P144" s="274">
        <f t="shared" si="21"/>
        <v>0</v>
      </c>
      <c r="Q144" s="350"/>
      <c r="R144" s="461">
        <f t="shared" ref="R144:R207" si="28">IF(B144&gt;0,IF(TauxActuariel,((B144+1)^(1/NbEchAn))-1,B144/NbEchAn),R143)</f>
        <v>0.05</v>
      </c>
      <c r="S144" s="462">
        <f t="shared" ref="S144:S207" si="29">IF(E144&gt;0,E144,IF(D144&gt;0,IF(AND(EchFIXE,R144&gt;0),ROUND((L144-C144)*R144/(1-((1+R144)^-D144)),NbDeci),ROUND(L144/D144,NbDeci)),S143))</f>
        <v>440179.35</v>
      </c>
    </row>
    <row r="145" spans="2:19" ht="15" x14ac:dyDescent="0.25">
      <c r="B145" s="362"/>
      <c r="C145" s="269"/>
      <c r="D145" s="361"/>
      <c r="E145" s="360"/>
      <c r="F145" s="359"/>
      <c r="H145" s="358" t="str">
        <f t="shared" si="22"/>
        <v/>
      </c>
      <c r="I145" s="460" t="str">
        <f t="shared" si="23"/>
        <v/>
      </c>
      <c r="J145" s="463" t="str">
        <f t="shared" si="20"/>
        <v/>
      </c>
      <c r="K145" s="357" t="str">
        <f>IF(L145=0,"",IF(Ijour=0,MIN(DATE(YEAR(DebAmort),MONTH(DebAmort)+(H145-1)*Imois,Jour1),DATE(YEAR(DebAmort),MONTH(DebAmort)+1+(H145-1)*Imois,0)),DATE(YEAR(DebAmort),MONTH(DebAmort),Jour1+(H145-1)*Ijour)))</f>
        <v/>
      </c>
      <c r="L145" s="270">
        <f t="shared" si="24"/>
        <v>0</v>
      </c>
      <c r="M145" s="271">
        <f t="shared" si="26"/>
        <v>0</v>
      </c>
      <c r="N145" s="272">
        <f t="shared" si="27"/>
        <v>0</v>
      </c>
      <c r="O145" s="273">
        <f t="shared" si="25"/>
        <v>0</v>
      </c>
      <c r="P145" s="274">
        <f t="shared" si="21"/>
        <v>0</v>
      </c>
      <c r="Q145" s="350"/>
      <c r="R145" s="461">
        <f t="shared" si="28"/>
        <v>0.05</v>
      </c>
      <c r="S145" s="462">
        <f t="shared" si="29"/>
        <v>440179.35</v>
      </c>
    </row>
    <row r="146" spans="2:19" ht="15" x14ac:dyDescent="0.25">
      <c r="B146" s="362"/>
      <c r="C146" s="269"/>
      <c r="D146" s="361"/>
      <c r="E146" s="360"/>
      <c r="F146" s="359"/>
      <c r="H146" s="358" t="str">
        <f t="shared" si="22"/>
        <v/>
      </c>
      <c r="I146" s="460" t="str">
        <f t="shared" si="23"/>
        <v/>
      </c>
      <c r="J146" s="463" t="str">
        <f t="shared" si="20"/>
        <v/>
      </c>
      <c r="K146" s="357" t="str">
        <f>IF(L146=0,"",IF(Ijour=0,MIN(DATE(YEAR(DebAmort),MONTH(DebAmort)+MoisD+(H146-1)*Imois,Jour2),DATE(YEAR(DebAmort),MONTH(DebAmort)+MoisD+1+(H146-1)*Imois,0)),DATE(YEAR(DebAmort),MONTH(DebAmort),Jour1+(H146-1)*Ijour)))</f>
        <v/>
      </c>
      <c r="L146" s="270">
        <f t="shared" si="24"/>
        <v>0</v>
      </c>
      <c r="M146" s="271">
        <f t="shared" si="26"/>
        <v>0</v>
      </c>
      <c r="N146" s="272">
        <f t="shared" si="27"/>
        <v>0</v>
      </c>
      <c r="O146" s="273">
        <f t="shared" si="25"/>
        <v>0</v>
      </c>
      <c r="P146" s="274">
        <f t="shared" si="21"/>
        <v>0</v>
      </c>
      <c r="Q146" s="350"/>
      <c r="R146" s="461">
        <f t="shared" si="28"/>
        <v>0.05</v>
      </c>
      <c r="S146" s="462">
        <f t="shared" si="29"/>
        <v>440179.35</v>
      </c>
    </row>
    <row r="147" spans="2:19" ht="15" x14ac:dyDescent="0.25">
      <c r="B147" s="362"/>
      <c r="C147" s="269"/>
      <c r="D147" s="361"/>
      <c r="E147" s="360"/>
      <c r="F147" s="359"/>
      <c r="H147" s="358" t="str">
        <f t="shared" si="22"/>
        <v/>
      </c>
      <c r="I147" s="460" t="str">
        <f t="shared" si="23"/>
        <v/>
      </c>
      <c r="J147" s="463" t="str">
        <f t="shared" si="20"/>
        <v/>
      </c>
      <c r="K147" s="357" t="str">
        <f>IF(L147=0,"",IF(Ijour=0,MIN(DATE(YEAR(DebAmort),MONTH(DebAmort)+(H147-1)*Imois,Jour1),DATE(YEAR(DebAmort),MONTH(DebAmort)+1+(H147-1)*Imois,0)),DATE(YEAR(DebAmort),MONTH(DebAmort),Jour1+(H147-1)*Ijour)))</f>
        <v/>
      </c>
      <c r="L147" s="270">
        <f t="shared" si="24"/>
        <v>0</v>
      </c>
      <c r="M147" s="271">
        <f t="shared" si="26"/>
        <v>0</v>
      </c>
      <c r="N147" s="272">
        <f t="shared" si="27"/>
        <v>0</v>
      </c>
      <c r="O147" s="273">
        <f t="shared" si="25"/>
        <v>0</v>
      </c>
      <c r="P147" s="274">
        <f t="shared" si="21"/>
        <v>0</v>
      </c>
      <c r="Q147" s="350"/>
      <c r="R147" s="461">
        <f t="shared" si="28"/>
        <v>0.05</v>
      </c>
      <c r="S147" s="462">
        <f t="shared" si="29"/>
        <v>440179.35</v>
      </c>
    </row>
    <row r="148" spans="2:19" ht="15" x14ac:dyDescent="0.25">
      <c r="B148" s="362"/>
      <c r="C148" s="269"/>
      <c r="D148" s="361"/>
      <c r="E148" s="360"/>
      <c r="F148" s="359"/>
      <c r="H148" s="358" t="str">
        <f t="shared" si="22"/>
        <v/>
      </c>
      <c r="I148" s="460" t="str">
        <f t="shared" si="23"/>
        <v/>
      </c>
      <c r="J148" s="463" t="str">
        <f t="shared" si="20"/>
        <v/>
      </c>
      <c r="K148" s="357" t="str">
        <f>IF(L148=0,"",IF(Ijour=0,MIN(DATE(YEAR(DebAmort),MONTH(DebAmort)+MoisD+(H148-1)*Imois,Jour2),DATE(YEAR(DebAmort),MONTH(DebAmort)+MoisD+1+(H148-1)*Imois,0)),DATE(YEAR(DebAmort),MONTH(DebAmort),Jour1+(H148-1)*Ijour)))</f>
        <v/>
      </c>
      <c r="L148" s="270">
        <f t="shared" si="24"/>
        <v>0</v>
      </c>
      <c r="M148" s="271">
        <f t="shared" si="26"/>
        <v>0</v>
      </c>
      <c r="N148" s="272">
        <f t="shared" si="27"/>
        <v>0</v>
      </c>
      <c r="O148" s="273">
        <f t="shared" si="25"/>
        <v>0</v>
      </c>
      <c r="P148" s="274">
        <f t="shared" si="21"/>
        <v>0</v>
      </c>
      <c r="Q148" s="350"/>
      <c r="R148" s="461">
        <f t="shared" si="28"/>
        <v>0.05</v>
      </c>
      <c r="S148" s="462">
        <f t="shared" si="29"/>
        <v>440179.35</v>
      </c>
    </row>
    <row r="149" spans="2:19" ht="15" x14ac:dyDescent="0.25">
      <c r="B149" s="362"/>
      <c r="C149" s="269"/>
      <c r="D149" s="361"/>
      <c r="E149" s="360"/>
      <c r="F149" s="359"/>
      <c r="H149" s="358" t="str">
        <f t="shared" si="22"/>
        <v/>
      </c>
      <c r="I149" s="460" t="str">
        <f t="shared" si="23"/>
        <v/>
      </c>
      <c r="J149" s="463" t="str">
        <f t="shared" si="20"/>
        <v/>
      </c>
      <c r="K149" s="357" t="str">
        <f>IF(L149=0,"",IF(Ijour=0,MIN(DATE(YEAR(DebAmort),MONTH(DebAmort)+(H149-1)*Imois,Jour1),DATE(YEAR(DebAmort),MONTH(DebAmort)+1+(H149-1)*Imois,0)),DATE(YEAR(DebAmort),MONTH(DebAmort),Jour1+(H149-1)*Ijour)))</f>
        <v/>
      </c>
      <c r="L149" s="270">
        <f t="shared" si="24"/>
        <v>0</v>
      </c>
      <c r="M149" s="271">
        <f t="shared" si="26"/>
        <v>0</v>
      </c>
      <c r="N149" s="272">
        <f t="shared" si="27"/>
        <v>0</v>
      </c>
      <c r="O149" s="273">
        <f t="shared" si="25"/>
        <v>0</v>
      </c>
      <c r="P149" s="274">
        <f t="shared" si="21"/>
        <v>0</v>
      </c>
      <c r="Q149" s="350"/>
      <c r="R149" s="461">
        <f t="shared" si="28"/>
        <v>0.05</v>
      </c>
      <c r="S149" s="462">
        <f t="shared" si="29"/>
        <v>440179.35</v>
      </c>
    </row>
    <row r="150" spans="2:19" ht="15" x14ac:dyDescent="0.25">
      <c r="B150" s="362"/>
      <c r="C150" s="269"/>
      <c r="D150" s="361"/>
      <c r="E150" s="360"/>
      <c r="F150" s="359"/>
      <c r="H150" s="358" t="str">
        <f t="shared" si="22"/>
        <v/>
      </c>
      <c r="I150" s="460" t="str">
        <f t="shared" si="23"/>
        <v/>
      </c>
      <c r="J150" s="463" t="str">
        <f t="shared" si="20"/>
        <v/>
      </c>
      <c r="K150" s="357" t="str">
        <f>IF(L150=0,"",IF(Ijour=0,MIN(DATE(YEAR(DebAmort),MONTH(DebAmort)+MoisD+(H150-1)*Imois,Jour2),DATE(YEAR(DebAmort),MONTH(DebAmort)+MoisD+1+(H150-1)*Imois,0)),DATE(YEAR(DebAmort),MONTH(DebAmort),Jour1+(H150-1)*Ijour)))</f>
        <v/>
      </c>
      <c r="L150" s="270">
        <f t="shared" si="24"/>
        <v>0</v>
      </c>
      <c r="M150" s="271">
        <f t="shared" si="26"/>
        <v>0</v>
      </c>
      <c r="N150" s="272">
        <f t="shared" si="27"/>
        <v>0</v>
      </c>
      <c r="O150" s="273">
        <f t="shared" si="25"/>
        <v>0</v>
      </c>
      <c r="P150" s="274">
        <f t="shared" si="21"/>
        <v>0</v>
      </c>
      <c r="Q150" s="350"/>
      <c r="R150" s="461">
        <f t="shared" si="28"/>
        <v>0.05</v>
      </c>
      <c r="S150" s="462">
        <f t="shared" si="29"/>
        <v>440179.35</v>
      </c>
    </row>
    <row r="151" spans="2:19" ht="15" x14ac:dyDescent="0.25">
      <c r="B151" s="362"/>
      <c r="C151" s="269"/>
      <c r="D151" s="361"/>
      <c r="E151" s="360"/>
      <c r="F151" s="359"/>
      <c r="H151" s="358" t="str">
        <f t="shared" si="22"/>
        <v/>
      </c>
      <c r="I151" s="460" t="str">
        <f t="shared" si="23"/>
        <v/>
      </c>
      <c r="J151" s="463" t="str">
        <f t="shared" si="20"/>
        <v/>
      </c>
      <c r="K151" s="357" t="str">
        <f>IF(L151=0,"",IF(Ijour=0,MIN(DATE(YEAR(DebAmort),MONTH(DebAmort)+(H151-1)*Imois,Jour1),DATE(YEAR(DebAmort),MONTH(DebAmort)+1+(H151-1)*Imois,0)),DATE(YEAR(DebAmort),MONTH(DebAmort),Jour1+(H151-1)*Ijour)))</f>
        <v/>
      </c>
      <c r="L151" s="270">
        <f t="shared" si="24"/>
        <v>0</v>
      </c>
      <c r="M151" s="271">
        <f t="shared" si="26"/>
        <v>0</v>
      </c>
      <c r="N151" s="272">
        <f t="shared" si="27"/>
        <v>0</v>
      </c>
      <c r="O151" s="273">
        <f t="shared" si="25"/>
        <v>0</v>
      </c>
      <c r="P151" s="274">
        <f t="shared" si="21"/>
        <v>0</v>
      </c>
      <c r="Q151" s="350"/>
      <c r="R151" s="461">
        <f t="shared" si="28"/>
        <v>0.05</v>
      </c>
      <c r="S151" s="462">
        <f t="shared" si="29"/>
        <v>440179.35</v>
      </c>
    </row>
    <row r="152" spans="2:19" ht="15" x14ac:dyDescent="0.25">
      <c r="B152" s="362"/>
      <c r="C152" s="269"/>
      <c r="D152" s="361"/>
      <c r="E152" s="360"/>
      <c r="F152" s="359"/>
      <c r="H152" s="358" t="str">
        <f t="shared" si="22"/>
        <v/>
      </c>
      <c r="I152" s="460" t="str">
        <f t="shared" si="23"/>
        <v/>
      </c>
      <c r="J152" s="463" t="str">
        <f t="shared" si="20"/>
        <v/>
      </c>
      <c r="K152" s="357" t="str">
        <f>IF(L152=0,"",IF(Ijour=0,MIN(DATE(YEAR(DebAmort),MONTH(DebAmort)+MoisD+(H152-1)*Imois,Jour2),DATE(YEAR(DebAmort),MONTH(DebAmort)+MoisD+1+(H152-1)*Imois,0)),DATE(YEAR(DebAmort),MONTH(DebAmort),Jour1+(H152-1)*Ijour)))</f>
        <v/>
      </c>
      <c r="L152" s="270">
        <f t="shared" si="24"/>
        <v>0</v>
      </c>
      <c r="M152" s="271">
        <f t="shared" si="26"/>
        <v>0</v>
      </c>
      <c r="N152" s="272">
        <f t="shared" si="27"/>
        <v>0</v>
      </c>
      <c r="O152" s="273">
        <f t="shared" si="25"/>
        <v>0</v>
      </c>
      <c r="P152" s="274">
        <f t="shared" si="21"/>
        <v>0</v>
      </c>
      <c r="Q152" s="350"/>
      <c r="R152" s="461">
        <f t="shared" si="28"/>
        <v>0.05</v>
      </c>
      <c r="S152" s="462">
        <f t="shared" si="29"/>
        <v>440179.35</v>
      </c>
    </row>
    <row r="153" spans="2:19" ht="15" x14ac:dyDescent="0.25">
      <c r="B153" s="362"/>
      <c r="C153" s="269"/>
      <c r="D153" s="361"/>
      <c r="E153" s="360"/>
      <c r="F153" s="359"/>
      <c r="H153" s="358" t="str">
        <f t="shared" si="22"/>
        <v/>
      </c>
      <c r="I153" s="460" t="str">
        <f t="shared" si="23"/>
        <v/>
      </c>
      <c r="J153" s="463" t="str">
        <f t="shared" si="20"/>
        <v/>
      </c>
      <c r="K153" s="357" t="str">
        <f>IF(L153=0,"",IF(Ijour=0,MIN(DATE(YEAR(DebAmort),MONTH(DebAmort)+(H153-1)*Imois,Jour1),DATE(YEAR(DebAmort),MONTH(DebAmort)+1+(H153-1)*Imois,0)),DATE(YEAR(DebAmort),MONTH(DebAmort),Jour1+(H153-1)*Ijour)))</f>
        <v/>
      </c>
      <c r="L153" s="270">
        <f t="shared" si="24"/>
        <v>0</v>
      </c>
      <c r="M153" s="271">
        <f t="shared" si="26"/>
        <v>0</v>
      </c>
      <c r="N153" s="272">
        <f t="shared" si="27"/>
        <v>0</v>
      </c>
      <c r="O153" s="273">
        <f t="shared" si="25"/>
        <v>0</v>
      </c>
      <c r="P153" s="274">
        <f t="shared" si="21"/>
        <v>0</v>
      </c>
      <c r="Q153" s="350"/>
      <c r="R153" s="461">
        <f t="shared" si="28"/>
        <v>0.05</v>
      </c>
      <c r="S153" s="462">
        <f t="shared" si="29"/>
        <v>440179.35</v>
      </c>
    </row>
    <row r="154" spans="2:19" ht="15" x14ac:dyDescent="0.25">
      <c r="B154" s="362"/>
      <c r="C154" s="269"/>
      <c r="D154" s="361"/>
      <c r="E154" s="360"/>
      <c r="F154" s="359"/>
      <c r="H154" s="358" t="str">
        <f t="shared" si="22"/>
        <v/>
      </c>
      <c r="I154" s="460" t="str">
        <f t="shared" si="23"/>
        <v/>
      </c>
      <c r="J154" s="463" t="str">
        <f t="shared" si="20"/>
        <v/>
      </c>
      <c r="K154" s="357" t="str">
        <f>IF(L154=0,"",IF(Ijour=0,MIN(DATE(YEAR(DebAmort),MONTH(DebAmort)+MoisD+(H154-1)*Imois,Jour2),DATE(YEAR(DebAmort),MONTH(DebAmort)+MoisD+1+(H154-1)*Imois,0)),DATE(YEAR(DebAmort),MONTH(DebAmort),Jour1+(H154-1)*Ijour)))</f>
        <v/>
      </c>
      <c r="L154" s="270">
        <f t="shared" si="24"/>
        <v>0</v>
      </c>
      <c r="M154" s="271">
        <f t="shared" si="26"/>
        <v>0</v>
      </c>
      <c r="N154" s="272">
        <f t="shared" si="27"/>
        <v>0</v>
      </c>
      <c r="O154" s="273">
        <f t="shared" si="25"/>
        <v>0</v>
      </c>
      <c r="P154" s="274">
        <f t="shared" si="21"/>
        <v>0</v>
      </c>
      <c r="Q154" s="350"/>
      <c r="R154" s="461">
        <f t="shared" si="28"/>
        <v>0.05</v>
      </c>
      <c r="S154" s="462">
        <f t="shared" si="29"/>
        <v>440179.35</v>
      </c>
    </row>
    <row r="155" spans="2:19" ht="15" x14ac:dyDescent="0.25">
      <c r="B155" s="362"/>
      <c r="C155" s="269"/>
      <c r="D155" s="361"/>
      <c r="E155" s="360"/>
      <c r="F155" s="359"/>
      <c r="H155" s="358" t="str">
        <f t="shared" si="22"/>
        <v/>
      </c>
      <c r="I155" s="460" t="str">
        <f t="shared" si="23"/>
        <v/>
      </c>
      <c r="J155" s="463" t="str">
        <f t="shared" si="20"/>
        <v/>
      </c>
      <c r="K155" s="357" t="str">
        <f>IF(L155=0,"",IF(Ijour=0,MIN(DATE(YEAR(DebAmort),MONTH(DebAmort)+(H155-1)*Imois,Jour1),DATE(YEAR(DebAmort),MONTH(DebAmort)+1+(H155-1)*Imois,0)),DATE(YEAR(DebAmort),MONTH(DebAmort),Jour1+(H155-1)*Ijour)))</f>
        <v/>
      </c>
      <c r="L155" s="270">
        <f t="shared" si="24"/>
        <v>0</v>
      </c>
      <c r="M155" s="271">
        <f t="shared" si="26"/>
        <v>0</v>
      </c>
      <c r="N155" s="272">
        <f t="shared" si="27"/>
        <v>0</v>
      </c>
      <c r="O155" s="273">
        <f t="shared" si="25"/>
        <v>0</v>
      </c>
      <c r="P155" s="274">
        <f t="shared" si="21"/>
        <v>0</v>
      </c>
      <c r="Q155" s="350"/>
      <c r="R155" s="461">
        <f t="shared" si="28"/>
        <v>0.05</v>
      </c>
      <c r="S155" s="462">
        <f t="shared" si="29"/>
        <v>440179.35</v>
      </c>
    </row>
    <row r="156" spans="2:19" ht="15" x14ac:dyDescent="0.25">
      <c r="B156" s="362"/>
      <c r="C156" s="269"/>
      <c r="D156" s="361"/>
      <c r="E156" s="360"/>
      <c r="F156" s="359"/>
      <c r="H156" s="358" t="str">
        <f t="shared" si="22"/>
        <v/>
      </c>
      <c r="I156" s="460" t="str">
        <f t="shared" si="23"/>
        <v/>
      </c>
      <c r="J156" s="463" t="str">
        <f t="shared" si="20"/>
        <v/>
      </c>
      <c r="K156" s="357" t="str">
        <f>IF(L156=0,"",IF(Ijour=0,MIN(DATE(YEAR(DebAmort),MONTH(DebAmort)+MoisD+(H156-1)*Imois,Jour2),DATE(YEAR(DebAmort),MONTH(DebAmort)+MoisD+1+(H156-1)*Imois,0)),DATE(YEAR(DebAmort),MONTH(DebAmort),Jour1+(H156-1)*Ijour)))</f>
        <v/>
      </c>
      <c r="L156" s="270">
        <f t="shared" si="24"/>
        <v>0</v>
      </c>
      <c r="M156" s="271">
        <f t="shared" si="26"/>
        <v>0</v>
      </c>
      <c r="N156" s="272">
        <f t="shared" si="27"/>
        <v>0</v>
      </c>
      <c r="O156" s="273">
        <f t="shared" si="25"/>
        <v>0</v>
      </c>
      <c r="P156" s="274">
        <f t="shared" si="21"/>
        <v>0</v>
      </c>
      <c r="Q156" s="350"/>
      <c r="R156" s="461">
        <f t="shared" si="28"/>
        <v>0.05</v>
      </c>
      <c r="S156" s="462">
        <f t="shared" si="29"/>
        <v>440179.35</v>
      </c>
    </row>
    <row r="157" spans="2:19" ht="15" x14ac:dyDescent="0.25">
      <c r="B157" s="362"/>
      <c r="C157" s="269"/>
      <c r="D157" s="361"/>
      <c r="E157" s="360"/>
      <c r="F157" s="359"/>
      <c r="H157" s="358" t="str">
        <f t="shared" si="22"/>
        <v/>
      </c>
      <c r="I157" s="460" t="str">
        <f t="shared" si="23"/>
        <v/>
      </c>
      <c r="J157" s="463" t="str">
        <f t="shared" si="20"/>
        <v/>
      </c>
      <c r="K157" s="357" t="str">
        <f>IF(L157=0,"",IF(Ijour=0,MIN(DATE(YEAR(DebAmort),MONTH(DebAmort)+(H157-1)*Imois,Jour1),DATE(YEAR(DebAmort),MONTH(DebAmort)+1+(H157-1)*Imois,0)),DATE(YEAR(DebAmort),MONTH(DebAmort),Jour1+(H157-1)*Ijour)))</f>
        <v/>
      </c>
      <c r="L157" s="270">
        <f t="shared" si="24"/>
        <v>0</v>
      </c>
      <c r="M157" s="271">
        <f t="shared" si="26"/>
        <v>0</v>
      </c>
      <c r="N157" s="272">
        <f t="shared" si="27"/>
        <v>0</v>
      </c>
      <c r="O157" s="273">
        <f t="shared" si="25"/>
        <v>0</v>
      </c>
      <c r="P157" s="274">
        <f t="shared" si="21"/>
        <v>0</v>
      </c>
      <c r="Q157" s="350"/>
      <c r="R157" s="461">
        <f t="shared" si="28"/>
        <v>0.05</v>
      </c>
      <c r="S157" s="462">
        <f t="shared" si="29"/>
        <v>440179.35</v>
      </c>
    </row>
    <row r="158" spans="2:19" ht="15" x14ac:dyDescent="0.25">
      <c r="B158" s="362"/>
      <c r="C158" s="269"/>
      <c r="D158" s="361"/>
      <c r="E158" s="360"/>
      <c r="F158" s="359"/>
      <c r="H158" s="358" t="str">
        <f t="shared" si="22"/>
        <v/>
      </c>
      <c r="I158" s="460" t="str">
        <f t="shared" si="23"/>
        <v/>
      </c>
      <c r="J158" s="463" t="str">
        <f t="shared" si="20"/>
        <v/>
      </c>
      <c r="K158" s="357" t="str">
        <f>IF(L158=0,"",IF(Ijour=0,MIN(DATE(YEAR(DebAmort),MONTH(DebAmort)+MoisD+(H158-1)*Imois,Jour2),DATE(YEAR(DebAmort),MONTH(DebAmort)+MoisD+1+(H158-1)*Imois,0)),DATE(YEAR(DebAmort),MONTH(DebAmort),Jour1+(H158-1)*Ijour)))</f>
        <v/>
      </c>
      <c r="L158" s="270">
        <f t="shared" si="24"/>
        <v>0</v>
      </c>
      <c r="M158" s="271">
        <f t="shared" si="26"/>
        <v>0</v>
      </c>
      <c r="N158" s="272">
        <f t="shared" si="27"/>
        <v>0</v>
      </c>
      <c r="O158" s="273">
        <f t="shared" si="25"/>
        <v>0</v>
      </c>
      <c r="P158" s="274">
        <f t="shared" si="21"/>
        <v>0</v>
      </c>
      <c r="Q158" s="350"/>
      <c r="R158" s="461">
        <f t="shared" si="28"/>
        <v>0.05</v>
      </c>
      <c r="S158" s="462">
        <f t="shared" si="29"/>
        <v>440179.35</v>
      </c>
    </row>
    <row r="159" spans="2:19" ht="15" x14ac:dyDescent="0.25">
      <c r="B159" s="362"/>
      <c r="C159" s="269"/>
      <c r="D159" s="361"/>
      <c r="E159" s="360"/>
      <c r="F159" s="359"/>
      <c r="H159" s="358" t="str">
        <f t="shared" si="22"/>
        <v/>
      </c>
      <c r="I159" s="460" t="str">
        <f t="shared" si="23"/>
        <v/>
      </c>
      <c r="J159" s="463" t="str">
        <f t="shared" si="20"/>
        <v/>
      </c>
      <c r="K159" s="357" t="str">
        <f>IF(L159=0,"",IF(Ijour=0,MIN(DATE(YEAR(DebAmort),MONTH(DebAmort)+(H159-1)*Imois,Jour1),DATE(YEAR(DebAmort),MONTH(DebAmort)+1+(H159-1)*Imois,0)),DATE(YEAR(DebAmort),MONTH(DebAmort),Jour1+(H159-1)*Ijour)))</f>
        <v/>
      </c>
      <c r="L159" s="270">
        <f t="shared" si="24"/>
        <v>0</v>
      </c>
      <c r="M159" s="271">
        <f t="shared" si="26"/>
        <v>0</v>
      </c>
      <c r="N159" s="272">
        <f t="shared" si="27"/>
        <v>0</v>
      </c>
      <c r="O159" s="273">
        <f t="shared" si="25"/>
        <v>0</v>
      </c>
      <c r="P159" s="274">
        <f t="shared" si="21"/>
        <v>0</v>
      </c>
      <c r="Q159" s="350"/>
      <c r="R159" s="461">
        <f t="shared" si="28"/>
        <v>0.05</v>
      </c>
      <c r="S159" s="462">
        <f t="shared" si="29"/>
        <v>440179.35</v>
      </c>
    </row>
    <row r="160" spans="2:19" ht="15" x14ac:dyDescent="0.25">
      <c r="B160" s="362"/>
      <c r="C160" s="269"/>
      <c r="D160" s="361"/>
      <c r="E160" s="360"/>
      <c r="F160" s="359"/>
      <c r="H160" s="358" t="str">
        <f t="shared" si="22"/>
        <v/>
      </c>
      <c r="I160" s="460" t="str">
        <f t="shared" si="23"/>
        <v/>
      </c>
      <c r="J160" s="463" t="str">
        <f t="shared" si="20"/>
        <v/>
      </c>
      <c r="K160" s="357" t="str">
        <f>IF(L160=0,"",IF(Ijour=0,MIN(DATE(YEAR(DebAmort),MONTH(DebAmort)+MoisD+(H160-1)*Imois,Jour2),DATE(YEAR(DebAmort),MONTH(DebAmort)+MoisD+1+(H160-1)*Imois,0)),DATE(YEAR(DebAmort),MONTH(DebAmort),Jour1+(H160-1)*Ijour)))</f>
        <v/>
      </c>
      <c r="L160" s="270">
        <f t="shared" si="24"/>
        <v>0</v>
      </c>
      <c r="M160" s="271">
        <f t="shared" si="26"/>
        <v>0</v>
      </c>
      <c r="N160" s="272">
        <f t="shared" si="27"/>
        <v>0</v>
      </c>
      <c r="O160" s="273">
        <f t="shared" si="25"/>
        <v>0</v>
      </c>
      <c r="P160" s="274">
        <f t="shared" si="21"/>
        <v>0</v>
      </c>
      <c r="Q160" s="350"/>
      <c r="R160" s="461">
        <f t="shared" si="28"/>
        <v>0.05</v>
      </c>
      <c r="S160" s="462">
        <f t="shared" si="29"/>
        <v>440179.35</v>
      </c>
    </row>
    <row r="161" spans="2:19" ht="15" x14ac:dyDescent="0.25">
      <c r="B161" s="362"/>
      <c r="C161" s="269"/>
      <c r="D161" s="361"/>
      <c r="E161" s="360"/>
      <c r="F161" s="359"/>
      <c r="H161" s="358" t="str">
        <f t="shared" si="22"/>
        <v/>
      </c>
      <c r="I161" s="460" t="str">
        <f t="shared" si="23"/>
        <v/>
      </c>
      <c r="J161" s="463" t="str">
        <f t="shared" si="20"/>
        <v/>
      </c>
      <c r="K161" s="357" t="str">
        <f>IF(L161=0,"",IF(Ijour=0,MIN(DATE(YEAR(DebAmort),MONTH(DebAmort)+(H161-1)*Imois,Jour1),DATE(YEAR(DebAmort),MONTH(DebAmort)+1+(H161-1)*Imois,0)),DATE(YEAR(DebAmort),MONTH(DebAmort),Jour1+(H161-1)*Ijour)))</f>
        <v/>
      </c>
      <c r="L161" s="270">
        <f t="shared" si="24"/>
        <v>0</v>
      </c>
      <c r="M161" s="271">
        <f t="shared" si="26"/>
        <v>0</v>
      </c>
      <c r="N161" s="272">
        <f t="shared" si="27"/>
        <v>0</v>
      </c>
      <c r="O161" s="273">
        <f t="shared" si="25"/>
        <v>0</v>
      </c>
      <c r="P161" s="274">
        <f t="shared" si="21"/>
        <v>0</v>
      </c>
      <c r="Q161" s="350"/>
      <c r="R161" s="461">
        <f t="shared" si="28"/>
        <v>0.05</v>
      </c>
      <c r="S161" s="462">
        <f t="shared" si="29"/>
        <v>440179.35</v>
      </c>
    </row>
    <row r="162" spans="2:19" ht="15" x14ac:dyDescent="0.25">
      <c r="B162" s="362"/>
      <c r="C162" s="269"/>
      <c r="D162" s="361"/>
      <c r="E162" s="360"/>
      <c r="F162" s="359"/>
      <c r="H162" s="358" t="str">
        <f t="shared" si="22"/>
        <v/>
      </c>
      <c r="I162" s="460" t="str">
        <f t="shared" si="23"/>
        <v/>
      </c>
      <c r="J162" s="463" t="str">
        <f t="shared" si="20"/>
        <v/>
      </c>
      <c r="K162" s="357" t="str">
        <f>IF(L162=0,"",IF(Ijour=0,MIN(DATE(YEAR(DebAmort),MONTH(DebAmort)+MoisD+(H162-1)*Imois,Jour2),DATE(YEAR(DebAmort),MONTH(DebAmort)+MoisD+1+(H162-1)*Imois,0)),DATE(YEAR(DebAmort),MONTH(DebAmort),Jour1+(H162-1)*Ijour)))</f>
        <v/>
      </c>
      <c r="L162" s="270">
        <f t="shared" si="24"/>
        <v>0</v>
      </c>
      <c r="M162" s="271">
        <f t="shared" si="26"/>
        <v>0</v>
      </c>
      <c r="N162" s="272">
        <f t="shared" si="27"/>
        <v>0</v>
      </c>
      <c r="O162" s="273">
        <f t="shared" si="25"/>
        <v>0</v>
      </c>
      <c r="P162" s="274">
        <f t="shared" si="21"/>
        <v>0</v>
      </c>
      <c r="Q162" s="350"/>
      <c r="R162" s="461">
        <f t="shared" si="28"/>
        <v>0.05</v>
      </c>
      <c r="S162" s="462">
        <f t="shared" si="29"/>
        <v>440179.35</v>
      </c>
    </row>
    <row r="163" spans="2:19" ht="15" x14ac:dyDescent="0.25">
      <c r="B163" s="362"/>
      <c r="C163" s="269"/>
      <c r="D163" s="361"/>
      <c r="E163" s="360"/>
      <c r="F163" s="359"/>
      <c r="H163" s="358" t="str">
        <f t="shared" si="22"/>
        <v/>
      </c>
      <c r="I163" s="460" t="str">
        <f t="shared" si="23"/>
        <v/>
      </c>
      <c r="J163" s="463" t="str">
        <f t="shared" si="20"/>
        <v/>
      </c>
      <c r="K163" s="357" t="str">
        <f>IF(L163=0,"",IF(Ijour=0,MIN(DATE(YEAR(DebAmort),MONTH(DebAmort)+(H163-1)*Imois,Jour1),DATE(YEAR(DebAmort),MONTH(DebAmort)+1+(H163-1)*Imois,0)),DATE(YEAR(DebAmort),MONTH(DebAmort),Jour1+(H163-1)*Ijour)))</f>
        <v/>
      </c>
      <c r="L163" s="270">
        <f t="shared" si="24"/>
        <v>0</v>
      </c>
      <c r="M163" s="271">
        <f t="shared" si="26"/>
        <v>0</v>
      </c>
      <c r="N163" s="272">
        <f t="shared" si="27"/>
        <v>0</v>
      </c>
      <c r="O163" s="273">
        <f t="shared" si="25"/>
        <v>0</v>
      </c>
      <c r="P163" s="274">
        <f t="shared" si="21"/>
        <v>0</v>
      </c>
      <c r="Q163" s="350"/>
      <c r="R163" s="461">
        <f t="shared" si="28"/>
        <v>0.05</v>
      </c>
      <c r="S163" s="462">
        <f t="shared" si="29"/>
        <v>440179.35</v>
      </c>
    </row>
    <row r="164" spans="2:19" ht="15" x14ac:dyDescent="0.25">
      <c r="B164" s="362"/>
      <c r="C164" s="269"/>
      <c r="D164" s="361"/>
      <c r="E164" s="360"/>
      <c r="F164" s="359"/>
      <c r="H164" s="358" t="str">
        <f t="shared" si="22"/>
        <v/>
      </c>
      <c r="I164" s="460" t="str">
        <f t="shared" si="23"/>
        <v/>
      </c>
      <c r="J164" s="463" t="str">
        <f t="shared" si="20"/>
        <v/>
      </c>
      <c r="K164" s="357" t="str">
        <f>IF(L164=0,"",IF(Ijour=0,MIN(DATE(YEAR(DebAmort),MONTH(DebAmort)+MoisD+(H164-1)*Imois,Jour2),DATE(YEAR(DebAmort),MONTH(DebAmort)+MoisD+1+(H164-1)*Imois,0)),DATE(YEAR(DebAmort),MONTH(DebAmort),Jour1+(H164-1)*Ijour)))</f>
        <v/>
      </c>
      <c r="L164" s="270">
        <f t="shared" si="24"/>
        <v>0</v>
      </c>
      <c r="M164" s="271">
        <f t="shared" si="26"/>
        <v>0</v>
      </c>
      <c r="N164" s="272">
        <f t="shared" si="27"/>
        <v>0</v>
      </c>
      <c r="O164" s="273">
        <f t="shared" si="25"/>
        <v>0</v>
      </c>
      <c r="P164" s="274">
        <f t="shared" si="21"/>
        <v>0</v>
      </c>
      <c r="Q164" s="350"/>
      <c r="R164" s="461">
        <f t="shared" si="28"/>
        <v>0.05</v>
      </c>
      <c r="S164" s="462">
        <f t="shared" si="29"/>
        <v>440179.35</v>
      </c>
    </row>
    <row r="165" spans="2:19" ht="15" x14ac:dyDescent="0.25">
      <c r="B165" s="362"/>
      <c r="C165" s="269"/>
      <c r="D165" s="361"/>
      <c r="E165" s="360"/>
      <c r="F165" s="359"/>
      <c r="H165" s="358" t="str">
        <f t="shared" si="22"/>
        <v/>
      </c>
      <c r="I165" s="460" t="str">
        <f t="shared" si="23"/>
        <v/>
      </c>
      <c r="J165" s="463" t="str">
        <f t="shared" si="20"/>
        <v/>
      </c>
      <c r="K165" s="357" t="str">
        <f>IF(L165=0,"",IF(Ijour=0,MIN(DATE(YEAR(DebAmort),MONTH(DebAmort)+(H165-1)*Imois,Jour1),DATE(YEAR(DebAmort),MONTH(DebAmort)+1+(H165-1)*Imois,0)),DATE(YEAR(DebAmort),MONTH(DebAmort),Jour1+(H165-1)*Ijour)))</f>
        <v/>
      </c>
      <c r="L165" s="270">
        <f t="shared" si="24"/>
        <v>0</v>
      </c>
      <c r="M165" s="271">
        <f t="shared" si="26"/>
        <v>0</v>
      </c>
      <c r="N165" s="272">
        <f t="shared" si="27"/>
        <v>0</v>
      </c>
      <c r="O165" s="273">
        <f t="shared" si="25"/>
        <v>0</v>
      </c>
      <c r="P165" s="274">
        <f t="shared" si="21"/>
        <v>0</v>
      </c>
      <c r="Q165" s="350"/>
      <c r="R165" s="461">
        <f t="shared" si="28"/>
        <v>0.05</v>
      </c>
      <c r="S165" s="462">
        <f t="shared" si="29"/>
        <v>440179.35</v>
      </c>
    </row>
    <row r="166" spans="2:19" ht="15" x14ac:dyDescent="0.25">
      <c r="B166" s="362"/>
      <c r="C166" s="269"/>
      <c r="D166" s="361"/>
      <c r="E166" s="360"/>
      <c r="F166" s="359"/>
      <c r="H166" s="358" t="str">
        <f t="shared" si="22"/>
        <v/>
      </c>
      <c r="I166" s="460" t="str">
        <f t="shared" si="23"/>
        <v/>
      </c>
      <c r="J166" s="463" t="str">
        <f t="shared" si="20"/>
        <v/>
      </c>
      <c r="K166" s="357" t="str">
        <f>IF(L166=0,"",IF(Ijour=0,MIN(DATE(YEAR(DebAmort),MONTH(DebAmort)+MoisD+(H166-1)*Imois,Jour2),DATE(YEAR(DebAmort),MONTH(DebAmort)+MoisD+1+(H166-1)*Imois,0)),DATE(YEAR(DebAmort),MONTH(DebAmort),Jour1+(H166-1)*Ijour)))</f>
        <v/>
      </c>
      <c r="L166" s="270">
        <f t="shared" si="24"/>
        <v>0</v>
      </c>
      <c r="M166" s="271">
        <f t="shared" si="26"/>
        <v>0</v>
      </c>
      <c r="N166" s="272">
        <f t="shared" si="27"/>
        <v>0</v>
      </c>
      <c r="O166" s="273">
        <f t="shared" si="25"/>
        <v>0</v>
      </c>
      <c r="P166" s="274">
        <f t="shared" si="21"/>
        <v>0</v>
      </c>
      <c r="Q166" s="350"/>
      <c r="R166" s="461">
        <f t="shared" si="28"/>
        <v>0.05</v>
      </c>
      <c r="S166" s="462">
        <f t="shared" si="29"/>
        <v>440179.35</v>
      </c>
    </row>
    <row r="167" spans="2:19" ht="15" x14ac:dyDescent="0.25">
      <c r="B167" s="362"/>
      <c r="C167" s="269"/>
      <c r="D167" s="361"/>
      <c r="E167" s="360"/>
      <c r="F167" s="359"/>
      <c r="H167" s="358" t="str">
        <f t="shared" si="22"/>
        <v/>
      </c>
      <c r="I167" s="460" t="str">
        <f t="shared" si="23"/>
        <v/>
      </c>
      <c r="J167" s="463" t="str">
        <f t="shared" si="20"/>
        <v/>
      </c>
      <c r="K167" s="357" t="str">
        <f>IF(L167=0,"",IF(Ijour=0,MIN(DATE(YEAR(DebAmort),MONTH(DebAmort)+(H167-1)*Imois,Jour1),DATE(YEAR(DebAmort),MONTH(DebAmort)+1+(H167-1)*Imois,0)),DATE(YEAR(DebAmort),MONTH(DebAmort),Jour1+(H167-1)*Ijour)))</f>
        <v/>
      </c>
      <c r="L167" s="270">
        <f t="shared" si="24"/>
        <v>0</v>
      </c>
      <c r="M167" s="271">
        <f t="shared" si="26"/>
        <v>0</v>
      </c>
      <c r="N167" s="272">
        <f t="shared" si="27"/>
        <v>0</v>
      </c>
      <c r="O167" s="273">
        <f t="shared" si="25"/>
        <v>0</v>
      </c>
      <c r="P167" s="274">
        <f t="shared" si="21"/>
        <v>0</v>
      </c>
      <c r="Q167" s="350"/>
      <c r="R167" s="461">
        <f t="shared" si="28"/>
        <v>0.05</v>
      </c>
      <c r="S167" s="462">
        <f t="shared" si="29"/>
        <v>440179.35</v>
      </c>
    </row>
    <row r="168" spans="2:19" ht="15" x14ac:dyDescent="0.25">
      <c r="B168" s="362"/>
      <c r="C168" s="269"/>
      <c r="D168" s="361"/>
      <c r="E168" s="360"/>
      <c r="F168" s="359"/>
      <c r="H168" s="358" t="str">
        <f t="shared" si="22"/>
        <v/>
      </c>
      <c r="I168" s="460" t="str">
        <f t="shared" si="23"/>
        <v/>
      </c>
      <c r="J168" s="463" t="str">
        <f t="shared" si="20"/>
        <v/>
      </c>
      <c r="K168" s="357" t="str">
        <f>IF(L168=0,"",IF(Ijour=0,MIN(DATE(YEAR(DebAmort),MONTH(DebAmort)+MoisD+(H168-1)*Imois,Jour2),DATE(YEAR(DebAmort),MONTH(DebAmort)+MoisD+1+(H168-1)*Imois,0)),DATE(YEAR(DebAmort),MONTH(DebAmort),Jour1+(H168-1)*Ijour)))</f>
        <v/>
      </c>
      <c r="L168" s="270">
        <f t="shared" si="24"/>
        <v>0</v>
      </c>
      <c r="M168" s="271">
        <f t="shared" si="26"/>
        <v>0</v>
      </c>
      <c r="N168" s="272">
        <f t="shared" si="27"/>
        <v>0</v>
      </c>
      <c r="O168" s="273">
        <f t="shared" si="25"/>
        <v>0</v>
      </c>
      <c r="P168" s="274">
        <f t="shared" si="21"/>
        <v>0</v>
      </c>
      <c r="Q168" s="350"/>
      <c r="R168" s="461">
        <f t="shared" si="28"/>
        <v>0.05</v>
      </c>
      <c r="S168" s="462">
        <f t="shared" si="29"/>
        <v>440179.35</v>
      </c>
    </row>
    <row r="169" spans="2:19" ht="15" x14ac:dyDescent="0.25">
      <c r="B169" s="362"/>
      <c r="C169" s="269"/>
      <c r="D169" s="361"/>
      <c r="E169" s="360"/>
      <c r="F169" s="359"/>
      <c r="H169" s="358" t="str">
        <f t="shared" si="22"/>
        <v/>
      </c>
      <c r="I169" s="460" t="str">
        <f t="shared" si="23"/>
        <v/>
      </c>
      <c r="J169" s="463" t="str">
        <f t="shared" si="20"/>
        <v/>
      </c>
      <c r="K169" s="357" t="str">
        <f>IF(L169=0,"",IF(Ijour=0,MIN(DATE(YEAR(DebAmort),MONTH(DebAmort)+(H169-1)*Imois,Jour1),DATE(YEAR(DebAmort),MONTH(DebAmort)+1+(H169-1)*Imois,0)),DATE(YEAR(DebAmort),MONTH(DebAmort),Jour1+(H169-1)*Ijour)))</f>
        <v/>
      </c>
      <c r="L169" s="270">
        <f t="shared" si="24"/>
        <v>0</v>
      </c>
      <c r="M169" s="271">
        <f t="shared" si="26"/>
        <v>0</v>
      </c>
      <c r="N169" s="272">
        <f t="shared" si="27"/>
        <v>0</v>
      </c>
      <c r="O169" s="273">
        <f t="shared" si="25"/>
        <v>0</v>
      </c>
      <c r="P169" s="274">
        <f t="shared" si="21"/>
        <v>0</v>
      </c>
      <c r="Q169" s="350"/>
      <c r="R169" s="461">
        <f t="shared" si="28"/>
        <v>0.05</v>
      </c>
      <c r="S169" s="462">
        <f t="shared" si="29"/>
        <v>440179.35</v>
      </c>
    </row>
    <row r="170" spans="2:19" ht="15" x14ac:dyDescent="0.25">
      <c r="B170" s="362"/>
      <c r="C170" s="269"/>
      <c r="D170" s="361"/>
      <c r="E170" s="360"/>
      <c r="F170" s="359"/>
      <c r="H170" s="358" t="str">
        <f t="shared" si="22"/>
        <v/>
      </c>
      <c r="I170" s="460" t="str">
        <f t="shared" si="23"/>
        <v/>
      </c>
      <c r="J170" s="463" t="str">
        <f t="shared" si="20"/>
        <v/>
      </c>
      <c r="K170" s="357" t="str">
        <f>IF(L170=0,"",IF(Ijour=0,MIN(DATE(YEAR(DebAmort),MONTH(DebAmort)+MoisD+(H170-1)*Imois,Jour2),DATE(YEAR(DebAmort),MONTH(DebAmort)+MoisD+1+(H170-1)*Imois,0)),DATE(YEAR(DebAmort),MONTH(DebAmort),Jour1+(H170-1)*Ijour)))</f>
        <v/>
      </c>
      <c r="L170" s="270">
        <f t="shared" si="24"/>
        <v>0</v>
      </c>
      <c r="M170" s="271">
        <f t="shared" si="26"/>
        <v>0</v>
      </c>
      <c r="N170" s="272">
        <f t="shared" si="27"/>
        <v>0</v>
      </c>
      <c r="O170" s="273">
        <f t="shared" si="25"/>
        <v>0</v>
      </c>
      <c r="P170" s="274">
        <f t="shared" si="21"/>
        <v>0</v>
      </c>
      <c r="Q170" s="350"/>
      <c r="R170" s="461">
        <f t="shared" si="28"/>
        <v>0.05</v>
      </c>
      <c r="S170" s="462">
        <f t="shared" si="29"/>
        <v>440179.35</v>
      </c>
    </row>
    <row r="171" spans="2:19" ht="15" x14ac:dyDescent="0.25">
      <c r="B171" s="362"/>
      <c r="C171" s="269"/>
      <c r="D171" s="361"/>
      <c r="E171" s="360"/>
      <c r="F171" s="359"/>
      <c r="H171" s="358" t="str">
        <f t="shared" si="22"/>
        <v/>
      </c>
      <c r="I171" s="460" t="str">
        <f t="shared" si="23"/>
        <v/>
      </c>
      <c r="J171" s="463" t="str">
        <f t="shared" si="20"/>
        <v/>
      </c>
      <c r="K171" s="357" t="str">
        <f>IF(L171=0,"",IF(Ijour=0,MIN(DATE(YEAR(DebAmort),MONTH(DebAmort)+(H171-1)*Imois,Jour1),DATE(YEAR(DebAmort),MONTH(DebAmort)+1+(H171-1)*Imois,0)),DATE(YEAR(DebAmort),MONTH(DebAmort),Jour1+(H171-1)*Ijour)))</f>
        <v/>
      </c>
      <c r="L171" s="270">
        <f t="shared" si="24"/>
        <v>0</v>
      </c>
      <c r="M171" s="271">
        <f t="shared" si="26"/>
        <v>0</v>
      </c>
      <c r="N171" s="272">
        <f t="shared" si="27"/>
        <v>0</v>
      </c>
      <c r="O171" s="273">
        <f t="shared" si="25"/>
        <v>0</v>
      </c>
      <c r="P171" s="274">
        <f t="shared" si="21"/>
        <v>0</v>
      </c>
      <c r="Q171" s="350"/>
      <c r="R171" s="461">
        <f t="shared" si="28"/>
        <v>0.05</v>
      </c>
      <c r="S171" s="462">
        <f t="shared" si="29"/>
        <v>440179.35</v>
      </c>
    </row>
    <row r="172" spans="2:19" ht="15" x14ac:dyDescent="0.25">
      <c r="B172" s="362"/>
      <c r="C172" s="269"/>
      <c r="D172" s="361"/>
      <c r="E172" s="360"/>
      <c r="F172" s="359"/>
      <c r="H172" s="358" t="str">
        <f t="shared" si="22"/>
        <v/>
      </c>
      <c r="I172" s="460" t="str">
        <f t="shared" si="23"/>
        <v/>
      </c>
      <c r="J172" s="463" t="str">
        <f t="shared" si="20"/>
        <v/>
      </c>
      <c r="K172" s="357" t="str">
        <f>IF(L172=0,"",IF(Ijour=0,MIN(DATE(YEAR(DebAmort),MONTH(DebAmort)+MoisD+(H172-1)*Imois,Jour2),DATE(YEAR(DebAmort),MONTH(DebAmort)+MoisD+1+(H172-1)*Imois,0)),DATE(YEAR(DebAmort),MONTH(DebAmort),Jour1+(H172-1)*Ijour)))</f>
        <v/>
      </c>
      <c r="L172" s="270">
        <f t="shared" si="24"/>
        <v>0</v>
      </c>
      <c r="M172" s="271">
        <f t="shared" si="26"/>
        <v>0</v>
      </c>
      <c r="N172" s="272">
        <f t="shared" si="27"/>
        <v>0</v>
      </c>
      <c r="O172" s="273">
        <f t="shared" si="25"/>
        <v>0</v>
      </c>
      <c r="P172" s="274">
        <f t="shared" si="21"/>
        <v>0</v>
      </c>
      <c r="Q172" s="350"/>
      <c r="R172" s="461">
        <f t="shared" si="28"/>
        <v>0.05</v>
      </c>
      <c r="S172" s="462">
        <f t="shared" si="29"/>
        <v>440179.35</v>
      </c>
    </row>
    <row r="173" spans="2:19" ht="15" x14ac:dyDescent="0.25">
      <c r="B173" s="362"/>
      <c r="C173" s="269"/>
      <c r="D173" s="361"/>
      <c r="E173" s="360"/>
      <c r="F173" s="359"/>
      <c r="H173" s="358" t="str">
        <f t="shared" si="22"/>
        <v/>
      </c>
      <c r="I173" s="460" t="str">
        <f t="shared" si="23"/>
        <v/>
      </c>
      <c r="J173" s="463" t="str">
        <f t="shared" si="20"/>
        <v/>
      </c>
      <c r="K173" s="357" t="str">
        <f>IF(L173=0,"",IF(Ijour=0,MIN(DATE(YEAR(DebAmort),MONTH(DebAmort)+(H173-1)*Imois,Jour1),DATE(YEAR(DebAmort),MONTH(DebAmort)+1+(H173-1)*Imois,0)),DATE(YEAR(DebAmort),MONTH(DebAmort),Jour1+(H173-1)*Ijour)))</f>
        <v/>
      </c>
      <c r="L173" s="270">
        <f t="shared" si="24"/>
        <v>0</v>
      </c>
      <c r="M173" s="271">
        <f t="shared" si="26"/>
        <v>0</v>
      </c>
      <c r="N173" s="272">
        <f t="shared" si="27"/>
        <v>0</v>
      </c>
      <c r="O173" s="273">
        <f t="shared" si="25"/>
        <v>0</v>
      </c>
      <c r="P173" s="274">
        <f t="shared" si="21"/>
        <v>0</v>
      </c>
      <c r="Q173" s="350"/>
      <c r="R173" s="461">
        <f t="shared" si="28"/>
        <v>0.05</v>
      </c>
      <c r="S173" s="462">
        <f t="shared" si="29"/>
        <v>440179.35</v>
      </c>
    </row>
    <row r="174" spans="2:19" ht="15" x14ac:dyDescent="0.25">
      <c r="B174" s="362"/>
      <c r="C174" s="269"/>
      <c r="D174" s="361"/>
      <c r="E174" s="360"/>
      <c r="F174" s="359"/>
      <c r="H174" s="358" t="str">
        <f t="shared" si="22"/>
        <v/>
      </c>
      <c r="I174" s="460" t="str">
        <f t="shared" si="23"/>
        <v/>
      </c>
      <c r="J174" s="463" t="str">
        <f t="shared" si="20"/>
        <v/>
      </c>
      <c r="K174" s="357" t="str">
        <f>IF(L174=0,"",IF(Ijour=0,MIN(DATE(YEAR(DebAmort),MONTH(DebAmort)+MoisD+(H174-1)*Imois,Jour2),DATE(YEAR(DebAmort),MONTH(DebAmort)+MoisD+1+(H174-1)*Imois,0)),DATE(YEAR(DebAmort),MONTH(DebAmort),Jour1+(H174-1)*Ijour)))</f>
        <v/>
      </c>
      <c r="L174" s="270">
        <f t="shared" si="24"/>
        <v>0</v>
      </c>
      <c r="M174" s="271">
        <f t="shared" si="26"/>
        <v>0</v>
      </c>
      <c r="N174" s="272">
        <f t="shared" si="27"/>
        <v>0</v>
      </c>
      <c r="O174" s="273">
        <f t="shared" si="25"/>
        <v>0</v>
      </c>
      <c r="P174" s="274">
        <f t="shared" si="21"/>
        <v>0</v>
      </c>
      <c r="Q174" s="350"/>
      <c r="R174" s="461">
        <f t="shared" si="28"/>
        <v>0.05</v>
      </c>
      <c r="S174" s="462">
        <f t="shared" si="29"/>
        <v>440179.35</v>
      </c>
    </row>
    <row r="175" spans="2:19" ht="15" x14ac:dyDescent="0.25">
      <c r="B175" s="362"/>
      <c r="C175" s="269"/>
      <c r="D175" s="361"/>
      <c r="E175" s="360"/>
      <c r="F175" s="359"/>
      <c r="H175" s="358" t="str">
        <f t="shared" si="22"/>
        <v/>
      </c>
      <c r="I175" s="460" t="str">
        <f t="shared" si="23"/>
        <v/>
      </c>
      <c r="J175" s="463" t="str">
        <f t="shared" si="20"/>
        <v/>
      </c>
      <c r="K175" s="357" t="str">
        <f>IF(L175=0,"",IF(Ijour=0,MIN(DATE(YEAR(DebAmort),MONTH(DebAmort)+(H175-1)*Imois,Jour1),DATE(YEAR(DebAmort),MONTH(DebAmort)+1+(H175-1)*Imois,0)),DATE(YEAR(DebAmort),MONTH(DebAmort),Jour1+(H175-1)*Ijour)))</f>
        <v/>
      </c>
      <c r="L175" s="270">
        <f t="shared" si="24"/>
        <v>0</v>
      </c>
      <c r="M175" s="271">
        <f t="shared" si="26"/>
        <v>0</v>
      </c>
      <c r="N175" s="272">
        <f t="shared" si="27"/>
        <v>0</v>
      </c>
      <c r="O175" s="273">
        <f t="shared" si="25"/>
        <v>0</v>
      </c>
      <c r="P175" s="274">
        <f t="shared" si="21"/>
        <v>0</v>
      </c>
      <c r="Q175" s="350"/>
      <c r="R175" s="461">
        <f t="shared" si="28"/>
        <v>0.05</v>
      </c>
      <c r="S175" s="462">
        <f t="shared" si="29"/>
        <v>440179.35</v>
      </c>
    </row>
    <row r="176" spans="2:19" ht="15" x14ac:dyDescent="0.25">
      <c r="B176" s="362"/>
      <c r="C176" s="269"/>
      <c r="D176" s="361"/>
      <c r="E176" s="360"/>
      <c r="F176" s="359"/>
      <c r="H176" s="358" t="str">
        <f t="shared" si="22"/>
        <v/>
      </c>
      <c r="I176" s="460" t="str">
        <f t="shared" si="23"/>
        <v/>
      </c>
      <c r="J176" s="463" t="str">
        <f t="shared" si="20"/>
        <v/>
      </c>
      <c r="K176" s="357" t="str">
        <f>IF(L176=0,"",IF(Ijour=0,MIN(DATE(YEAR(DebAmort),MONTH(DebAmort)+MoisD+(H176-1)*Imois,Jour2),DATE(YEAR(DebAmort),MONTH(DebAmort)+MoisD+1+(H176-1)*Imois,0)),DATE(YEAR(DebAmort),MONTH(DebAmort),Jour1+(H176-1)*Ijour)))</f>
        <v/>
      </c>
      <c r="L176" s="270">
        <f t="shared" si="24"/>
        <v>0</v>
      </c>
      <c r="M176" s="271">
        <f t="shared" si="26"/>
        <v>0</v>
      </c>
      <c r="N176" s="272">
        <f t="shared" si="27"/>
        <v>0</v>
      </c>
      <c r="O176" s="273">
        <f t="shared" si="25"/>
        <v>0</v>
      </c>
      <c r="P176" s="274">
        <f t="shared" si="21"/>
        <v>0</v>
      </c>
      <c r="Q176" s="350"/>
      <c r="R176" s="461">
        <f t="shared" si="28"/>
        <v>0.05</v>
      </c>
      <c r="S176" s="462">
        <f t="shared" si="29"/>
        <v>440179.35</v>
      </c>
    </row>
    <row r="177" spans="2:19" ht="15" x14ac:dyDescent="0.25">
      <c r="B177" s="362"/>
      <c r="C177" s="269"/>
      <c r="D177" s="361"/>
      <c r="E177" s="360"/>
      <c r="F177" s="359"/>
      <c r="H177" s="358" t="str">
        <f t="shared" si="22"/>
        <v/>
      </c>
      <c r="I177" s="460" t="str">
        <f t="shared" si="23"/>
        <v/>
      </c>
      <c r="J177" s="463" t="str">
        <f t="shared" si="20"/>
        <v/>
      </c>
      <c r="K177" s="357" t="str">
        <f>IF(L177=0,"",IF(Ijour=0,MIN(DATE(YEAR(DebAmort),MONTH(DebAmort)+(H177-1)*Imois,Jour1),DATE(YEAR(DebAmort),MONTH(DebAmort)+1+(H177-1)*Imois,0)),DATE(YEAR(DebAmort),MONTH(DebAmort),Jour1+(H177-1)*Ijour)))</f>
        <v/>
      </c>
      <c r="L177" s="270">
        <f t="shared" si="24"/>
        <v>0</v>
      </c>
      <c r="M177" s="271">
        <f t="shared" si="26"/>
        <v>0</v>
      </c>
      <c r="N177" s="272">
        <f t="shared" si="27"/>
        <v>0</v>
      </c>
      <c r="O177" s="273">
        <f t="shared" si="25"/>
        <v>0</v>
      </c>
      <c r="P177" s="274">
        <f t="shared" si="21"/>
        <v>0</v>
      </c>
      <c r="Q177" s="350"/>
      <c r="R177" s="461">
        <f t="shared" si="28"/>
        <v>0.05</v>
      </c>
      <c r="S177" s="462">
        <f t="shared" si="29"/>
        <v>440179.35</v>
      </c>
    </row>
    <row r="178" spans="2:19" ht="15" x14ac:dyDescent="0.25">
      <c r="B178" s="362"/>
      <c r="C178" s="269"/>
      <c r="D178" s="361"/>
      <c r="E178" s="360"/>
      <c r="F178" s="359"/>
      <c r="H178" s="358" t="str">
        <f t="shared" si="22"/>
        <v/>
      </c>
      <c r="I178" s="460" t="str">
        <f t="shared" si="23"/>
        <v/>
      </c>
      <c r="J178" s="463" t="str">
        <f t="shared" si="20"/>
        <v/>
      </c>
      <c r="K178" s="357" t="str">
        <f>IF(L178=0,"",IF(Ijour=0,MIN(DATE(YEAR(DebAmort),MONTH(DebAmort)+MoisD+(H178-1)*Imois,Jour2),DATE(YEAR(DebAmort),MONTH(DebAmort)+MoisD+1+(H178-1)*Imois,0)),DATE(YEAR(DebAmort),MONTH(DebAmort),Jour1+(H178-1)*Ijour)))</f>
        <v/>
      </c>
      <c r="L178" s="270">
        <f t="shared" si="24"/>
        <v>0</v>
      </c>
      <c r="M178" s="271">
        <f t="shared" si="26"/>
        <v>0</v>
      </c>
      <c r="N178" s="272">
        <f t="shared" si="27"/>
        <v>0</v>
      </c>
      <c r="O178" s="273">
        <f t="shared" si="25"/>
        <v>0</v>
      </c>
      <c r="P178" s="274">
        <f t="shared" si="21"/>
        <v>0</v>
      </c>
      <c r="Q178" s="350"/>
      <c r="R178" s="461">
        <f t="shared" si="28"/>
        <v>0.05</v>
      </c>
      <c r="S178" s="462">
        <f t="shared" si="29"/>
        <v>440179.35</v>
      </c>
    </row>
    <row r="179" spans="2:19" ht="15" x14ac:dyDescent="0.25">
      <c r="B179" s="362"/>
      <c r="C179" s="269"/>
      <c r="D179" s="361"/>
      <c r="E179" s="360"/>
      <c r="F179" s="359"/>
      <c r="H179" s="358" t="str">
        <f t="shared" si="22"/>
        <v/>
      </c>
      <c r="I179" s="460" t="str">
        <f t="shared" si="23"/>
        <v/>
      </c>
      <c r="J179" s="463" t="str">
        <f t="shared" si="20"/>
        <v/>
      </c>
      <c r="K179" s="357" t="str">
        <f>IF(L179=0,"",IF(Ijour=0,MIN(DATE(YEAR(DebAmort),MONTH(DebAmort)+(H179-1)*Imois,Jour1),DATE(YEAR(DebAmort),MONTH(DebAmort)+1+(H179-1)*Imois,0)),DATE(YEAR(DebAmort),MONTH(DebAmort),Jour1+(H179-1)*Ijour)))</f>
        <v/>
      </c>
      <c r="L179" s="270">
        <f t="shared" si="24"/>
        <v>0</v>
      </c>
      <c r="M179" s="271">
        <f t="shared" si="26"/>
        <v>0</v>
      </c>
      <c r="N179" s="272">
        <f t="shared" si="27"/>
        <v>0</v>
      </c>
      <c r="O179" s="273">
        <f t="shared" si="25"/>
        <v>0</v>
      </c>
      <c r="P179" s="274">
        <f t="shared" si="21"/>
        <v>0</v>
      </c>
      <c r="Q179" s="350"/>
      <c r="R179" s="461">
        <f t="shared" si="28"/>
        <v>0.05</v>
      </c>
      <c r="S179" s="462">
        <f t="shared" si="29"/>
        <v>440179.35</v>
      </c>
    </row>
    <row r="180" spans="2:19" ht="15" x14ac:dyDescent="0.25">
      <c r="B180" s="362"/>
      <c r="C180" s="269"/>
      <c r="D180" s="361"/>
      <c r="E180" s="360"/>
      <c r="F180" s="359"/>
      <c r="H180" s="358" t="str">
        <f t="shared" si="22"/>
        <v/>
      </c>
      <c r="I180" s="460" t="str">
        <f t="shared" si="23"/>
        <v/>
      </c>
      <c r="J180" s="463" t="str">
        <f t="shared" si="20"/>
        <v/>
      </c>
      <c r="K180" s="357" t="str">
        <f>IF(L180=0,"",IF(Ijour=0,MIN(DATE(YEAR(DebAmort),MONTH(DebAmort)+MoisD+(H180-1)*Imois,Jour2),DATE(YEAR(DebAmort),MONTH(DebAmort)+MoisD+1+(H180-1)*Imois,0)),DATE(YEAR(DebAmort),MONTH(DebAmort),Jour1+(H180-1)*Ijour)))</f>
        <v/>
      </c>
      <c r="L180" s="270">
        <f t="shared" si="24"/>
        <v>0</v>
      </c>
      <c r="M180" s="271">
        <f t="shared" si="26"/>
        <v>0</v>
      </c>
      <c r="N180" s="272">
        <f t="shared" si="27"/>
        <v>0</v>
      </c>
      <c r="O180" s="273">
        <f t="shared" si="25"/>
        <v>0</v>
      </c>
      <c r="P180" s="274">
        <f t="shared" si="21"/>
        <v>0</v>
      </c>
      <c r="Q180" s="350"/>
      <c r="R180" s="461">
        <f t="shared" si="28"/>
        <v>0.05</v>
      </c>
      <c r="S180" s="462">
        <f t="shared" si="29"/>
        <v>440179.35</v>
      </c>
    </row>
    <row r="181" spans="2:19" ht="15" x14ac:dyDescent="0.25">
      <c r="B181" s="362"/>
      <c r="C181" s="269"/>
      <c r="D181" s="361"/>
      <c r="E181" s="360"/>
      <c r="F181" s="359"/>
      <c r="H181" s="358" t="str">
        <f t="shared" si="22"/>
        <v/>
      </c>
      <c r="I181" s="460" t="str">
        <f t="shared" si="23"/>
        <v/>
      </c>
      <c r="J181" s="463" t="str">
        <f t="shared" si="20"/>
        <v/>
      </c>
      <c r="K181" s="357" t="str">
        <f>IF(L181=0,"",IF(Ijour=0,MIN(DATE(YEAR(DebAmort),MONTH(DebAmort)+(H181-1)*Imois,Jour1),DATE(YEAR(DebAmort),MONTH(DebAmort)+1+(H181-1)*Imois,0)),DATE(YEAR(DebAmort),MONTH(DebAmort),Jour1+(H181-1)*Ijour)))</f>
        <v/>
      </c>
      <c r="L181" s="270">
        <f t="shared" si="24"/>
        <v>0</v>
      </c>
      <c r="M181" s="271">
        <f t="shared" si="26"/>
        <v>0</v>
      </c>
      <c r="N181" s="272">
        <f t="shared" si="27"/>
        <v>0</v>
      </c>
      <c r="O181" s="273">
        <f t="shared" si="25"/>
        <v>0</v>
      </c>
      <c r="P181" s="274">
        <f t="shared" si="21"/>
        <v>0</v>
      </c>
      <c r="Q181" s="350"/>
      <c r="R181" s="461">
        <f t="shared" si="28"/>
        <v>0.05</v>
      </c>
      <c r="S181" s="462">
        <f t="shared" si="29"/>
        <v>440179.35</v>
      </c>
    </row>
    <row r="182" spans="2:19" ht="15" x14ac:dyDescent="0.25">
      <c r="B182" s="362"/>
      <c r="C182" s="269"/>
      <c r="D182" s="361"/>
      <c r="E182" s="360"/>
      <c r="F182" s="359"/>
      <c r="H182" s="358" t="str">
        <f t="shared" si="22"/>
        <v/>
      </c>
      <c r="I182" s="460" t="str">
        <f t="shared" si="23"/>
        <v/>
      </c>
      <c r="J182" s="463" t="str">
        <f t="shared" si="20"/>
        <v/>
      </c>
      <c r="K182" s="357" t="str">
        <f>IF(L182=0,"",IF(Ijour=0,MIN(DATE(YEAR(DebAmort),MONTH(DebAmort)+MoisD+(H182-1)*Imois,Jour2),DATE(YEAR(DebAmort),MONTH(DebAmort)+MoisD+1+(H182-1)*Imois,0)),DATE(YEAR(DebAmort),MONTH(DebAmort),Jour1+(H182-1)*Ijour)))</f>
        <v/>
      </c>
      <c r="L182" s="270">
        <f t="shared" si="24"/>
        <v>0</v>
      </c>
      <c r="M182" s="271">
        <f t="shared" si="26"/>
        <v>0</v>
      </c>
      <c r="N182" s="272">
        <f t="shared" si="27"/>
        <v>0</v>
      </c>
      <c r="O182" s="273">
        <f t="shared" si="25"/>
        <v>0</v>
      </c>
      <c r="P182" s="274">
        <f t="shared" si="21"/>
        <v>0</v>
      </c>
      <c r="Q182" s="350"/>
      <c r="R182" s="461">
        <f t="shared" si="28"/>
        <v>0.05</v>
      </c>
      <c r="S182" s="462">
        <f t="shared" si="29"/>
        <v>440179.35</v>
      </c>
    </row>
    <row r="183" spans="2:19" ht="15" x14ac:dyDescent="0.25">
      <c r="B183" s="362"/>
      <c r="C183" s="269"/>
      <c r="D183" s="361"/>
      <c r="E183" s="360"/>
      <c r="F183" s="359"/>
      <c r="H183" s="358" t="str">
        <f t="shared" si="22"/>
        <v/>
      </c>
      <c r="I183" s="460" t="str">
        <f t="shared" si="23"/>
        <v/>
      </c>
      <c r="J183" s="463" t="str">
        <f t="shared" si="20"/>
        <v/>
      </c>
      <c r="K183" s="357" t="str">
        <f>IF(L183=0,"",IF(Ijour=0,MIN(DATE(YEAR(DebAmort),MONTH(DebAmort)+(H183-1)*Imois,Jour1),DATE(YEAR(DebAmort),MONTH(DebAmort)+1+(H183-1)*Imois,0)),DATE(YEAR(DebAmort),MONTH(DebAmort),Jour1+(H183-1)*Ijour)))</f>
        <v/>
      </c>
      <c r="L183" s="270">
        <f t="shared" si="24"/>
        <v>0</v>
      </c>
      <c r="M183" s="271">
        <f t="shared" si="26"/>
        <v>0</v>
      </c>
      <c r="N183" s="272">
        <f t="shared" si="27"/>
        <v>0</v>
      </c>
      <c r="O183" s="273">
        <f t="shared" si="25"/>
        <v>0</v>
      </c>
      <c r="P183" s="274">
        <f t="shared" si="21"/>
        <v>0</v>
      </c>
      <c r="Q183" s="350"/>
      <c r="R183" s="461">
        <f t="shared" si="28"/>
        <v>0.05</v>
      </c>
      <c r="S183" s="462">
        <f t="shared" si="29"/>
        <v>440179.35</v>
      </c>
    </row>
    <row r="184" spans="2:19" ht="15" x14ac:dyDescent="0.25">
      <c r="B184" s="362"/>
      <c r="C184" s="269"/>
      <c r="D184" s="361"/>
      <c r="E184" s="360"/>
      <c r="F184" s="359"/>
      <c r="H184" s="358" t="str">
        <f t="shared" si="22"/>
        <v/>
      </c>
      <c r="I184" s="460" t="str">
        <f t="shared" si="23"/>
        <v/>
      </c>
      <c r="J184" s="463" t="str">
        <f t="shared" si="20"/>
        <v/>
      </c>
      <c r="K184" s="357" t="str">
        <f>IF(L184=0,"",IF(Ijour=0,MIN(DATE(YEAR(DebAmort),MONTH(DebAmort)+MoisD+(H184-1)*Imois,Jour2),DATE(YEAR(DebAmort),MONTH(DebAmort)+MoisD+1+(H184-1)*Imois,0)),DATE(YEAR(DebAmort),MONTH(DebAmort),Jour1+(H184-1)*Ijour)))</f>
        <v/>
      </c>
      <c r="L184" s="270">
        <f t="shared" si="24"/>
        <v>0</v>
      </c>
      <c r="M184" s="271">
        <f t="shared" si="26"/>
        <v>0</v>
      </c>
      <c r="N184" s="272">
        <f t="shared" si="27"/>
        <v>0</v>
      </c>
      <c r="O184" s="273">
        <f t="shared" si="25"/>
        <v>0</v>
      </c>
      <c r="P184" s="274">
        <f t="shared" si="21"/>
        <v>0</v>
      </c>
      <c r="Q184" s="350"/>
      <c r="R184" s="461">
        <f t="shared" si="28"/>
        <v>0.05</v>
      </c>
      <c r="S184" s="462">
        <f t="shared" si="29"/>
        <v>440179.35</v>
      </c>
    </row>
    <row r="185" spans="2:19" ht="15" x14ac:dyDescent="0.25">
      <c r="B185" s="362"/>
      <c r="C185" s="269"/>
      <c r="D185" s="361"/>
      <c r="E185" s="360"/>
      <c r="F185" s="359"/>
      <c r="H185" s="358" t="str">
        <f t="shared" si="22"/>
        <v/>
      </c>
      <c r="I185" s="460" t="str">
        <f t="shared" si="23"/>
        <v/>
      </c>
      <c r="J185" s="463" t="str">
        <f t="shared" si="20"/>
        <v/>
      </c>
      <c r="K185" s="357" t="str">
        <f>IF(L185=0,"",IF(Ijour=0,MIN(DATE(YEAR(DebAmort),MONTH(DebAmort)+(H185-1)*Imois,Jour1),DATE(YEAR(DebAmort),MONTH(DebAmort)+1+(H185-1)*Imois,0)),DATE(YEAR(DebAmort),MONTH(DebAmort),Jour1+(H185-1)*Ijour)))</f>
        <v/>
      </c>
      <c r="L185" s="270">
        <f t="shared" si="24"/>
        <v>0</v>
      </c>
      <c r="M185" s="271">
        <f t="shared" si="26"/>
        <v>0</v>
      </c>
      <c r="N185" s="272">
        <f t="shared" si="27"/>
        <v>0</v>
      </c>
      <c r="O185" s="273">
        <f t="shared" si="25"/>
        <v>0</v>
      </c>
      <c r="P185" s="274">
        <f t="shared" si="21"/>
        <v>0</v>
      </c>
      <c r="Q185" s="350"/>
      <c r="R185" s="461">
        <f t="shared" si="28"/>
        <v>0.05</v>
      </c>
      <c r="S185" s="462">
        <f t="shared" si="29"/>
        <v>440179.35</v>
      </c>
    </row>
    <row r="186" spans="2:19" ht="15" x14ac:dyDescent="0.25">
      <c r="B186" s="362"/>
      <c r="C186" s="269"/>
      <c r="D186" s="361"/>
      <c r="E186" s="360"/>
      <c r="F186" s="359"/>
      <c r="H186" s="358" t="str">
        <f t="shared" si="22"/>
        <v/>
      </c>
      <c r="I186" s="460" t="str">
        <f t="shared" si="23"/>
        <v/>
      </c>
      <c r="J186" s="463" t="str">
        <f t="shared" si="20"/>
        <v/>
      </c>
      <c r="K186" s="357" t="str">
        <f>IF(L186=0,"",IF(Ijour=0,MIN(DATE(YEAR(DebAmort),MONTH(DebAmort)+MoisD+(H186-1)*Imois,Jour2),DATE(YEAR(DebAmort),MONTH(DebAmort)+MoisD+1+(H186-1)*Imois,0)),DATE(YEAR(DebAmort),MONTH(DebAmort),Jour1+(H186-1)*Ijour)))</f>
        <v/>
      </c>
      <c r="L186" s="270">
        <f t="shared" si="24"/>
        <v>0</v>
      </c>
      <c r="M186" s="271">
        <f t="shared" si="26"/>
        <v>0</v>
      </c>
      <c r="N186" s="272">
        <f t="shared" si="27"/>
        <v>0</v>
      </c>
      <c r="O186" s="273">
        <f t="shared" si="25"/>
        <v>0</v>
      </c>
      <c r="P186" s="274">
        <f t="shared" si="21"/>
        <v>0</v>
      </c>
      <c r="Q186" s="350"/>
      <c r="R186" s="461">
        <f t="shared" si="28"/>
        <v>0.05</v>
      </c>
      <c r="S186" s="462">
        <f t="shared" si="29"/>
        <v>440179.35</v>
      </c>
    </row>
    <row r="187" spans="2:19" ht="15" x14ac:dyDescent="0.25">
      <c r="B187" s="362"/>
      <c r="C187" s="269"/>
      <c r="D187" s="361"/>
      <c r="E187" s="360"/>
      <c r="F187" s="359"/>
      <c r="H187" s="358" t="str">
        <f t="shared" si="22"/>
        <v/>
      </c>
      <c r="I187" s="460" t="str">
        <f t="shared" si="23"/>
        <v/>
      </c>
      <c r="J187" s="463" t="str">
        <f t="shared" si="20"/>
        <v/>
      </c>
      <c r="K187" s="357" t="str">
        <f>IF(L187=0,"",IF(Ijour=0,MIN(DATE(YEAR(DebAmort),MONTH(DebAmort)+(H187-1)*Imois,Jour1),DATE(YEAR(DebAmort),MONTH(DebAmort)+1+(H187-1)*Imois,0)),DATE(YEAR(DebAmort),MONTH(DebAmort),Jour1+(H187-1)*Ijour)))</f>
        <v/>
      </c>
      <c r="L187" s="270">
        <f t="shared" si="24"/>
        <v>0</v>
      </c>
      <c r="M187" s="271">
        <f t="shared" si="26"/>
        <v>0</v>
      </c>
      <c r="N187" s="272">
        <f t="shared" si="27"/>
        <v>0</v>
      </c>
      <c r="O187" s="273">
        <f t="shared" si="25"/>
        <v>0</v>
      </c>
      <c r="P187" s="274">
        <f t="shared" si="21"/>
        <v>0</v>
      </c>
      <c r="Q187" s="350"/>
      <c r="R187" s="461">
        <f t="shared" si="28"/>
        <v>0.05</v>
      </c>
      <c r="S187" s="462">
        <f t="shared" si="29"/>
        <v>440179.35</v>
      </c>
    </row>
    <row r="188" spans="2:19" ht="15" x14ac:dyDescent="0.25">
      <c r="B188" s="362"/>
      <c r="C188" s="269"/>
      <c r="D188" s="361"/>
      <c r="E188" s="360"/>
      <c r="F188" s="359"/>
      <c r="H188" s="358" t="str">
        <f t="shared" si="22"/>
        <v/>
      </c>
      <c r="I188" s="460" t="str">
        <f t="shared" si="23"/>
        <v/>
      </c>
      <c r="J188" s="463" t="str">
        <f t="shared" si="20"/>
        <v/>
      </c>
      <c r="K188" s="357" t="str">
        <f>IF(L188=0,"",IF(Ijour=0,MIN(DATE(YEAR(DebAmort),MONTH(DebAmort)+MoisD+(H188-1)*Imois,Jour2),DATE(YEAR(DebAmort),MONTH(DebAmort)+MoisD+1+(H188-1)*Imois,0)),DATE(YEAR(DebAmort),MONTH(DebAmort),Jour1+(H188-1)*Ijour)))</f>
        <v/>
      </c>
      <c r="L188" s="270">
        <f t="shared" si="24"/>
        <v>0</v>
      </c>
      <c r="M188" s="271">
        <f t="shared" si="26"/>
        <v>0</v>
      </c>
      <c r="N188" s="272">
        <f t="shared" si="27"/>
        <v>0</v>
      </c>
      <c r="O188" s="273">
        <f t="shared" si="25"/>
        <v>0</v>
      </c>
      <c r="P188" s="274">
        <f t="shared" si="21"/>
        <v>0</v>
      </c>
      <c r="Q188" s="350"/>
      <c r="R188" s="461">
        <f t="shared" si="28"/>
        <v>0.05</v>
      </c>
      <c r="S188" s="462">
        <f t="shared" si="29"/>
        <v>440179.35</v>
      </c>
    </row>
    <row r="189" spans="2:19" ht="15" x14ac:dyDescent="0.25">
      <c r="B189" s="362"/>
      <c r="C189" s="269"/>
      <c r="D189" s="361"/>
      <c r="E189" s="360"/>
      <c r="F189" s="359"/>
      <c r="H189" s="358" t="str">
        <f t="shared" si="22"/>
        <v/>
      </c>
      <c r="I189" s="460" t="str">
        <f t="shared" si="23"/>
        <v/>
      </c>
      <c r="J189" s="463" t="str">
        <f t="shared" si="20"/>
        <v/>
      </c>
      <c r="K189" s="357" t="str">
        <f>IF(L189=0,"",IF(Ijour=0,MIN(DATE(YEAR(DebAmort),MONTH(DebAmort)+(H189-1)*Imois,Jour1),DATE(YEAR(DebAmort),MONTH(DebAmort)+1+(H189-1)*Imois,0)),DATE(YEAR(DebAmort),MONTH(DebAmort),Jour1+(H189-1)*Ijour)))</f>
        <v/>
      </c>
      <c r="L189" s="270">
        <f t="shared" si="24"/>
        <v>0</v>
      </c>
      <c r="M189" s="271">
        <f t="shared" si="26"/>
        <v>0</v>
      </c>
      <c r="N189" s="272">
        <f t="shared" si="27"/>
        <v>0</v>
      </c>
      <c r="O189" s="273">
        <f t="shared" si="25"/>
        <v>0</v>
      </c>
      <c r="P189" s="274">
        <f t="shared" si="21"/>
        <v>0</v>
      </c>
      <c r="Q189" s="350"/>
      <c r="R189" s="461">
        <f t="shared" si="28"/>
        <v>0.05</v>
      </c>
      <c r="S189" s="462">
        <f t="shared" si="29"/>
        <v>440179.35</v>
      </c>
    </row>
    <row r="190" spans="2:19" ht="15" x14ac:dyDescent="0.25">
      <c r="B190" s="362"/>
      <c r="C190" s="269"/>
      <c r="D190" s="361"/>
      <c r="E190" s="360"/>
      <c r="F190" s="359"/>
      <c r="H190" s="358" t="str">
        <f t="shared" si="22"/>
        <v/>
      </c>
      <c r="I190" s="460" t="str">
        <f t="shared" si="23"/>
        <v/>
      </c>
      <c r="J190" s="463" t="str">
        <f t="shared" si="20"/>
        <v/>
      </c>
      <c r="K190" s="357" t="str">
        <f>IF(L190=0,"",IF(Ijour=0,MIN(DATE(YEAR(DebAmort),MONTH(DebAmort)+MoisD+(H190-1)*Imois,Jour2),DATE(YEAR(DebAmort),MONTH(DebAmort)+MoisD+1+(H190-1)*Imois,0)),DATE(YEAR(DebAmort),MONTH(DebAmort),Jour1+(H190-1)*Ijour)))</f>
        <v/>
      </c>
      <c r="L190" s="270">
        <f t="shared" si="24"/>
        <v>0</v>
      </c>
      <c r="M190" s="271">
        <f t="shared" si="26"/>
        <v>0</v>
      </c>
      <c r="N190" s="272">
        <f t="shared" si="27"/>
        <v>0</v>
      </c>
      <c r="O190" s="273">
        <f t="shared" si="25"/>
        <v>0</v>
      </c>
      <c r="P190" s="274">
        <f t="shared" si="21"/>
        <v>0</v>
      </c>
      <c r="Q190" s="350"/>
      <c r="R190" s="461">
        <f t="shared" si="28"/>
        <v>0.05</v>
      </c>
      <c r="S190" s="462">
        <f t="shared" si="29"/>
        <v>440179.35</v>
      </c>
    </row>
    <row r="191" spans="2:19" ht="15" x14ac:dyDescent="0.25">
      <c r="B191" s="362"/>
      <c r="C191" s="269"/>
      <c r="D191" s="361"/>
      <c r="E191" s="360"/>
      <c r="F191" s="359"/>
      <c r="H191" s="358" t="str">
        <f t="shared" si="22"/>
        <v/>
      </c>
      <c r="I191" s="460" t="str">
        <f t="shared" si="23"/>
        <v/>
      </c>
      <c r="J191" s="463" t="str">
        <f t="shared" si="20"/>
        <v/>
      </c>
      <c r="K191" s="357" t="str">
        <f>IF(L191=0,"",IF(Ijour=0,MIN(DATE(YEAR(DebAmort),MONTH(DebAmort)+(H191-1)*Imois,Jour1),DATE(YEAR(DebAmort),MONTH(DebAmort)+1+(H191-1)*Imois,0)),DATE(YEAR(DebAmort),MONTH(DebAmort),Jour1+(H191-1)*Ijour)))</f>
        <v/>
      </c>
      <c r="L191" s="270">
        <f t="shared" si="24"/>
        <v>0</v>
      </c>
      <c r="M191" s="271">
        <f t="shared" si="26"/>
        <v>0</v>
      </c>
      <c r="N191" s="272">
        <f t="shared" si="27"/>
        <v>0</v>
      </c>
      <c r="O191" s="273">
        <f t="shared" si="25"/>
        <v>0</v>
      </c>
      <c r="P191" s="274">
        <f t="shared" si="21"/>
        <v>0</v>
      </c>
      <c r="Q191" s="350"/>
      <c r="R191" s="461">
        <f t="shared" si="28"/>
        <v>0.05</v>
      </c>
      <c r="S191" s="462">
        <f t="shared" si="29"/>
        <v>440179.35</v>
      </c>
    </row>
    <row r="192" spans="2:19" ht="15" x14ac:dyDescent="0.25">
      <c r="B192" s="362"/>
      <c r="C192" s="269"/>
      <c r="D192" s="361"/>
      <c r="E192" s="360"/>
      <c r="F192" s="359"/>
      <c r="H192" s="358" t="str">
        <f t="shared" si="22"/>
        <v/>
      </c>
      <c r="I192" s="460" t="str">
        <f t="shared" si="23"/>
        <v/>
      </c>
      <c r="J192" s="463" t="str">
        <f t="shared" si="20"/>
        <v/>
      </c>
      <c r="K192" s="357" t="str">
        <f>IF(L192=0,"",IF(Ijour=0,MIN(DATE(YEAR(DebAmort),MONTH(DebAmort)+MoisD+(H192-1)*Imois,Jour2),DATE(YEAR(DebAmort),MONTH(DebAmort)+MoisD+1+(H192-1)*Imois,0)),DATE(YEAR(DebAmort),MONTH(DebAmort),Jour1+(H192-1)*Ijour)))</f>
        <v/>
      </c>
      <c r="L192" s="270">
        <f t="shared" si="24"/>
        <v>0</v>
      </c>
      <c r="M192" s="271">
        <f t="shared" si="26"/>
        <v>0</v>
      </c>
      <c r="N192" s="272">
        <f t="shared" si="27"/>
        <v>0</v>
      </c>
      <c r="O192" s="273">
        <f t="shared" si="25"/>
        <v>0</v>
      </c>
      <c r="P192" s="274">
        <f t="shared" si="21"/>
        <v>0</v>
      </c>
      <c r="Q192" s="350"/>
      <c r="R192" s="461">
        <f t="shared" si="28"/>
        <v>0.05</v>
      </c>
      <c r="S192" s="462">
        <f t="shared" si="29"/>
        <v>440179.35</v>
      </c>
    </row>
    <row r="193" spans="2:19" ht="15" x14ac:dyDescent="0.25">
      <c r="B193" s="362"/>
      <c r="C193" s="269"/>
      <c r="D193" s="361"/>
      <c r="E193" s="360"/>
      <c r="F193" s="359"/>
      <c r="H193" s="358" t="str">
        <f t="shared" si="22"/>
        <v/>
      </c>
      <c r="I193" s="460" t="str">
        <f t="shared" si="23"/>
        <v/>
      </c>
      <c r="J193" s="463" t="str">
        <f t="shared" si="20"/>
        <v/>
      </c>
      <c r="K193" s="357" t="str">
        <f>IF(L193=0,"",IF(Ijour=0,MIN(DATE(YEAR(DebAmort),MONTH(DebAmort)+(H193-1)*Imois,Jour1),DATE(YEAR(DebAmort),MONTH(DebAmort)+1+(H193-1)*Imois,0)),DATE(YEAR(DebAmort),MONTH(DebAmort),Jour1+(H193-1)*Ijour)))</f>
        <v/>
      </c>
      <c r="L193" s="270">
        <f t="shared" si="24"/>
        <v>0</v>
      </c>
      <c r="M193" s="271">
        <f t="shared" si="26"/>
        <v>0</v>
      </c>
      <c r="N193" s="272">
        <f t="shared" si="27"/>
        <v>0</v>
      </c>
      <c r="O193" s="273">
        <f t="shared" si="25"/>
        <v>0</v>
      </c>
      <c r="P193" s="274">
        <f t="shared" si="21"/>
        <v>0</v>
      </c>
      <c r="Q193" s="350"/>
      <c r="R193" s="461">
        <f t="shared" si="28"/>
        <v>0.05</v>
      </c>
      <c r="S193" s="462">
        <f t="shared" si="29"/>
        <v>440179.35</v>
      </c>
    </row>
    <row r="194" spans="2:19" ht="15" x14ac:dyDescent="0.25">
      <c r="B194" s="362"/>
      <c r="C194" s="269"/>
      <c r="D194" s="361"/>
      <c r="E194" s="360"/>
      <c r="F194" s="359"/>
      <c r="H194" s="358" t="str">
        <f t="shared" si="22"/>
        <v/>
      </c>
      <c r="I194" s="460" t="str">
        <f t="shared" si="23"/>
        <v/>
      </c>
      <c r="J194" s="463" t="str">
        <f t="shared" si="20"/>
        <v/>
      </c>
      <c r="K194" s="357" t="str">
        <f>IF(L194=0,"",IF(Ijour=0,MIN(DATE(YEAR(DebAmort),MONTH(DebAmort)+MoisD+(H194-1)*Imois,Jour2),DATE(YEAR(DebAmort),MONTH(DebAmort)+MoisD+1+(H194-1)*Imois,0)),DATE(YEAR(DebAmort),MONTH(DebAmort),Jour1+(H194-1)*Ijour)))</f>
        <v/>
      </c>
      <c r="L194" s="270">
        <f t="shared" si="24"/>
        <v>0</v>
      </c>
      <c r="M194" s="271">
        <f t="shared" si="26"/>
        <v>0</v>
      </c>
      <c r="N194" s="272">
        <f t="shared" si="27"/>
        <v>0</v>
      </c>
      <c r="O194" s="273">
        <f t="shared" si="25"/>
        <v>0</v>
      </c>
      <c r="P194" s="274">
        <f t="shared" si="21"/>
        <v>0</v>
      </c>
      <c r="Q194" s="350"/>
      <c r="R194" s="461">
        <f t="shared" si="28"/>
        <v>0.05</v>
      </c>
      <c r="S194" s="462">
        <f t="shared" si="29"/>
        <v>440179.35</v>
      </c>
    </row>
    <row r="195" spans="2:19" ht="15" x14ac:dyDescent="0.25">
      <c r="B195" s="362"/>
      <c r="C195" s="269"/>
      <c r="D195" s="361"/>
      <c r="E195" s="360"/>
      <c r="F195" s="359"/>
      <c r="H195" s="358" t="str">
        <f t="shared" si="22"/>
        <v/>
      </c>
      <c r="I195" s="460" t="str">
        <f t="shared" si="23"/>
        <v/>
      </c>
      <c r="J195" s="463" t="str">
        <f t="shared" si="20"/>
        <v/>
      </c>
      <c r="K195" s="357" t="str">
        <f>IF(L195=0,"",IF(Ijour=0,MIN(DATE(YEAR(DebAmort),MONTH(DebAmort)+(H195-1)*Imois,Jour1),DATE(YEAR(DebAmort),MONTH(DebAmort)+1+(H195-1)*Imois,0)),DATE(YEAR(DebAmort),MONTH(DebAmort),Jour1+(H195-1)*Ijour)))</f>
        <v/>
      </c>
      <c r="L195" s="270">
        <f t="shared" si="24"/>
        <v>0</v>
      </c>
      <c r="M195" s="271">
        <f t="shared" si="26"/>
        <v>0</v>
      </c>
      <c r="N195" s="272">
        <f t="shared" si="27"/>
        <v>0</v>
      </c>
      <c r="O195" s="273">
        <f t="shared" si="25"/>
        <v>0</v>
      </c>
      <c r="P195" s="274">
        <f t="shared" si="21"/>
        <v>0</v>
      </c>
      <c r="Q195" s="350"/>
      <c r="R195" s="461">
        <f t="shared" si="28"/>
        <v>0.05</v>
      </c>
      <c r="S195" s="462">
        <f t="shared" si="29"/>
        <v>440179.35</v>
      </c>
    </row>
    <row r="196" spans="2:19" ht="15" x14ac:dyDescent="0.25">
      <c r="B196" s="362"/>
      <c r="C196" s="269"/>
      <c r="D196" s="361"/>
      <c r="E196" s="360"/>
      <c r="F196" s="359"/>
      <c r="H196" s="358" t="str">
        <f t="shared" si="22"/>
        <v/>
      </c>
      <c r="I196" s="460" t="str">
        <f t="shared" si="23"/>
        <v/>
      </c>
      <c r="J196" s="463" t="str">
        <f t="shared" si="20"/>
        <v/>
      </c>
      <c r="K196" s="357" t="str">
        <f>IF(L196=0,"",IF(Ijour=0,MIN(DATE(YEAR(DebAmort),MONTH(DebAmort)+MoisD+(H196-1)*Imois,Jour2),DATE(YEAR(DebAmort),MONTH(DebAmort)+MoisD+1+(H196-1)*Imois,0)),DATE(YEAR(DebAmort),MONTH(DebAmort),Jour1+(H196-1)*Ijour)))</f>
        <v/>
      </c>
      <c r="L196" s="270">
        <f t="shared" si="24"/>
        <v>0</v>
      </c>
      <c r="M196" s="271">
        <f t="shared" si="26"/>
        <v>0</v>
      </c>
      <c r="N196" s="272">
        <f t="shared" si="27"/>
        <v>0</v>
      </c>
      <c r="O196" s="273">
        <f t="shared" si="25"/>
        <v>0</v>
      </c>
      <c r="P196" s="274">
        <f t="shared" si="21"/>
        <v>0</v>
      </c>
      <c r="Q196" s="350"/>
      <c r="R196" s="461">
        <f t="shared" si="28"/>
        <v>0.05</v>
      </c>
      <c r="S196" s="462">
        <f t="shared" si="29"/>
        <v>440179.35</v>
      </c>
    </row>
    <row r="197" spans="2:19" ht="15" x14ac:dyDescent="0.25">
      <c r="B197" s="362"/>
      <c r="C197" s="269"/>
      <c r="D197" s="361"/>
      <c r="E197" s="360"/>
      <c r="F197" s="359"/>
      <c r="H197" s="358" t="str">
        <f t="shared" si="22"/>
        <v/>
      </c>
      <c r="I197" s="460" t="str">
        <f t="shared" si="23"/>
        <v/>
      </c>
      <c r="J197" s="463" t="str">
        <f t="shared" si="20"/>
        <v/>
      </c>
      <c r="K197" s="357" t="str">
        <f>IF(L197=0,"",IF(Ijour=0,MIN(DATE(YEAR(DebAmort),MONTH(DebAmort)+(H197-1)*Imois,Jour1),DATE(YEAR(DebAmort),MONTH(DebAmort)+1+(H197-1)*Imois,0)),DATE(YEAR(DebAmort),MONTH(DebAmort),Jour1+(H197-1)*Ijour)))</f>
        <v/>
      </c>
      <c r="L197" s="270">
        <f t="shared" si="24"/>
        <v>0</v>
      </c>
      <c r="M197" s="271">
        <f t="shared" si="26"/>
        <v>0</v>
      </c>
      <c r="N197" s="272">
        <f t="shared" si="27"/>
        <v>0</v>
      </c>
      <c r="O197" s="273">
        <f t="shared" si="25"/>
        <v>0</v>
      </c>
      <c r="P197" s="274">
        <f t="shared" si="21"/>
        <v>0</v>
      </c>
      <c r="Q197" s="350"/>
      <c r="R197" s="461">
        <f t="shared" si="28"/>
        <v>0.05</v>
      </c>
      <c r="S197" s="462">
        <f t="shared" si="29"/>
        <v>440179.35</v>
      </c>
    </row>
    <row r="198" spans="2:19" ht="15" x14ac:dyDescent="0.25">
      <c r="B198" s="362"/>
      <c r="C198" s="269"/>
      <c r="D198" s="361"/>
      <c r="E198" s="360"/>
      <c r="F198" s="359"/>
      <c r="H198" s="358" t="str">
        <f t="shared" si="22"/>
        <v/>
      </c>
      <c r="I198" s="460" t="str">
        <f t="shared" si="23"/>
        <v/>
      </c>
      <c r="J198" s="463" t="str">
        <f t="shared" si="20"/>
        <v/>
      </c>
      <c r="K198" s="357" t="str">
        <f>IF(L198=0,"",IF(Ijour=0,MIN(DATE(YEAR(DebAmort),MONTH(DebAmort)+MoisD+(H198-1)*Imois,Jour2),DATE(YEAR(DebAmort),MONTH(DebAmort)+MoisD+1+(H198-1)*Imois,0)),DATE(YEAR(DebAmort),MONTH(DebAmort),Jour1+(H198-1)*Ijour)))</f>
        <v/>
      </c>
      <c r="L198" s="270">
        <f t="shared" si="24"/>
        <v>0</v>
      </c>
      <c r="M198" s="271">
        <f t="shared" si="26"/>
        <v>0</v>
      </c>
      <c r="N198" s="272">
        <f t="shared" si="27"/>
        <v>0</v>
      </c>
      <c r="O198" s="273">
        <f t="shared" si="25"/>
        <v>0</v>
      </c>
      <c r="P198" s="274">
        <f t="shared" si="21"/>
        <v>0</v>
      </c>
      <c r="Q198" s="350"/>
      <c r="R198" s="461">
        <f t="shared" si="28"/>
        <v>0.05</v>
      </c>
      <c r="S198" s="462">
        <f t="shared" si="29"/>
        <v>440179.35</v>
      </c>
    </row>
    <row r="199" spans="2:19" ht="15" x14ac:dyDescent="0.25">
      <c r="B199" s="362"/>
      <c r="C199" s="269"/>
      <c r="D199" s="361"/>
      <c r="E199" s="360"/>
      <c r="F199" s="359"/>
      <c r="H199" s="358" t="str">
        <f t="shared" si="22"/>
        <v/>
      </c>
      <c r="I199" s="460" t="str">
        <f t="shared" si="23"/>
        <v/>
      </c>
      <c r="J199" s="463" t="str">
        <f t="shared" si="20"/>
        <v/>
      </c>
      <c r="K199" s="357" t="str">
        <f>IF(L199=0,"",IF(Ijour=0,MIN(DATE(YEAR(DebAmort),MONTH(DebAmort)+(H199-1)*Imois,Jour1),DATE(YEAR(DebAmort),MONTH(DebAmort)+1+(H199-1)*Imois,0)),DATE(YEAR(DebAmort),MONTH(DebAmort),Jour1+(H199-1)*Ijour)))</f>
        <v/>
      </c>
      <c r="L199" s="270">
        <f t="shared" si="24"/>
        <v>0</v>
      </c>
      <c r="M199" s="271">
        <f t="shared" si="26"/>
        <v>0</v>
      </c>
      <c r="N199" s="272">
        <f t="shared" si="27"/>
        <v>0</v>
      </c>
      <c r="O199" s="273">
        <f t="shared" si="25"/>
        <v>0</v>
      </c>
      <c r="P199" s="274">
        <f t="shared" si="21"/>
        <v>0</v>
      </c>
      <c r="Q199" s="350"/>
      <c r="R199" s="461">
        <f t="shared" si="28"/>
        <v>0.05</v>
      </c>
      <c r="S199" s="462">
        <f t="shared" si="29"/>
        <v>440179.35</v>
      </c>
    </row>
    <row r="200" spans="2:19" ht="15" x14ac:dyDescent="0.25">
      <c r="B200" s="362"/>
      <c r="C200" s="269"/>
      <c r="D200" s="361"/>
      <c r="E200" s="360"/>
      <c r="F200" s="359"/>
      <c r="H200" s="358" t="str">
        <f t="shared" si="22"/>
        <v/>
      </c>
      <c r="I200" s="460" t="str">
        <f t="shared" si="23"/>
        <v/>
      </c>
      <c r="J200" s="463" t="str">
        <f t="shared" si="20"/>
        <v/>
      </c>
      <c r="K200" s="357" t="str">
        <f>IF(L200=0,"",IF(Ijour=0,MIN(DATE(YEAR(DebAmort),MONTH(DebAmort)+MoisD+(H200-1)*Imois,Jour2),DATE(YEAR(DebAmort),MONTH(DebAmort)+MoisD+1+(H200-1)*Imois,0)),DATE(YEAR(DebAmort),MONTH(DebAmort),Jour1+(H200-1)*Ijour)))</f>
        <v/>
      </c>
      <c r="L200" s="270">
        <f t="shared" si="24"/>
        <v>0</v>
      </c>
      <c r="M200" s="271">
        <f t="shared" si="26"/>
        <v>0</v>
      </c>
      <c r="N200" s="272">
        <f t="shared" si="27"/>
        <v>0</v>
      </c>
      <c r="O200" s="273">
        <f t="shared" si="25"/>
        <v>0</v>
      </c>
      <c r="P200" s="274">
        <f t="shared" si="21"/>
        <v>0</v>
      </c>
      <c r="Q200" s="350"/>
      <c r="R200" s="461">
        <f t="shared" si="28"/>
        <v>0.05</v>
      </c>
      <c r="S200" s="462">
        <f t="shared" si="29"/>
        <v>440179.35</v>
      </c>
    </row>
    <row r="201" spans="2:19" ht="15" x14ac:dyDescent="0.25">
      <c r="B201" s="362"/>
      <c r="C201" s="269"/>
      <c r="D201" s="361"/>
      <c r="E201" s="360"/>
      <c r="F201" s="359"/>
      <c r="H201" s="358" t="str">
        <f t="shared" si="22"/>
        <v/>
      </c>
      <c r="I201" s="460" t="str">
        <f t="shared" si="23"/>
        <v/>
      </c>
      <c r="J201" s="463" t="str">
        <f t="shared" si="20"/>
        <v/>
      </c>
      <c r="K201" s="357" t="str">
        <f>IF(L201=0,"",IF(Ijour=0,MIN(DATE(YEAR(DebAmort),MONTH(DebAmort)+(H201-1)*Imois,Jour1),DATE(YEAR(DebAmort),MONTH(DebAmort)+1+(H201-1)*Imois,0)),DATE(YEAR(DebAmort),MONTH(DebAmort),Jour1+(H201-1)*Ijour)))</f>
        <v/>
      </c>
      <c r="L201" s="270">
        <f t="shared" si="24"/>
        <v>0</v>
      </c>
      <c r="M201" s="271">
        <f t="shared" si="26"/>
        <v>0</v>
      </c>
      <c r="N201" s="272">
        <f t="shared" si="27"/>
        <v>0</v>
      </c>
      <c r="O201" s="273">
        <f t="shared" si="25"/>
        <v>0</v>
      </c>
      <c r="P201" s="274">
        <f t="shared" si="21"/>
        <v>0</v>
      </c>
      <c r="Q201" s="350"/>
      <c r="R201" s="461">
        <f t="shared" si="28"/>
        <v>0.05</v>
      </c>
      <c r="S201" s="462">
        <f t="shared" si="29"/>
        <v>440179.35</v>
      </c>
    </row>
    <row r="202" spans="2:19" ht="15" x14ac:dyDescent="0.25">
      <c r="B202" s="362"/>
      <c r="C202" s="269"/>
      <c r="D202" s="361"/>
      <c r="E202" s="360"/>
      <c r="F202" s="359"/>
      <c r="H202" s="358" t="str">
        <f t="shared" si="22"/>
        <v/>
      </c>
      <c r="I202" s="460" t="str">
        <f t="shared" si="23"/>
        <v/>
      </c>
      <c r="J202" s="463" t="str">
        <f t="shared" si="20"/>
        <v/>
      </c>
      <c r="K202" s="357" t="str">
        <f>IF(L202=0,"",IF(Ijour=0,MIN(DATE(YEAR(DebAmort),MONTH(DebAmort)+MoisD+(H202-1)*Imois,Jour2),DATE(YEAR(DebAmort),MONTH(DebAmort)+MoisD+1+(H202-1)*Imois,0)),DATE(YEAR(DebAmort),MONTH(DebAmort),Jour1+(H202-1)*Ijour)))</f>
        <v/>
      </c>
      <c r="L202" s="270">
        <f t="shared" si="24"/>
        <v>0</v>
      </c>
      <c r="M202" s="271">
        <f t="shared" si="26"/>
        <v>0</v>
      </c>
      <c r="N202" s="272">
        <f t="shared" si="27"/>
        <v>0</v>
      </c>
      <c r="O202" s="273">
        <f t="shared" si="25"/>
        <v>0</v>
      </c>
      <c r="P202" s="274">
        <f t="shared" si="21"/>
        <v>0</v>
      </c>
      <c r="Q202" s="350"/>
      <c r="R202" s="461">
        <f t="shared" si="28"/>
        <v>0.05</v>
      </c>
      <c r="S202" s="462">
        <f t="shared" si="29"/>
        <v>440179.35</v>
      </c>
    </row>
    <row r="203" spans="2:19" ht="15" x14ac:dyDescent="0.25">
      <c r="B203" s="362"/>
      <c r="C203" s="269"/>
      <c r="D203" s="361"/>
      <c r="E203" s="360"/>
      <c r="F203" s="359"/>
      <c r="H203" s="358" t="str">
        <f t="shared" si="22"/>
        <v/>
      </c>
      <c r="I203" s="460" t="str">
        <f t="shared" si="23"/>
        <v/>
      </c>
      <c r="J203" s="463" t="str">
        <f t="shared" si="20"/>
        <v/>
      </c>
      <c r="K203" s="357" t="str">
        <f>IF(L203=0,"",IF(Ijour=0,MIN(DATE(YEAR(DebAmort),MONTH(DebAmort)+(H203-1)*Imois,Jour1),DATE(YEAR(DebAmort),MONTH(DebAmort)+1+(H203-1)*Imois,0)),DATE(YEAR(DebAmort),MONTH(DebAmort),Jour1+(H203-1)*Ijour)))</f>
        <v/>
      </c>
      <c r="L203" s="270">
        <f t="shared" si="24"/>
        <v>0</v>
      </c>
      <c r="M203" s="271">
        <f t="shared" si="26"/>
        <v>0</v>
      </c>
      <c r="N203" s="272">
        <f t="shared" si="27"/>
        <v>0</v>
      </c>
      <c r="O203" s="273">
        <f t="shared" si="25"/>
        <v>0</v>
      </c>
      <c r="P203" s="274">
        <f t="shared" si="21"/>
        <v>0</v>
      </c>
      <c r="Q203" s="350"/>
      <c r="R203" s="461">
        <f t="shared" si="28"/>
        <v>0.05</v>
      </c>
      <c r="S203" s="462">
        <f t="shared" si="29"/>
        <v>440179.35</v>
      </c>
    </row>
    <row r="204" spans="2:19" ht="15" x14ac:dyDescent="0.25">
      <c r="B204" s="362"/>
      <c r="C204" s="269"/>
      <c r="D204" s="361"/>
      <c r="E204" s="360"/>
      <c r="F204" s="359"/>
      <c r="H204" s="358" t="str">
        <f t="shared" si="22"/>
        <v/>
      </c>
      <c r="I204" s="460" t="str">
        <f t="shared" si="23"/>
        <v/>
      </c>
      <c r="J204" s="463" t="str">
        <f t="shared" si="20"/>
        <v/>
      </c>
      <c r="K204" s="357" t="str">
        <f>IF(L204=0,"",IF(Ijour=0,MIN(DATE(YEAR(DebAmort),MONTH(DebAmort)+MoisD+(H204-1)*Imois,Jour2),DATE(YEAR(DebAmort),MONTH(DebAmort)+MoisD+1+(H204-1)*Imois,0)),DATE(YEAR(DebAmort),MONTH(DebAmort),Jour1+(H204-1)*Ijour)))</f>
        <v/>
      </c>
      <c r="L204" s="270">
        <f t="shared" si="24"/>
        <v>0</v>
      </c>
      <c r="M204" s="271">
        <f t="shared" si="26"/>
        <v>0</v>
      </c>
      <c r="N204" s="272">
        <f t="shared" si="27"/>
        <v>0</v>
      </c>
      <c r="O204" s="273">
        <f t="shared" si="25"/>
        <v>0</v>
      </c>
      <c r="P204" s="274">
        <f t="shared" si="21"/>
        <v>0</v>
      </c>
      <c r="Q204" s="350"/>
      <c r="R204" s="461">
        <f t="shared" si="28"/>
        <v>0.05</v>
      </c>
      <c r="S204" s="462">
        <f t="shared" si="29"/>
        <v>440179.35</v>
      </c>
    </row>
    <row r="205" spans="2:19" ht="15" x14ac:dyDescent="0.25">
      <c r="B205" s="362"/>
      <c r="C205" s="269"/>
      <c r="D205" s="361"/>
      <c r="E205" s="360"/>
      <c r="F205" s="359"/>
      <c r="H205" s="358" t="str">
        <f t="shared" si="22"/>
        <v/>
      </c>
      <c r="I205" s="460" t="str">
        <f t="shared" si="23"/>
        <v/>
      </c>
      <c r="J205" s="463" t="str">
        <f t="shared" si="20"/>
        <v/>
      </c>
      <c r="K205" s="357" t="str">
        <f>IF(L205=0,"",IF(Ijour=0,MIN(DATE(YEAR(DebAmort),MONTH(DebAmort)+(H205-1)*Imois,Jour1),DATE(YEAR(DebAmort),MONTH(DebAmort)+1+(H205-1)*Imois,0)),DATE(YEAR(DebAmort),MONTH(DebAmort),Jour1+(H205-1)*Ijour)))</f>
        <v/>
      </c>
      <c r="L205" s="270">
        <f t="shared" si="24"/>
        <v>0</v>
      </c>
      <c r="M205" s="271">
        <f t="shared" si="26"/>
        <v>0</v>
      </c>
      <c r="N205" s="272">
        <f t="shared" si="27"/>
        <v>0</v>
      </c>
      <c r="O205" s="273">
        <f t="shared" si="25"/>
        <v>0</v>
      </c>
      <c r="P205" s="274">
        <f t="shared" si="21"/>
        <v>0</v>
      </c>
      <c r="Q205" s="350"/>
      <c r="R205" s="461">
        <f t="shared" si="28"/>
        <v>0.05</v>
      </c>
      <c r="S205" s="462">
        <f t="shared" si="29"/>
        <v>440179.35</v>
      </c>
    </row>
    <row r="206" spans="2:19" ht="15" x14ac:dyDescent="0.25">
      <c r="B206" s="362"/>
      <c r="C206" s="269"/>
      <c r="D206" s="361"/>
      <c r="E206" s="360"/>
      <c r="F206" s="359"/>
      <c r="H206" s="358" t="str">
        <f t="shared" si="22"/>
        <v/>
      </c>
      <c r="I206" s="460" t="str">
        <f t="shared" si="23"/>
        <v/>
      </c>
      <c r="J206" s="463" t="str">
        <f t="shared" ref="J206:J269" si="30">IF(ISNUMBER(K206),YEAR(K206),"")</f>
        <v/>
      </c>
      <c r="K206" s="357" t="str">
        <f>IF(L206=0,"",IF(Ijour=0,MIN(DATE(YEAR(DebAmort),MONTH(DebAmort)+MoisD+(H206-1)*Imois,Jour2),DATE(YEAR(DebAmort),MONTH(DebAmort)+MoisD+1+(H206-1)*Imois,0)),DATE(YEAR(DebAmort),MONTH(DebAmort),Jour1+(H206-1)*Ijour)))</f>
        <v/>
      </c>
      <c r="L206" s="270">
        <f t="shared" si="24"/>
        <v>0</v>
      </c>
      <c r="M206" s="271">
        <f t="shared" si="26"/>
        <v>0</v>
      </c>
      <c r="N206" s="272">
        <f t="shared" si="27"/>
        <v>0</v>
      </c>
      <c r="O206" s="273">
        <f t="shared" si="25"/>
        <v>0</v>
      </c>
      <c r="P206" s="274">
        <f t="shared" ref="P206:P269" si="31">SUM(M206:O206)</f>
        <v>0</v>
      </c>
      <c r="Q206" s="350"/>
      <c r="R206" s="461">
        <f t="shared" si="28"/>
        <v>0.05</v>
      </c>
      <c r="S206" s="462">
        <f t="shared" si="29"/>
        <v>440179.35</v>
      </c>
    </row>
    <row r="207" spans="2:19" ht="15" x14ac:dyDescent="0.25">
      <c r="B207" s="362"/>
      <c r="C207" s="269"/>
      <c r="D207" s="361"/>
      <c r="E207" s="360"/>
      <c r="F207" s="359"/>
      <c r="H207" s="358" t="str">
        <f t="shared" ref="H207:H270" si="32">IF(L207=0,"",H206+1)</f>
        <v/>
      </c>
      <c r="I207" s="460" t="str">
        <f t="shared" ref="I207:I270" si="33">IF(L207&gt;0,NbEch+Différé+1-H207,"")</f>
        <v/>
      </c>
      <c r="J207" s="463" t="str">
        <f t="shared" si="30"/>
        <v/>
      </c>
      <c r="K207" s="357" t="str">
        <f>IF(L207=0,"",IF(Ijour=0,MIN(DATE(YEAR(DebAmort),MONTH(DebAmort)+(H207-1)*Imois,Jour1),DATE(YEAR(DebAmort),MONTH(DebAmort)+1+(H207-1)*Imois,0)),DATE(YEAR(DebAmort),MONTH(DebAmort),Jour1+(H207-1)*Ijour)))</f>
        <v/>
      </c>
      <c r="L207" s="270">
        <f t="shared" ref="L207:L270" si="34">L206-N206</f>
        <v>0</v>
      </c>
      <c r="M207" s="271">
        <f t="shared" si="26"/>
        <v>0</v>
      </c>
      <c r="N207" s="272">
        <f t="shared" si="27"/>
        <v>0</v>
      </c>
      <c r="O207" s="273">
        <f t="shared" ref="O207:O270" si="35">IF(OR(L207=0,H207&gt;NoEchMaxi),0,ROUND(FraisF+FraisV*L207,NbDeci))+F207</f>
        <v>0</v>
      </c>
      <c r="P207" s="274">
        <f t="shared" si="31"/>
        <v>0</v>
      </c>
      <c r="Q207" s="350"/>
      <c r="R207" s="461">
        <f t="shared" si="28"/>
        <v>0.05</v>
      </c>
      <c r="S207" s="462">
        <f t="shared" si="29"/>
        <v>440179.35</v>
      </c>
    </row>
    <row r="208" spans="2:19" ht="15" x14ac:dyDescent="0.25">
      <c r="B208" s="362"/>
      <c r="C208" s="269"/>
      <c r="D208" s="361"/>
      <c r="E208" s="360"/>
      <c r="F208" s="359"/>
      <c r="H208" s="358" t="str">
        <f t="shared" si="32"/>
        <v/>
      </c>
      <c r="I208" s="460" t="str">
        <f t="shared" si="33"/>
        <v/>
      </c>
      <c r="J208" s="463" t="str">
        <f t="shared" si="30"/>
        <v/>
      </c>
      <c r="K208" s="357" t="str">
        <f>IF(L208=0,"",IF(Ijour=0,MIN(DATE(YEAR(DebAmort),MONTH(DebAmort)+MoisD+(H208-1)*Imois,Jour2),DATE(YEAR(DebAmort),MONTH(DebAmort)+MoisD+1+(H208-1)*Imois,0)),DATE(YEAR(DebAmort),MONTH(DebAmort),Jour1+(H208-1)*Ijour)))</f>
        <v/>
      </c>
      <c r="L208" s="270">
        <f t="shared" si="34"/>
        <v>0</v>
      </c>
      <c r="M208" s="271">
        <f t="shared" ref="M208:M271" si="36">IF(H208&lt;=NoEchMaxi,ROUND(L208*R208,NbDeci),0)</f>
        <v>0</v>
      </c>
      <c r="N208" s="272">
        <f t="shared" ref="N208:N271" si="37">IF(OR(H208&lt;=Différé,H208&gt;NoEchMaxi),IF(DiffTotal,-M208,0),IF(H208&gt;=NoEchRemb,L208,IF(S208-(M208*EchFIXE)&gt;L208-2,L208,S208-(M208*EchFIXE))))+C208</f>
        <v>0</v>
      </c>
      <c r="O208" s="273">
        <f t="shared" si="35"/>
        <v>0</v>
      </c>
      <c r="P208" s="274">
        <f t="shared" si="31"/>
        <v>0</v>
      </c>
      <c r="Q208" s="350"/>
      <c r="R208" s="461">
        <f t="shared" ref="R208:R271" si="38">IF(B208&gt;0,IF(TauxActuariel,((B208+1)^(1/NbEchAn))-1,B208/NbEchAn),R207)</f>
        <v>0.05</v>
      </c>
      <c r="S208" s="462">
        <f t="shared" ref="S208:S271" si="39">IF(E208&gt;0,E208,IF(D208&gt;0,IF(AND(EchFIXE,R208&gt;0),ROUND((L208-C208)*R208/(1-((1+R208)^-D208)),NbDeci),ROUND(L208/D208,NbDeci)),S207))</f>
        <v>440179.35</v>
      </c>
    </row>
    <row r="209" spans="2:19" ht="15" x14ac:dyDescent="0.25">
      <c r="B209" s="362"/>
      <c r="C209" s="269"/>
      <c r="D209" s="361"/>
      <c r="E209" s="360"/>
      <c r="F209" s="359"/>
      <c r="H209" s="358" t="str">
        <f t="shared" si="32"/>
        <v/>
      </c>
      <c r="I209" s="460" t="str">
        <f t="shared" si="33"/>
        <v/>
      </c>
      <c r="J209" s="463" t="str">
        <f t="shared" si="30"/>
        <v/>
      </c>
      <c r="K209" s="357" t="str">
        <f>IF(L209=0,"",IF(Ijour=0,MIN(DATE(YEAR(DebAmort),MONTH(DebAmort)+(H209-1)*Imois,Jour1),DATE(YEAR(DebAmort),MONTH(DebAmort)+1+(H209-1)*Imois,0)),DATE(YEAR(DebAmort),MONTH(DebAmort),Jour1+(H209-1)*Ijour)))</f>
        <v/>
      </c>
      <c r="L209" s="270">
        <f t="shared" si="34"/>
        <v>0</v>
      </c>
      <c r="M209" s="271">
        <f t="shared" si="36"/>
        <v>0</v>
      </c>
      <c r="N209" s="272">
        <f t="shared" si="37"/>
        <v>0</v>
      </c>
      <c r="O209" s="273">
        <f t="shared" si="35"/>
        <v>0</v>
      </c>
      <c r="P209" s="274">
        <f t="shared" si="31"/>
        <v>0</v>
      </c>
      <c r="Q209" s="350"/>
      <c r="R209" s="461">
        <f t="shared" si="38"/>
        <v>0.05</v>
      </c>
      <c r="S209" s="462">
        <f t="shared" si="39"/>
        <v>440179.35</v>
      </c>
    </row>
    <row r="210" spans="2:19" ht="15" x14ac:dyDescent="0.25">
      <c r="B210" s="362"/>
      <c r="C210" s="269"/>
      <c r="D210" s="361"/>
      <c r="E210" s="360"/>
      <c r="F210" s="359"/>
      <c r="H210" s="358" t="str">
        <f t="shared" si="32"/>
        <v/>
      </c>
      <c r="I210" s="460" t="str">
        <f t="shared" si="33"/>
        <v/>
      </c>
      <c r="J210" s="463" t="str">
        <f t="shared" si="30"/>
        <v/>
      </c>
      <c r="K210" s="357" t="str">
        <f>IF(L210=0,"",IF(Ijour=0,MIN(DATE(YEAR(DebAmort),MONTH(DebAmort)+MoisD+(H210-1)*Imois,Jour2),DATE(YEAR(DebAmort),MONTH(DebAmort)+MoisD+1+(H210-1)*Imois,0)),DATE(YEAR(DebAmort),MONTH(DebAmort),Jour1+(H210-1)*Ijour)))</f>
        <v/>
      </c>
      <c r="L210" s="270">
        <f t="shared" si="34"/>
        <v>0</v>
      </c>
      <c r="M210" s="271">
        <f t="shared" si="36"/>
        <v>0</v>
      </c>
      <c r="N210" s="272">
        <f t="shared" si="37"/>
        <v>0</v>
      </c>
      <c r="O210" s="273">
        <f t="shared" si="35"/>
        <v>0</v>
      </c>
      <c r="P210" s="274">
        <f t="shared" si="31"/>
        <v>0</v>
      </c>
      <c r="Q210" s="350"/>
      <c r="R210" s="461">
        <f t="shared" si="38"/>
        <v>0.05</v>
      </c>
      <c r="S210" s="462">
        <f t="shared" si="39"/>
        <v>440179.35</v>
      </c>
    </row>
    <row r="211" spans="2:19" ht="15" x14ac:dyDescent="0.25">
      <c r="B211" s="362"/>
      <c r="C211" s="269"/>
      <c r="D211" s="361"/>
      <c r="E211" s="360"/>
      <c r="F211" s="359"/>
      <c r="H211" s="358" t="str">
        <f t="shared" si="32"/>
        <v/>
      </c>
      <c r="I211" s="460" t="str">
        <f t="shared" si="33"/>
        <v/>
      </c>
      <c r="J211" s="463" t="str">
        <f t="shared" si="30"/>
        <v/>
      </c>
      <c r="K211" s="357" t="str">
        <f>IF(L211=0,"",IF(Ijour=0,MIN(DATE(YEAR(DebAmort),MONTH(DebAmort)+(H211-1)*Imois,Jour1),DATE(YEAR(DebAmort),MONTH(DebAmort)+1+(H211-1)*Imois,0)),DATE(YEAR(DebAmort),MONTH(DebAmort),Jour1+(H211-1)*Ijour)))</f>
        <v/>
      </c>
      <c r="L211" s="270">
        <f t="shared" si="34"/>
        <v>0</v>
      </c>
      <c r="M211" s="271">
        <f t="shared" si="36"/>
        <v>0</v>
      </c>
      <c r="N211" s="272">
        <f t="shared" si="37"/>
        <v>0</v>
      </c>
      <c r="O211" s="273">
        <f t="shared" si="35"/>
        <v>0</v>
      </c>
      <c r="P211" s="274">
        <f t="shared" si="31"/>
        <v>0</v>
      </c>
      <c r="Q211" s="350"/>
      <c r="R211" s="461">
        <f t="shared" si="38"/>
        <v>0.05</v>
      </c>
      <c r="S211" s="462">
        <f t="shared" si="39"/>
        <v>440179.35</v>
      </c>
    </row>
    <row r="212" spans="2:19" ht="15" x14ac:dyDescent="0.25">
      <c r="B212" s="362"/>
      <c r="C212" s="269"/>
      <c r="D212" s="361"/>
      <c r="E212" s="360"/>
      <c r="F212" s="359"/>
      <c r="H212" s="358" t="str">
        <f t="shared" si="32"/>
        <v/>
      </c>
      <c r="I212" s="460" t="str">
        <f t="shared" si="33"/>
        <v/>
      </c>
      <c r="J212" s="463" t="str">
        <f t="shared" si="30"/>
        <v/>
      </c>
      <c r="K212" s="357" t="str">
        <f>IF(L212=0,"",IF(Ijour=0,MIN(DATE(YEAR(DebAmort),MONTH(DebAmort)+MoisD+(H212-1)*Imois,Jour2),DATE(YEAR(DebAmort),MONTH(DebAmort)+MoisD+1+(H212-1)*Imois,0)),DATE(YEAR(DebAmort),MONTH(DebAmort),Jour1+(H212-1)*Ijour)))</f>
        <v/>
      </c>
      <c r="L212" s="270">
        <f t="shared" si="34"/>
        <v>0</v>
      </c>
      <c r="M212" s="271">
        <f t="shared" si="36"/>
        <v>0</v>
      </c>
      <c r="N212" s="272">
        <f t="shared" si="37"/>
        <v>0</v>
      </c>
      <c r="O212" s="273">
        <f t="shared" si="35"/>
        <v>0</v>
      </c>
      <c r="P212" s="274">
        <f t="shared" si="31"/>
        <v>0</v>
      </c>
      <c r="Q212" s="350"/>
      <c r="R212" s="461">
        <f t="shared" si="38"/>
        <v>0.05</v>
      </c>
      <c r="S212" s="462">
        <f t="shared" si="39"/>
        <v>440179.35</v>
      </c>
    </row>
    <row r="213" spans="2:19" ht="15" x14ac:dyDescent="0.25">
      <c r="B213" s="362"/>
      <c r="C213" s="269"/>
      <c r="D213" s="361"/>
      <c r="E213" s="360"/>
      <c r="F213" s="359"/>
      <c r="H213" s="358" t="str">
        <f t="shared" si="32"/>
        <v/>
      </c>
      <c r="I213" s="460" t="str">
        <f t="shared" si="33"/>
        <v/>
      </c>
      <c r="J213" s="463" t="str">
        <f t="shared" si="30"/>
        <v/>
      </c>
      <c r="K213" s="357" t="str">
        <f>IF(L213=0,"",IF(Ijour=0,MIN(DATE(YEAR(DebAmort),MONTH(DebAmort)+(H213-1)*Imois,Jour1),DATE(YEAR(DebAmort),MONTH(DebAmort)+1+(H213-1)*Imois,0)),DATE(YEAR(DebAmort),MONTH(DebAmort),Jour1+(H213-1)*Ijour)))</f>
        <v/>
      </c>
      <c r="L213" s="270">
        <f t="shared" si="34"/>
        <v>0</v>
      </c>
      <c r="M213" s="271">
        <f t="shared" si="36"/>
        <v>0</v>
      </c>
      <c r="N213" s="272">
        <f t="shared" si="37"/>
        <v>0</v>
      </c>
      <c r="O213" s="273">
        <f t="shared" si="35"/>
        <v>0</v>
      </c>
      <c r="P213" s="274">
        <f t="shared" si="31"/>
        <v>0</v>
      </c>
      <c r="Q213" s="350"/>
      <c r="R213" s="461">
        <f t="shared" si="38"/>
        <v>0.05</v>
      </c>
      <c r="S213" s="462">
        <f t="shared" si="39"/>
        <v>440179.35</v>
      </c>
    </row>
    <row r="214" spans="2:19" ht="15" x14ac:dyDescent="0.25">
      <c r="B214" s="362"/>
      <c r="C214" s="269"/>
      <c r="D214" s="361"/>
      <c r="E214" s="360"/>
      <c r="F214" s="359"/>
      <c r="H214" s="358" t="str">
        <f t="shared" si="32"/>
        <v/>
      </c>
      <c r="I214" s="460" t="str">
        <f t="shared" si="33"/>
        <v/>
      </c>
      <c r="J214" s="463" t="str">
        <f t="shared" si="30"/>
        <v/>
      </c>
      <c r="K214" s="357" t="str">
        <f>IF(L214=0,"",IF(Ijour=0,MIN(DATE(YEAR(DebAmort),MONTH(DebAmort)+MoisD+(H214-1)*Imois,Jour2),DATE(YEAR(DebAmort),MONTH(DebAmort)+MoisD+1+(H214-1)*Imois,0)),DATE(YEAR(DebAmort),MONTH(DebAmort),Jour1+(H214-1)*Ijour)))</f>
        <v/>
      </c>
      <c r="L214" s="270">
        <f t="shared" si="34"/>
        <v>0</v>
      </c>
      <c r="M214" s="271">
        <f t="shared" si="36"/>
        <v>0</v>
      </c>
      <c r="N214" s="272">
        <f t="shared" si="37"/>
        <v>0</v>
      </c>
      <c r="O214" s="273">
        <f t="shared" si="35"/>
        <v>0</v>
      </c>
      <c r="P214" s="274">
        <f t="shared" si="31"/>
        <v>0</v>
      </c>
      <c r="Q214" s="350"/>
      <c r="R214" s="461">
        <f t="shared" si="38"/>
        <v>0.05</v>
      </c>
      <c r="S214" s="462">
        <f t="shared" si="39"/>
        <v>440179.35</v>
      </c>
    </row>
    <row r="215" spans="2:19" ht="15" x14ac:dyDescent="0.25">
      <c r="B215" s="362"/>
      <c r="C215" s="269"/>
      <c r="D215" s="361"/>
      <c r="E215" s="360"/>
      <c r="F215" s="359"/>
      <c r="H215" s="358" t="str">
        <f t="shared" si="32"/>
        <v/>
      </c>
      <c r="I215" s="460" t="str">
        <f t="shared" si="33"/>
        <v/>
      </c>
      <c r="J215" s="463" t="str">
        <f t="shared" si="30"/>
        <v/>
      </c>
      <c r="K215" s="357" t="str">
        <f>IF(L215=0,"",IF(Ijour=0,MIN(DATE(YEAR(DebAmort),MONTH(DebAmort)+(H215-1)*Imois,Jour1),DATE(YEAR(DebAmort),MONTH(DebAmort)+1+(H215-1)*Imois,0)),DATE(YEAR(DebAmort),MONTH(DebAmort),Jour1+(H215-1)*Ijour)))</f>
        <v/>
      </c>
      <c r="L215" s="270">
        <f t="shared" si="34"/>
        <v>0</v>
      </c>
      <c r="M215" s="271">
        <f t="shared" si="36"/>
        <v>0</v>
      </c>
      <c r="N215" s="272">
        <f t="shared" si="37"/>
        <v>0</v>
      </c>
      <c r="O215" s="273">
        <f t="shared" si="35"/>
        <v>0</v>
      </c>
      <c r="P215" s="274">
        <f t="shared" si="31"/>
        <v>0</v>
      </c>
      <c r="Q215" s="350"/>
      <c r="R215" s="461">
        <f t="shared" si="38"/>
        <v>0.05</v>
      </c>
      <c r="S215" s="462">
        <f t="shared" si="39"/>
        <v>440179.35</v>
      </c>
    </row>
    <row r="216" spans="2:19" ht="15" x14ac:dyDescent="0.25">
      <c r="B216" s="362"/>
      <c r="C216" s="269"/>
      <c r="D216" s="361"/>
      <c r="E216" s="360"/>
      <c r="F216" s="359"/>
      <c r="H216" s="358" t="str">
        <f t="shared" si="32"/>
        <v/>
      </c>
      <c r="I216" s="460" t="str">
        <f t="shared" si="33"/>
        <v/>
      </c>
      <c r="J216" s="463" t="str">
        <f t="shared" si="30"/>
        <v/>
      </c>
      <c r="K216" s="357" t="str">
        <f>IF(L216=0,"",IF(Ijour=0,MIN(DATE(YEAR(DebAmort),MONTH(DebAmort)+MoisD+(H216-1)*Imois,Jour2),DATE(YEAR(DebAmort),MONTH(DebAmort)+MoisD+1+(H216-1)*Imois,0)),DATE(YEAR(DebAmort),MONTH(DebAmort),Jour1+(H216-1)*Ijour)))</f>
        <v/>
      </c>
      <c r="L216" s="270">
        <f t="shared" si="34"/>
        <v>0</v>
      </c>
      <c r="M216" s="271">
        <f t="shared" si="36"/>
        <v>0</v>
      </c>
      <c r="N216" s="272">
        <f t="shared" si="37"/>
        <v>0</v>
      </c>
      <c r="O216" s="273">
        <f t="shared" si="35"/>
        <v>0</v>
      </c>
      <c r="P216" s="274">
        <f t="shared" si="31"/>
        <v>0</v>
      </c>
      <c r="Q216" s="350"/>
      <c r="R216" s="461">
        <f t="shared" si="38"/>
        <v>0.05</v>
      </c>
      <c r="S216" s="462">
        <f t="shared" si="39"/>
        <v>440179.35</v>
      </c>
    </row>
    <row r="217" spans="2:19" ht="15" x14ac:dyDescent="0.25">
      <c r="B217" s="362"/>
      <c r="C217" s="269"/>
      <c r="D217" s="361"/>
      <c r="E217" s="360"/>
      <c r="F217" s="359"/>
      <c r="H217" s="358" t="str">
        <f t="shared" si="32"/>
        <v/>
      </c>
      <c r="I217" s="460" t="str">
        <f t="shared" si="33"/>
        <v/>
      </c>
      <c r="J217" s="463" t="str">
        <f t="shared" si="30"/>
        <v/>
      </c>
      <c r="K217" s="357" t="str">
        <f>IF(L217=0,"",IF(Ijour=0,MIN(DATE(YEAR(DebAmort),MONTH(DebAmort)+(H217-1)*Imois,Jour1),DATE(YEAR(DebAmort),MONTH(DebAmort)+1+(H217-1)*Imois,0)),DATE(YEAR(DebAmort),MONTH(DebAmort),Jour1+(H217-1)*Ijour)))</f>
        <v/>
      </c>
      <c r="L217" s="270">
        <f t="shared" si="34"/>
        <v>0</v>
      </c>
      <c r="M217" s="271">
        <f t="shared" si="36"/>
        <v>0</v>
      </c>
      <c r="N217" s="272">
        <f t="shared" si="37"/>
        <v>0</v>
      </c>
      <c r="O217" s="273">
        <f t="shared" si="35"/>
        <v>0</v>
      </c>
      <c r="P217" s="274">
        <f t="shared" si="31"/>
        <v>0</v>
      </c>
      <c r="Q217" s="350"/>
      <c r="R217" s="461">
        <f t="shared" si="38"/>
        <v>0.05</v>
      </c>
      <c r="S217" s="462">
        <f t="shared" si="39"/>
        <v>440179.35</v>
      </c>
    </row>
    <row r="218" spans="2:19" ht="15" x14ac:dyDescent="0.25">
      <c r="B218" s="362"/>
      <c r="C218" s="269"/>
      <c r="D218" s="361"/>
      <c r="E218" s="360"/>
      <c r="F218" s="359"/>
      <c r="H218" s="358" t="str">
        <f t="shared" si="32"/>
        <v/>
      </c>
      <c r="I218" s="460" t="str">
        <f t="shared" si="33"/>
        <v/>
      </c>
      <c r="J218" s="463" t="str">
        <f t="shared" si="30"/>
        <v/>
      </c>
      <c r="K218" s="357" t="str">
        <f>IF(L218=0,"",IF(Ijour=0,MIN(DATE(YEAR(DebAmort),MONTH(DebAmort)+MoisD+(H218-1)*Imois,Jour2),DATE(YEAR(DebAmort),MONTH(DebAmort)+MoisD+1+(H218-1)*Imois,0)),DATE(YEAR(DebAmort),MONTH(DebAmort),Jour1+(H218-1)*Ijour)))</f>
        <v/>
      </c>
      <c r="L218" s="270">
        <f t="shared" si="34"/>
        <v>0</v>
      </c>
      <c r="M218" s="271">
        <f t="shared" si="36"/>
        <v>0</v>
      </c>
      <c r="N218" s="272">
        <f t="shared" si="37"/>
        <v>0</v>
      </c>
      <c r="O218" s="273">
        <f t="shared" si="35"/>
        <v>0</v>
      </c>
      <c r="P218" s="274">
        <f t="shared" si="31"/>
        <v>0</v>
      </c>
      <c r="Q218" s="350"/>
      <c r="R218" s="461">
        <f t="shared" si="38"/>
        <v>0.05</v>
      </c>
      <c r="S218" s="462">
        <f t="shared" si="39"/>
        <v>440179.35</v>
      </c>
    </row>
    <row r="219" spans="2:19" ht="15" x14ac:dyDescent="0.25">
      <c r="B219" s="362"/>
      <c r="C219" s="269"/>
      <c r="D219" s="361"/>
      <c r="E219" s="360"/>
      <c r="F219" s="359"/>
      <c r="H219" s="358" t="str">
        <f t="shared" si="32"/>
        <v/>
      </c>
      <c r="I219" s="460" t="str">
        <f t="shared" si="33"/>
        <v/>
      </c>
      <c r="J219" s="463" t="str">
        <f t="shared" si="30"/>
        <v/>
      </c>
      <c r="K219" s="357" t="str">
        <f>IF(L219=0,"",IF(Ijour=0,MIN(DATE(YEAR(DebAmort),MONTH(DebAmort)+(H219-1)*Imois,Jour1),DATE(YEAR(DebAmort),MONTH(DebAmort)+1+(H219-1)*Imois,0)),DATE(YEAR(DebAmort),MONTH(DebAmort),Jour1+(H219-1)*Ijour)))</f>
        <v/>
      </c>
      <c r="L219" s="270">
        <f t="shared" si="34"/>
        <v>0</v>
      </c>
      <c r="M219" s="271">
        <f t="shared" si="36"/>
        <v>0</v>
      </c>
      <c r="N219" s="272">
        <f t="shared" si="37"/>
        <v>0</v>
      </c>
      <c r="O219" s="273">
        <f t="shared" si="35"/>
        <v>0</v>
      </c>
      <c r="P219" s="274">
        <f t="shared" si="31"/>
        <v>0</v>
      </c>
      <c r="Q219" s="350"/>
      <c r="R219" s="461">
        <f t="shared" si="38"/>
        <v>0.05</v>
      </c>
      <c r="S219" s="462">
        <f t="shared" si="39"/>
        <v>440179.35</v>
      </c>
    </row>
    <row r="220" spans="2:19" ht="15" x14ac:dyDescent="0.25">
      <c r="B220" s="362"/>
      <c r="C220" s="269"/>
      <c r="D220" s="361"/>
      <c r="E220" s="360"/>
      <c r="F220" s="359"/>
      <c r="H220" s="358" t="str">
        <f t="shared" si="32"/>
        <v/>
      </c>
      <c r="I220" s="460" t="str">
        <f t="shared" si="33"/>
        <v/>
      </c>
      <c r="J220" s="463" t="str">
        <f t="shared" si="30"/>
        <v/>
      </c>
      <c r="K220" s="357" t="str">
        <f>IF(L220=0,"",IF(Ijour=0,MIN(DATE(YEAR(DebAmort),MONTH(DebAmort)+MoisD+(H220-1)*Imois,Jour2),DATE(YEAR(DebAmort),MONTH(DebAmort)+MoisD+1+(H220-1)*Imois,0)),DATE(YEAR(DebAmort),MONTH(DebAmort),Jour1+(H220-1)*Ijour)))</f>
        <v/>
      </c>
      <c r="L220" s="270">
        <f t="shared" si="34"/>
        <v>0</v>
      </c>
      <c r="M220" s="271">
        <f t="shared" si="36"/>
        <v>0</v>
      </c>
      <c r="N220" s="272">
        <f t="shared" si="37"/>
        <v>0</v>
      </c>
      <c r="O220" s="273">
        <f t="shared" si="35"/>
        <v>0</v>
      </c>
      <c r="P220" s="274">
        <f t="shared" si="31"/>
        <v>0</v>
      </c>
      <c r="Q220" s="350"/>
      <c r="R220" s="461">
        <f t="shared" si="38"/>
        <v>0.05</v>
      </c>
      <c r="S220" s="462">
        <f t="shared" si="39"/>
        <v>440179.35</v>
      </c>
    </row>
    <row r="221" spans="2:19" ht="15" x14ac:dyDescent="0.25">
      <c r="B221" s="362"/>
      <c r="C221" s="269"/>
      <c r="D221" s="361"/>
      <c r="E221" s="360"/>
      <c r="F221" s="359"/>
      <c r="H221" s="358" t="str">
        <f t="shared" si="32"/>
        <v/>
      </c>
      <c r="I221" s="460" t="str">
        <f t="shared" si="33"/>
        <v/>
      </c>
      <c r="J221" s="463" t="str">
        <f t="shared" si="30"/>
        <v/>
      </c>
      <c r="K221" s="357" t="str">
        <f>IF(L221=0,"",IF(Ijour=0,MIN(DATE(YEAR(DebAmort),MONTH(DebAmort)+(H221-1)*Imois,Jour1),DATE(YEAR(DebAmort),MONTH(DebAmort)+1+(H221-1)*Imois,0)),DATE(YEAR(DebAmort),MONTH(DebAmort),Jour1+(H221-1)*Ijour)))</f>
        <v/>
      </c>
      <c r="L221" s="270">
        <f t="shared" si="34"/>
        <v>0</v>
      </c>
      <c r="M221" s="271">
        <f t="shared" si="36"/>
        <v>0</v>
      </c>
      <c r="N221" s="272">
        <f t="shared" si="37"/>
        <v>0</v>
      </c>
      <c r="O221" s="273">
        <f t="shared" si="35"/>
        <v>0</v>
      </c>
      <c r="P221" s="274">
        <f t="shared" si="31"/>
        <v>0</v>
      </c>
      <c r="Q221" s="350"/>
      <c r="R221" s="461">
        <f t="shared" si="38"/>
        <v>0.05</v>
      </c>
      <c r="S221" s="462">
        <f t="shared" si="39"/>
        <v>440179.35</v>
      </c>
    </row>
    <row r="222" spans="2:19" ht="15" x14ac:dyDescent="0.25">
      <c r="B222" s="362"/>
      <c r="C222" s="269"/>
      <c r="D222" s="361"/>
      <c r="E222" s="360"/>
      <c r="F222" s="359"/>
      <c r="H222" s="358" t="str">
        <f t="shared" si="32"/>
        <v/>
      </c>
      <c r="I222" s="460" t="str">
        <f t="shared" si="33"/>
        <v/>
      </c>
      <c r="J222" s="463" t="str">
        <f t="shared" si="30"/>
        <v/>
      </c>
      <c r="K222" s="357" t="str">
        <f>IF(L222=0,"",IF(Ijour=0,MIN(DATE(YEAR(DebAmort),MONTH(DebAmort)+MoisD+(H222-1)*Imois,Jour2),DATE(YEAR(DebAmort),MONTH(DebAmort)+MoisD+1+(H222-1)*Imois,0)),DATE(YEAR(DebAmort),MONTH(DebAmort),Jour1+(H222-1)*Ijour)))</f>
        <v/>
      </c>
      <c r="L222" s="270">
        <f t="shared" si="34"/>
        <v>0</v>
      </c>
      <c r="M222" s="271">
        <f t="shared" si="36"/>
        <v>0</v>
      </c>
      <c r="N222" s="272">
        <f t="shared" si="37"/>
        <v>0</v>
      </c>
      <c r="O222" s="273">
        <f t="shared" si="35"/>
        <v>0</v>
      </c>
      <c r="P222" s="274">
        <f t="shared" si="31"/>
        <v>0</v>
      </c>
      <c r="Q222" s="350"/>
      <c r="R222" s="461">
        <f t="shared" si="38"/>
        <v>0.05</v>
      </c>
      <c r="S222" s="462">
        <f t="shared" si="39"/>
        <v>440179.35</v>
      </c>
    </row>
    <row r="223" spans="2:19" ht="15" x14ac:dyDescent="0.25">
      <c r="B223" s="362"/>
      <c r="C223" s="269"/>
      <c r="D223" s="361"/>
      <c r="E223" s="360"/>
      <c r="F223" s="359"/>
      <c r="H223" s="358" t="str">
        <f t="shared" si="32"/>
        <v/>
      </c>
      <c r="I223" s="460" t="str">
        <f t="shared" si="33"/>
        <v/>
      </c>
      <c r="J223" s="463" t="str">
        <f t="shared" si="30"/>
        <v/>
      </c>
      <c r="K223" s="357" t="str">
        <f>IF(L223=0,"",IF(Ijour=0,MIN(DATE(YEAR(DebAmort),MONTH(DebAmort)+(H223-1)*Imois,Jour1),DATE(YEAR(DebAmort),MONTH(DebAmort)+1+(H223-1)*Imois,0)),DATE(YEAR(DebAmort),MONTH(DebAmort),Jour1+(H223-1)*Ijour)))</f>
        <v/>
      </c>
      <c r="L223" s="270">
        <f t="shared" si="34"/>
        <v>0</v>
      </c>
      <c r="M223" s="271">
        <f t="shared" si="36"/>
        <v>0</v>
      </c>
      <c r="N223" s="272">
        <f t="shared" si="37"/>
        <v>0</v>
      </c>
      <c r="O223" s="273">
        <f t="shared" si="35"/>
        <v>0</v>
      </c>
      <c r="P223" s="274">
        <f t="shared" si="31"/>
        <v>0</v>
      </c>
      <c r="Q223" s="350"/>
      <c r="R223" s="461">
        <f t="shared" si="38"/>
        <v>0.05</v>
      </c>
      <c r="S223" s="462">
        <f t="shared" si="39"/>
        <v>440179.35</v>
      </c>
    </row>
    <row r="224" spans="2:19" ht="15" x14ac:dyDescent="0.25">
      <c r="B224" s="362"/>
      <c r="C224" s="269"/>
      <c r="D224" s="361"/>
      <c r="E224" s="360"/>
      <c r="F224" s="359"/>
      <c r="H224" s="358" t="str">
        <f t="shared" si="32"/>
        <v/>
      </c>
      <c r="I224" s="460" t="str">
        <f t="shared" si="33"/>
        <v/>
      </c>
      <c r="J224" s="463" t="str">
        <f t="shared" si="30"/>
        <v/>
      </c>
      <c r="K224" s="357" t="str">
        <f>IF(L224=0,"",IF(Ijour=0,MIN(DATE(YEAR(DebAmort),MONTH(DebAmort)+MoisD+(H224-1)*Imois,Jour2),DATE(YEAR(DebAmort),MONTH(DebAmort)+MoisD+1+(H224-1)*Imois,0)),DATE(YEAR(DebAmort),MONTH(DebAmort),Jour1+(H224-1)*Ijour)))</f>
        <v/>
      </c>
      <c r="L224" s="270">
        <f t="shared" si="34"/>
        <v>0</v>
      </c>
      <c r="M224" s="271">
        <f t="shared" si="36"/>
        <v>0</v>
      </c>
      <c r="N224" s="272">
        <f t="shared" si="37"/>
        <v>0</v>
      </c>
      <c r="O224" s="273">
        <f t="shared" si="35"/>
        <v>0</v>
      </c>
      <c r="P224" s="274">
        <f t="shared" si="31"/>
        <v>0</v>
      </c>
      <c r="Q224" s="350"/>
      <c r="R224" s="461">
        <f t="shared" si="38"/>
        <v>0.05</v>
      </c>
      <c r="S224" s="462">
        <f t="shared" si="39"/>
        <v>440179.35</v>
      </c>
    </row>
    <row r="225" spans="2:19" ht="15" x14ac:dyDescent="0.25">
      <c r="B225" s="362"/>
      <c r="C225" s="269"/>
      <c r="D225" s="361"/>
      <c r="E225" s="360"/>
      <c r="F225" s="359"/>
      <c r="H225" s="358" t="str">
        <f t="shared" si="32"/>
        <v/>
      </c>
      <c r="I225" s="460" t="str">
        <f t="shared" si="33"/>
        <v/>
      </c>
      <c r="J225" s="463" t="str">
        <f t="shared" si="30"/>
        <v/>
      </c>
      <c r="K225" s="357" t="str">
        <f>IF(L225=0,"",IF(Ijour=0,MIN(DATE(YEAR(DebAmort),MONTH(DebAmort)+(H225-1)*Imois,Jour1),DATE(YEAR(DebAmort),MONTH(DebAmort)+1+(H225-1)*Imois,0)),DATE(YEAR(DebAmort),MONTH(DebAmort),Jour1+(H225-1)*Ijour)))</f>
        <v/>
      </c>
      <c r="L225" s="270">
        <f t="shared" si="34"/>
        <v>0</v>
      </c>
      <c r="M225" s="271">
        <f t="shared" si="36"/>
        <v>0</v>
      </c>
      <c r="N225" s="272">
        <f t="shared" si="37"/>
        <v>0</v>
      </c>
      <c r="O225" s="273">
        <f t="shared" si="35"/>
        <v>0</v>
      </c>
      <c r="P225" s="274">
        <f t="shared" si="31"/>
        <v>0</v>
      </c>
      <c r="Q225" s="350"/>
      <c r="R225" s="461">
        <f t="shared" si="38"/>
        <v>0.05</v>
      </c>
      <c r="S225" s="462">
        <f t="shared" si="39"/>
        <v>440179.35</v>
      </c>
    </row>
    <row r="226" spans="2:19" ht="15" x14ac:dyDescent="0.25">
      <c r="B226" s="362"/>
      <c r="C226" s="269"/>
      <c r="D226" s="361"/>
      <c r="E226" s="360"/>
      <c r="F226" s="359"/>
      <c r="H226" s="358" t="str">
        <f t="shared" si="32"/>
        <v/>
      </c>
      <c r="I226" s="460" t="str">
        <f t="shared" si="33"/>
        <v/>
      </c>
      <c r="J226" s="463" t="str">
        <f t="shared" si="30"/>
        <v/>
      </c>
      <c r="K226" s="357" t="str">
        <f>IF(L226=0,"",IF(Ijour=0,MIN(DATE(YEAR(DebAmort),MONTH(DebAmort)+MoisD+(H226-1)*Imois,Jour2),DATE(YEAR(DebAmort),MONTH(DebAmort)+MoisD+1+(H226-1)*Imois,0)),DATE(YEAR(DebAmort),MONTH(DebAmort),Jour1+(H226-1)*Ijour)))</f>
        <v/>
      </c>
      <c r="L226" s="270">
        <f t="shared" si="34"/>
        <v>0</v>
      </c>
      <c r="M226" s="271">
        <f t="shared" si="36"/>
        <v>0</v>
      </c>
      <c r="N226" s="272">
        <f t="shared" si="37"/>
        <v>0</v>
      </c>
      <c r="O226" s="273">
        <f t="shared" si="35"/>
        <v>0</v>
      </c>
      <c r="P226" s="274">
        <f t="shared" si="31"/>
        <v>0</v>
      </c>
      <c r="Q226" s="350"/>
      <c r="R226" s="461">
        <f t="shared" si="38"/>
        <v>0.05</v>
      </c>
      <c r="S226" s="462">
        <f t="shared" si="39"/>
        <v>440179.35</v>
      </c>
    </row>
    <row r="227" spans="2:19" ht="15" x14ac:dyDescent="0.25">
      <c r="B227" s="362"/>
      <c r="C227" s="269"/>
      <c r="D227" s="361"/>
      <c r="E227" s="360"/>
      <c r="F227" s="359"/>
      <c r="H227" s="358" t="str">
        <f t="shared" si="32"/>
        <v/>
      </c>
      <c r="I227" s="460" t="str">
        <f t="shared" si="33"/>
        <v/>
      </c>
      <c r="J227" s="463" t="str">
        <f t="shared" si="30"/>
        <v/>
      </c>
      <c r="K227" s="357" t="str">
        <f>IF(L227=0,"",IF(Ijour=0,MIN(DATE(YEAR(DebAmort),MONTH(DebAmort)+(H227-1)*Imois,Jour1),DATE(YEAR(DebAmort),MONTH(DebAmort)+1+(H227-1)*Imois,0)),DATE(YEAR(DebAmort),MONTH(DebAmort),Jour1+(H227-1)*Ijour)))</f>
        <v/>
      </c>
      <c r="L227" s="270">
        <f t="shared" si="34"/>
        <v>0</v>
      </c>
      <c r="M227" s="271">
        <f t="shared" si="36"/>
        <v>0</v>
      </c>
      <c r="N227" s="272">
        <f t="shared" si="37"/>
        <v>0</v>
      </c>
      <c r="O227" s="273">
        <f t="shared" si="35"/>
        <v>0</v>
      </c>
      <c r="P227" s="274">
        <f t="shared" si="31"/>
        <v>0</v>
      </c>
      <c r="Q227" s="350"/>
      <c r="R227" s="461">
        <f t="shared" si="38"/>
        <v>0.05</v>
      </c>
      <c r="S227" s="462">
        <f t="shared" si="39"/>
        <v>440179.35</v>
      </c>
    </row>
    <row r="228" spans="2:19" ht="15" x14ac:dyDescent="0.25">
      <c r="B228" s="362"/>
      <c r="C228" s="269"/>
      <c r="D228" s="361"/>
      <c r="E228" s="360"/>
      <c r="F228" s="359"/>
      <c r="H228" s="358" t="str">
        <f t="shared" si="32"/>
        <v/>
      </c>
      <c r="I228" s="460" t="str">
        <f t="shared" si="33"/>
        <v/>
      </c>
      <c r="J228" s="463" t="str">
        <f t="shared" si="30"/>
        <v/>
      </c>
      <c r="K228" s="357" t="str">
        <f>IF(L228=0,"",IF(Ijour=0,MIN(DATE(YEAR(DebAmort),MONTH(DebAmort)+MoisD+(H228-1)*Imois,Jour2),DATE(YEAR(DebAmort),MONTH(DebAmort)+MoisD+1+(H228-1)*Imois,0)),DATE(YEAR(DebAmort),MONTH(DebAmort),Jour1+(H228-1)*Ijour)))</f>
        <v/>
      </c>
      <c r="L228" s="270">
        <f t="shared" si="34"/>
        <v>0</v>
      </c>
      <c r="M228" s="271">
        <f t="shared" si="36"/>
        <v>0</v>
      </c>
      <c r="N228" s="272">
        <f t="shared" si="37"/>
        <v>0</v>
      </c>
      <c r="O228" s="273">
        <f t="shared" si="35"/>
        <v>0</v>
      </c>
      <c r="P228" s="274">
        <f t="shared" si="31"/>
        <v>0</v>
      </c>
      <c r="Q228" s="350"/>
      <c r="R228" s="461">
        <f t="shared" si="38"/>
        <v>0.05</v>
      </c>
      <c r="S228" s="462">
        <f t="shared" si="39"/>
        <v>440179.35</v>
      </c>
    </row>
    <row r="229" spans="2:19" ht="15" x14ac:dyDescent="0.25">
      <c r="B229" s="362"/>
      <c r="C229" s="269"/>
      <c r="D229" s="361"/>
      <c r="E229" s="360"/>
      <c r="F229" s="359"/>
      <c r="H229" s="358" t="str">
        <f t="shared" si="32"/>
        <v/>
      </c>
      <c r="I229" s="460" t="str">
        <f t="shared" si="33"/>
        <v/>
      </c>
      <c r="J229" s="463" t="str">
        <f t="shared" si="30"/>
        <v/>
      </c>
      <c r="K229" s="357" t="str">
        <f>IF(L229=0,"",IF(Ijour=0,MIN(DATE(YEAR(DebAmort),MONTH(DebAmort)+(H229-1)*Imois,Jour1),DATE(YEAR(DebAmort),MONTH(DebAmort)+1+(H229-1)*Imois,0)),DATE(YEAR(DebAmort),MONTH(DebAmort),Jour1+(H229-1)*Ijour)))</f>
        <v/>
      </c>
      <c r="L229" s="270">
        <f t="shared" si="34"/>
        <v>0</v>
      </c>
      <c r="M229" s="271">
        <f t="shared" si="36"/>
        <v>0</v>
      </c>
      <c r="N229" s="272">
        <f t="shared" si="37"/>
        <v>0</v>
      </c>
      <c r="O229" s="273">
        <f t="shared" si="35"/>
        <v>0</v>
      </c>
      <c r="P229" s="274">
        <f t="shared" si="31"/>
        <v>0</v>
      </c>
      <c r="Q229" s="350"/>
      <c r="R229" s="461">
        <f t="shared" si="38"/>
        <v>0.05</v>
      </c>
      <c r="S229" s="462">
        <f t="shared" si="39"/>
        <v>440179.35</v>
      </c>
    </row>
    <row r="230" spans="2:19" ht="15" x14ac:dyDescent="0.25">
      <c r="B230" s="362"/>
      <c r="C230" s="269"/>
      <c r="D230" s="361"/>
      <c r="E230" s="360"/>
      <c r="F230" s="359"/>
      <c r="H230" s="358" t="str">
        <f t="shared" si="32"/>
        <v/>
      </c>
      <c r="I230" s="460" t="str">
        <f t="shared" si="33"/>
        <v/>
      </c>
      <c r="J230" s="463" t="str">
        <f t="shared" si="30"/>
        <v/>
      </c>
      <c r="K230" s="357" t="str">
        <f>IF(L230=0,"",IF(Ijour=0,MIN(DATE(YEAR(DebAmort),MONTH(DebAmort)+MoisD+(H230-1)*Imois,Jour2),DATE(YEAR(DebAmort),MONTH(DebAmort)+MoisD+1+(H230-1)*Imois,0)),DATE(YEAR(DebAmort),MONTH(DebAmort),Jour1+(H230-1)*Ijour)))</f>
        <v/>
      </c>
      <c r="L230" s="270">
        <f t="shared" si="34"/>
        <v>0</v>
      </c>
      <c r="M230" s="271">
        <f t="shared" si="36"/>
        <v>0</v>
      </c>
      <c r="N230" s="272">
        <f t="shared" si="37"/>
        <v>0</v>
      </c>
      <c r="O230" s="273">
        <f t="shared" si="35"/>
        <v>0</v>
      </c>
      <c r="P230" s="274">
        <f t="shared" si="31"/>
        <v>0</v>
      </c>
      <c r="Q230" s="350"/>
      <c r="R230" s="461">
        <f t="shared" si="38"/>
        <v>0.05</v>
      </c>
      <c r="S230" s="462">
        <f t="shared" si="39"/>
        <v>440179.35</v>
      </c>
    </row>
    <row r="231" spans="2:19" ht="15" x14ac:dyDescent="0.25">
      <c r="B231" s="362"/>
      <c r="C231" s="269"/>
      <c r="D231" s="361"/>
      <c r="E231" s="360"/>
      <c r="F231" s="359"/>
      <c r="H231" s="358" t="str">
        <f t="shared" si="32"/>
        <v/>
      </c>
      <c r="I231" s="460" t="str">
        <f t="shared" si="33"/>
        <v/>
      </c>
      <c r="J231" s="463" t="str">
        <f t="shared" si="30"/>
        <v/>
      </c>
      <c r="K231" s="357" t="str">
        <f>IF(L231=0,"",IF(Ijour=0,MIN(DATE(YEAR(DebAmort),MONTH(DebAmort)+(H231-1)*Imois,Jour1),DATE(YEAR(DebAmort),MONTH(DebAmort)+1+(H231-1)*Imois,0)),DATE(YEAR(DebAmort),MONTH(DebAmort),Jour1+(H231-1)*Ijour)))</f>
        <v/>
      </c>
      <c r="L231" s="270">
        <f t="shared" si="34"/>
        <v>0</v>
      </c>
      <c r="M231" s="271">
        <f t="shared" si="36"/>
        <v>0</v>
      </c>
      <c r="N231" s="272">
        <f t="shared" si="37"/>
        <v>0</v>
      </c>
      <c r="O231" s="273">
        <f t="shared" si="35"/>
        <v>0</v>
      </c>
      <c r="P231" s="274">
        <f t="shared" si="31"/>
        <v>0</v>
      </c>
      <c r="Q231" s="350"/>
      <c r="R231" s="461">
        <f t="shared" si="38"/>
        <v>0.05</v>
      </c>
      <c r="S231" s="462">
        <f t="shared" si="39"/>
        <v>440179.35</v>
      </c>
    </row>
    <row r="232" spans="2:19" ht="15" x14ac:dyDescent="0.25">
      <c r="B232" s="362"/>
      <c r="C232" s="269"/>
      <c r="D232" s="361"/>
      <c r="E232" s="360"/>
      <c r="F232" s="359"/>
      <c r="H232" s="358" t="str">
        <f t="shared" si="32"/>
        <v/>
      </c>
      <c r="I232" s="460" t="str">
        <f t="shared" si="33"/>
        <v/>
      </c>
      <c r="J232" s="463" t="str">
        <f t="shared" si="30"/>
        <v/>
      </c>
      <c r="K232" s="357" t="str">
        <f>IF(L232=0,"",IF(Ijour=0,MIN(DATE(YEAR(DebAmort),MONTH(DebAmort)+MoisD+(H232-1)*Imois,Jour2),DATE(YEAR(DebAmort),MONTH(DebAmort)+MoisD+1+(H232-1)*Imois,0)),DATE(YEAR(DebAmort),MONTH(DebAmort),Jour1+(H232-1)*Ijour)))</f>
        <v/>
      </c>
      <c r="L232" s="270">
        <f t="shared" si="34"/>
        <v>0</v>
      </c>
      <c r="M232" s="271">
        <f t="shared" si="36"/>
        <v>0</v>
      </c>
      <c r="N232" s="272">
        <f t="shared" si="37"/>
        <v>0</v>
      </c>
      <c r="O232" s="273">
        <f t="shared" si="35"/>
        <v>0</v>
      </c>
      <c r="P232" s="274">
        <f t="shared" si="31"/>
        <v>0</v>
      </c>
      <c r="Q232" s="350"/>
      <c r="R232" s="461">
        <f t="shared" si="38"/>
        <v>0.05</v>
      </c>
      <c r="S232" s="462">
        <f t="shared" si="39"/>
        <v>440179.35</v>
      </c>
    </row>
    <row r="233" spans="2:19" ht="15" x14ac:dyDescent="0.25">
      <c r="B233" s="362"/>
      <c r="C233" s="269"/>
      <c r="D233" s="361"/>
      <c r="E233" s="360"/>
      <c r="F233" s="359"/>
      <c r="H233" s="358" t="str">
        <f t="shared" si="32"/>
        <v/>
      </c>
      <c r="I233" s="460" t="str">
        <f t="shared" si="33"/>
        <v/>
      </c>
      <c r="J233" s="463" t="str">
        <f t="shared" si="30"/>
        <v/>
      </c>
      <c r="K233" s="357" t="str">
        <f>IF(L233=0,"",IF(Ijour=0,MIN(DATE(YEAR(DebAmort),MONTH(DebAmort)+(H233-1)*Imois,Jour1),DATE(YEAR(DebAmort),MONTH(DebAmort)+1+(H233-1)*Imois,0)),DATE(YEAR(DebAmort),MONTH(DebAmort),Jour1+(H233-1)*Ijour)))</f>
        <v/>
      </c>
      <c r="L233" s="270">
        <f t="shared" si="34"/>
        <v>0</v>
      </c>
      <c r="M233" s="271">
        <f t="shared" si="36"/>
        <v>0</v>
      </c>
      <c r="N233" s="272">
        <f t="shared" si="37"/>
        <v>0</v>
      </c>
      <c r="O233" s="273">
        <f t="shared" si="35"/>
        <v>0</v>
      </c>
      <c r="P233" s="274">
        <f t="shared" si="31"/>
        <v>0</v>
      </c>
      <c r="Q233" s="350"/>
      <c r="R233" s="461">
        <f t="shared" si="38"/>
        <v>0.05</v>
      </c>
      <c r="S233" s="462">
        <f t="shared" si="39"/>
        <v>440179.35</v>
      </c>
    </row>
    <row r="234" spans="2:19" ht="15" x14ac:dyDescent="0.25">
      <c r="B234" s="362"/>
      <c r="C234" s="269"/>
      <c r="D234" s="361"/>
      <c r="E234" s="360"/>
      <c r="F234" s="359"/>
      <c r="H234" s="358" t="str">
        <f t="shared" si="32"/>
        <v/>
      </c>
      <c r="I234" s="460" t="str">
        <f t="shared" si="33"/>
        <v/>
      </c>
      <c r="J234" s="463" t="str">
        <f t="shared" si="30"/>
        <v/>
      </c>
      <c r="K234" s="357" t="str">
        <f>IF(L234=0,"",IF(Ijour=0,MIN(DATE(YEAR(DebAmort),MONTH(DebAmort)+MoisD+(H234-1)*Imois,Jour2),DATE(YEAR(DebAmort),MONTH(DebAmort)+MoisD+1+(H234-1)*Imois,0)),DATE(YEAR(DebAmort),MONTH(DebAmort),Jour1+(H234-1)*Ijour)))</f>
        <v/>
      </c>
      <c r="L234" s="270">
        <f t="shared" si="34"/>
        <v>0</v>
      </c>
      <c r="M234" s="271">
        <f t="shared" si="36"/>
        <v>0</v>
      </c>
      <c r="N234" s="272">
        <f t="shared" si="37"/>
        <v>0</v>
      </c>
      <c r="O234" s="273">
        <f t="shared" si="35"/>
        <v>0</v>
      </c>
      <c r="P234" s="274">
        <f t="shared" si="31"/>
        <v>0</v>
      </c>
      <c r="Q234" s="350"/>
      <c r="R234" s="461">
        <f t="shared" si="38"/>
        <v>0.05</v>
      </c>
      <c r="S234" s="462">
        <f t="shared" si="39"/>
        <v>440179.35</v>
      </c>
    </row>
    <row r="235" spans="2:19" ht="15" x14ac:dyDescent="0.25">
      <c r="B235" s="362"/>
      <c r="C235" s="269"/>
      <c r="D235" s="361"/>
      <c r="E235" s="360"/>
      <c r="F235" s="359"/>
      <c r="H235" s="358" t="str">
        <f t="shared" si="32"/>
        <v/>
      </c>
      <c r="I235" s="460" t="str">
        <f t="shared" si="33"/>
        <v/>
      </c>
      <c r="J235" s="463" t="str">
        <f t="shared" si="30"/>
        <v/>
      </c>
      <c r="K235" s="357" t="str">
        <f>IF(L235=0,"",IF(Ijour=0,MIN(DATE(YEAR(DebAmort),MONTH(DebAmort)+(H235-1)*Imois,Jour1),DATE(YEAR(DebAmort),MONTH(DebAmort)+1+(H235-1)*Imois,0)),DATE(YEAR(DebAmort),MONTH(DebAmort),Jour1+(H235-1)*Ijour)))</f>
        <v/>
      </c>
      <c r="L235" s="270">
        <f t="shared" si="34"/>
        <v>0</v>
      </c>
      <c r="M235" s="271">
        <f t="shared" si="36"/>
        <v>0</v>
      </c>
      <c r="N235" s="272">
        <f t="shared" si="37"/>
        <v>0</v>
      </c>
      <c r="O235" s="273">
        <f t="shared" si="35"/>
        <v>0</v>
      </c>
      <c r="P235" s="274">
        <f t="shared" si="31"/>
        <v>0</v>
      </c>
      <c r="Q235" s="350"/>
      <c r="R235" s="461">
        <f t="shared" si="38"/>
        <v>0.05</v>
      </c>
      <c r="S235" s="462">
        <f t="shared" si="39"/>
        <v>440179.35</v>
      </c>
    </row>
    <row r="236" spans="2:19" ht="15" x14ac:dyDescent="0.25">
      <c r="B236" s="362"/>
      <c r="C236" s="269"/>
      <c r="D236" s="361"/>
      <c r="E236" s="360"/>
      <c r="F236" s="359"/>
      <c r="H236" s="358" t="str">
        <f t="shared" si="32"/>
        <v/>
      </c>
      <c r="I236" s="460" t="str">
        <f t="shared" si="33"/>
        <v/>
      </c>
      <c r="J236" s="463" t="str">
        <f t="shared" si="30"/>
        <v/>
      </c>
      <c r="K236" s="357" t="str">
        <f>IF(L236=0,"",IF(Ijour=0,MIN(DATE(YEAR(DebAmort),MONTH(DebAmort)+MoisD+(H236-1)*Imois,Jour2),DATE(YEAR(DebAmort),MONTH(DebAmort)+MoisD+1+(H236-1)*Imois,0)),DATE(YEAR(DebAmort),MONTH(DebAmort),Jour1+(H236-1)*Ijour)))</f>
        <v/>
      </c>
      <c r="L236" s="270">
        <f t="shared" si="34"/>
        <v>0</v>
      </c>
      <c r="M236" s="271">
        <f t="shared" si="36"/>
        <v>0</v>
      </c>
      <c r="N236" s="272">
        <f t="shared" si="37"/>
        <v>0</v>
      </c>
      <c r="O236" s="273">
        <f t="shared" si="35"/>
        <v>0</v>
      </c>
      <c r="P236" s="274">
        <f t="shared" si="31"/>
        <v>0</v>
      </c>
      <c r="Q236" s="350"/>
      <c r="R236" s="461">
        <f t="shared" si="38"/>
        <v>0.05</v>
      </c>
      <c r="S236" s="462">
        <f t="shared" si="39"/>
        <v>440179.35</v>
      </c>
    </row>
    <row r="237" spans="2:19" ht="15" x14ac:dyDescent="0.25">
      <c r="B237" s="362"/>
      <c r="C237" s="269"/>
      <c r="D237" s="361"/>
      <c r="E237" s="360"/>
      <c r="F237" s="359"/>
      <c r="H237" s="358" t="str">
        <f t="shared" si="32"/>
        <v/>
      </c>
      <c r="I237" s="460" t="str">
        <f t="shared" si="33"/>
        <v/>
      </c>
      <c r="J237" s="463" t="str">
        <f t="shared" si="30"/>
        <v/>
      </c>
      <c r="K237" s="357" t="str">
        <f>IF(L237=0,"",IF(Ijour=0,MIN(DATE(YEAR(DebAmort),MONTH(DebAmort)+(H237-1)*Imois,Jour1),DATE(YEAR(DebAmort),MONTH(DebAmort)+1+(H237-1)*Imois,0)),DATE(YEAR(DebAmort),MONTH(DebAmort),Jour1+(H237-1)*Ijour)))</f>
        <v/>
      </c>
      <c r="L237" s="270">
        <f t="shared" si="34"/>
        <v>0</v>
      </c>
      <c r="M237" s="271">
        <f t="shared" si="36"/>
        <v>0</v>
      </c>
      <c r="N237" s="272">
        <f t="shared" si="37"/>
        <v>0</v>
      </c>
      <c r="O237" s="273">
        <f t="shared" si="35"/>
        <v>0</v>
      </c>
      <c r="P237" s="274">
        <f t="shared" si="31"/>
        <v>0</v>
      </c>
      <c r="Q237" s="350"/>
      <c r="R237" s="461">
        <f t="shared" si="38"/>
        <v>0.05</v>
      </c>
      <c r="S237" s="462">
        <f t="shared" si="39"/>
        <v>440179.35</v>
      </c>
    </row>
    <row r="238" spans="2:19" ht="15" x14ac:dyDescent="0.25">
      <c r="B238" s="362"/>
      <c r="C238" s="269"/>
      <c r="D238" s="361"/>
      <c r="E238" s="360"/>
      <c r="F238" s="359"/>
      <c r="H238" s="358" t="str">
        <f t="shared" si="32"/>
        <v/>
      </c>
      <c r="I238" s="460" t="str">
        <f t="shared" si="33"/>
        <v/>
      </c>
      <c r="J238" s="463" t="str">
        <f t="shared" si="30"/>
        <v/>
      </c>
      <c r="K238" s="357" t="str">
        <f>IF(L238=0,"",IF(Ijour=0,MIN(DATE(YEAR(DebAmort),MONTH(DebAmort)+MoisD+(H238-1)*Imois,Jour2),DATE(YEAR(DebAmort),MONTH(DebAmort)+MoisD+1+(H238-1)*Imois,0)),DATE(YEAR(DebAmort),MONTH(DebAmort),Jour1+(H238-1)*Ijour)))</f>
        <v/>
      </c>
      <c r="L238" s="270">
        <f t="shared" si="34"/>
        <v>0</v>
      </c>
      <c r="M238" s="271">
        <f t="shared" si="36"/>
        <v>0</v>
      </c>
      <c r="N238" s="272">
        <f t="shared" si="37"/>
        <v>0</v>
      </c>
      <c r="O238" s="273">
        <f t="shared" si="35"/>
        <v>0</v>
      </c>
      <c r="P238" s="274">
        <f t="shared" si="31"/>
        <v>0</v>
      </c>
      <c r="Q238" s="350"/>
      <c r="R238" s="461">
        <f t="shared" si="38"/>
        <v>0.05</v>
      </c>
      <c r="S238" s="462">
        <f t="shared" si="39"/>
        <v>440179.35</v>
      </c>
    </row>
    <row r="239" spans="2:19" ht="15" x14ac:dyDescent="0.25">
      <c r="B239" s="362"/>
      <c r="C239" s="269"/>
      <c r="D239" s="361"/>
      <c r="E239" s="360"/>
      <c r="F239" s="359"/>
      <c r="H239" s="358" t="str">
        <f t="shared" si="32"/>
        <v/>
      </c>
      <c r="I239" s="460" t="str">
        <f t="shared" si="33"/>
        <v/>
      </c>
      <c r="J239" s="463" t="str">
        <f t="shared" si="30"/>
        <v/>
      </c>
      <c r="K239" s="357" t="str">
        <f>IF(L239=0,"",IF(Ijour=0,MIN(DATE(YEAR(DebAmort),MONTH(DebAmort)+(H239-1)*Imois,Jour1),DATE(YEAR(DebAmort),MONTH(DebAmort)+1+(H239-1)*Imois,0)),DATE(YEAR(DebAmort),MONTH(DebAmort),Jour1+(H239-1)*Ijour)))</f>
        <v/>
      </c>
      <c r="L239" s="270">
        <f t="shared" si="34"/>
        <v>0</v>
      </c>
      <c r="M239" s="271">
        <f t="shared" si="36"/>
        <v>0</v>
      </c>
      <c r="N239" s="272">
        <f t="shared" si="37"/>
        <v>0</v>
      </c>
      <c r="O239" s="273">
        <f t="shared" si="35"/>
        <v>0</v>
      </c>
      <c r="P239" s="274">
        <f t="shared" si="31"/>
        <v>0</v>
      </c>
      <c r="Q239" s="350"/>
      <c r="R239" s="461">
        <f t="shared" si="38"/>
        <v>0.05</v>
      </c>
      <c r="S239" s="462">
        <f t="shared" si="39"/>
        <v>440179.35</v>
      </c>
    </row>
    <row r="240" spans="2:19" ht="15" x14ac:dyDescent="0.25">
      <c r="B240" s="362"/>
      <c r="C240" s="269"/>
      <c r="D240" s="361"/>
      <c r="E240" s="360"/>
      <c r="F240" s="359"/>
      <c r="H240" s="358" t="str">
        <f t="shared" si="32"/>
        <v/>
      </c>
      <c r="I240" s="460" t="str">
        <f t="shared" si="33"/>
        <v/>
      </c>
      <c r="J240" s="463" t="str">
        <f t="shared" si="30"/>
        <v/>
      </c>
      <c r="K240" s="357" t="str">
        <f>IF(L240=0,"",IF(Ijour=0,MIN(DATE(YEAR(DebAmort),MONTH(DebAmort)+MoisD+(H240-1)*Imois,Jour2),DATE(YEAR(DebAmort),MONTH(DebAmort)+MoisD+1+(H240-1)*Imois,0)),DATE(YEAR(DebAmort),MONTH(DebAmort),Jour1+(H240-1)*Ijour)))</f>
        <v/>
      </c>
      <c r="L240" s="270">
        <f t="shared" si="34"/>
        <v>0</v>
      </c>
      <c r="M240" s="271">
        <f t="shared" si="36"/>
        <v>0</v>
      </c>
      <c r="N240" s="272">
        <f t="shared" si="37"/>
        <v>0</v>
      </c>
      <c r="O240" s="273">
        <f t="shared" si="35"/>
        <v>0</v>
      </c>
      <c r="P240" s="274">
        <f t="shared" si="31"/>
        <v>0</v>
      </c>
      <c r="Q240" s="350"/>
      <c r="R240" s="461">
        <f t="shared" si="38"/>
        <v>0.05</v>
      </c>
      <c r="S240" s="462">
        <f t="shared" si="39"/>
        <v>440179.35</v>
      </c>
    </row>
    <row r="241" spans="2:19" ht="15" x14ac:dyDescent="0.25">
      <c r="B241" s="362"/>
      <c r="C241" s="269"/>
      <c r="D241" s="361"/>
      <c r="E241" s="360"/>
      <c r="F241" s="359"/>
      <c r="H241" s="358" t="str">
        <f t="shared" si="32"/>
        <v/>
      </c>
      <c r="I241" s="460" t="str">
        <f t="shared" si="33"/>
        <v/>
      </c>
      <c r="J241" s="463" t="str">
        <f t="shared" si="30"/>
        <v/>
      </c>
      <c r="K241" s="357" t="str">
        <f>IF(L241=0,"",IF(Ijour=0,MIN(DATE(YEAR(DebAmort),MONTH(DebAmort)+(H241-1)*Imois,Jour1),DATE(YEAR(DebAmort),MONTH(DebAmort)+1+(H241-1)*Imois,0)),DATE(YEAR(DebAmort),MONTH(DebAmort),Jour1+(H241-1)*Ijour)))</f>
        <v/>
      </c>
      <c r="L241" s="270">
        <f t="shared" si="34"/>
        <v>0</v>
      </c>
      <c r="M241" s="271">
        <f t="shared" si="36"/>
        <v>0</v>
      </c>
      <c r="N241" s="272">
        <f t="shared" si="37"/>
        <v>0</v>
      </c>
      <c r="O241" s="273">
        <f t="shared" si="35"/>
        <v>0</v>
      </c>
      <c r="P241" s="274">
        <f t="shared" si="31"/>
        <v>0</v>
      </c>
      <c r="Q241" s="350"/>
      <c r="R241" s="461">
        <f t="shared" si="38"/>
        <v>0.05</v>
      </c>
      <c r="S241" s="462">
        <f t="shared" si="39"/>
        <v>440179.35</v>
      </c>
    </row>
    <row r="242" spans="2:19" ht="15" x14ac:dyDescent="0.25">
      <c r="B242" s="362"/>
      <c r="C242" s="269"/>
      <c r="D242" s="361"/>
      <c r="E242" s="360"/>
      <c r="F242" s="359"/>
      <c r="H242" s="358" t="str">
        <f t="shared" si="32"/>
        <v/>
      </c>
      <c r="I242" s="460" t="str">
        <f t="shared" si="33"/>
        <v/>
      </c>
      <c r="J242" s="463" t="str">
        <f t="shared" si="30"/>
        <v/>
      </c>
      <c r="K242" s="357" t="str">
        <f>IF(L242=0,"",IF(Ijour=0,MIN(DATE(YEAR(DebAmort),MONTH(DebAmort)+MoisD+(H242-1)*Imois,Jour2),DATE(YEAR(DebAmort),MONTH(DebAmort)+MoisD+1+(H242-1)*Imois,0)),DATE(YEAR(DebAmort),MONTH(DebAmort),Jour1+(H242-1)*Ijour)))</f>
        <v/>
      </c>
      <c r="L242" s="270">
        <f t="shared" si="34"/>
        <v>0</v>
      </c>
      <c r="M242" s="271">
        <f t="shared" si="36"/>
        <v>0</v>
      </c>
      <c r="N242" s="272">
        <f t="shared" si="37"/>
        <v>0</v>
      </c>
      <c r="O242" s="273">
        <f t="shared" si="35"/>
        <v>0</v>
      </c>
      <c r="P242" s="274">
        <f t="shared" si="31"/>
        <v>0</v>
      </c>
      <c r="Q242" s="350"/>
      <c r="R242" s="461">
        <f t="shared" si="38"/>
        <v>0.05</v>
      </c>
      <c r="S242" s="462">
        <f t="shared" si="39"/>
        <v>440179.35</v>
      </c>
    </row>
    <row r="243" spans="2:19" ht="15" x14ac:dyDescent="0.25">
      <c r="B243" s="362"/>
      <c r="C243" s="269"/>
      <c r="D243" s="361"/>
      <c r="E243" s="360"/>
      <c r="F243" s="359"/>
      <c r="H243" s="358" t="str">
        <f t="shared" si="32"/>
        <v/>
      </c>
      <c r="I243" s="460" t="str">
        <f t="shared" si="33"/>
        <v/>
      </c>
      <c r="J243" s="463" t="str">
        <f t="shared" si="30"/>
        <v/>
      </c>
      <c r="K243" s="357" t="str">
        <f>IF(L243=0,"",IF(Ijour=0,MIN(DATE(YEAR(DebAmort),MONTH(DebAmort)+(H243-1)*Imois,Jour1),DATE(YEAR(DebAmort),MONTH(DebAmort)+1+(H243-1)*Imois,0)),DATE(YEAR(DebAmort),MONTH(DebAmort),Jour1+(H243-1)*Ijour)))</f>
        <v/>
      </c>
      <c r="L243" s="270">
        <f t="shared" si="34"/>
        <v>0</v>
      </c>
      <c r="M243" s="271">
        <f t="shared" si="36"/>
        <v>0</v>
      </c>
      <c r="N243" s="272">
        <f t="shared" si="37"/>
        <v>0</v>
      </c>
      <c r="O243" s="273">
        <f t="shared" si="35"/>
        <v>0</v>
      </c>
      <c r="P243" s="274">
        <f t="shared" si="31"/>
        <v>0</v>
      </c>
      <c r="Q243" s="350"/>
      <c r="R243" s="461">
        <f t="shared" si="38"/>
        <v>0.05</v>
      </c>
      <c r="S243" s="462">
        <f t="shared" si="39"/>
        <v>440179.35</v>
      </c>
    </row>
    <row r="244" spans="2:19" ht="15" x14ac:dyDescent="0.25">
      <c r="B244" s="362"/>
      <c r="C244" s="269"/>
      <c r="D244" s="361"/>
      <c r="E244" s="360"/>
      <c r="F244" s="359"/>
      <c r="H244" s="358" t="str">
        <f t="shared" si="32"/>
        <v/>
      </c>
      <c r="I244" s="460" t="str">
        <f t="shared" si="33"/>
        <v/>
      </c>
      <c r="J244" s="463" t="str">
        <f t="shared" si="30"/>
        <v/>
      </c>
      <c r="K244" s="357" t="str">
        <f>IF(L244=0,"",IF(Ijour=0,MIN(DATE(YEAR(DebAmort),MONTH(DebAmort)+MoisD+(H244-1)*Imois,Jour2),DATE(YEAR(DebAmort),MONTH(DebAmort)+MoisD+1+(H244-1)*Imois,0)),DATE(YEAR(DebAmort),MONTH(DebAmort),Jour1+(H244-1)*Ijour)))</f>
        <v/>
      </c>
      <c r="L244" s="270">
        <f t="shared" si="34"/>
        <v>0</v>
      </c>
      <c r="M244" s="271">
        <f t="shared" si="36"/>
        <v>0</v>
      </c>
      <c r="N244" s="272">
        <f t="shared" si="37"/>
        <v>0</v>
      </c>
      <c r="O244" s="273">
        <f t="shared" si="35"/>
        <v>0</v>
      </c>
      <c r="P244" s="274">
        <f t="shared" si="31"/>
        <v>0</v>
      </c>
      <c r="Q244" s="350"/>
      <c r="R244" s="461">
        <f t="shared" si="38"/>
        <v>0.05</v>
      </c>
      <c r="S244" s="462">
        <f t="shared" si="39"/>
        <v>440179.35</v>
      </c>
    </row>
    <row r="245" spans="2:19" ht="15" x14ac:dyDescent="0.25">
      <c r="B245" s="362"/>
      <c r="C245" s="269"/>
      <c r="D245" s="361"/>
      <c r="E245" s="360"/>
      <c r="F245" s="359"/>
      <c r="H245" s="358" t="str">
        <f t="shared" si="32"/>
        <v/>
      </c>
      <c r="I245" s="460" t="str">
        <f t="shared" si="33"/>
        <v/>
      </c>
      <c r="J245" s="463" t="str">
        <f t="shared" si="30"/>
        <v/>
      </c>
      <c r="K245" s="357" t="str">
        <f>IF(L245=0,"",IF(Ijour=0,MIN(DATE(YEAR(DebAmort),MONTH(DebAmort)+(H245-1)*Imois,Jour1),DATE(YEAR(DebAmort),MONTH(DebAmort)+1+(H245-1)*Imois,0)),DATE(YEAR(DebAmort),MONTH(DebAmort),Jour1+(H245-1)*Ijour)))</f>
        <v/>
      </c>
      <c r="L245" s="270">
        <f t="shared" si="34"/>
        <v>0</v>
      </c>
      <c r="M245" s="271">
        <f t="shared" si="36"/>
        <v>0</v>
      </c>
      <c r="N245" s="272">
        <f t="shared" si="37"/>
        <v>0</v>
      </c>
      <c r="O245" s="273">
        <f t="shared" si="35"/>
        <v>0</v>
      </c>
      <c r="P245" s="274">
        <f t="shared" si="31"/>
        <v>0</v>
      </c>
      <c r="Q245" s="350"/>
      <c r="R245" s="461">
        <f t="shared" si="38"/>
        <v>0.05</v>
      </c>
      <c r="S245" s="462">
        <f t="shared" si="39"/>
        <v>440179.35</v>
      </c>
    </row>
    <row r="246" spans="2:19" ht="15" x14ac:dyDescent="0.25">
      <c r="B246" s="362"/>
      <c r="C246" s="269"/>
      <c r="D246" s="361"/>
      <c r="E246" s="360"/>
      <c r="F246" s="359"/>
      <c r="H246" s="358" t="str">
        <f t="shared" si="32"/>
        <v/>
      </c>
      <c r="I246" s="460" t="str">
        <f t="shared" si="33"/>
        <v/>
      </c>
      <c r="J246" s="463" t="str">
        <f t="shared" si="30"/>
        <v/>
      </c>
      <c r="K246" s="357" t="str">
        <f>IF(L246=0,"",IF(Ijour=0,MIN(DATE(YEAR(DebAmort),MONTH(DebAmort)+MoisD+(H246-1)*Imois,Jour2),DATE(YEAR(DebAmort),MONTH(DebAmort)+MoisD+1+(H246-1)*Imois,0)),DATE(YEAR(DebAmort),MONTH(DebAmort),Jour1+(H246-1)*Ijour)))</f>
        <v/>
      </c>
      <c r="L246" s="270">
        <f t="shared" si="34"/>
        <v>0</v>
      </c>
      <c r="M246" s="271">
        <f t="shared" si="36"/>
        <v>0</v>
      </c>
      <c r="N246" s="272">
        <f t="shared" si="37"/>
        <v>0</v>
      </c>
      <c r="O246" s="273">
        <f t="shared" si="35"/>
        <v>0</v>
      </c>
      <c r="P246" s="274">
        <f t="shared" si="31"/>
        <v>0</v>
      </c>
      <c r="Q246" s="350"/>
      <c r="R246" s="461">
        <f t="shared" si="38"/>
        <v>0.05</v>
      </c>
      <c r="S246" s="462">
        <f t="shared" si="39"/>
        <v>440179.35</v>
      </c>
    </row>
    <row r="247" spans="2:19" ht="15" x14ac:dyDescent="0.25">
      <c r="B247" s="362"/>
      <c r="C247" s="269"/>
      <c r="D247" s="361"/>
      <c r="E247" s="360"/>
      <c r="F247" s="359"/>
      <c r="H247" s="358" t="str">
        <f t="shared" si="32"/>
        <v/>
      </c>
      <c r="I247" s="460" t="str">
        <f t="shared" si="33"/>
        <v/>
      </c>
      <c r="J247" s="463" t="str">
        <f t="shared" si="30"/>
        <v/>
      </c>
      <c r="K247" s="357" t="str">
        <f>IF(L247=0,"",IF(Ijour=0,MIN(DATE(YEAR(DebAmort),MONTH(DebAmort)+(H247-1)*Imois,Jour1),DATE(YEAR(DebAmort),MONTH(DebAmort)+1+(H247-1)*Imois,0)),DATE(YEAR(DebAmort),MONTH(DebAmort),Jour1+(H247-1)*Ijour)))</f>
        <v/>
      </c>
      <c r="L247" s="270">
        <f t="shared" si="34"/>
        <v>0</v>
      </c>
      <c r="M247" s="271">
        <f t="shared" si="36"/>
        <v>0</v>
      </c>
      <c r="N247" s="272">
        <f t="shared" si="37"/>
        <v>0</v>
      </c>
      <c r="O247" s="273">
        <f t="shared" si="35"/>
        <v>0</v>
      </c>
      <c r="P247" s="274">
        <f t="shared" si="31"/>
        <v>0</v>
      </c>
      <c r="Q247" s="350"/>
      <c r="R247" s="461">
        <f t="shared" si="38"/>
        <v>0.05</v>
      </c>
      <c r="S247" s="462">
        <f t="shared" si="39"/>
        <v>440179.35</v>
      </c>
    </row>
    <row r="248" spans="2:19" ht="15" x14ac:dyDescent="0.25">
      <c r="B248" s="362"/>
      <c r="C248" s="269"/>
      <c r="D248" s="361"/>
      <c r="E248" s="360"/>
      <c r="F248" s="359"/>
      <c r="H248" s="358" t="str">
        <f t="shared" si="32"/>
        <v/>
      </c>
      <c r="I248" s="460" t="str">
        <f t="shared" si="33"/>
        <v/>
      </c>
      <c r="J248" s="463" t="str">
        <f t="shared" si="30"/>
        <v/>
      </c>
      <c r="K248" s="357" t="str">
        <f>IF(L248=0,"",IF(Ijour=0,MIN(DATE(YEAR(DebAmort),MONTH(DebAmort)+MoisD+(H248-1)*Imois,Jour2),DATE(YEAR(DebAmort),MONTH(DebAmort)+MoisD+1+(H248-1)*Imois,0)),DATE(YEAR(DebAmort),MONTH(DebAmort),Jour1+(H248-1)*Ijour)))</f>
        <v/>
      </c>
      <c r="L248" s="270">
        <f t="shared" si="34"/>
        <v>0</v>
      </c>
      <c r="M248" s="271">
        <f t="shared" si="36"/>
        <v>0</v>
      </c>
      <c r="N248" s="272">
        <f t="shared" si="37"/>
        <v>0</v>
      </c>
      <c r="O248" s="273">
        <f t="shared" si="35"/>
        <v>0</v>
      </c>
      <c r="P248" s="274">
        <f t="shared" si="31"/>
        <v>0</v>
      </c>
      <c r="Q248" s="350"/>
      <c r="R248" s="461">
        <f t="shared" si="38"/>
        <v>0.05</v>
      </c>
      <c r="S248" s="462">
        <f t="shared" si="39"/>
        <v>440179.35</v>
      </c>
    </row>
    <row r="249" spans="2:19" ht="15" x14ac:dyDescent="0.25">
      <c r="B249" s="362"/>
      <c r="C249" s="269"/>
      <c r="D249" s="361"/>
      <c r="E249" s="360"/>
      <c r="F249" s="359"/>
      <c r="H249" s="358" t="str">
        <f t="shared" si="32"/>
        <v/>
      </c>
      <c r="I249" s="460" t="str">
        <f t="shared" si="33"/>
        <v/>
      </c>
      <c r="J249" s="463" t="str">
        <f t="shared" si="30"/>
        <v/>
      </c>
      <c r="K249" s="357" t="str">
        <f>IF(L249=0,"",IF(Ijour=0,MIN(DATE(YEAR(DebAmort),MONTH(DebAmort)+(H249-1)*Imois,Jour1),DATE(YEAR(DebAmort),MONTH(DebAmort)+1+(H249-1)*Imois,0)),DATE(YEAR(DebAmort),MONTH(DebAmort),Jour1+(H249-1)*Ijour)))</f>
        <v/>
      </c>
      <c r="L249" s="270">
        <f t="shared" si="34"/>
        <v>0</v>
      </c>
      <c r="M249" s="271">
        <f t="shared" si="36"/>
        <v>0</v>
      </c>
      <c r="N249" s="272">
        <f t="shared" si="37"/>
        <v>0</v>
      </c>
      <c r="O249" s="273">
        <f t="shared" si="35"/>
        <v>0</v>
      </c>
      <c r="P249" s="274">
        <f t="shared" si="31"/>
        <v>0</v>
      </c>
      <c r="Q249" s="350"/>
      <c r="R249" s="461">
        <f t="shared" si="38"/>
        <v>0.05</v>
      </c>
      <c r="S249" s="462">
        <f t="shared" si="39"/>
        <v>440179.35</v>
      </c>
    </row>
    <row r="250" spans="2:19" ht="15" x14ac:dyDescent="0.25">
      <c r="B250" s="362"/>
      <c r="C250" s="269"/>
      <c r="D250" s="361"/>
      <c r="E250" s="360"/>
      <c r="F250" s="359"/>
      <c r="H250" s="358" t="str">
        <f t="shared" si="32"/>
        <v/>
      </c>
      <c r="I250" s="460" t="str">
        <f t="shared" si="33"/>
        <v/>
      </c>
      <c r="J250" s="463" t="str">
        <f t="shared" si="30"/>
        <v/>
      </c>
      <c r="K250" s="357" t="str">
        <f>IF(L250=0,"",IF(Ijour=0,MIN(DATE(YEAR(DebAmort),MONTH(DebAmort)+MoisD+(H250-1)*Imois,Jour2),DATE(YEAR(DebAmort),MONTH(DebAmort)+MoisD+1+(H250-1)*Imois,0)),DATE(YEAR(DebAmort),MONTH(DebAmort),Jour1+(H250-1)*Ijour)))</f>
        <v/>
      </c>
      <c r="L250" s="270">
        <f t="shared" si="34"/>
        <v>0</v>
      </c>
      <c r="M250" s="271">
        <f t="shared" si="36"/>
        <v>0</v>
      </c>
      <c r="N250" s="272">
        <f t="shared" si="37"/>
        <v>0</v>
      </c>
      <c r="O250" s="273">
        <f t="shared" si="35"/>
        <v>0</v>
      </c>
      <c r="P250" s="274">
        <f t="shared" si="31"/>
        <v>0</v>
      </c>
      <c r="Q250" s="350"/>
      <c r="R250" s="461">
        <f t="shared" si="38"/>
        <v>0.05</v>
      </c>
      <c r="S250" s="462">
        <f t="shared" si="39"/>
        <v>440179.35</v>
      </c>
    </row>
    <row r="251" spans="2:19" ht="15" x14ac:dyDescent="0.25">
      <c r="B251" s="362"/>
      <c r="C251" s="269"/>
      <c r="D251" s="361"/>
      <c r="E251" s="360"/>
      <c r="F251" s="359"/>
      <c r="H251" s="358" t="str">
        <f t="shared" si="32"/>
        <v/>
      </c>
      <c r="I251" s="460" t="str">
        <f t="shared" si="33"/>
        <v/>
      </c>
      <c r="J251" s="463" t="str">
        <f t="shared" si="30"/>
        <v/>
      </c>
      <c r="K251" s="357" t="str">
        <f>IF(L251=0,"",IF(Ijour=0,MIN(DATE(YEAR(DebAmort),MONTH(DebAmort)+(H251-1)*Imois,Jour1),DATE(YEAR(DebAmort),MONTH(DebAmort)+1+(H251-1)*Imois,0)),DATE(YEAR(DebAmort),MONTH(DebAmort),Jour1+(H251-1)*Ijour)))</f>
        <v/>
      </c>
      <c r="L251" s="270">
        <f t="shared" si="34"/>
        <v>0</v>
      </c>
      <c r="M251" s="271">
        <f t="shared" si="36"/>
        <v>0</v>
      </c>
      <c r="N251" s="272">
        <f t="shared" si="37"/>
        <v>0</v>
      </c>
      <c r="O251" s="273">
        <f t="shared" si="35"/>
        <v>0</v>
      </c>
      <c r="P251" s="274">
        <f t="shared" si="31"/>
        <v>0</v>
      </c>
      <c r="Q251" s="350"/>
      <c r="R251" s="461">
        <f t="shared" si="38"/>
        <v>0.05</v>
      </c>
      <c r="S251" s="462">
        <f t="shared" si="39"/>
        <v>440179.35</v>
      </c>
    </row>
    <row r="252" spans="2:19" ht="15" x14ac:dyDescent="0.25">
      <c r="B252" s="362"/>
      <c r="C252" s="269"/>
      <c r="D252" s="361"/>
      <c r="E252" s="360"/>
      <c r="F252" s="359"/>
      <c r="H252" s="358" t="str">
        <f t="shared" si="32"/>
        <v/>
      </c>
      <c r="I252" s="460" t="str">
        <f t="shared" si="33"/>
        <v/>
      </c>
      <c r="J252" s="463" t="str">
        <f t="shared" si="30"/>
        <v/>
      </c>
      <c r="K252" s="357" t="str">
        <f>IF(L252=0,"",IF(Ijour=0,MIN(DATE(YEAR(DebAmort),MONTH(DebAmort)+MoisD+(H252-1)*Imois,Jour2),DATE(YEAR(DebAmort),MONTH(DebAmort)+MoisD+1+(H252-1)*Imois,0)),DATE(YEAR(DebAmort),MONTH(DebAmort),Jour1+(H252-1)*Ijour)))</f>
        <v/>
      </c>
      <c r="L252" s="270">
        <f t="shared" si="34"/>
        <v>0</v>
      </c>
      <c r="M252" s="271">
        <f t="shared" si="36"/>
        <v>0</v>
      </c>
      <c r="N252" s="272">
        <f t="shared" si="37"/>
        <v>0</v>
      </c>
      <c r="O252" s="273">
        <f t="shared" si="35"/>
        <v>0</v>
      </c>
      <c r="P252" s="274">
        <f t="shared" si="31"/>
        <v>0</v>
      </c>
      <c r="Q252" s="350"/>
      <c r="R252" s="461">
        <f t="shared" si="38"/>
        <v>0.05</v>
      </c>
      <c r="S252" s="462">
        <f t="shared" si="39"/>
        <v>440179.35</v>
      </c>
    </row>
    <row r="253" spans="2:19" ht="15" x14ac:dyDescent="0.25">
      <c r="B253" s="362"/>
      <c r="C253" s="269"/>
      <c r="D253" s="361"/>
      <c r="E253" s="360"/>
      <c r="F253" s="359"/>
      <c r="H253" s="358" t="str">
        <f t="shared" si="32"/>
        <v/>
      </c>
      <c r="I253" s="460" t="str">
        <f t="shared" si="33"/>
        <v/>
      </c>
      <c r="J253" s="463" t="str">
        <f t="shared" si="30"/>
        <v/>
      </c>
      <c r="K253" s="357" t="str">
        <f>IF(L253=0,"",IF(Ijour=0,MIN(DATE(YEAR(DebAmort),MONTH(DebAmort)+(H253-1)*Imois,Jour1),DATE(YEAR(DebAmort),MONTH(DebAmort)+1+(H253-1)*Imois,0)),DATE(YEAR(DebAmort),MONTH(DebAmort),Jour1+(H253-1)*Ijour)))</f>
        <v/>
      </c>
      <c r="L253" s="270">
        <f t="shared" si="34"/>
        <v>0</v>
      </c>
      <c r="M253" s="271">
        <f t="shared" si="36"/>
        <v>0</v>
      </c>
      <c r="N253" s="272">
        <f t="shared" si="37"/>
        <v>0</v>
      </c>
      <c r="O253" s="273">
        <f t="shared" si="35"/>
        <v>0</v>
      </c>
      <c r="P253" s="274">
        <f t="shared" si="31"/>
        <v>0</v>
      </c>
      <c r="Q253" s="350"/>
      <c r="R253" s="461">
        <f t="shared" si="38"/>
        <v>0.05</v>
      </c>
      <c r="S253" s="462">
        <f t="shared" si="39"/>
        <v>440179.35</v>
      </c>
    </row>
    <row r="254" spans="2:19" ht="15" x14ac:dyDescent="0.25">
      <c r="B254" s="362"/>
      <c r="C254" s="269"/>
      <c r="D254" s="361"/>
      <c r="E254" s="360"/>
      <c r="F254" s="359"/>
      <c r="H254" s="358" t="str">
        <f t="shared" si="32"/>
        <v/>
      </c>
      <c r="I254" s="460" t="str">
        <f t="shared" si="33"/>
        <v/>
      </c>
      <c r="J254" s="463" t="str">
        <f t="shared" si="30"/>
        <v/>
      </c>
      <c r="K254" s="357" t="str">
        <f>IF(L254=0,"",IF(Ijour=0,MIN(DATE(YEAR(DebAmort),MONTH(DebAmort)+MoisD+(H254-1)*Imois,Jour2),DATE(YEAR(DebAmort),MONTH(DebAmort)+MoisD+1+(H254-1)*Imois,0)),DATE(YEAR(DebAmort),MONTH(DebAmort),Jour1+(H254-1)*Ijour)))</f>
        <v/>
      </c>
      <c r="L254" s="270">
        <f t="shared" si="34"/>
        <v>0</v>
      </c>
      <c r="M254" s="271">
        <f t="shared" si="36"/>
        <v>0</v>
      </c>
      <c r="N254" s="272">
        <f t="shared" si="37"/>
        <v>0</v>
      </c>
      <c r="O254" s="273">
        <f t="shared" si="35"/>
        <v>0</v>
      </c>
      <c r="P254" s="274">
        <f t="shared" si="31"/>
        <v>0</v>
      </c>
      <c r="Q254" s="350"/>
      <c r="R254" s="461">
        <f t="shared" si="38"/>
        <v>0.05</v>
      </c>
      <c r="S254" s="462">
        <f t="shared" si="39"/>
        <v>440179.35</v>
      </c>
    </row>
    <row r="255" spans="2:19" ht="15" x14ac:dyDescent="0.25">
      <c r="B255" s="362"/>
      <c r="C255" s="269"/>
      <c r="D255" s="361"/>
      <c r="E255" s="360"/>
      <c r="F255" s="359"/>
      <c r="H255" s="358" t="str">
        <f t="shared" si="32"/>
        <v/>
      </c>
      <c r="I255" s="460" t="str">
        <f t="shared" si="33"/>
        <v/>
      </c>
      <c r="J255" s="463" t="str">
        <f t="shared" si="30"/>
        <v/>
      </c>
      <c r="K255" s="357" t="str">
        <f>IF(L255=0,"",IF(Ijour=0,MIN(DATE(YEAR(DebAmort),MONTH(DebAmort)+(H255-1)*Imois,Jour1),DATE(YEAR(DebAmort),MONTH(DebAmort)+1+(H255-1)*Imois,0)),DATE(YEAR(DebAmort),MONTH(DebAmort),Jour1+(H255-1)*Ijour)))</f>
        <v/>
      </c>
      <c r="L255" s="270">
        <f t="shared" si="34"/>
        <v>0</v>
      </c>
      <c r="M255" s="271">
        <f t="shared" si="36"/>
        <v>0</v>
      </c>
      <c r="N255" s="272">
        <f t="shared" si="37"/>
        <v>0</v>
      </c>
      <c r="O255" s="273">
        <f t="shared" si="35"/>
        <v>0</v>
      </c>
      <c r="P255" s="274">
        <f t="shared" si="31"/>
        <v>0</v>
      </c>
      <c r="Q255" s="350"/>
      <c r="R255" s="461">
        <f t="shared" si="38"/>
        <v>0.05</v>
      </c>
      <c r="S255" s="462">
        <f t="shared" si="39"/>
        <v>440179.35</v>
      </c>
    </row>
    <row r="256" spans="2:19" ht="15" x14ac:dyDescent="0.25">
      <c r="B256" s="362"/>
      <c r="C256" s="269"/>
      <c r="D256" s="361"/>
      <c r="E256" s="360"/>
      <c r="F256" s="359"/>
      <c r="H256" s="358" t="str">
        <f t="shared" si="32"/>
        <v/>
      </c>
      <c r="I256" s="460" t="str">
        <f t="shared" si="33"/>
        <v/>
      </c>
      <c r="J256" s="463" t="str">
        <f t="shared" si="30"/>
        <v/>
      </c>
      <c r="K256" s="357" t="str">
        <f>IF(L256=0,"",IF(Ijour=0,MIN(DATE(YEAR(DebAmort),MONTH(DebAmort)+MoisD+(H256-1)*Imois,Jour2),DATE(YEAR(DebAmort),MONTH(DebAmort)+MoisD+1+(H256-1)*Imois,0)),DATE(YEAR(DebAmort),MONTH(DebAmort),Jour1+(H256-1)*Ijour)))</f>
        <v/>
      </c>
      <c r="L256" s="270">
        <f t="shared" si="34"/>
        <v>0</v>
      </c>
      <c r="M256" s="271">
        <f t="shared" si="36"/>
        <v>0</v>
      </c>
      <c r="N256" s="272">
        <f t="shared" si="37"/>
        <v>0</v>
      </c>
      <c r="O256" s="273">
        <f t="shared" si="35"/>
        <v>0</v>
      </c>
      <c r="P256" s="274">
        <f t="shared" si="31"/>
        <v>0</v>
      </c>
      <c r="Q256" s="350"/>
      <c r="R256" s="461">
        <f t="shared" si="38"/>
        <v>0.05</v>
      </c>
      <c r="S256" s="462">
        <f t="shared" si="39"/>
        <v>440179.35</v>
      </c>
    </row>
    <row r="257" spans="2:19" ht="15" x14ac:dyDescent="0.25">
      <c r="B257" s="362"/>
      <c r="C257" s="269"/>
      <c r="D257" s="361"/>
      <c r="E257" s="360"/>
      <c r="F257" s="359"/>
      <c r="H257" s="358" t="str">
        <f t="shared" si="32"/>
        <v/>
      </c>
      <c r="I257" s="460" t="str">
        <f t="shared" si="33"/>
        <v/>
      </c>
      <c r="J257" s="463" t="str">
        <f t="shared" si="30"/>
        <v/>
      </c>
      <c r="K257" s="357" t="str">
        <f>IF(L257=0,"",IF(Ijour=0,MIN(DATE(YEAR(DebAmort),MONTH(DebAmort)+(H257-1)*Imois,Jour1),DATE(YEAR(DebAmort),MONTH(DebAmort)+1+(H257-1)*Imois,0)),DATE(YEAR(DebAmort),MONTH(DebAmort),Jour1+(H257-1)*Ijour)))</f>
        <v/>
      </c>
      <c r="L257" s="270">
        <f t="shared" si="34"/>
        <v>0</v>
      </c>
      <c r="M257" s="271">
        <f t="shared" si="36"/>
        <v>0</v>
      </c>
      <c r="N257" s="272">
        <f t="shared" si="37"/>
        <v>0</v>
      </c>
      <c r="O257" s="273">
        <f t="shared" si="35"/>
        <v>0</v>
      </c>
      <c r="P257" s="274">
        <f t="shared" si="31"/>
        <v>0</v>
      </c>
      <c r="Q257" s="350"/>
      <c r="R257" s="461">
        <f t="shared" si="38"/>
        <v>0.05</v>
      </c>
      <c r="S257" s="462">
        <f t="shared" si="39"/>
        <v>440179.35</v>
      </c>
    </row>
    <row r="258" spans="2:19" ht="15" x14ac:dyDescent="0.25">
      <c r="B258" s="362"/>
      <c r="C258" s="269"/>
      <c r="D258" s="361"/>
      <c r="E258" s="360"/>
      <c r="F258" s="359"/>
      <c r="H258" s="358" t="str">
        <f t="shared" si="32"/>
        <v/>
      </c>
      <c r="I258" s="460" t="str">
        <f t="shared" si="33"/>
        <v/>
      </c>
      <c r="J258" s="463" t="str">
        <f t="shared" si="30"/>
        <v/>
      </c>
      <c r="K258" s="357" t="str">
        <f>IF(L258=0,"",IF(Ijour=0,MIN(DATE(YEAR(DebAmort),MONTH(DebAmort)+MoisD+(H258-1)*Imois,Jour2),DATE(YEAR(DebAmort),MONTH(DebAmort)+MoisD+1+(H258-1)*Imois,0)),DATE(YEAR(DebAmort),MONTH(DebAmort),Jour1+(H258-1)*Ijour)))</f>
        <v/>
      </c>
      <c r="L258" s="270">
        <f t="shared" si="34"/>
        <v>0</v>
      </c>
      <c r="M258" s="271">
        <f t="shared" si="36"/>
        <v>0</v>
      </c>
      <c r="N258" s="272">
        <f t="shared" si="37"/>
        <v>0</v>
      </c>
      <c r="O258" s="273">
        <f t="shared" si="35"/>
        <v>0</v>
      </c>
      <c r="P258" s="274">
        <f t="shared" si="31"/>
        <v>0</v>
      </c>
      <c r="Q258" s="350"/>
      <c r="R258" s="461">
        <f t="shared" si="38"/>
        <v>0.05</v>
      </c>
      <c r="S258" s="462">
        <f t="shared" si="39"/>
        <v>440179.35</v>
      </c>
    </row>
    <row r="259" spans="2:19" ht="15" x14ac:dyDescent="0.25">
      <c r="B259" s="362"/>
      <c r="C259" s="269"/>
      <c r="D259" s="361"/>
      <c r="E259" s="360"/>
      <c r="F259" s="359"/>
      <c r="H259" s="358" t="str">
        <f t="shared" si="32"/>
        <v/>
      </c>
      <c r="I259" s="460" t="str">
        <f t="shared" si="33"/>
        <v/>
      </c>
      <c r="J259" s="463" t="str">
        <f t="shared" si="30"/>
        <v/>
      </c>
      <c r="K259" s="357" t="str">
        <f>IF(L259=0,"",IF(Ijour=0,MIN(DATE(YEAR(DebAmort),MONTH(DebAmort)+(H259-1)*Imois,Jour1),DATE(YEAR(DebAmort),MONTH(DebAmort)+1+(H259-1)*Imois,0)),DATE(YEAR(DebAmort),MONTH(DebAmort),Jour1+(H259-1)*Ijour)))</f>
        <v/>
      </c>
      <c r="L259" s="270">
        <f t="shared" si="34"/>
        <v>0</v>
      </c>
      <c r="M259" s="271">
        <f t="shared" si="36"/>
        <v>0</v>
      </c>
      <c r="N259" s="272">
        <f t="shared" si="37"/>
        <v>0</v>
      </c>
      <c r="O259" s="273">
        <f t="shared" si="35"/>
        <v>0</v>
      </c>
      <c r="P259" s="274">
        <f t="shared" si="31"/>
        <v>0</v>
      </c>
      <c r="Q259" s="350"/>
      <c r="R259" s="461">
        <f t="shared" si="38"/>
        <v>0.05</v>
      </c>
      <c r="S259" s="462">
        <f t="shared" si="39"/>
        <v>440179.35</v>
      </c>
    </row>
    <row r="260" spans="2:19" ht="15" x14ac:dyDescent="0.25">
      <c r="B260" s="362"/>
      <c r="C260" s="269"/>
      <c r="D260" s="361"/>
      <c r="E260" s="360"/>
      <c r="F260" s="359"/>
      <c r="H260" s="358" t="str">
        <f t="shared" si="32"/>
        <v/>
      </c>
      <c r="I260" s="460" t="str">
        <f t="shared" si="33"/>
        <v/>
      </c>
      <c r="J260" s="463" t="str">
        <f t="shared" si="30"/>
        <v/>
      </c>
      <c r="K260" s="357" t="str">
        <f>IF(L260=0,"",IF(Ijour=0,MIN(DATE(YEAR(DebAmort),MONTH(DebAmort)+MoisD+(H260-1)*Imois,Jour2),DATE(YEAR(DebAmort),MONTH(DebAmort)+MoisD+1+(H260-1)*Imois,0)),DATE(YEAR(DebAmort),MONTH(DebAmort),Jour1+(H260-1)*Ijour)))</f>
        <v/>
      </c>
      <c r="L260" s="270">
        <f t="shared" si="34"/>
        <v>0</v>
      </c>
      <c r="M260" s="271">
        <f t="shared" si="36"/>
        <v>0</v>
      </c>
      <c r="N260" s="272">
        <f t="shared" si="37"/>
        <v>0</v>
      </c>
      <c r="O260" s="273">
        <f t="shared" si="35"/>
        <v>0</v>
      </c>
      <c r="P260" s="274">
        <f t="shared" si="31"/>
        <v>0</v>
      </c>
      <c r="Q260" s="350"/>
      <c r="R260" s="461">
        <f t="shared" si="38"/>
        <v>0.05</v>
      </c>
      <c r="S260" s="462">
        <f t="shared" si="39"/>
        <v>440179.35</v>
      </c>
    </row>
    <row r="261" spans="2:19" ht="15" x14ac:dyDescent="0.25">
      <c r="B261" s="362"/>
      <c r="C261" s="269"/>
      <c r="D261" s="361"/>
      <c r="E261" s="360"/>
      <c r="F261" s="359"/>
      <c r="H261" s="358" t="str">
        <f t="shared" si="32"/>
        <v/>
      </c>
      <c r="I261" s="460" t="str">
        <f t="shared" si="33"/>
        <v/>
      </c>
      <c r="J261" s="463" t="str">
        <f t="shared" si="30"/>
        <v/>
      </c>
      <c r="K261" s="357" t="str">
        <f>IF(L261=0,"",IF(Ijour=0,MIN(DATE(YEAR(DebAmort),MONTH(DebAmort)+(H261-1)*Imois,Jour1),DATE(YEAR(DebAmort),MONTH(DebAmort)+1+(H261-1)*Imois,0)),DATE(YEAR(DebAmort),MONTH(DebAmort),Jour1+(H261-1)*Ijour)))</f>
        <v/>
      </c>
      <c r="L261" s="270">
        <f t="shared" si="34"/>
        <v>0</v>
      </c>
      <c r="M261" s="271">
        <f t="shared" si="36"/>
        <v>0</v>
      </c>
      <c r="N261" s="272">
        <f t="shared" si="37"/>
        <v>0</v>
      </c>
      <c r="O261" s="273">
        <f t="shared" si="35"/>
        <v>0</v>
      </c>
      <c r="P261" s="274">
        <f t="shared" si="31"/>
        <v>0</v>
      </c>
      <c r="Q261" s="350"/>
      <c r="R261" s="461">
        <f t="shared" si="38"/>
        <v>0.05</v>
      </c>
      <c r="S261" s="462">
        <f t="shared" si="39"/>
        <v>440179.35</v>
      </c>
    </row>
    <row r="262" spans="2:19" ht="15" x14ac:dyDescent="0.25">
      <c r="B262" s="362"/>
      <c r="C262" s="269"/>
      <c r="D262" s="361"/>
      <c r="E262" s="360"/>
      <c r="F262" s="359"/>
      <c r="H262" s="358" t="str">
        <f t="shared" si="32"/>
        <v/>
      </c>
      <c r="I262" s="460" t="str">
        <f t="shared" si="33"/>
        <v/>
      </c>
      <c r="J262" s="463" t="str">
        <f t="shared" si="30"/>
        <v/>
      </c>
      <c r="K262" s="357" t="str">
        <f>IF(L262=0,"",IF(Ijour=0,MIN(DATE(YEAR(DebAmort),MONTH(DebAmort)+MoisD+(H262-1)*Imois,Jour2),DATE(YEAR(DebAmort),MONTH(DebAmort)+MoisD+1+(H262-1)*Imois,0)),DATE(YEAR(DebAmort),MONTH(DebAmort),Jour1+(H262-1)*Ijour)))</f>
        <v/>
      </c>
      <c r="L262" s="270">
        <f t="shared" si="34"/>
        <v>0</v>
      </c>
      <c r="M262" s="271">
        <f t="shared" si="36"/>
        <v>0</v>
      </c>
      <c r="N262" s="272">
        <f t="shared" si="37"/>
        <v>0</v>
      </c>
      <c r="O262" s="273">
        <f t="shared" si="35"/>
        <v>0</v>
      </c>
      <c r="P262" s="274">
        <f t="shared" si="31"/>
        <v>0</v>
      </c>
      <c r="Q262" s="350"/>
      <c r="R262" s="461">
        <f t="shared" si="38"/>
        <v>0.05</v>
      </c>
      <c r="S262" s="462">
        <f t="shared" si="39"/>
        <v>440179.35</v>
      </c>
    </row>
    <row r="263" spans="2:19" ht="15" x14ac:dyDescent="0.25">
      <c r="B263" s="362"/>
      <c r="C263" s="269"/>
      <c r="D263" s="361"/>
      <c r="E263" s="360"/>
      <c r="F263" s="359"/>
      <c r="H263" s="358" t="str">
        <f t="shared" si="32"/>
        <v/>
      </c>
      <c r="I263" s="460" t="str">
        <f t="shared" si="33"/>
        <v/>
      </c>
      <c r="J263" s="463" t="str">
        <f t="shared" si="30"/>
        <v/>
      </c>
      <c r="K263" s="357" t="str">
        <f>IF(L263=0,"",IF(Ijour=0,MIN(DATE(YEAR(DebAmort),MONTH(DebAmort)+(H263-1)*Imois,Jour1),DATE(YEAR(DebAmort),MONTH(DebAmort)+1+(H263-1)*Imois,0)),DATE(YEAR(DebAmort),MONTH(DebAmort),Jour1+(H263-1)*Ijour)))</f>
        <v/>
      </c>
      <c r="L263" s="270">
        <f t="shared" si="34"/>
        <v>0</v>
      </c>
      <c r="M263" s="271">
        <f t="shared" si="36"/>
        <v>0</v>
      </c>
      <c r="N263" s="272">
        <f t="shared" si="37"/>
        <v>0</v>
      </c>
      <c r="O263" s="273">
        <f t="shared" si="35"/>
        <v>0</v>
      </c>
      <c r="P263" s="274">
        <f t="shared" si="31"/>
        <v>0</v>
      </c>
      <c r="Q263" s="350"/>
      <c r="R263" s="461">
        <f t="shared" si="38"/>
        <v>0.05</v>
      </c>
      <c r="S263" s="462">
        <f t="shared" si="39"/>
        <v>440179.35</v>
      </c>
    </row>
    <row r="264" spans="2:19" ht="15" x14ac:dyDescent="0.25">
      <c r="B264" s="362"/>
      <c r="C264" s="269"/>
      <c r="D264" s="361"/>
      <c r="E264" s="360"/>
      <c r="F264" s="359"/>
      <c r="H264" s="358" t="str">
        <f t="shared" si="32"/>
        <v/>
      </c>
      <c r="I264" s="460" t="str">
        <f t="shared" si="33"/>
        <v/>
      </c>
      <c r="J264" s="463" t="str">
        <f t="shared" si="30"/>
        <v/>
      </c>
      <c r="K264" s="357" t="str">
        <f>IF(L264=0,"",IF(Ijour=0,MIN(DATE(YEAR(DebAmort),MONTH(DebAmort)+MoisD+(H264-1)*Imois,Jour2),DATE(YEAR(DebAmort),MONTH(DebAmort)+MoisD+1+(H264-1)*Imois,0)),DATE(YEAR(DebAmort),MONTH(DebAmort),Jour1+(H264-1)*Ijour)))</f>
        <v/>
      </c>
      <c r="L264" s="270">
        <f t="shared" si="34"/>
        <v>0</v>
      </c>
      <c r="M264" s="271">
        <f t="shared" si="36"/>
        <v>0</v>
      </c>
      <c r="N264" s="272">
        <f t="shared" si="37"/>
        <v>0</v>
      </c>
      <c r="O264" s="273">
        <f t="shared" si="35"/>
        <v>0</v>
      </c>
      <c r="P264" s="274">
        <f t="shared" si="31"/>
        <v>0</v>
      </c>
      <c r="Q264" s="350"/>
      <c r="R264" s="461">
        <f t="shared" si="38"/>
        <v>0.05</v>
      </c>
      <c r="S264" s="462">
        <f t="shared" si="39"/>
        <v>440179.35</v>
      </c>
    </row>
    <row r="265" spans="2:19" ht="15" x14ac:dyDescent="0.25">
      <c r="B265" s="362"/>
      <c r="C265" s="269"/>
      <c r="D265" s="361"/>
      <c r="E265" s="360"/>
      <c r="F265" s="359"/>
      <c r="H265" s="358" t="str">
        <f t="shared" si="32"/>
        <v/>
      </c>
      <c r="I265" s="460" t="str">
        <f t="shared" si="33"/>
        <v/>
      </c>
      <c r="J265" s="463" t="str">
        <f t="shared" si="30"/>
        <v/>
      </c>
      <c r="K265" s="357" t="str">
        <f>IF(L265=0,"",IF(Ijour=0,MIN(DATE(YEAR(DebAmort),MONTH(DebAmort)+(H265-1)*Imois,Jour1),DATE(YEAR(DebAmort),MONTH(DebAmort)+1+(H265-1)*Imois,0)),DATE(YEAR(DebAmort),MONTH(DebAmort),Jour1+(H265-1)*Ijour)))</f>
        <v/>
      </c>
      <c r="L265" s="270">
        <f t="shared" si="34"/>
        <v>0</v>
      </c>
      <c r="M265" s="271">
        <f t="shared" si="36"/>
        <v>0</v>
      </c>
      <c r="N265" s="272">
        <f t="shared" si="37"/>
        <v>0</v>
      </c>
      <c r="O265" s="273">
        <f t="shared" si="35"/>
        <v>0</v>
      </c>
      <c r="P265" s="274">
        <f t="shared" si="31"/>
        <v>0</v>
      </c>
      <c r="Q265" s="350"/>
      <c r="R265" s="461">
        <f t="shared" si="38"/>
        <v>0.05</v>
      </c>
      <c r="S265" s="462">
        <f t="shared" si="39"/>
        <v>440179.35</v>
      </c>
    </row>
    <row r="266" spans="2:19" ht="15" x14ac:dyDescent="0.25">
      <c r="B266" s="362"/>
      <c r="C266" s="269"/>
      <c r="D266" s="361"/>
      <c r="E266" s="360"/>
      <c r="F266" s="359"/>
      <c r="H266" s="358" t="str">
        <f t="shared" si="32"/>
        <v/>
      </c>
      <c r="I266" s="460" t="str">
        <f t="shared" si="33"/>
        <v/>
      </c>
      <c r="J266" s="463" t="str">
        <f t="shared" si="30"/>
        <v/>
      </c>
      <c r="K266" s="357" t="str">
        <f>IF(L266=0,"",IF(Ijour=0,MIN(DATE(YEAR(DebAmort),MONTH(DebAmort)+MoisD+(H266-1)*Imois,Jour2),DATE(YEAR(DebAmort),MONTH(DebAmort)+MoisD+1+(H266-1)*Imois,0)),DATE(YEAR(DebAmort),MONTH(DebAmort),Jour1+(H266-1)*Ijour)))</f>
        <v/>
      </c>
      <c r="L266" s="270">
        <f t="shared" si="34"/>
        <v>0</v>
      </c>
      <c r="M266" s="271">
        <f t="shared" si="36"/>
        <v>0</v>
      </c>
      <c r="N266" s="272">
        <f t="shared" si="37"/>
        <v>0</v>
      </c>
      <c r="O266" s="273">
        <f t="shared" si="35"/>
        <v>0</v>
      </c>
      <c r="P266" s="274">
        <f t="shared" si="31"/>
        <v>0</v>
      </c>
      <c r="Q266" s="350"/>
      <c r="R266" s="461">
        <f t="shared" si="38"/>
        <v>0.05</v>
      </c>
      <c r="S266" s="462">
        <f t="shared" si="39"/>
        <v>440179.35</v>
      </c>
    </row>
    <row r="267" spans="2:19" ht="15" x14ac:dyDescent="0.25">
      <c r="B267" s="362"/>
      <c r="C267" s="269"/>
      <c r="D267" s="361"/>
      <c r="E267" s="360"/>
      <c r="F267" s="359"/>
      <c r="H267" s="358" t="str">
        <f t="shared" si="32"/>
        <v/>
      </c>
      <c r="I267" s="460" t="str">
        <f t="shared" si="33"/>
        <v/>
      </c>
      <c r="J267" s="463" t="str">
        <f t="shared" si="30"/>
        <v/>
      </c>
      <c r="K267" s="357" t="str">
        <f>IF(L267=0,"",IF(Ijour=0,MIN(DATE(YEAR(DebAmort),MONTH(DebAmort)+(H267-1)*Imois,Jour1),DATE(YEAR(DebAmort),MONTH(DebAmort)+1+(H267-1)*Imois,0)),DATE(YEAR(DebAmort),MONTH(DebAmort),Jour1+(H267-1)*Ijour)))</f>
        <v/>
      </c>
      <c r="L267" s="270">
        <f t="shared" si="34"/>
        <v>0</v>
      </c>
      <c r="M267" s="271">
        <f t="shared" si="36"/>
        <v>0</v>
      </c>
      <c r="N267" s="272">
        <f t="shared" si="37"/>
        <v>0</v>
      </c>
      <c r="O267" s="273">
        <f t="shared" si="35"/>
        <v>0</v>
      </c>
      <c r="P267" s="274">
        <f t="shared" si="31"/>
        <v>0</v>
      </c>
      <c r="Q267" s="350"/>
      <c r="R267" s="461">
        <f t="shared" si="38"/>
        <v>0.05</v>
      </c>
      <c r="S267" s="462">
        <f t="shared" si="39"/>
        <v>440179.35</v>
      </c>
    </row>
    <row r="268" spans="2:19" ht="15" x14ac:dyDescent="0.25">
      <c r="B268" s="362"/>
      <c r="C268" s="269"/>
      <c r="D268" s="361"/>
      <c r="E268" s="360"/>
      <c r="F268" s="359"/>
      <c r="H268" s="358" t="str">
        <f t="shared" si="32"/>
        <v/>
      </c>
      <c r="I268" s="460" t="str">
        <f t="shared" si="33"/>
        <v/>
      </c>
      <c r="J268" s="463" t="str">
        <f t="shared" si="30"/>
        <v/>
      </c>
      <c r="K268" s="357" t="str">
        <f>IF(L268=0,"",IF(Ijour=0,MIN(DATE(YEAR(DebAmort),MONTH(DebAmort)+MoisD+(H268-1)*Imois,Jour2),DATE(YEAR(DebAmort),MONTH(DebAmort)+MoisD+1+(H268-1)*Imois,0)),DATE(YEAR(DebAmort),MONTH(DebAmort),Jour1+(H268-1)*Ijour)))</f>
        <v/>
      </c>
      <c r="L268" s="270">
        <f t="shared" si="34"/>
        <v>0</v>
      </c>
      <c r="M268" s="271">
        <f t="shared" si="36"/>
        <v>0</v>
      </c>
      <c r="N268" s="272">
        <f t="shared" si="37"/>
        <v>0</v>
      </c>
      <c r="O268" s="273">
        <f t="shared" si="35"/>
        <v>0</v>
      </c>
      <c r="P268" s="274">
        <f t="shared" si="31"/>
        <v>0</v>
      </c>
      <c r="Q268" s="350"/>
      <c r="R268" s="461">
        <f t="shared" si="38"/>
        <v>0.05</v>
      </c>
      <c r="S268" s="462">
        <f t="shared" si="39"/>
        <v>440179.35</v>
      </c>
    </row>
    <row r="269" spans="2:19" ht="15" x14ac:dyDescent="0.25">
      <c r="B269" s="362"/>
      <c r="C269" s="269"/>
      <c r="D269" s="361"/>
      <c r="E269" s="360"/>
      <c r="F269" s="359"/>
      <c r="H269" s="358" t="str">
        <f t="shared" si="32"/>
        <v/>
      </c>
      <c r="I269" s="460" t="str">
        <f t="shared" si="33"/>
        <v/>
      </c>
      <c r="J269" s="463" t="str">
        <f t="shared" si="30"/>
        <v/>
      </c>
      <c r="K269" s="357" t="str">
        <f>IF(L269=0,"",IF(Ijour=0,MIN(DATE(YEAR(DebAmort),MONTH(DebAmort)+(H269-1)*Imois,Jour1),DATE(YEAR(DebAmort),MONTH(DebAmort)+1+(H269-1)*Imois,0)),DATE(YEAR(DebAmort),MONTH(DebAmort),Jour1+(H269-1)*Ijour)))</f>
        <v/>
      </c>
      <c r="L269" s="270">
        <f t="shared" si="34"/>
        <v>0</v>
      </c>
      <c r="M269" s="271">
        <f t="shared" si="36"/>
        <v>0</v>
      </c>
      <c r="N269" s="272">
        <f t="shared" si="37"/>
        <v>0</v>
      </c>
      <c r="O269" s="273">
        <f t="shared" si="35"/>
        <v>0</v>
      </c>
      <c r="P269" s="274">
        <f t="shared" si="31"/>
        <v>0</v>
      </c>
      <c r="Q269" s="350"/>
      <c r="R269" s="461">
        <f t="shared" si="38"/>
        <v>0.05</v>
      </c>
      <c r="S269" s="462">
        <f t="shared" si="39"/>
        <v>440179.35</v>
      </c>
    </row>
    <row r="270" spans="2:19" ht="15" x14ac:dyDescent="0.25">
      <c r="B270" s="362"/>
      <c r="C270" s="269"/>
      <c r="D270" s="361"/>
      <c r="E270" s="360"/>
      <c r="F270" s="359"/>
      <c r="H270" s="358" t="str">
        <f t="shared" si="32"/>
        <v/>
      </c>
      <c r="I270" s="460" t="str">
        <f t="shared" si="33"/>
        <v/>
      </c>
      <c r="J270" s="463" t="str">
        <f t="shared" ref="J270:J333" si="40">IF(ISNUMBER(K270),YEAR(K270),"")</f>
        <v/>
      </c>
      <c r="K270" s="357" t="str">
        <f>IF(L270=0,"",IF(Ijour=0,MIN(DATE(YEAR(DebAmort),MONTH(DebAmort)+MoisD+(H270-1)*Imois,Jour2),DATE(YEAR(DebAmort),MONTH(DebAmort)+MoisD+1+(H270-1)*Imois,0)),DATE(YEAR(DebAmort),MONTH(DebAmort),Jour1+(H270-1)*Ijour)))</f>
        <v/>
      </c>
      <c r="L270" s="270">
        <f t="shared" si="34"/>
        <v>0</v>
      </c>
      <c r="M270" s="271">
        <f t="shared" si="36"/>
        <v>0</v>
      </c>
      <c r="N270" s="272">
        <f t="shared" si="37"/>
        <v>0</v>
      </c>
      <c r="O270" s="273">
        <f t="shared" si="35"/>
        <v>0</v>
      </c>
      <c r="P270" s="274">
        <f t="shared" ref="P270:P333" si="41">SUM(M270:O270)</f>
        <v>0</v>
      </c>
      <c r="Q270" s="350"/>
      <c r="R270" s="461">
        <f t="shared" si="38"/>
        <v>0.05</v>
      </c>
      <c r="S270" s="462">
        <f t="shared" si="39"/>
        <v>440179.35</v>
      </c>
    </row>
    <row r="271" spans="2:19" ht="15" x14ac:dyDescent="0.25">
      <c r="B271" s="362"/>
      <c r="C271" s="269"/>
      <c r="D271" s="361"/>
      <c r="E271" s="360"/>
      <c r="F271" s="359"/>
      <c r="H271" s="358" t="str">
        <f t="shared" ref="H271:H334" si="42">IF(L271=0,"",H270+1)</f>
        <v/>
      </c>
      <c r="I271" s="460" t="str">
        <f t="shared" ref="I271:I334" si="43">IF(L271&gt;0,NbEch+Différé+1-H271,"")</f>
        <v/>
      </c>
      <c r="J271" s="463" t="str">
        <f t="shared" si="40"/>
        <v/>
      </c>
      <c r="K271" s="357" t="str">
        <f>IF(L271=0,"",IF(Ijour=0,MIN(DATE(YEAR(DebAmort),MONTH(DebAmort)+(H271-1)*Imois,Jour1),DATE(YEAR(DebAmort),MONTH(DebAmort)+1+(H271-1)*Imois,0)),DATE(YEAR(DebAmort),MONTH(DebAmort),Jour1+(H271-1)*Ijour)))</f>
        <v/>
      </c>
      <c r="L271" s="270">
        <f t="shared" ref="L271:L334" si="44">L270-N270</f>
        <v>0</v>
      </c>
      <c r="M271" s="271">
        <f t="shared" si="36"/>
        <v>0</v>
      </c>
      <c r="N271" s="272">
        <f t="shared" si="37"/>
        <v>0</v>
      </c>
      <c r="O271" s="273">
        <f t="shared" ref="O271:O334" si="45">IF(OR(L271=0,H271&gt;NoEchMaxi),0,ROUND(FraisF+FraisV*L271,NbDeci))+F271</f>
        <v>0</v>
      </c>
      <c r="P271" s="274">
        <f t="shared" si="41"/>
        <v>0</v>
      </c>
      <c r="Q271" s="350"/>
      <c r="R271" s="461">
        <f t="shared" si="38"/>
        <v>0.05</v>
      </c>
      <c r="S271" s="462">
        <f t="shared" si="39"/>
        <v>440179.35</v>
      </c>
    </row>
    <row r="272" spans="2:19" ht="15" x14ac:dyDescent="0.25">
      <c r="B272" s="362"/>
      <c r="C272" s="269"/>
      <c r="D272" s="361"/>
      <c r="E272" s="360"/>
      <c r="F272" s="359"/>
      <c r="H272" s="358" t="str">
        <f t="shared" si="42"/>
        <v/>
      </c>
      <c r="I272" s="460" t="str">
        <f t="shared" si="43"/>
        <v/>
      </c>
      <c r="J272" s="463" t="str">
        <f t="shared" si="40"/>
        <v/>
      </c>
      <c r="K272" s="357" t="str">
        <f>IF(L272=0,"",IF(Ijour=0,MIN(DATE(YEAR(DebAmort),MONTH(DebAmort)+MoisD+(H272-1)*Imois,Jour2),DATE(YEAR(DebAmort),MONTH(DebAmort)+MoisD+1+(H272-1)*Imois,0)),DATE(YEAR(DebAmort),MONTH(DebAmort),Jour1+(H272-1)*Ijour)))</f>
        <v/>
      </c>
      <c r="L272" s="270">
        <f t="shared" si="44"/>
        <v>0</v>
      </c>
      <c r="M272" s="271">
        <f t="shared" ref="M272:M335" si="46">IF(H272&lt;=NoEchMaxi,ROUND(L272*R272,NbDeci),0)</f>
        <v>0</v>
      </c>
      <c r="N272" s="272">
        <f t="shared" ref="N272:N335" si="47">IF(OR(H272&lt;=Différé,H272&gt;NoEchMaxi),IF(DiffTotal,-M272,0),IF(H272&gt;=NoEchRemb,L272,IF(S272-(M272*EchFIXE)&gt;L272-2,L272,S272-(M272*EchFIXE))))+C272</f>
        <v>0</v>
      </c>
      <c r="O272" s="273">
        <f t="shared" si="45"/>
        <v>0</v>
      </c>
      <c r="P272" s="274">
        <f t="shared" si="41"/>
        <v>0</v>
      </c>
      <c r="Q272" s="350"/>
      <c r="R272" s="461">
        <f t="shared" ref="R272:R335" si="48">IF(B272&gt;0,IF(TauxActuariel,((B272+1)^(1/NbEchAn))-1,B272/NbEchAn),R271)</f>
        <v>0.05</v>
      </c>
      <c r="S272" s="462">
        <f t="shared" ref="S272:S335" si="49">IF(E272&gt;0,E272,IF(D272&gt;0,IF(AND(EchFIXE,R272&gt;0),ROUND((L272-C272)*R272/(1-((1+R272)^-D272)),NbDeci),ROUND(L272/D272,NbDeci)),S271))</f>
        <v>440179.35</v>
      </c>
    </row>
    <row r="273" spans="2:19" ht="15" x14ac:dyDescent="0.25">
      <c r="B273" s="362"/>
      <c r="C273" s="269"/>
      <c r="D273" s="361"/>
      <c r="E273" s="360"/>
      <c r="F273" s="359"/>
      <c r="H273" s="358" t="str">
        <f t="shared" si="42"/>
        <v/>
      </c>
      <c r="I273" s="460" t="str">
        <f t="shared" si="43"/>
        <v/>
      </c>
      <c r="J273" s="463" t="str">
        <f t="shared" si="40"/>
        <v/>
      </c>
      <c r="K273" s="357" t="str">
        <f>IF(L273=0,"",IF(Ijour=0,MIN(DATE(YEAR(DebAmort),MONTH(DebAmort)+(H273-1)*Imois,Jour1),DATE(YEAR(DebAmort),MONTH(DebAmort)+1+(H273-1)*Imois,0)),DATE(YEAR(DebAmort),MONTH(DebAmort),Jour1+(H273-1)*Ijour)))</f>
        <v/>
      </c>
      <c r="L273" s="270">
        <f t="shared" si="44"/>
        <v>0</v>
      </c>
      <c r="M273" s="271">
        <f t="shared" si="46"/>
        <v>0</v>
      </c>
      <c r="N273" s="272">
        <f t="shared" si="47"/>
        <v>0</v>
      </c>
      <c r="O273" s="273">
        <f t="shared" si="45"/>
        <v>0</v>
      </c>
      <c r="P273" s="274">
        <f t="shared" si="41"/>
        <v>0</v>
      </c>
      <c r="Q273" s="350"/>
      <c r="R273" s="461">
        <f t="shared" si="48"/>
        <v>0.05</v>
      </c>
      <c r="S273" s="462">
        <f t="shared" si="49"/>
        <v>440179.35</v>
      </c>
    </row>
    <row r="274" spans="2:19" ht="15" x14ac:dyDescent="0.25">
      <c r="B274" s="362"/>
      <c r="C274" s="269"/>
      <c r="D274" s="361"/>
      <c r="E274" s="360"/>
      <c r="F274" s="359"/>
      <c r="H274" s="358" t="str">
        <f t="shared" si="42"/>
        <v/>
      </c>
      <c r="I274" s="460" t="str">
        <f t="shared" si="43"/>
        <v/>
      </c>
      <c r="J274" s="463" t="str">
        <f t="shared" si="40"/>
        <v/>
      </c>
      <c r="K274" s="357" t="str">
        <f>IF(L274=0,"",IF(Ijour=0,MIN(DATE(YEAR(DebAmort),MONTH(DebAmort)+MoisD+(H274-1)*Imois,Jour2),DATE(YEAR(DebAmort),MONTH(DebAmort)+MoisD+1+(H274-1)*Imois,0)),DATE(YEAR(DebAmort),MONTH(DebAmort),Jour1+(H274-1)*Ijour)))</f>
        <v/>
      </c>
      <c r="L274" s="270">
        <f t="shared" si="44"/>
        <v>0</v>
      </c>
      <c r="M274" s="271">
        <f t="shared" si="46"/>
        <v>0</v>
      </c>
      <c r="N274" s="272">
        <f t="shared" si="47"/>
        <v>0</v>
      </c>
      <c r="O274" s="273">
        <f t="shared" si="45"/>
        <v>0</v>
      </c>
      <c r="P274" s="274">
        <f t="shared" si="41"/>
        <v>0</v>
      </c>
      <c r="Q274" s="350"/>
      <c r="R274" s="461">
        <f t="shared" si="48"/>
        <v>0.05</v>
      </c>
      <c r="S274" s="462">
        <f t="shared" si="49"/>
        <v>440179.35</v>
      </c>
    </row>
    <row r="275" spans="2:19" ht="15" x14ac:dyDescent="0.25">
      <c r="B275" s="362"/>
      <c r="C275" s="269"/>
      <c r="D275" s="361"/>
      <c r="E275" s="360"/>
      <c r="F275" s="359"/>
      <c r="H275" s="358" t="str">
        <f t="shared" si="42"/>
        <v/>
      </c>
      <c r="I275" s="460" t="str">
        <f t="shared" si="43"/>
        <v/>
      </c>
      <c r="J275" s="463" t="str">
        <f t="shared" si="40"/>
        <v/>
      </c>
      <c r="K275" s="357" t="str">
        <f>IF(L275=0,"",IF(Ijour=0,MIN(DATE(YEAR(DebAmort),MONTH(DebAmort)+(H275-1)*Imois,Jour1),DATE(YEAR(DebAmort),MONTH(DebAmort)+1+(H275-1)*Imois,0)),DATE(YEAR(DebAmort),MONTH(DebAmort),Jour1+(H275-1)*Ijour)))</f>
        <v/>
      </c>
      <c r="L275" s="270">
        <f t="shared" si="44"/>
        <v>0</v>
      </c>
      <c r="M275" s="271">
        <f t="shared" si="46"/>
        <v>0</v>
      </c>
      <c r="N275" s="272">
        <f t="shared" si="47"/>
        <v>0</v>
      </c>
      <c r="O275" s="273">
        <f t="shared" si="45"/>
        <v>0</v>
      </c>
      <c r="P275" s="274">
        <f t="shared" si="41"/>
        <v>0</v>
      </c>
      <c r="Q275" s="350"/>
      <c r="R275" s="461">
        <f t="shared" si="48"/>
        <v>0.05</v>
      </c>
      <c r="S275" s="462">
        <f t="shared" si="49"/>
        <v>440179.35</v>
      </c>
    </row>
    <row r="276" spans="2:19" ht="15" x14ac:dyDescent="0.25">
      <c r="B276" s="362"/>
      <c r="C276" s="269"/>
      <c r="D276" s="361"/>
      <c r="E276" s="360"/>
      <c r="F276" s="359"/>
      <c r="H276" s="358" t="str">
        <f t="shared" si="42"/>
        <v/>
      </c>
      <c r="I276" s="460" t="str">
        <f t="shared" si="43"/>
        <v/>
      </c>
      <c r="J276" s="463" t="str">
        <f t="shared" si="40"/>
        <v/>
      </c>
      <c r="K276" s="357" t="str">
        <f>IF(L276=0,"",IF(Ijour=0,MIN(DATE(YEAR(DebAmort),MONTH(DebAmort)+MoisD+(H276-1)*Imois,Jour2),DATE(YEAR(DebAmort),MONTH(DebAmort)+MoisD+1+(H276-1)*Imois,0)),DATE(YEAR(DebAmort),MONTH(DebAmort),Jour1+(H276-1)*Ijour)))</f>
        <v/>
      </c>
      <c r="L276" s="270">
        <f t="shared" si="44"/>
        <v>0</v>
      </c>
      <c r="M276" s="271">
        <f t="shared" si="46"/>
        <v>0</v>
      </c>
      <c r="N276" s="272">
        <f t="shared" si="47"/>
        <v>0</v>
      </c>
      <c r="O276" s="273">
        <f t="shared" si="45"/>
        <v>0</v>
      </c>
      <c r="P276" s="274">
        <f t="shared" si="41"/>
        <v>0</v>
      </c>
      <c r="Q276" s="350"/>
      <c r="R276" s="461">
        <f t="shared" si="48"/>
        <v>0.05</v>
      </c>
      <c r="S276" s="462">
        <f t="shared" si="49"/>
        <v>440179.35</v>
      </c>
    </row>
    <row r="277" spans="2:19" ht="15" x14ac:dyDescent="0.25">
      <c r="B277" s="362"/>
      <c r="C277" s="269"/>
      <c r="D277" s="361"/>
      <c r="E277" s="360"/>
      <c r="F277" s="359"/>
      <c r="H277" s="358" t="str">
        <f t="shared" si="42"/>
        <v/>
      </c>
      <c r="I277" s="460" t="str">
        <f t="shared" si="43"/>
        <v/>
      </c>
      <c r="J277" s="463" t="str">
        <f t="shared" si="40"/>
        <v/>
      </c>
      <c r="K277" s="357" t="str">
        <f>IF(L277=0,"",IF(Ijour=0,MIN(DATE(YEAR(DebAmort),MONTH(DebAmort)+(H277-1)*Imois,Jour1),DATE(YEAR(DebAmort),MONTH(DebAmort)+1+(H277-1)*Imois,0)),DATE(YEAR(DebAmort),MONTH(DebAmort),Jour1+(H277-1)*Ijour)))</f>
        <v/>
      </c>
      <c r="L277" s="270">
        <f t="shared" si="44"/>
        <v>0</v>
      </c>
      <c r="M277" s="271">
        <f t="shared" si="46"/>
        <v>0</v>
      </c>
      <c r="N277" s="272">
        <f t="shared" si="47"/>
        <v>0</v>
      </c>
      <c r="O277" s="273">
        <f t="shared" si="45"/>
        <v>0</v>
      </c>
      <c r="P277" s="274">
        <f t="shared" si="41"/>
        <v>0</v>
      </c>
      <c r="Q277" s="350"/>
      <c r="R277" s="461">
        <f t="shared" si="48"/>
        <v>0.05</v>
      </c>
      <c r="S277" s="462">
        <f t="shared" si="49"/>
        <v>440179.35</v>
      </c>
    </row>
    <row r="278" spans="2:19" ht="15" x14ac:dyDescent="0.25">
      <c r="B278" s="362"/>
      <c r="C278" s="269"/>
      <c r="D278" s="361"/>
      <c r="E278" s="360"/>
      <c r="F278" s="359"/>
      <c r="H278" s="358" t="str">
        <f t="shared" si="42"/>
        <v/>
      </c>
      <c r="I278" s="460" t="str">
        <f t="shared" si="43"/>
        <v/>
      </c>
      <c r="J278" s="463" t="str">
        <f t="shared" si="40"/>
        <v/>
      </c>
      <c r="K278" s="357" t="str">
        <f>IF(L278=0,"",IF(Ijour=0,MIN(DATE(YEAR(DebAmort),MONTH(DebAmort)+MoisD+(H278-1)*Imois,Jour2),DATE(YEAR(DebAmort),MONTH(DebAmort)+MoisD+1+(H278-1)*Imois,0)),DATE(YEAR(DebAmort),MONTH(DebAmort),Jour1+(H278-1)*Ijour)))</f>
        <v/>
      </c>
      <c r="L278" s="270">
        <f t="shared" si="44"/>
        <v>0</v>
      </c>
      <c r="M278" s="271">
        <f t="shared" si="46"/>
        <v>0</v>
      </c>
      <c r="N278" s="272">
        <f t="shared" si="47"/>
        <v>0</v>
      </c>
      <c r="O278" s="273">
        <f t="shared" si="45"/>
        <v>0</v>
      </c>
      <c r="P278" s="274">
        <f t="shared" si="41"/>
        <v>0</v>
      </c>
      <c r="Q278" s="350"/>
      <c r="R278" s="461">
        <f t="shared" si="48"/>
        <v>0.05</v>
      </c>
      <c r="S278" s="462">
        <f t="shared" si="49"/>
        <v>440179.35</v>
      </c>
    </row>
    <row r="279" spans="2:19" ht="15" x14ac:dyDescent="0.25">
      <c r="B279" s="362"/>
      <c r="C279" s="269"/>
      <c r="D279" s="361"/>
      <c r="E279" s="360"/>
      <c r="F279" s="359"/>
      <c r="H279" s="358" t="str">
        <f t="shared" si="42"/>
        <v/>
      </c>
      <c r="I279" s="460" t="str">
        <f t="shared" si="43"/>
        <v/>
      </c>
      <c r="J279" s="463" t="str">
        <f t="shared" si="40"/>
        <v/>
      </c>
      <c r="K279" s="357" t="str">
        <f>IF(L279=0,"",IF(Ijour=0,MIN(DATE(YEAR(DebAmort),MONTH(DebAmort)+(H279-1)*Imois,Jour1),DATE(YEAR(DebAmort),MONTH(DebAmort)+1+(H279-1)*Imois,0)),DATE(YEAR(DebAmort),MONTH(DebAmort),Jour1+(H279-1)*Ijour)))</f>
        <v/>
      </c>
      <c r="L279" s="270">
        <f t="shared" si="44"/>
        <v>0</v>
      </c>
      <c r="M279" s="271">
        <f t="shared" si="46"/>
        <v>0</v>
      </c>
      <c r="N279" s="272">
        <f t="shared" si="47"/>
        <v>0</v>
      </c>
      <c r="O279" s="273">
        <f t="shared" si="45"/>
        <v>0</v>
      </c>
      <c r="P279" s="274">
        <f t="shared" si="41"/>
        <v>0</v>
      </c>
      <c r="Q279" s="350"/>
      <c r="R279" s="461">
        <f t="shared" si="48"/>
        <v>0.05</v>
      </c>
      <c r="S279" s="462">
        <f t="shared" si="49"/>
        <v>440179.35</v>
      </c>
    </row>
    <row r="280" spans="2:19" ht="15" x14ac:dyDescent="0.25">
      <c r="B280" s="362"/>
      <c r="C280" s="269"/>
      <c r="D280" s="361"/>
      <c r="E280" s="360"/>
      <c r="F280" s="359"/>
      <c r="H280" s="358" t="str">
        <f t="shared" si="42"/>
        <v/>
      </c>
      <c r="I280" s="460" t="str">
        <f t="shared" si="43"/>
        <v/>
      </c>
      <c r="J280" s="463" t="str">
        <f t="shared" si="40"/>
        <v/>
      </c>
      <c r="K280" s="357" t="str">
        <f>IF(L280=0,"",IF(Ijour=0,MIN(DATE(YEAR(DebAmort),MONTH(DebAmort)+MoisD+(H280-1)*Imois,Jour2),DATE(YEAR(DebAmort),MONTH(DebAmort)+MoisD+1+(H280-1)*Imois,0)),DATE(YEAR(DebAmort),MONTH(DebAmort),Jour1+(H280-1)*Ijour)))</f>
        <v/>
      </c>
      <c r="L280" s="270">
        <f t="shared" si="44"/>
        <v>0</v>
      </c>
      <c r="M280" s="271">
        <f t="shared" si="46"/>
        <v>0</v>
      </c>
      <c r="N280" s="272">
        <f t="shared" si="47"/>
        <v>0</v>
      </c>
      <c r="O280" s="273">
        <f t="shared" si="45"/>
        <v>0</v>
      </c>
      <c r="P280" s="274">
        <f t="shared" si="41"/>
        <v>0</v>
      </c>
      <c r="Q280" s="350"/>
      <c r="R280" s="461">
        <f t="shared" si="48"/>
        <v>0.05</v>
      </c>
      <c r="S280" s="462">
        <f t="shared" si="49"/>
        <v>440179.35</v>
      </c>
    </row>
    <row r="281" spans="2:19" ht="15" x14ac:dyDescent="0.25">
      <c r="B281" s="362"/>
      <c r="C281" s="269"/>
      <c r="D281" s="361"/>
      <c r="E281" s="360"/>
      <c r="F281" s="359"/>
      <c r="H281" s="358" t="str">
        <f t="shared" si="42"/>
        <v/>
      </c>
      <c r="I281" s="460" t="str">
        <f t="shared" si="43"/>
        <v/>
      </c>
      <c r="J281" s="463" t="str">
        <f t="shared" si="40"/>
        <v/>
      </c>
      <c r="K281" s="357" t="str">
        <f>IF(L281=0,"",IF(Ijour=0,MIN(DATE(YEAR(DebAmort),MONTH(DebAmort)+(H281-1)*Imois,Jour1),DATE(YEAR(DebAmort),MONTH(DebAmort)+1+(H281-1)*Imois,0)),DATE(YEAR(DebAmort),MONTH(DebAmort),Jour1+(H281-1)*Ijour)))</f>
        <v/>
      </c>
      <c r="L281" s="270">
        <f t="shared" si="44"/>
        <v>0</v>
      </c>
      <c r="M281" s="271">
        <f t="shared" si="46"/>
        <v>0</v>
      </c>
      <c r="N281" s="272">
        <f t="shared" si="47"/>
        <v>0</v>
      </c>
      <c r="O281" s="273">
        <f t="shared" si="45"/>
        <v>0</v>
      </c>
      <c r="P281" s="274">
        <f t="shared" si="41"/>
        <v>0</v>
      </c>
      <c r="Q281" s="350"/>
      <c r="R281" s="461">
        <f t="shared" si="48"/>
        <v>0.05</v>
      </c>
      <c r="S281" s="462">
        <f t="shared" si="49"/>
        <v>440179.35</v>
      </c>
    </row>
    <row r="282" spans="2:19" ht="15" x14ac:dyDescent="0.25">
      <c r="B282" s="362"/>
      <c r="C282" s="269"/>
      <c r="D282" s="361"/>
      <c r="E282" s="360"/>
      <c r="F282" s="359"/>
      <c r="H282" s="358" t="str">
        <f t="shared" si="42"/>
        <v/>
      </c>
      <c r="I282" s="460" t="str">
        <f t="shared" si="43"/>
        <v/>
      </c>
      <c r="J282" s="463" t="str">
        <f t="shared" si="40"/>
        <v/>
      </c>
      <c r="K282" s="357" t="str">
        <f>IF(L282=0,"",IF(Ijour=0,MIN(DATE(YEAR(DebAmort),MONTH(DebAmort)+MoisD+(H282-1)*Imois,Jour2),DATE(YEAR(DebAmort),MONTH(DebAmort)+MoisD+1+(H282-1)*Imois,0)),DATE(YEAR(DebAmort),MONTH(DebAmort),Jour1+(H282-1)*Ijour)))</f>
        <v/>
      </c>
      <c r="L282" s="270">
        <f t="shared" si="44"/>
        <v>0</v>
      </c>
      <c r="M282" s="271">
        <f t="shared" si="46"/>
        <v>0</v>
      </c>
      <c r="N282" s="272">
        <f t="shared" si="47"/>
        <v>0</v>
      </c>
      <c r="O282" s="273">
        <f t="shared" si="45"/>
        <v>0</v>
      </c>
      <c r="P282" s="274">
        <f t="shared" si="41"/>
        <v>0</v>
      </c>
      <c r="Q282" s="350"/>
      <c r="R282" s="461">
        <f t="shared" si="48"/>
        <v>0.05</v>
      </c>
      <c r="S282" s="462">
        <f t="shared" si="49"/>
        <v>440179.35</v>
      </c>
    </row>
    <row r="283" spans="2:19" ht="15" x14ac:dyDescent="0.25">
      <c r="B283" s="362"/>
      <c r="C283" s="269"/>
      <c r="D283" s="361"/>
      <c r="E283" s="360"/>
      <c r="F283" s="359"/>
      <c r="H283" s="358" t="str">
        <f t="shared" si="42"/>
        <v/>
      </c>
      <c r="I283" s="460" t="str">
        <f t="shared" si="43"/>
        <v/>
      </c>
      <c r="J283" s="463" t="str">
        <f t="shared" si="40"/>
        <v/>
      </c>
      <c r="K283" s="357" t="str">
        <f>IF(L283=0,"",IF(Ijour=0,MIN(DATE(YEAR(DebAmort),MONTH(DebAmort)+(H283-1)*Imois,Jour1),DATE(YEAR(DebAmort),MONTH(DebAmort)+1+(H283-1)*Imois,0)),DATE(YEAR(DebAmort),MONTH(DebAmort),Jour1+(H283-1)*Ijour)))</f>
        <v/>
      </c>
      <c r="L283" s="270">
        <f t="shared" si="44"/>
        <v>0</v>
      </c>
      <c r="M283" s="271">
        <f t="shared" si="46"/>
        <v>0</v>
      </c>
      <c r="N283" s="272">
        <f t="shared" si="47"/>
        <v>0</v>
      </c>
      <c r="O283" s="273">
        <f t="shared" si="45"/>
        <v>0</v>
      </c>
      <c r="P283" s="274">
        <f t="shared" si="41"/>
        <v>0</v>
      </c>
      <c r="Q283" s="350"/>
      <c r="R283" s="461">
        <f t="shared" si="48"/>
        <v>0.05</v>
      </c>
      <c r="S283" s="462">
        <f t="shared" si="49"/>
        <v>440179.35</v>
      </c>
    </row>
    <row r="284" spans="2:19" ht="15" x14ac:dyDescent="0.25">
      <c r="B284" s="362"/>
      <c r="C284" s="269"/>
      <c r="D284" s="361"/>
      <c r="E284" s="360"/>
      <c r="F284" s="359"/>
      <c r="H284" s="358" t="str">
        <f t="shared" si="42"/>
        <v/>
      </c>
      <c r="I284" s="460" t="str">
        <f t="shared" si="43"/>
        <v/>
      </c>
      <c r="J284" s="463" t="str">
        <f t="shared" si="40"/>
        <v/>
      </c>
      <c r="K284" s="357" t="str">
        <f>IF(L284=0,"",IF(Ijour=0,MIN(DATE(YEAR(DebAmort),MONTH(DebAmort)+MoisD+(H284-1)*Imois,Jour2),DATE(YEAR(DebAmort),MONTH(DebAmort)+MoisD+1+(H284-1)*Imois,0)),DATE(YEAR(DebAmort),MONTH(DebAmort),Jour1+(H284-1)*Ijour)))</f>
        <v/>
      </c>
      <c r="L284" s="270">
        <f t="shared" si="44"/>
        <v>0</v>
      </c>
      <c r="M284" s="271">
        <f t="shared" si="46"/>
        <v>0</v>
      </c>
      <c r="N284" s="272">
        <f t="shared" si="47"/>
        <v>0</v>
      </c>
      <c r="O284" s="273">
        <f t="shared" si="45"/>
        <v>0</v>
      </c>
      <c r="P284" s="274">
        <f t="shared" si="41"/>
        <v>0</v>
      </c>
      <c r="Q284" s="350"/>
      <c r="R284" s="461">
        <f t="shared" si="48"/>
        <v>0.05</v>
      </c>
      <c r="S284" s="462">
        <f t="shared" si="49"/>
        <v>440179.35</v>
      </c>
    </row>
    <row r="285" spans="2:19" ht="15" x14ac:dyDescent="0.25">
      <c r="B285" s="362"/>
      <c r="C285" s="269"/>
      <c r="D285" s="361"/>
      <c r="E285" s="360"/>
      <c r="F285" s="359"/>
      <c r="H285" s="358" t="str">
        <f t="shared" si="42"/>
        <v/>
      </c>
      <c r="I285" s="460" t="str">
        <f t="shared" si="43"/>
        <v/>
      </c>
      <c r="J285" s="463" t="str">
        <f t="shared" si="40"/>
        <v/>
      </c>
      <c r="K285" s="357" t="str">
        <f>IF(L285=0,"",IF(Ijour=0,MIN(DATE(YEAR(DebAmort),MONTH(DebAmort)+(H285-1)*Imois,Jour1),DATE(YEAR(DebAmort),MONTH(DebAmort)+1+(H285-1)*Imois,0)),DATE(YEAR(DebAmort),MONTH(DebAmort),Jour1+(H285-1)*Ijour)))</f>
        <v/>
      </c>
      <c r="L285" s="270">
        <f t="shared" si="44"/>
        <v>0</v>
      </c>
      <c r="M285" s="271">
        <f t="shared" si="46"/>
        <v>0</v>
      </c>
      <c r="N285" s="272">
        <f t="shared" si="47"/>
        <v>0</v>
      </c>
      <c r="O285" s="273">
        <f t="shared" si="45"/>
        <v>0</v>
      </c>
      <c r="P285" s="274">
        <f t="shared" si="41"/>
        <v>0</v>
      </c>
      <c r="Q285" s="350"/>
      <c r="R285" s="461">
        <f t="shared" si="48"/>
        <v>0.05</v>
      </c>
      <c r="S285" s="462">
        <f t="shared" si="49"/>
        <v>440179.35</v>
      </c>
    </row>
    <row r="286" spans="2:19" ht="15" x14ac:dyDescent="0.25">
      <c r="B286" s="362"/>
      <c r="C286" s="269"/>
      <c r="D286" s="361"/>
      <c r="E286" s="360"/>
      <c r="F286" s="359"/>
      <c r="H286" s="358" t="str">
        <f t="shared" si="42"/>
        <v/>
      </c>
      <c r="I286" s="460" t="str">
        <f t="shared" si="43"/>
        <v/>
      </c>
      <c r="J286" s="463" t="str">
        <f t="shared" si="40"/>
        <v/>
      </c>
      <c r="K286" s="357" t="str">
        <f>IF(L286=0,"",IF(Ijour=0,MIN(DATE(YEAR(DebAmort),MONTH(DebAmort)+MoisD+(H286-1)*Imois,Jour2),DATE(YEAR(DebAmort),MONTH(DebAmort)+MoisD+1+(H286-1)*Imois,0)),DATE(YEAR(DebAmort),MONTH(DebAmort),Jour1+(H286-1)*Ijour)))</f>
        <v/>
      </c>
      <c r="L286" s="270">
        <f t="shared" si="44"/>
        <v>0</v>
      </c>
      <c r="M286" s="271">
        <f t="shared" si="46"/>
        <v>0</v>
      </c>
      <c r="N286" s="272">
        <f t="shared" si="47"/>
        <v>0</v>
      </c>
      <c r="O286" s="273">
        <f t="shared" si="45"/>
        <v>0</v>
      </c>
      <c r="P286" s="274">
        <f t="shared" si="41"/>
        <v>0</v>
      </c>
      <c r="Q286" s="350"/>
      <c r="R286" s="461">
        <f t="shared" si="48"/>
        <v>0.05</v>
      </c>
      <c r="S286" s="462">
        <f t="shared" si="49"/>
        <v>440179.35</v>
      </c>
    </row>
    <row r="287" spans="2:19" ht="15" x14ac:dyDescent="0.25">
      <c r="B287" s="362"/>
      <c r="C287" s="269"/>
      <c r="D287" s="361"/>
      <c r="E287" s="360"/>
      <c r="F287" s="359"/>
      <c r="H287" s="358" t="str">
        <f t="shared" si="42"/>
        <v/>
      </c>
      <c r="I287" s="460" t="str">
        <f t="shared" si="43"/>
        <v/>
      </c>
      <c r="J287" s="463" t="str">
        <f t="shared" si="40"/>
        <v/>
      </c>
      <c r="K287" s="357" t="str">
        <f>IF(L287=0,"",IF(Ijour=0,MIN(DATE(YEAR(DebAmort),MONTH(DebAmort)+(H287-1)*Imois,Jour1),DATE(YEAR(DebAmort),MONTH(DebAmort)+1+(H287-1)*Imois,0)),DATE(YEAR(DebAmort),MONTH(DebAmort),Jour1+(H287-1)*Ijour)))</f>
        <v/>
      </c>
      <c r="L287" s="270">
        <f t="shared" si="44"/>
        <v>0</v>
      </c>
      <c r="M287" s="271">
        <f t="shared" si="46"/>
        <v>0</v>
      </c>
      <c r="N287" s="272">
        <f t="shared" si="47"/>
        <v>0</v>
      </c>
      <c r="O287" s="273">
        <f t="shared" si="45"/>
        <v>0</v>
      </c>
      <c r="P287" s="274">
        <f t="shared" si="41"/>
        <v>0</v>
      </c>
      <c r="Q287" s="350"/>
      <c r="R287" s="461">
        <f t="shared" si="48"/>
        <v>0.05</v>
      </c>
      <c r="S287" s="462">
        <f t="shared" si="49"/>
        <v>440179.35</v>
      </c>
    </row>
    <row r="288" spans="2:19" ht="15" x14ac:dyDescent="0.25">
      <c r="B288" s="362"/>
      <c r="C288" s="269"/>
      <c r="D288" s="361"/>
      <c r="E288" s="360"/>
      <c r="F288" s="359"/>
      <c r="H288" s="358" t="str">
        <f t="shared" si="42"/>
        <v/>
      </c>
      <c r="I288" s="460" t="str">
        <f t="shared" si="43"/>
        <v/>
      </c>
      <c r="J288" s="463" t="str">
        <f t="shared" si="40"/>
        <v/>
      </c>
      <c r="K288" s="357" t="str">
        <f>IF(L288=0,"",IF(Ijour=0,MIN(DATE(YEAR(DebAmort),MONTH(DebAmort)+MoisD+(H288-1)*Imois,Jour2),DATE(YEAR(DebAmort),MONTH(DebAmort)+MoisD+1+(H288-1)*Imois,0)),DATE(YEAR(DebAmort),MONTH(DebAmort),Jour1+(H288-1)*Ijour)))</f>
        <v/>
      </c>
      <c r="L288" s="270">
        <f t="shared" si="44"/>
        <v>0</v>
      </c>
      <c r="M288" s="271">
        <f t="shared" si="46"/>
        <v>0</v>
      </c>
      <c r="N288" s="272">
        <f t="shared" si="47"/>
        <v>0</v>
      </c>
      <c r="O288" s="273">
        <f t="shared" si="45"/>
        <v>0</v>
      </c>
      <c r="P288" s="274">
        <f t="shared" si="41"/>
        <v>0</v>
      </c>
      <c r="Q288" s="350"/>
      <c r="R288" s="461">
        <f t="shared" si="48"/>
        <v>0.05</v>
      </c>
      <c r="S288" s="462">
        <f t="shared" si="49"/>
        <v>440179.35</v>
      </c>
    </row>
    <row r="289" spans="2:19" ht="15" x14ac:dyDescent="0.25">
      <c r="B289" s="362"/>
      <c r="C289" s="269"/>
      <c r="D289" s="361"/>
      <c r="E289" s="360"/>
      <c r="F289" s="359"/>
      <c r="H289" s="358" t="str">
        <f t="shared" si="42"/>
        <v/>
      </c>
      <c r="I289" s="460" t="str">
        <f t="shared" si="43"/>
        <v/>
      </c>
      <c r="J289" s="463" t="str">
        <f t="shared" si="40"/>
        <v/>
      </c>
      <c r="K289" s="357" t="str">
        <f>IF(L289=0,"",IF(Ijour=0,MIN(DATE(YEAR(DebAmort),MONTH(DebAmort)+(H289-1)*Imois,Jour1),DATE(YEAR(DebAmort),MONTH(DebAmort)+1+(H289-1)*Imois,0)),DATE(YEAR(DebAmort),MONTH(DebAmort),Jour1+(H289-1)*Ijour)))</f>
        <v/>
      </c>
      <c r="L289" s="270">
        <f t="shared" si="44"/>
        <v>0</v>
      </c>
      <c r="M289" s="271">
        <f t="shared" si="46"/>
        <v>0</v>
      </c>
      <c r="N289" s="272">
        <f t="shared" si="47"/>
        <v>0</v>
      </c>
      <c r="O289" s="273">
        <f t="shared" si="45"/>
        <v>0</v>
      </c>
      <c r="P289" s="274">
        <f t="shared" si="41"/>
        <v>0</v>
      </c>
      <c r="Q289" s="350"/>
      <c r="R289" s="461">
        <f t="shared" si="48"/>
        <v>0.05</v>
      </c>
      <c r="S289" s="462">
        <f t="shared" si="49"/>
        <v>440179.35</v>
      </c>
    </row>
    <row r="290" spans="2:19" ht="15" x14ac:dyDescent="0.25">
      <c r="B290" s="362"/>
      <c r="C290" s="269"/>
      <c r="D290" s="361"/>
      <c r="E290" s="360"/>
      <c r="F290" s="359"/>
      <c r="H290" s="358" t="str">
        <f t="shared" si="42"/>
        <v/>
      </c>
      <c r="I290" s="460" t="str">
        <f t="shared" si="43"/>
        <v/>
      </c>
      <c r="J290" s="463" t="str">
        <f t="shared" si="40"/>
        <v/>
      </c>
      <c r="K290" s="357" t="str">
        <f>IF(L290=0,"",IF(Ijour=0,MIN(DATE(YEAR(DebAmort),MONTH(DebAmort)+MoisD+(H290-1)*Imois,Jour2),DATE(YEAR(DebAmort),MONTH(DebAmort)+MoisD+1+(H290-1)*Imois,0)),DATE(YEAR(DebAmort),MONTH(DebAmort),Jour1+(H290-1)*Ijour)))</f>
        <v/>
      </c>
      <c r="L290" s="270">
        <f t="shared" si="44"/>
        <v>0</v>
      </c>
      <c r="M290" s="271">
        <f t="shared" si="46"/>
        <v>0</v>
      </c>
      <c r="N290" s="272">
        <f t="shared" si="47"/>
        <v>0</v>
      </c>
      <c r="O290" s="273">
        <f t="shared" si="45"/>
        <v>0</v>
      </c>
      <c r="P290" s="274">
        <f t="shared" si="41"/>
        <v>0</v>
      </c>
      <c r="Q290" s="350"/>
      <c r="R290" s="461">
        <f t="shared" si="48"/>
        <v>0.05</v>
      </c>
      <c r="S290" s="462">
        <f t="shared" si="49"/>
        <v>440179.35</v>
      </c>
    </row>
    <row r="291" spans="2:19" ht="15" x14ac:dyDescent="0.25">
      <c r="B291" s="362"/>
      <c r="C291" s="269"/>
      <c r="D291" s="361"/>
      <c r="E291" s="360"/>
      <c r="F291" s="359"/>
      <c r="H291" s="358" t="str">
        <f t="shared" si="42"/>
        <v/>
      </c>
      <c r="I291" s="460" t="str">
        <f t="shared" si="43"/>
        <v/>
      </c>
      <c r="J291" s="463" t="str">
        <f t="shared" si="40"/>
        <v/>
      </c>
      <c r="K291" s="357" t="str">
        <f>IF(L291=0,"",IF(Ijour=0,MIN(DATE(YEAR(DebAmort),MONTH(DebAmort)+(H291-1)*Imois,Jour1),DATE(YEAR(DebAmort),MONTH(DebAmort)+1+(H291-1)*Imois,0)),DATE(YEAR(DebAmort),MONTH(DebAmort),Jour1+(H291-1)*Ijour)))</f>
        <v/>
      </c>
      <c r="L291" s="270">
        <f t="shared" si="44"/>
        <v>0</v>
      </c>
      <c r="M291" s="271">
        <f t="shared" si="46"/>
        <v>0</v>
      </c>
      <c r="N291" s="272">
        <f t="shared" si="47"/>
        <v>0</v>
      </c>
      <c r="O291" s="273">
        <f t="shared" si="45"/>
        <v>0</v>
      </c>
      <c r="P291" s="274">
        <f t="shared" si="41"/>
        <v>0</v>
      </c>
      <c r="Q291" s="350"/>
      <c r="R291" s="461">
        <f t="shared" si="48"/>
        <v>0.05</v>
      </c>
      <c r="S291" s="462">
        <f t="shared" si="49"/>
        <v>440179.35</v>
      </c>
    </row>
    <row r="292" spans="2:19" ht="15" x14ac:dyDescent="0.25">
      <c r="B292" s="362"/>
      <c r="C292" s="269"/>
      <c r="D292" s="361"/>
      <c r="E292" s="360"/>
      <c r="F292" s="359"/>
      <c r="H292" s="358" t="str">
        <f t="shared" si="42"/>
        <v/>
      </c>
      <c r="I292" s="460" t="str">
        <f t="shared" si="43"/>
        <v/>
      </c>
      <c r="J292" s="463" t="str">
        <f t="shared" si="40"/>
        <v/>
      </c>
      <c r="K292" s="357" t="str">
        <f>IF(L292=0,"",IF(Ijour=0,MIN(DATE(YEAR(DebAmort),MONTH(DebAmort)+MoisD+(H292-1)*Imois,Jour2),DATE(YEAR(DebAmort),MONTH(DebAmort)+MoisD+1+(H292-1)*Imois,0)),DATE(YEAR(DebAmort),MONTH(DebAmort),Jour1+(H292-1)*Ijour)))</f>
        <v/>
      </c>
      <c r="L292" s="270">
        <f t="shared" si="44"/>
        <v>0</v>
      </c>
      <c r="M292" s="271">
        <f t="shared" si="46"/>
        <v>0</v>
      </c>
      <c r="N292" s="272">
        <f t="shared" si="47"/>
        <v>0</v>
      </c>
      <c r="O292" s="273">
        <f t="shared" si="45"/>
        <v>0</v>
      </c>
      <c r="P292" s="274">
        <f t="shared" si="41"/>
        <v>0</v>
      </c>
      <c r="Q292" s="350"/>
      <c r="R292" s="461">
        <f t="shared" si="48"/>
        <v>0.05</v>
      </c>
      <c r="S292" s="462">
        <f t="shared" si="49"/>
        <v>440179.35</v>
      </c>
    </row>
    <row r="293" spans="2:19" ht="15" x14ac:dyDescent="0.25">
      <c r="B293" s="362"/>
      <c r="C293" s="269"/>
      <c r="D293" s="361"/>
      <c r="E293" s="360"/>
      <c r="F293" s="359"/>
      <c r="H293" s="358" t="str">
        <f t="shared" si="42"/>
        <v/>
      </c>
      <c r="I293" s="460" t="str">
        <f t="shared" si="43"/>
        <v/>
      </c>
      <c r="J293" s="463" t="str">
        <f t="shared" si="40"/>
        <v/>
      </c>
      <c r="K293" s="357" t="str">
        <f>IF(L293=0,"",IF(Ijour=0,MIN(DATE(YEAR(DebAmort),MONTH(DebAmort)+(H293-1)*Imois,Jour1),DATE(YEAR(DebAmort),MONTH(DebAmort)+1+(H293-1)*Imois,0)),DATE(YEAR(DebAmort),MONTH(DebAmort),Jour1+(H293-1)*Ijour)))</f>
        <v/>
      </c>
      <c r="L293" s="270">
        <f t="shared" si="44"/>
        <v>0</v>
      </c>
      <c r="M293" s="271">
        <f t="shared" si="46"/>
        <v>0</v>
      </c>
      <c r="N293" s="272">
        <f t="shared" si="47"/>
        <v>0</v>
      </c>
      <c r="O293" s="273">
        <f t="shared" si="45"/>
        <v>0</v>
      </c>
      <c r="P293" s="274">
        <f t="shared" si="41"/>
        <v>0</v>
      </c>
      <c r="Q293" s="350"/>
      <c r="R293" s="461">
        <f t="shared" si="48"/>
        <v>0.05</v>
      </c>
      <c r="S293" s="462">
        <f t="shared" si="49"/>
        <v>440179.35</v>
      </c>
    </row>
    <row r="294" spans="2:19" ht="15" x14ac:dyDescent="0.25">
      <c r="B294" s="362"/>
      <c r="C294" s="269"/>
      <c r="D294" s="361"/>
      <c r="E294" s="360"/>
      <c r="F294" s="359"/>
      <c r="H294" s="358" t="str">
        <f t="shared" si="42"/>
        <v/>
      </c>
      <c r="I294" s="460" t="str">
        <f t="shared" si="43"/>
        <v/>
      </c>
      <c r="J294" s="463" t="str">
        <f t="shared" si="40"/>
        <v/>
      </c>
      <c r="K294" s="357" t="str">
        <f>IF(L294=0,"",IF(Ijour=0,MIN(DATE(YEAR(DebAmort),MONTH(DebAmort)+MoisD+(H294-1)*Imois,Jour2),DATE(YEAR(DebAmort),MONTH(DebAmort)+MoisD+1+(H294-1)*Imois,0)),DATE(YEAR(DebAmort),MONTH(DebAmort),Jour1+(H294-1)*Ijour)))</f>
        <v/>
      </c>
      <c r="L294" s="270">
        <f t="shared" si="44"/>
        <v>0</v>
      </c>
      <c r="M294" s="271">
        <f t="shared" si="46"/>
        <v>0</v>
      </c>
      <c r="N294" s="272">
        <f t="shared" si="47"/>
        <v>0</v>
      </c>
      <c r="O294" s="273">
        <f t="shared" si="45"/>
        <v>0</v>
      </c>
      <c r="P294" s="274">
        <f t="shared" si="41"/>
        <v>0</v>
      </c>
      <c r="Q294" s="350"/>
      <c r="R294" s="461">
        <f t="shared" si="48"/>
        <v>0.05</v>
      </c>
      <c r="S294" s="462">
        <f t="shared" si="49"/>
        <v>440179.35</v>
      </c>
    </row>
    <row r="295" spans="2:19" ht="15" x14ac:dyDescent="0.25">
      <c r="B295" s="362"/>
      <c r="C295" s="269"/>
      <c r="D295" s="361"/>
      <c r="E295" s="360"/>
      <c r="F295" s="359"/>
      <c r="H295" s="358" t="str">
        <f t="shared" si="42"/>
        <v/>
      </c>
      <c r="I295" s="460" t="str">
        <f t="shared" si="43"/>
        <v/>
      </c>
      <c r="J295" s="463" t="str">
        <f t="shared" si="40"/>
        <v/>
      </c>
      <c r="K295" s="357" t="str">
        <f>IF(L295=0,"",IF(Ijour=0,MIN(DATE(YEAR(DebAmort),MONTH(DebAmort)+(H295-1)*Imois,Jour1),DATE(YEAR(DebAmort),MONTH(DebAmort)+1+(H295-1)*Imois,0)),DATE(YEAR(DebAmort),MONTH(DebAmort),Jour1+(H295-1)*Ijour)))</f>
        <v/>
      </c>
      <c r="L295" s="270">
        <f t="shared" si="44"/>
        <v>0</v>
      </c>
      <c r="M295" s="271">
        <f t="shared" si="46"/>
        <v>0</v>
      </c>
      <c r="N295" s="272">
        <f t="shared" si="47"/>
        <v>0</v>
      </c>
      <c r="O295" s="273">
        <f t="shared" si="45"/>
        <v>0</v>
      </c>
      <c r="P295" s="274">
        <f t="shared" si="41"/>
        <v>0</v>
      </c>
      <c r="Q295" s="350"/>
      <c r="R295" s="461">
        <f t="shared" si="48"/>
        <v>0.05</v>
      </c>
      <c r="S295" s="462">
        <f t="shared" si="49"/>
        <v>440179.35</v>
      </c>
    </row>
    <row r="296" spans="2:19" ht="15" x14ac:dyDescent="0.25">
      <c r="B296" s="362"/>
      <c r="C296" s="269"/>
      <c r="D296" s="361"/>
      <c r="E296" s="360"/>
      <c r="F296" s="359"/>
      <c r="H296" s="358" t="str">
        <f t="shared" si="42"/>
        <v/>
      </c>
      <c r="I296" s="460" t="str">
        <f t="shared" si="43"/>
        <v/>
      </c>
      <c r="J296" s="463" t="str">
        <f t="shared" si="40"/>
        <v/>
      </c>
      <c r="K296" s="357" t="str">
        <f>IF(L296=0,"",IF(Ijour=0,MIN(DATE(YEAR(DebAmort),MONTH(DebAmort)+MoisD+(H296-1)*Imois,Jour2),DATE(YEAR(DebAmort),MONTH(DebAmort)+MoisD+1+(H296-1)*Imois,0)),DATE(YEAR(DebAmort),MONTH(DebAmort),Jour1+(H296-1)*Ijour)))</f>
        <v/>
      </c>
      <c r="L296" s="270">
        <f t="shared" si="44"/>
        <v>0</v>
      </c>
      <c r="M296" s="271">
        <f t="shared" si="46"/>
        <v>0</v>
      </c>
      <c r="N296" s="272">
        <f t="shared" si="47"/>
        <v>0</v>
      </c>
      <c r="O296" s="273">
        <f t="shared" si="45"/>
        <v>0</v>
      </c>
      <c r="P296" s="274">
        <f t="shared" si="41"/>
        <v>0</v>
      </c>
      <c r="Q296" s="350"/>
      <c r="R296" s="461">
        <f t="shared" si="48"/>
        <v>0.05</v>
      </c>
      <c r="S296" s="462">
        <f t="shared" si="49"/>
        <v>440179.35</v>
      </c>
    </row>
    <row r="297" spans="2:19" ht="15" x14ac:dyDescent="0.25">
      <c r="B297" s="362"/>
      <c r="C297" s="269"/>
      <c r="D297" s="361"/>
      <c r="E297" s="360"/>
      <c r="F297" s="359"/>
      <c r="H297" s="358" t="str">
        <f t="shared" si="42"/>
        <v/>
      </c>
      <c r="I297" s="460" t="str">
        <f t="shared" si="43"/>
        <v/>
      </c>
      <c r="J297" s="463" t="str">
        <f t="shared" si="40"/>
        <v/>
      </c>
      <c r="K297" s="357" t="str">
        <f>IF(L297=0,"",IF(Ijour=0,MIN(DATE(YEAR(DebAmort),MONTH(DebAmort)+(H297-1)*Imois,Jour1),DATE(YEAR(DebAmort),MONTH(DebAmort)+1+(H297-1)*Imois,0)),DATE(YEAR(DebAmort),MONTH(DebAmort),Jour1+(H297-1)*Ijour)))</f>
        <v/>
      </c>
      <c r="L297" s="270">
        <f t="shared" si="44"/>
        <v>0</v>
      </c>
      <c r="M297" s="271">
        <f t="shared" si="46"/>
        <v>0</v>
      </c>
      <c r="N297" s="272">
        <f t="shared" si="47"/>
        <v>0</v>
      </c>
      <c r="O297" s="273">
        <f t="shared" si="45"/>
        <v>0</v>
      </c>
      <c r="P297" s="274">
        <f t="shared" si="41"/>
        <v>0</v>
      </c>
      <c r="Q297" s="350"/>
      <c r="R297" s="461">
        <f t="shared" si="48"/>
        <v>0.05</v>
      </c>
      <c r="S297" s="462">
        <f t="shared" si="49"/>
        <v>440179.35</v>
      </c>
    </row>
    <row r="298" spans="2:19" ht="15" x14ac:dyDescent="0.25">
      <c r="B298" s="362"/>
      <c r="C298" s="269"/>
      <c r="D298" s="361"/>
      <c r="E298" s="360"/>
      <c r="F298" s="359"/>
      <c r="H298" s="358" t="str">
        <f t="shared" si="42"/>
        <v/>
      </c>
      <c r="I298" s="460" t="str">
        <f t="shared" si="43"/>
        <v/>
      </c>
      <c r="J298" s="463" t="str">
        <f t="shared" si="40"/>
        <v/>
      </c>
      <c r="K298" s="357" t="str">
        <f>IF(L298=0,"",IF(Ijour=0,MIN(DATE(YEAR(DebAmort),MONTH(DebAmort)+MoisD+(H298-1)*Imois,Jour2),DATE(YEAR(DebAmort),MONTH(DebAmort)+MoisD+1+(H298-1)*Imois,0)),DATE(YEAR(DebAmort),MONTH(DebAmort),Jour1+(H298-1)*Ijour)))</f>
        <v/>
      </c>
      <c r="L298" s="270">
        <f t="shared" si="44"/>
        <v>0</v>
      </c>
      <c r="M298" s="271">
        <f t="shared" si="46"/>
        <v>0</v>
      </c>
      <c r="N298" s="272">
        <f t="shared" si="47"/>
        <v>0</v>
      </c>
      <c r="O298" s="273">
        <f t="shared" si="45"/>
        <v>0</v>
      </c>
      <c r="P298" s="274">
        <f t="shared" si="41"/>
        <v>0</v>
      </c>
      <c r="Q298" s="350"/>
      <c r="R298" s="461">
        <f t="shared" si="48"/>
        <v>0.05</v>
      </c>
      <c r="S298" s="462">
        <f t="shared" si="49"/>
        <v>440179.35</v>
      </c>
    </row>
    <row r="299" spans="2:19" ht="15" x14ac:dyDescent="0.25">
      <c r="B299" s="362"/>
      <c r="C299" s="269"/>
      <c r="D299" s="361"/>
      <c r="E299" s="360"/>
      <c r="F299" s="359"/>
      <c r="H299" s="358" t="str">
        <f t="shared" si="42"/>
        <v/>
      </c>
      <c r="I299" s="460" t="str">
        <f t="shared" si="43"/>
        <v/>
      </c>
      <c r="J299" s="463" t="str">
        <f t="shared" si="40"/>
        <v/>
      </c>
      <c r="K299" s="357" t="str">
        <f>IF(L299=0,"",IF(Ijour=0,MIN(DATE(YEAR(DebAmort),MONTH(DebAmort)+(H299-1)*Imois,Jour1),DATE(YEAR(DebAmort),MONTH(DebAmort)+1+(H299-1)*Imois,0)),DATE(YEAR(DebAmort),MONTH(DebAmort),Jour1+(H299-1)*Ijour)))</f>
        <v/>
      </c>
      <c r="L299" s="270">
        <f t="shared" si="44"/>
        <v>0</v>
      </c>
      <c r="M299" s="271">
        <f t="shared" si="46"/>
        <v>0</v>
      </c>
      <c r="N299" s="272">
        <f t="shared" si="47"/>
        <v>0</v>
      </c>
      <c r="O299" s="273">
        <f t="shared" si="45"/>
        <v>0</v>
      </c>
      <c r="P299" s="274">
        <f t="shared" si="41"/>
        <v>0</v>
      </c>
      <c r="Q299" s="350"/>
      <c r="R299" s="461">
        <f t="shared" si="48"/>
        <v>0.05</v>
      </c>
      <c r="S299" s="462">
        <f t="shared" si="49"/>
        <v>440179.35</v>
      </c>
    </row>
    <row r="300" spans="2:19" ht="15" x14ac:dyDescent="0.25">
      <c r="B300" s="362"/>
      <c r="C300" s="269"/>
      <c r="D300" s="361"/>
      <c r="E300" s="360"/>
      <c r="F300" s="359"/>
      <c r="H300" s="358" t="str">
        <f t="shared" si="42"/>
        <v/>
      </c>
      <c r="I300" s="460" t="str">
        <f t="shared" si="43"/>
        <v/>
      </c>
      <c r="J300" s="463" t="str">
        <f t="shared" si="40"/>
        <v/>
      </c>
      <c r="K300" s="357" t="str">
        <f>IF(L300=0,"",IF(Ijour=0,MIN(DATE(YEAR(DebAmort),MONTH(DebAmort)+MoisD+(H300-1)*Imois,Jour2),DATE(YEAR(DebAmort),MONTH(DebAmort)+MoisD+1+(H300-1)*Imois,0)),DATE(YEAR(DebAmort),MONTH(DebAmort),Jour1+(H300-1)*Ijour)))</f>
        <v/>
      </c>
      <c r="L300" s="270">
        <f t="shared" si="44"/>
        <v>0</v>
      </c>
      <c r="M300" s="271">
        <f t="shared" si="46"/>
        <v>0</v>
      </c>
      <c r="N300" s="272">
        <f t="shared" si="47"/>
        <v>0</v>
      </c>
      <c r="O300" s="273">
        <f t="shared" si="45"/>
        <v>0</v>
      </c>
      <c r="P300" s="274">
        <f t="shared" si="41"/>
        <v>0</v>
      </c>
      <c r="Q300" s="350"/>
      <c r="R300" s="461">
        <f t="shared" si="48"/>
        <v>0.05</v>
      </c>
      <c r="S300" s="462">
        <f t="shared" si="49"/>
        <v>440179.35</v>
      </c>
    </row>
    <row r="301" spans="2:19" ht="15" x14ac:dyDescent="0.25">
      <c r="B301" s="362"/>
      <c r="C301" s="269"/>
      <c r="D301" s="361"/>
      <c r="E301" s="360"/>
      <c r="F301" s="359"/>
      <c r="H301" s="358" t="str">
        <f t="shared" si="42"/>
        <v/>
      </c>
      <c r="I301" s="460" t="str">
        <f t="shared" si="43"/>
        <v/>
      </c>
      <c r="J301" s="463" t="str">
        <f t="shared" si="40"/>
        <v/>
      </c>
      <c r="K301" s="357" t="str">
        <f>IF(L301=0,"",IF(Ijour=0,MIN(DATE(YEAR(DebAmort),MONTH(DebAmort)+(H301-1)*Imois,Jour1),DATE(YEAR(DebAmort),MONTH(DebAmort)+1+(H301-1)*Imois,0)),DATE(YEAR(DebAmort),MONTH(DebAmort),Jour1+(H301-1)*Ijour)))</f>
        <v/>
      </c>
      <c r="L301" s="270">
        <f t="shared" si="44"/>
        <v>0</v>
      </c>
      <c r="M301" s="271">
        <f t="shared" si="46"/>
        <v>0</v>
      </c>
      <c r="N301" s="272">
        <f t="shared" si="47"/>
        <v>0</v>
      </c>
      <c r="O301" s="273">
        <f t="shared" si="45"/>
        <v>0</v>
      </c>
      <c r="P301" s="274">
        <f t="shared" si="41"/>
        <v>0</v>
      </c>
      <c r="Q301" s="350"/>
      <c r="R301" s="461">
        <f t="shared" si="48"/>
        <v>0.05</v>
      </c>
      <c r="S301" s="462">
        <f t="shared" si="49"/>
        <v>440179.35</v>
      </c>
    </row>
    <row r="302" spans="2:19" ht="15" x14ac:dyDescent="0.25">
      <c r="B302" s="362"/>
      <c r="C302" s="269"/>
      <c r="D302" s="361"/>
      <c r="E302" s="360"/>
      <c r="F302" s="359"/>
      <c r="H302" s="358" t="str">
        <f t="shared" si="42"/>
        <v/>
      </c>
      <c r="I302" s="460" t="str">
        <f t="shared" si="43"/>
        <v/>
      </c>
      <c r="J302" s="463" t="str">
        <f t="shared" si="40"/>
        <v/>
      </c>
      <c r="K302" s="357" t="str">
        <f>IF(L302=0,"",IF(Ijour=0,MIN(DATE(YEAR(DebAmort),MONTH(DebAmort)+MoisD+(H302-1)*Imois,Jour2),DATE(YEAR(DebAmort),MONTH(DebAmort)+MoisD+1+(H302-1)*Imois,0)),DATE(YEAR(DebAmort),MONTH(DebAmort),Jour1+(H302-1)*Ijour)))</f>
        <v/>
      </c>
      <c r="L302" s="270">
        <f t="shared" si="44"/>
        <v>0</v>
      </c>
      <c r="M302" s="271">
        <f t="shared" si="46"/>
        <v>0</v>
      </c>
      <c r="N302" s="272">
        <f t="shared" si="47"/>
        <v>0</v>
      </c>
      <c r="O302" s="273">
        <f t="shared" si="45"/>
        <v>0</v>
      </c>
      <c r="P302" s="274">
        <f t="shared" si="41"/>
        <v>0</v>
      </c>
      <c r="Q302" s="350"/>
      <c r="R302" s="461">
        <f t="shared" si="48"/>
        <v>0.05</v>
      </c>
      <c r="S302" s="462">
        <f t="shared" si="49"/>
        <v>440179.35</v>
      </c>
    </row>
    <row r="303" spans="2:19" ht="15" x14ac:dyDescent="0.25">
      <c r="B303" s="362"/>
      <c r="C303" s="269"/>
      <c r="D303" s="361"/>
      <c r="E303" s="360"/>
      <c r="F303" s="359"/>
      <c r="H303" s="358" t="str">
        <f t="shared" si="42"/>
        <v/>
      </c>
      <c r="I303" s="460" t="str">
        <f t="shared" si="43"/>
        <v/>
      </c>
      <c r="J303" s="463" t="str">
        <f t="shared" si="40"/>
        <v/>
      </c>
      <c r="K303" s="357" t="str">
        <f>IF(L303=0,"",IF(Ijour=0,MIN(DATE(YEAR(DebAmort),MONTH(DebAmort)+(H303-1)*Imois,Jour1),DATE(YEAR(DebAmort),MONTH(DebAmort)+1+(H303-1)*Imois,0)),DATE(YEAR(DebAmort),MONTH(DebAmort),Jour1+(H303-1)*Ijour)))</f>
        <v/>
      </c>
      <c r="L303" s="270">
        <f t="shared" si="44"/>
        <v>0</v>
      </c>
      <c r="M303" s="271">
        <f t="shared" si="46"/>
        <v>0</v>
      </c>
      <c r="N303" s="272">
        <f t="shared" si="47"/>
        <v>0</v>
      </c>
      <c r="O303" s="273">
        <f t="shared" si="45"/>
        <v>0</v>
      </c>
      <c r="P303" s="274">
        <f t="shared" si="41"/>
        <v>0</v>
      </c>
      <c r="Q303" s="350"/>
      <c r="R303" s="461">
        <f t="shared" si="48"/>
        <v>0.05</v>
      </c>
      <c r="S303" s="462">
        <f t="shared" si="49"/>
        <v>440179.35</v>
      </c>
    </row>
    <row r="304" spans="2:19" ht="15" x14ac:dyDescent="0.25">
      <c r="B304" s="362"/>
      <c r="C304" s="269"/>
      <c r="D304" s="361"/>
      <c r="E304" s="360"/>
      <c r="F304" s="359"/>
      <c r="H304" s="358" t="str">
        <f t="shared" si="42"/>
        <v/>
      </c>
      <c r="I304" s="460" t="str">
        <f t="shared" si="43"/>
        <v/>
      </c>
      <c r="J304" s="463" t="str">
        <f t="shared" si="40"/>
        <v/>
      </c>
      <c r="K304" s="357" t="str">
        <f>IF(L304=0,"",IF(Ijour=0,MIN(DATE(YEAR(DebAmort),MONTH(DebAmort)+MoisD+(H304-1)*Imois,Jour2),DATE(YEAR(DebAmort),MONTH(DebAmort)+MoisD+1+(H304-1)*Imois,0)),DATE(YEAR(DebAmort),MONTH(DebAmort),Jour1+(H304-1)*Ijour)))</f>
        <v/>
      </c>
      <c r="L304" s="270">
        <f t="shared" si="44"/>
        <v>0</v>
      </c>
      <c r="M304" s="271">
        <f t="shared" si="46"/>
        <v>0</v>
      </c>
      <c r="N304" s="272">
        <f t="shared" si="47"/>
        <v>0</v>
      </c>
      <c r="O304" s="273">
        <f t="shared" si="45"/>
        <v>0</v>
      </c>
      <c r="P304" s="274">
        <f t="shared" si="41"/>
        <v>0</v>
      </c>
      <c r="Q304" s="350"/>
      <c r="R304" s="461">
        <f t="shared" si="48"/>
        <v>0.05</v>
      </c>
      <c r="S304" s="462">
        <f t="shared" si="49"/>
        <v>440179.35</v>
      </c>
    </row>
    <row r="305" spans="2:19" ht="15" x14ac:dyDescent="0.25">
      <c r="B305" s="362"/>
      <c r="C305" s="269"/>
      <c r="D305" s="361"/>
      <c r="E305" s="360"/>
      <c r="F305" s="359"/>
      <c r="H305" s="358" t="str">
        <f t="shared" si="42"/>
        <v/>
      </c>
      <c r="I305" s="460" t="str">
        <f t="shared" si="43"/>
        <v/>
      </c>
      <c r="J305" s="463" t="str">
        <f t="shared" si="40"/>
        <v/>
      </c>
      <c r="K305" s="357" t="str">
        <f>IF(L305=0,"",IF(Ijour=0,MIN(DATE(YEAR(DebAmort),MONTH(DebAmort)+(H305-1)*Imois,Jour1),DATE(YEAR(DebAmort),MONTH(DebAmort)+1+(H305-1)*Imois,0)),DATE(YEAR(DebAmort),MONTH(DebAmort),Jour1+(H305-1)*Ijour)))</f>
        <v/>
      </c>
      <c r="L305" s="270">
        <f t="shared" si="44"/>
        <v>0</v>
      </c>
      <c r="M305" s="271">
        <f t="shared" si="46"/>
        <v>0</v>
      </c>
      <c r="N305" s="272">
        <f t="shared" si="47"/>
        <v>0</v>
      </c>
      <c r="O305" s="273">
        <f t="shared" si="45"/>
        <v>0</v>
      </c>
      <c r="P305" s="274">
        <f t="shared" si="41"/>
        <v>0</v>
      </c>
      <c r="Q305" s="350"/>
      <c r="R305" s="461">
        <f t="shared" si="48"/>
        <v>0.05</v>
      </c>
      <c r="S305" s="462">
        <f t="shared" si="49"/>
        <v>440179.35</v>
      </c>
    </row>
    <row r="306" spans="2:19" ht="15" x14ac:dyDescent="0.25">
      <c r="B306" s="362"/>
      <c r="C306" s="269"/>
      <c r="D306" s="361"/>
      <c r="E306" s="360"/>
      <c r="F306" s="359"/>
      <c r="H306" s="358" t="str">
        <f t="shared" si="42"/>
        <v/>
      </c>
      <c r="I306" s="460" t="str">
        <f t="shared" si="43"/>
        <v/>
      </c>
      <c r="J306" s="463" t="str">
        <f t="shared" si="40"/>
        <v/>
      </c>
      <c r="K306" s="357" t="str">
        <f>IF(L306=0,"",IF(Ijour=0,MIN(DATE(YEAR(DebAmort),MONTH(DebAmort)+MoisD+(H306-1)*Imois,Jour2),DATE(YEAR(DebAmort),MONTH(DebAmort)+MoisD+1+(H306-1)*Imois,0)),DATE(YEAR(DebAmort),MONTH(DebAmort),Jour1+(H306-1)*Ijour)))</f>
        <v/>
      </c>
      <c r="L306" s="270">
        <f t="shared" si="44"/>
        <v>0</v>
      </c>
      <c r="M306" s="271">
        <f t="shared" si="46"/>
        <v>0</v>
      </c>
      <c r="N306" s="272">
        <f t="shared" si="47"/>
        <v>0</v>
      </c>
      <c r="O306" s="273">
        <f t="shared" si="45"/>
        <v>0</v>
      </c>
      <c r="P306" s="274">
        <f t="shared" si="41"/>
        <v>0</v>
      </c>
      <c r="Q306" s="350"/>
      <c r="R306" s="461">
        <f t="shared" si="48"/>
        <v>0.05</v>
      </c>
      <c r="S306" s="462">
        <f t="shared" si="49"/>
        <v>440179.35</v>
      </c>
    </row>
    <row r="307" spans="2:19" ht="15" x14ac:dyDescent="0.25">
      <c r="B307" s="362"/>
      <c r="C307" s="269"/>
      <c r="D307" s="361"/>
      <c r="E307" s="360"/>
      <c r="F307" s="359"/>
      <c r="H307" s="358" t="str">
        <f t="shared" si="42"/>
        <v/>
      </c>
      <c r="I307" s="460" t="str">
        <f t="shared" si="43"/>
        <v/>
      </c>
      <c r="J307" s="463" t="str">
        <f t="shared" si="40"/>
        <v/>
      </c>
      <c r="K307" s="357" t="str">
        <f>IF(L307=0,"",IF(Ijour=0,MIN(DATE(YEAR(DebAmort),MONTH(DebAmort)+(H307-1)*Imois,Jour1),DATE(YEAR(DebAmort),MONTH(DebAmort)+1+(H307-1)*Imois,0)),DATE(YEAR(DebAmort),MONTH(DebAmort),Jour1+(H307-1)*Ijour)))</f>
        <v/>
      </c>
      <c r="L307" s="270">
        <f t="shared" si="44"/>
        <v>0</v>
      </c>
      <c r="M307" s="271">
        <f t="shared" si="46"/>
        <v>0</v>
      </c>
      <c r="N307" s="272">
        <f t="shared" si="47"/>
        <v>0</v>
      </c>
      <c r="O307" s="273">
        <f t="shared" si="45"/>
        <v>0</v>
      </c>
      <c r="P307" s="274">
        <f t="shared" si="41"/>
        <v>0</v>
      </c>
      <c r="Q307" s="350"/>
      <c r="R307" s="461">
        <f t="shared" si="48"/>
        <v>0.05</v>
      </c>
      <c r="S307" s="462">
        <f t="shared" si="49"/>
        <v>440179.35</v>
      </c>
    </row>
    <row r="308" spans="2:19" ht="15" x14ac:dyDescent="0.25">
      <c r="B308" s="362"/>
      <c r="C308" s="269"/>
      <c r="D308" s="361"/>
      <c r="E308" s="360"/>
      <c r="F308" s="359"/>
      <c r="H308" s="358" t="str">
        <f t="shared" si="42"/>
        <v/>
      </c>
      <c r="I308" s="460" t="str">
        <f t="shared" si="43"/>
        <v/>
      </c>
      <c r="J308" s="463" t="str">
        <f t="shared" si="40"/>
        <v/>
      </c>
      <c r="K308" s="357" t="str">
        <f>IF(L308=0,"",IF(Ijour=0,MIN(DATE(YEAR(DebAmort),MONTH(DebAmort)+MoisD+(H308-1)*Imois,Jour2),DATE(YEAR(DebAmort),MONTH(DebAmort)+MoisD+1+(H308-1)*Imois,0)),DATE(YEAR(DebAmort),MONTH(DebAmort),Jour1+(H308-1)*Ijour)))</f>
        <v/>
      </c>
      <c r="L308" s="270">
        <f t="shared" si="44"/>
        <v>0</v>
      </c>
      <c r="M308" s="271">
        <f t="shared" si="46"/>
        <v>0</v>
      </c>
      <c r="N308" s="272">
        <f t="shared" si="47"/>
        <v>0</v>
      </c>
      <c r="O308" s="273">
        <f t="shared" si="45"/>
        <v>0</v>
      </c>
      <c r="P308" s="274">
        <f t="shared" si="41"/>
        <v>0</v>
      </c>
      <c r="Q308" s="350"/>
      <c r="R308" s="461">
        <f t="shared" si="48"/>
        <v>0.05</v>
      </c>
      <c r="S308" s="462">
        <f t="shared" si="49"/>
        <v>440179.35</v>
      </c>
    </row>
    <row r="309" spans="2:19" ht="15" x14ac:dyDescent="0.25">
      <c r="B309" s="362"/>
      <c r="C309" s="269"/>
      <c r="D309" s="361"/>
      <c r="E309" s="360"/>
      <c r="F309" s="359"/>
      <c r="H309" s="358" t="str">
        <f t="shared" si="42"/>
        <v/>
      </c>
      <c r="I309" s="460" t="str">
        <f t="shared" si="43"/>
        <v/>
      </c>
      <c r="J309" s="463" t="str">
        <f t="shared" si="40"/>
        <v/>
      </c>
      <c r="K309" s="357" t="str">
        <f>IF(L309=0,"",IF(Ijour=0,MIN(DATE(YEAR(DebAmort),MONTH(DebAmort)+(H309-1)*Imois,Jour1),DATE(YEAR(DebAmort),MONTH(DebAmort)+1+(H309-1)*Imois,0)),DATE(YEAR(DebAmort),MONTH(DebAmort),Jour1+(H309-1)*Ijour)))</f>
        <v/>
      </c>
      <c r="L309" s="270">
        <f t="shared" si="44"/>
        <v>0</v>
      </c>
      <c r="M309" s="271">
        <f t="shared" si="46"/>
        <v>0</v>
      </c>
      <c r="N309" s="272">
        <f t="shared" si="47"/>
        <v>0</v>
      </c>
      <c r="O309" s="273">
        <f t="shared" si="45"/>
        <v>0</v>
      </c>
      <c r="P309" s="274">
        <f t="shared" si="41"/>
        <v>0</v>
      </c>
      <c r="Q309" s="350"/>
      <c r="R309" s="461">
        <f t="shared" si="48"/>
        <v>0.05</v>
      </c>
      <c r="S309" s="462">
        <f t="shared" si="49"/>
        <v>440179.35</v>
      </c>
    </row>
    <row r="310" spans="2:19" ht="15" x14ac:dyDescent="0.25">
      <c r="B310" s="362"/>
      <c r="C310" s="269"/>
      <c r="D310" s="361"/>
      <c r="E310" s="360"/>
      <c r="F310" s="359"/>
      <c r="H310" s="358" t="str">
        <f t="shared" si="42"/>
        <v/>
      </c>
      <c r="I310" s="460" t="str">
        <f t="shared" si="43"/>
        <v/>
      </c>
      <c r="J310" s="463" t="str">
        <f t="shared" si="40"/>
        <v/>
      </c>
      <c r="K310" s="357" t="str">
        <f>IF(L310=0,"",IF(Ijour=0,MIN(DATE(YEAR(DebAmort),MONTH(DebAmort)+MoisD+(H310-1)*Imois,Jour2),DATE(YEAR(DebAmort),MONTH(DebAmort)+MoisD+1+(H310-1)*Imois,0)),DATE(YEAR(DebAmort),MONTH(DebAmort),Jour1+(H310-1)*Ijour)))</f>
        <v/>
      </c>
      <c r="L310" s="270">
        <f t="shared" si="44"/>
        <v>0</v>
      </c>
      <c r="M310" s="271">
        <f t="shared" si="46"/>
        <v>0</v>
      </c>
      <c r="N310" s="272">
        <f t="shared" si="47"/>
        <v>0</v>
      </c>
      <c r="O310" s="273">
        <f t="shared" si="45"/>
        <v>0</v>
      </c>
      <c r="P310" s="274">
        <f t="shared" si="41"/>
        <v>0</v>
      </c>
      <c r="Q310" s="350"/>
      <c r="R310" s="461">
        <f t="shared" si="48"/>
        <v>0.05</v>
      </c>
      <c r="S310" s="462">
        <f t="shared" si="49"/>
        <v>440179.35</v>
      </c>
    </row>
    <row r="311" spans="2:19" ht="15" x14ac:dyDescent="0.25">
      <c r="B311" s="362"/>
      <c r="C311" s="269"/>
      <c r="D311" s="361"/>
      <c r="E311" s="360"/>
      <c r="F311" s="359"/>
      <c r="H311" s="358" t="str">
        <f t="shared" si="42"/>
        <v/>
      </c>
      <c r="I311" s="460" t="str">
        <f t="shared" si="43"/>
        <v/>
      </c>
      <c r="J311" s="463" t="str">
        <f t="shared" si="40"/>
        <v/>
      </c>
      <c r="K311" s="357" t="str">
        <f>IF(L311=0,"",IF(Ijour=0,MIN(DATE(YEAR(DebAmort),MONTH(DebAmort)+(H311-1)*Imois,Jour1),DATE(YEAR(DebAmort),MONTH(DebAmort)+1+(H311-1)*Imois,0)),DATE(YEAR(DebAmort),MONTH(DebAmort),Jour1+(H311-1)*Ijour)))</f>
        <v/>
      </c>
      <c r="L311" s="270">
        <f t="shared" si="44"/>
        <v>0</v>
      </c>
      <c r="M311" s="271">
        <f t="shared" si="46"/>
        <v>0</v>
      </c>
      <c r="N311" s="272">
        <f t="shared" si="47"/>
        <v>0</v>
      </c>
      <c r="O311" s="273">
        <f t="shared" si="45"/>
        <v>0</v>
      </c>
      <c r="P311" s="274">
        <f t="shared" si="41"/>
        <v>0</v>
      </c>
      <c r="Q311" s="350"/>
      <c r="R311" s="461">
        <f t="shared" si="48"/>
        <v>0.05</v>
      </c>
      <c r="S311" s="462">
        <f t="shared" si="49"/>
        <v>440179.35</v>
      </c>
    </row>
    <row r="312" spans="2:19" ht="15" x14ac:dyDescent="0.25">
      <c r="B312" s="362"/>
      <c r="C312" s="269"/>
      <c r="D312" s="361"/>
      <c r="E312" s="360"/>
      <c r="F312" s="359"/>
      <c r="H312" s="358" t="str">
        <f t="shared" si="42"/>
        <v/>
      </c>
      <c r="I312" s="460" t="str">
        <f t="shared" si="43"/>
        <v/>
      </c>
      <c r="J312" s="463" t="str">
        <f t="shared" si="40"/>
        <v/>
      </c>
      <c r="K312" s="357" t="str">
        <f>IF(L312=0,"",IF(Ijour=0,MIN(DATE(YEAR(DebAmort),MONTH(DebAmort)+MoisD+(H312-1)*Imois,Jour2),DATE(YEAR(DebAmort),MONTH(DebAmort)+MoisD+1+(H312-1)*Imois,0)),DATE(YEAR(DebAmort),MONTH(DebAmort),Jour1+(H312-1)*Ijour)))</f>
        <v/>
      </c>
      <c r="L312" s="270">
        <f t="shared" si="44"/>
        <v>0</v>
      </c>
      <c r="M312" s="271">
        <f t="shared" si="46"/>
        <v>0</v>
      </c>
      <c r="N312" s="272">
        <f t="shared" si="47"/>
        <v>0</v>
      </c>
      <c r="O312" s="273">
        <f t="shared" si="45"/>
        <v>0</v>
      </c>
      <c r="P312" s="274">
        <f t="shared" si="41"/>
        <v>0</v>
      </c>
      <c r="Q312" s="350"/>
      <c r="R312" s="461">
        <f t="shared" si="48"/>
        <v>0.05</v>
      </c>
      <c r="S312" s="462">
        <f t="shared" si="49"/>
        <v>440179.35</v>
      </c>
    </row>
    <row r="313" spans="2:19" ht="15" x14ac:dyDescent="0.25">
      <c r="B313" s="362"/>
      <c r="C313" s="269"/>
      <c r="D313" s="361"/>
      <c r="E313" s="360"/>
      <c r="F313" s="359"/>
      <c r="H313" s="358" t="str">
        <f t="shared" si="42"/>
        <v/>
      </c>
      <c r="I313" s="460" t="str">
        <f t="shared" si="43"/>
        <v/>
      </c>
      <c r="J313" s="463" t="str">
        <f t="shared" si="40"/>
        <v/>
      </c>
      <c r="K313" s="357" t="str">
        <f>IF(L313=0,"",IF(Ijour=0,MIN(DATE(YEAR(DebAmort),MONTH(DebAmort)+(H313-1)*Imois,Jour1),DATE(YEAR(DebAmort),MONTH(DebAmort)+1+(H313-1)*Imois,0)),DATE(YEAR(DebAmort),MONTH(DebAmort),Jour1+(H313-1)*Ijour)))</f>
        <v/>
      </c>
      <c r="L313" s="270">
        <f t="shared" si="44"/>
        <v>0</v>
      </c>
      <c r="M313" s="271">
        <f t="shared" si="46"/>
        <v>0</v>
      </c>
      <c r="N313" s="272">
        <f t="shared" si="47"/>
        <v>0</v>
      </c>
      <c r="O313" s="273">
        <f t="shared" si="45"/>
        <v>0</v>
      </c>
      <c r="P313" s="274">
        <f t="shared" si="41"/>
        <v>0</v>
      </c>
      <c r="Q313" s="350"/>
      <c r="R313" s="461">
        <f t="shared" si="48"/>
        <v>0.05</v>
      </c>
      <c r="S313" s="462">
        <f t="shared" si="49"/>
        <v>440179.35</v>
      </c>
    </row>
    <row r="314" spans="2:19" ht="15" x14ac:dyDescent="0.25">
      <c r="B314" s="362"/>
      <c r="C314" s="269"/>
      <c r="D314" s="361"/>
      <c r="E314" s="360"/>
      <c r="F314" s="359"/>
      <c r="H314" s="358" t="str">
        <f t="shared" si="42"/>
        <v/>
      </c>
      <c r="I314" s="460" t="str">
        <f t="shared" si="43"/>
        <v/>
      </c>
      <c r="J314" s="463" t="str">
        <f t="shared" si="40"/>
        <v/>
      </c>
      <c r="K314" s="357" t="str">
        <f>IF(L314=0,"",IF(Ijour=0,MIN(DATE(YEAR(DebAmort),MONTH(DebAmort)+MoisD+(H314-1)*Imois,Jour2),DATE(YEAR(DebAmort),MONTH(DebAmort)+MoisD+1+(H314-1)*Imois,0)),DATE(YEAR(DebAmort),MONTH(DebAmort),Jour1+(H314-1)*Ijour)))</f>
        <v/>
      </c>
      <c r="L314" s="270">
        <f t="shared" si="44"/>
        <v>0</v>
      </c>
      <c r="M314" s="271">
        <f t="shared" si="46"/>
        <v>0</v>
      </c>
      <c r="N314" s="272">
        <f t="shared" si="47"/>
        <v>0</v>
      </c>
      <c r="O314" s="273">
        <f t="shared" si="45"/>
        <v>0</v>
      </c>
      <c r="P314" s="274">
        <f t="shared" si="41"/>
        <v>0</v>
      </c>
      <c r="Q314" s="350"/>
      <c r="R314" s="461">
        <f t="shared" si="48"/>
        <v>0.05</v>
      </c>
      <c r="S314" s="462">
        <f t="shared" si="49"/>
        <v>440179.35</v>
      </c>
    </row>
    <row r="315" spans="2:19" ht="15" x14ac:dyDescent="0.25">
      <c r="B315" s="362"/>
      <c r="C315" s="269"/>
      <c r="D315" s="361"/>
      <c r="E315" s="360"/>
      <c r="F315" s="359"/>
      <c r="H315" s="358" t="str">
        <f t="shared" si="42"/>
        <v/>
      </c>
      <c r="I315" s="460" t="str">
        <f t="shared" si="43"/>
        <v/>
      </c>
      <c r="J315" s="463" t="str">
        <f t="shared" si="40"/>
        <v/>
      </c>
      <c r="K315" s="357" t="str">
        <f>IF(L315=0,"",IF(Ijour=0,MIN(DATE(YEAR(DebAmort),MONTH(DebAmort)+(H315-1)*Imois,Jour1),DATE(YEAR(DebAmort),MONTH(DebAmort)+1+(H315-1)*Imois,0)),DATE(YEAR(DebAmort),MONTH(DebAmort),Jour1+(H315-1)*Ijour)))</f>
        <v/>
      </c>
      <c r="L315" s="270">
        <f t="shared" si="44"/>
        <v>0</v>
      </c>
      <c r="M315" s="271">
        <f t="shared" si="46"/>
        <v>0</v>
      </c>
      <c r="N315" s="272">
        <f t="shared" si="47"/>
        <v>0</v>
      </c>
      <c r="O315" s="273">
        <f t="shared" si="45"/>
        <v>0</v>
      </c>
      <c r="P315" s="274">
        <f t="shared" si="41"/>
        <v>0</v>
      </c>
      <c r="Q315" s="350"/>
      <c r="R315" s="461">
        <f t="shared" si="48"/>
        <v>0.05</v>
      </c>
      <c r="S315" s="462">
        <f t="shared" si="49"/>
        <v>440179.35</v>
      </c>
    </row>
    <row r="316" spans="2:19" ht="15" x14ac:dyDescent="0.25">
      <c r="B316" s="362"/>
      <c r="C316" s="269"/>
      <c r="D316" s="361"/>
      <c r="E316" s="360"/>
      <c r="F316" s="359"/>
      <c r="H316" s="358" t="str">
        <f t="shared" si="42"/>
        <v/>
      </c>
      <c r="I316" s="460" t="str">
        <f t="shared" si="43"/>
        <v/>
      </c>
      <c r="J316" s="463" t="str">
        <f t="shared" si="40"/>
        <v/>
      </c>
      <c r="K316" s="357" t="str">
        <f>IF(L316=0,"",IF(Ijour=0,MIN(DATE(YEAR(DebAmort),MONTH(DebAmort)+MoisD+(H316-1)*Imois,Jour2),DATE(YEAR(DebAmort),MONTH(DebAmort)+MoisD+1+(H316-1)*Imois,0)),DATE(YEAR(DebAmort),MONTH(DebAmort),Jour1+(H316-1)*Ijour)))</f>
        <v/>
      </c>
      <c r="L316" s="270">
        <f t="shared" si="44"/>
        <v>0</v>
      </c>
      <c r="M316" s="271">
        <f t="shared" si="46"/>
        <v>0</v>
      </c>
      <c r="N316" s="272">
        <f t="shared" si="47"/>
        <v>0</v>
      </c>
      <c r="O316" s="273">
        <f t="shared" si="45"/>
        <v>0</v>
      </c>
      <c r="P316" s="274">
        <f t="shared" si="41"/>
        <v>0</v>
      </c>
      <c r="Q316" s="350"/>
      <c r="R316" s="461">
        <f t="shared" si="48"/>
        <v>0.05</v>
      </c>
      <c r="S316" s="462">
        <f t="shared" si="49"/>
        <v>440179.35</v>
      </c>
    </row>
    <row r="317" spans="2:19" ht="15" x14ac:dyDescent="0.25">
      <c r="B317" s="362"/>
      <c r="C317" s="269"/>
      <c r="D317" s="361"/>
      <c r="E317" s="360"/>
      <c r="F317" s="359"/>
      <c r="H317" s="358" t="str">
        <f t="shared" si="42"/>
        <v/>
      </c>
      <c r="I317" s="460" t="str">
        <f t="shared" si="43"/>
        <v/>
      </c>
      <c r="J317" s="463" t="str">
        <f t="shared" si="40"/>
        <v/>
      </c>
      <c r="K317" s="357" t="str">
        <f>IF(L317=0,"",IF(Ijour=0,MIN(DATE(YEAR(DebAmort),MONTH(DebAmort)+(H317-1)*Imois,Jour1),DATE(YEAR(DebAmort),MONTH(DebAmort)+1+(H317-1)*Imois,0)),DATE(YEAR(DebAmort),MONTH(DebAmort),Jour1+(H317-1)*Ijour)))</f>
        <v/>
      </c>
      <c r="L317" s="270">
        <f t="shared" si="44"/>
        <v>0</v>
      </c>
      <c r="M317" s="271">
        <f t="shared" si="46"/>
        <v>0</v>
      </c>
      <c r="N317" s="272">
        <f t="shared" si="47"/>
        <v>0</v>
      </c>
      <c r="O317" s="273">
        <f t="shared" si="45"/>
        <v>0</v>
      </c>
      <c r="P317" s="274">
        <f t="shared" si="41"/>
        <v>0</v>
      </c>
      <c r="Q317" s="350"/>
      <c r="R317" s="461">
        <f t="shared" si="48"/>
        <v>0.05</v>
      </c>
      <c r="S317" s="462">
        <f t="shared" si="49"/>
        <v>440179.35</v>
      </c>
    </row>
    <row r="318" spans="2:19" ht="15" x14ac:dyDescent="0.25">
      <c r="B318" s="362"/>
      <c r="C318" s="269"/>
      <c r="D318" s="361"/>
      <c r="E318" s="360"/>
      <c r="F318" s="359"/>
      <c r="H318" s="358" t="str">
        <f t="shared" si="42"/>
        <v/>
      </c>
      <c r="I318" s="460" t="str">
        <f t="shared" si="43"/>
        <v/>
      </c>
      <c r="J318" s="463" t="str">
        <f t="shared" si="40"/>
        <v/>
      </c>
      <c r="K318" s="357" t="str">
        <f>IF(L318=0,"",IF(Ijour=0,MIN(DATE(YEAR(DebAmort),MONTH(DebAmort)+MoisD+(H318-1)*Imois,Jour2),DATE(YEAR(DebAmort),MONTH(DebAmort)+MoisD+1+(H318-1)*Imois,0)),DATE(YEAR(DebAmort),MONTH(DebAmort),Jour1+(H318-1)*Ijour)))</f>
        <v/>
      </c>
      <c r="L318" s="270">
        <f t="shared" si="44"/>
        <v>0</v>
      </c>
      <c r="M318" s="271">
        <f t="shared" si="46"/>
        <v>0</v>
      </c>
      <c r="N318" s="272">
        <f t="shared" si="47"/>
        <v>0</v>
      </c>
      <c r="O318" s="273">
        <f t="shared" si="45"/>
        <v>0</v>
      </c>
      <c r="P318" s="274">
        <f t="shared" si="41"/>
        <v>0</v>
      </c>
      <c r="Q318" s="350"/>
      <c r="R318" s="461">
        <f t="shared" si="48"/>
        <v>0.05</v>
      </c>
      <c r="S318" s="462">
        <f t="shared" si="49"/>
        <v>440179.35</v>
      </c>
    </row>
    <row r="319" spans="2:19" ht="15" x14ac:dyDescent="0.25">
      <c r="B319" s="362"/>
      <c r="C319" s="269"/>
      <c r="D319" s="361"/>
      <c r="E319" s="360"/>
      <c r="F319" s="359"/>
      <c r="H319" s="358" t="str">
        <f t="shared" si="42"/>
        <v/>
      </c>
      <c r="I319" s="460" t="str">
        <f t="shared" si="43"/>
        <v/>
      </c>
      <c r="J319" s="463" t="str">
        <f t="shared" si="40"/>
        <v/>
      </c>
      <c r="K319" s="357" t="str">
        <f>IF(L319=0,"",IF(Ijour=0,MIN(DATE(YEAR(DebAmort),MONTH(DebAmort)+(H319-1)*Imois,Jour1),DATE(YEAR(DebAmort),MONTH(DebAmort)+1+(H319-1)*Imois,0)),DATE(YEAR(DebAmort),MONTH(DebAmort),Jour1+(H319-1)*Ijour)))</f>
        <v/>
      </c>
      <c r="L319" s="270">
        <f t="shared" si="44"/>
        <v>0</v>
      </c>
      <c r="M319" s="271">
        <f t="shared" si="46"/>
        <v>0</v>
      </c>
      <c r="N319" s="272">
        <f t="shared" si="47"/>
        <v>0</v>
      </c>
      <c r="O319" s="273">
        <f t="shared" si="45"/>
        <v>0</v>
      </c>
      <c r="P319" s="274">
        <f t="shared" si="41"/>
        <v>0</v>
      </c>
      <c r="Q319" s="350"/>
      <c r="R319" s="461">
        <f t="shared" si="48"/>
        <v>0.05</v>
      </c>
      <c r="S319" s="462">
        <f t="shared" si="49"/>
        <v>440179.35</v>
      </c>
    </row>
    <row r="320" spans="2:19" ht="15" x14ac:dyDescent="0.25">
      <c r="B320" s="362"/>
      <c r="C320" s="269"/>
      <c r="D320" s="361"/>
      <c r="E320" s="360"/>
      <c r="F320" s="359"/>
      <c r="H320" s="358" t="str">
        <f t="shared" si="42"/>
        <v/>
      </c>
      <c r="I320" s="460" t="str">
        <f t="shared" si="43"/>
        <v/>
      </c>
      <c r="J320" s="463" t="str">
        <f t="shared" si="40"/>
        <v/>
      </c>
      <c r="K320" s="357" t="str">
        <f>IF(L320=0,"",IF(Ijour=0,MIN(DATE(YEAR(DebAmort),MONTH(DebAmort)+MoisD+(H320-1)*Imois,Jour2),DATE(YEAR(DebAmort),MONTH(DebAmort)+MoisD+1+(H320-1)*Imois,0)),DATE(YEAR(DebAmort),MONTH(DebAmort),Jour1+(H320-1)*Ijour)))</f>
        <v/>
      </c>
      <c r="L320" s="270">
        <f t="shared" si="44"/>
        <v>0</v>
      </c>
      <c r="M320" s="271">
        <f t="shared" si="46"/>
        <v>0</v>
      </c>
      <c r="N320" s="272">
        <f t="shared" si="47"/>
        <v>0</v>
      </c>
      <c r="O320" s="273">
        <f t="shared" si="45"/>
        <v>0</v>
      </c>
      <c r="P320" s="274">
        <f t="shared" si="41"/>
        <v>0</v>
      </c>
      <c r="Q320" s="350"/>
      <c r="R320" s="461">
        <f t="shared" si="48"/>
        <v>0.05</v>
      </c>
      <c r="S320" s="462">
        <f t="shared" si="49"/>
        <v>440179.35</v>
      </c>
    </row>
    <row r="321" spans="2:19" ht="15" x14ac:dyDescent="0.25">
      <c r="B321" s="362"/>
      <c r="C321" s="269"/>
      <c r="D321" s="361"/>
      <c r="E321" s="360"/>
      <c r="F321" s="359"/>
      <c r="H321" s="358" t="str">
        <f t="shared" si="42"/>
        <v/>
      </c>
      <c r="I321" s="460" t="str">
        <f t="shared" si="43"/>
        <v/>
      </c>
      <c r="J321" s="463" t="str">
        <f t="shared" si="40"/>
        <v/>
      </c>
      <c r="K321" s="357" t="str">
        <f>IF(L321=0,"",IF(Ijour=0,MIN(DATE(YEAR(DebAmort),MONTH(DebAmort)+(H321-1)*Imois,Jour1),DATE(YEAR(DebAmort),MONTH(DebAmort)+1+(H321-1)*Imois,0)),DATE(YEAR(DebAmort),MONTH(DebAmort),Jour1+(H321-1)*Ijour)))</f>
        <v/>
      </c>
      <c r="L321" s="270">
        <f t="shared" si="44"/>
        <v>0</v>
      </c>
      <c r="M321" s="271">
        <f t="shared" si="46"/>
        <v>0</v>
      </c>
      <c r="N321" s="272">
        <f t="shared" si="47"/>
        <v>0</v>
      </c>
      <c r="O321" s="273">
        <f t="shared" si="45"/>
        <v>0</v>
      </c>
      <c r="P321" s="274">
        <f t="shared" si="41"/>
        <v>0</v>
      </c>
      <c r="Q321" s="350"/>
      <c r="R321" s="461">
        <f t="shared" si="48"/>
        <v>0.05</v>
      </c>
      <c r="S321" s="462">
        <f t="shared" si="49"/>
        <v>440179.35</v>
      </c>
    </row>
    <row r="322" spans="2:19" ht="15" x14ac:dyDescent="0.25">
      <c r="B322" s="362"/>
      <c r="C322" s="269"/>
      <c r="D322" s="361"/>
      <c r="E322" s="360"/>
      <c r="F322" s="359"/>
      <c r="H322" s="358" t="str">
        <f t="shared" si="42"/>
        <v/>
      </c>
      <c r="I322" s="460" t="str">
        <f t="shared" si="43"/>
        <v/>
      </c>
      <c r="J322" s="463" t="str">
        <f t="shared" si="40"/>
        <v/>
      </c>
      <c r="K322" s="357" t="str">
        <f>IF(L322=0,"",IF(Ijour=0,MIN(DATE(YEAR(DebAmort),MONTH(DebAmort)+MoisD+(H322-1)*Imois,Jour2),DATE(YEAR(DebAmort),MONTH(DebAmort)+MoisD+1+(H322-1)*Imois,0)),DATE(YEAR(DebAmort),MONTH(DebAmort),Jour1+(H322-1)*Ijour)))</f>
        <v/>
      </c>
      <c r="L322" s="270">
        <f t="shared" si="44"/>
        <v>0</v>
      </c>
      <c r="M322" s="271">
        <f t="shared" si="46"/>
        <v>0</v>
      </c>
      <c r="N322" s="272">
        <f t="shared" si="47"/>
        <v>0</v>
      </c>
      <c r="O322" s="273">
        <f t="shared" si="45"/>
        <v>0</v>
      </c>
      <c r="P322" s="274">
        <f t="shared" si="41"/>
        <v>0</v>
      </c>
      <c r="Q322" s="350"/>
      <c r="R322" s="461">
        <f t="shared" si="48"/>
        <v>0.05</v>
      </c>
      <c r="S322" s="462">
        <f t="shared" si="49"/>
        <v>440179.35</v>
      </c>
    </row>
    <row r="323" spans="2:19" ht="15" x14ac:dyDescent="0.25">
      <c r="B323" s="362"/>
      <c r="C323" s="269"/>
      <c r="D323" s="361"/>
      <c r="E323" s="360"/>
      <c r="F323" s="359"/>
      <c r="H323" s="358" t="str">
        <f t="shared" si="42"/>
        <v/>
      </c>
      <c r="I323" s="460" t="str">
        <f t="shared" si="43"/>
        <v/>
      </c>
      <c r="J323" s="463" t="str">
        <f t="shared" si="40"/>
        <v/>
      </c>
      <c r="K323" s="357" t="str">
        <f>IF(L323=0,"",IF(Ijour=0,MIN(DATE(YEAR(DebAmort),MONTH(DebAmort)+(H323-1)*Imois,Jour1),DATE(YEAR(DebAmort),MONTH(DebAmort)+1+(H323-1)*Imois,0)),DATE(YEAR(DebAmort),MONTH(DebAmort),Jour1+(H323-1)*Ijour)))</f>
        <v/>
      </c>
      <c r="L323" s="270">
        <f t="shared" si="44"/>
        <v>0</v>
      </c>
      <c r="M323" s="271">
        <f t="shared" si="46"/>
        <v>0</v>
      </c>
      <c r="N323" s="272">
        <f t="shared" si="47"/>
        <v>0</v>
      </c>
      <c r="O323" s="273">
        <f t="shared" si="45"/>
        <v>0</v>
      </c>
      <c r="P323" s="274">
        <f t="shared" si="41"/>
        <v>0</v>
      </c>
      <c r="Q323" s="350"/>
      <c r="R323" s="461">
        <f t="shared" si="48"/>
        <v>0.05</v>
      </c>
      <c r="S323" s="462">
        <f t="shared" si="49"/>
        <v>440179.35</v>
      </c>
    </row>
    <row r="324" spans="2:19" ht="15" x14ac:dyDescent="0.25">
      <c r="B324" s="362"/>
      <c r="C324" s="269"/>
      <c r="D324" s="361"/>
      <c r="E324" s="360"/>
      <c r="F324" s="359"/>
      <c r="H324" s="358" t="str">
        <f t="shared" si="42"/>
        <v/>
      </c>
      <c r="I324" s="460" t="str">
        <f t="shared" si="43"/>
        <v/>
      </c>
      <c r="J324" s="463" t="str">
        <f t="shared" si="40"/>
        <v/>
      </c>
      <c r="K324" s="357" t="str">
        <f>IF(L324=0,"",IF(Ijour=0,MIN(DATE(YEAR(DebAmort),MONTH(DebAmort)+MoisD+(H324-1)*Imois,Jour2),DATE(YEAR(DebAmort),MONTH(DebAmort)+MoisD+1+(H324-1)*Imois,0)),DATE(YEAR(DebAmort),MONTH(DebAmort),Jour1+(H324-1)*Ijour)))</f>
        <v/>
      </c>
      <c r="L324" s="270">
        <f t="shared" si="44"/>
        <v>0</v>
      </c>
      <c r="M324" s="271">
        <f t="shared" si="46"/>
        <v>0</v>
      </c>
      <c r="N324" s="272">
        <f t="shared" si="47"/>
        <v>0</v>
      </c>
      <c r="O324" s="273">
        <f t="shared" si="45"/>
        <v>0</v>
      </c>
      <c r="P324" s="274">
        <f t="shared" si="41"/>
        <v>0</v>
      </c>
      <c r="Q324" s="350"/>
      <c r="R324" s="461">
        <f t="shared" si="48"/>
        <v>0.05</v>
      </c>
      <c r="S324" s="462">
        <f t="shared" si="49"/>
        <v>440179.35</v>
      </c>
    </row>
    <row r="325" spans="2:19" ht="15" x14ac:dyDescent="0.25">
      <c r="B325" s="362"/>
      <c r="C325" s="269"/>
      <c r="D325" s="361"/>
      <c r="E325" s="360"/>
      <c r="F325" s="359"/>
      <c r="H325" s="358" t="str">
        <f t="shared" si="42"/>
        <v/>
      </c>
      <c r="I325" s="460" t="str">
        <f t="shared" si="43"/>
        <v/>
      </c>
      <c r="J325" s="463" t="str">
        <f t="shared" si="40"/>
        <v/>
      </c>
      <c r="K325" s="357" t="str">
        <f>IF(L325=0,"",IF(Ijour=0,MIN(DATE(YEAR(DebAmort),MONTH(DebAmort)+(H325-1)*Imois,Jour1),DATE(YEAR(DebAmort),MONTH(DebAmort)+1+(H325-1)*Imois,0)),DATE(YEAR(DebAmort),MONTH(DebAmort),Jour1+(H325-1)*Ijour)))</f>
        <v/>
      </c>
      <c r="L325" s="270">
        <f t="shared" si="44"/>
        <v>0</v>
      </c>
      <c r="M325" s="271">
        <f t="shared" si="46"/>
        <v>0</v>
      </c>
      <c r="N325" s="272">
        <f t="shared" si="47"/>
        <v>0</v>
      </c>
      <c r="O325" s="273">
        <f t="shared" si="45"/>
        <v>0</v>
      </c>
      <c r="P325" s="274">
        <f t="shared" si="41"/>
        <v>0</v>
      </c>
      <c r="Q325" s="350"/>
      <c r="R325" s="461">
        <f t="shared" si="48"/>
        <v>0.05</v>
      </c>
      <c r="S325" s="462">
        <f t="shared" si="49"/>
        <v>440179.35</v>
      </c>
    </row>
    <row r="326" spans="2:19" ht="15" x14ac:dyDescent="0.25">
      <c r="B326" s="362"/>
      <c r="C326" s="269"/>
      <c r="D326" s="361"/>
      <c r="E326" s="360"/>
      <c r="F326" s="359"/>
      <c r="H326" s="358" t="str">
        <f t="shared" si="42"/>
        <v/>
      </c>
      <c r="I326" s="460" t="str">
        <f t="shared" si="43"/>
        <v/>
      </c>
      <c r="J326" s="463" t="str">
        <f t="shared" si="40"/>
        <v/>
      </c>
      <c r="K326" s="357" t="str">
        <f>IF(L326=0,"",IF(Ijour=0,MIN(DATE(YEAR(DebAmort),MONTH(DebAmort)+MoisD+(H326-1)*Imois,Jour2),DATE(YEAR(DebAmort),MONTH(DebAmort)+MoisD+1+(H326-1)*Imois,0)),DATE(YEAR(DebAmort),MONTH(DebAmort),Jour1+(H326-1)*Ijour)))</f>
        <v/>
      </c>
      <c r="L326" s="270">
        <f t="shared" si="44"/>
        <v>0</v>
      </c>
      <c r="M326" s="271">
        <f t="shared" si="46"/>
        <v>0</v>
      </c>
      <c r="N326" s="272">
        <f t="shared" si="47"/>
        <v>0</v>
      </c>
      <c r="O326" s="273">
        <f t="shared" si="45"/>
        <v>0</v>
      </c>
      <c r="P326" s="274">
        <f t="shared" si="41"/>
        <v>0</v>
      </c>
      <c r="Q326" s="350"/>
      <c r="R326" s="461">
        <f t="shared" si="48"/>
        <v>0.05</v>
      </c>
      <c r="S326" s="462">
        <f t="shared" si="49"/>
        <v>440179.35</v>
      </c>
    </row>
    <row r="327" spans="2:19" ht="15" x14ac:dyDescent="0.25">
      <c r="B327" s="362"/>
      <c r="C327" s="269"/>
      <c r="D327" s="361"/>
      <c r="E327" s="360"/>
      <c r="F327" s="359"/>
      <c r="H327" s="358" t="str">
        <f t="shared" si="42"/>
        <v/>
      </c>
      <c r="I327" s="460" t="str">
        <f t="shared" si="43"/>
        <v/>
      </c>
      <c r="J327" s="463" t="str">
        <f t="shared" si="40"/>
        <v/>
      </c>
      <c r="K327" s="357" t="str">
        <f>IF(L327=0,"",IF(Ijour=0,MIN(DATE(YEAR(DebAmort),MONTH(DebAmort)+(H327-1)*Imois,Jour1),DATE(YEAR(DebAmort),MONTH(DebAmort)+1+(H327-1)*Imois,0)),DATE(YEAR(DebAmort),MONTH(DebAmort),Jour1+(H327-1)*Ijour)))</f>
        <v/>
      </c>
      <c r="L327" s="270">
        <f t="shared" si="44"/>
        <v>0</v>
      </c>
      <c r="M327" s="271">
        <f t="shared" si="46"/>
        <v>0</v>
      </c>
      <c r="N327" s="272">
        <f t="shared" si="47"/>
        <v>0</v>
      </c>
      <c r="O327" s="273">
        <f t="shared" si="45"/>
        <v>0</v>
      </c>
      <c r="P327" s="274">
        <f t="shared" si="41"/>
        <v>0</v>
      </c>
      <c r="Q327" s="350"/>
      <c r="R327" s="461">
        <f t="shared" si="48"/>
        <v>0.05</v>
      </c>
      <c r="S327" s="462">
        <f t="shared" si="49"/>
        <v>440179.35</v>
      </c>
    </row>
    <row r="328" spans="2:19" ht="15" x14ac:dyDescent="0.25">
      <c r="B328" s="362"/>
      <c r="C328" s="269"/>
      <c r="D328" s="361"/>
      <c r="E328" s="360"/>
      <c r="F328" s="359"/>
      <c r="H328" s="358" t="str">
        <f t="shared" si="42"/>
        <v/>
      </c>
      <c r="I328" s="460" t="str">
        <f t="shared" si="43"/>
        <v/>
      </c>
      <c r="J328" s="463" t="str">
        <f t="shared" si="40"/>
        <v/>
      </c>
      <c r="K328" s="357" t="str">
        <f>IF(L328=0,"",IF(Ijour=0,MIN(DATE(YEAR(DebAmort),MONTH(DebAmort)+MoisD+(H328-1)*Imois,Jour2),DATE(YEAR(DebAmort),MONTH(DebAmort)+MoisD+1+(H328-1)*Imois,0)),DATE(YEAR(DebAmort),MONTH(DebAmort),Jour1+(H328-1)*Ijour)))</f>
        <v/>
      </c>
      <c r="L328" s="270">
        <f t="shared" si="44"/>
        <v>0</v>
      </c>
      <c r="M328" s="271">
        <f t="shared" si="46"/>
        <v>0</v>
      </c>
      <c r="N328" s="272">
        <f t="shared" si="47"/>
        <v>0</v>
      </c>
      <c r="O328" s="273">
        <f t="shared" si="45"/>
        <v>0</v>
      </c>
      <c r="P328" s="274">
        <f t="shared" si="41"/>
        <v>0</v>
      </c>
      <c r="Q328" s="350"/>
      <c r="R328" s="461">
        <f t="shared" si="48"/>
        <v>0.05</v>
      </c>
      <c r="S328" s="462">
        <f t="shared" si="49"/>
        <v>440179.35</v>
      </c>
    </row>
    <row r="329" spans="2:19" ht="15" x14ac:dyDescent="0.25">
      <c r="B329" s="362"/>
      <c r="C329" s="269"/>
      <c r="D329" s="361"/>
      <c r="E329" s="360"/>
      <c r="F329" s="359"/>
      <c r="H329" s="358" t="str">
        <f t="shared" si="42"/>
        <v/>
      </c>
      <c r="I329" s="460" t="str">
        <f t="shared" si="43"/>
        <v/>
      </c>
      <c r="J329" s="463" t="str">
        <f t="shared" si="40"/>
        <v/>
      </c>
      <c r="K329" s="357" t="str">
        <f>IF(L329=0,"",IF(Ijour=0,MIN(DATE(YEAR(DebAmort),MONTH(DebAmort)+(H329-1)*Imois,Jour1),DATE(YEAR(DebAmort),MONTH(DebAmort)+1+(H329-1)*Imois,0)),DATE(YEAR(DebAmort),MONTH(DebAmort),Jour1+(H329-1)*Ijour)))</f>
        <v/>
      </c>
      <c r="L329" s="270">
        <f t="shared" si="44"/>
        <v>0</v>
      </c>
      <c r="M329" s="271">
        <f t="shared" si="46"/>
        <v>0</v>
      </c>
      <c r="N329" s="272">
        <f t="shared" si="47"/>
        <v>0</v>
      </c>
      <c r="O329" s="273">
        <f t="shared" si="45"/>
        <v>0</v>
      </c>
      <c r="P329" s="274">
        <f t="shared" si="41"/>
        <v>0</v>
      </c>
      <c r="Q329" s="350"/>
      <c r="R329" s="461">
        <f t="shared" si="48"/>
        <v>0.05</v>
      </c>
      <c r="S329" s="462">
        <f t="shared" si="49"/>
        <v>440179.35</v>
      </c>
    </row>
    <row r="330" spans="2:19" ht="15" x14ac:dyDescent="0.25">
      <c r="B330" s="362"/>
      <c r="C330" s="269"/>
      <c r="D330" s="361"/>
      <c r="E330" s="360"/>
      <c r="F330" s="359"/>
      <c r="H330" s="358" t="str">
        <f t="shared" si="42"/>
        <v/>
      </c>
      <c r="I330" s="460" t="str">
        <f t="shared" si="43"/>
        <v/>
      </c>
      <c r="J330" s="463" t="str">
        <f t="shared" si="40"/>
        <v/>
      </c>
      <c r="K330" s="357" t="str">
        <f>IF(L330=0,"",IF(Ijour=0,MIN(DATE(YEAR(DebAmort),MONTH(DebAmort)+MoisD+(H330-1)*Imois,Jour2),DATE(YEAR(DebAmort),MONTH(DebAmort)+MoisD+1+(H330-1)*Imois,0)),DATE(YEAR(DebAmort),MONTH(DebAmort),Jour1+(H330-1)*Ijour)))</f>
        <v/>
      </c>
      <c r="L330" s="270">
        <f t="shared" si="44"/>
        <v>0</v>
      </c>
      <c r="M330" s="271">
        <f t="shared" si="46"/>
        <v>0</v>
      </c>
      <c r="N330" s="272">
        <f t="shared" si="47"/>
        <v>0</v>
      </c>
      <c r="O330" s="273">
        <f t="shared" si="45"/>
        <v>0</v>
      </c>
      <c r="P330" s="274">
        <f t="shared" si="41"/>
        <v>0</v>
      </c>
      <c r="Q330" s="350"/>
      <c r="R330" s="461">
        <f t="shared" si="48"/>
        <v>0.05</v>
      </c>
      <c r="S330" s="462">
        <f t="shared" si="49"/>
        <v>440179.35</v>
      </c>
    </row>
    <row r="331" spans="2:19" ht="15" x14ac:dyDescent="0.25">
      <c r="B331" s="362"/>
      <c r="C331" s="269"/>
      <c r="D331" s="361"/>
      <c r="E331" s="360"/>
      <c r="F331" s="359"/>
      <c r="H331" s="358" t="str">
        <f t="shared" si="42"/>
        <v/>
      </c>
      <c r="I331" s="460" t="str">
        <f t="shared" si="43"/>
        <v/>
      </c>
      <c r="J331" s="463" t="str">
        <f t="shared" si="40"/>
        <v/>
      </c>
      <c r="K331" s="357" t="str">
        <f>IF(L331=0,"",IF(Ijour=0,MIN(DATE(YEAR(DebAmort),MONTH(DebAmort)+(H331-1)*Imois,Jour1),DATE(YEAR(DebAmort),MONTH(DebAmort)+1+(H331-1)*Imois,0)),DATE(YEAR(DebAmort),MONTH(DebAmort),Jour1+(H331-1)*Ijour)))</f>
        <v/>
      </c>
      <c r="L331" s="270">
        <f t="shared" si="44"/>
        <v>0</v>
      </c>
      <c r="M331" s="271">
        <f t="shared" si="46"/>
        <v>0</v>
      </c>
      <c r="N331" s="272">
        <f t="shared" si="47"/>
        <v>0</v>
      </c>
      <c r="O331" s="273">
        <f t="shared" si="45"/>
        <v>0</v>
      </c>
      <c r="P331" s="274">
        <f t="shared" si="41"/>
        <v>0</v>
      </c>
      <c r="Q331" s="350"/>
      <c r="R331" s="461">
        <f t="shared" si="48"/>
        <v>0.05</v>
      </c>
      <c r="S331" s="462">
        <f t="shared" si="49"/>
        <v>440179.35</v>
      </c>
    </row>
    <row r="332" spans="2:19" ht="15" x14ac:dyDescent="0.25">
      <c r="B332" s="362"/>
      <c r="C332" s="269"/>
      <c r="D332" s="361"/>
      <c r="E332" s="360"/>
      <c r="F332" s="359"/>
      <c r="H332" s="358" t="str">
        <f t="shared" si="42"/>
        <v/>
      </c>
      <c r="I332" s="460" t="str">
        <f t="shared" si="43"/>
        <v/>
      </c>
      <c r="J332" s="463" t="str">
        <f t="shared" si="40"/>
        <v/>
      </c>
      <c r="K332" s="357" t="str">
        <f>IF(L332=0,"",IF(Ijour=0,MIN(DATE(YEAR(DebAmort),MONTH(DebAmort)+MoisD+(H332-1)*Imois,Jour2),DATE(YEAR(DebAmort),MONTH(DebAmort)+MoisD+1+(H332-1)*Imois,0)),DATE(YEAR(DebAmort),MONTH(DebAmort),Jour1+(H332-1)*Ijour)))</f>
        <v/>
      </c>
      <c r="L332" s="270">
        <f t="shared" si="44"/>
        <v>0</v>
      </c>
      <c r="M332" s="271">
        <f t="shared" si="46"/>
        <v>0</v>
      </c>
      <c r="N332" s="272">
        <f t="shared" si="47"/>
        <v>0</v>
      </c>
      <c r="O332" s="273">
        <f t="shared" si="45"/>
        <v>0</v>
      </c>
      <c r="P332" s="274">
        <f t="shared" si="41"/>
        <v>0</v>
      </c>
      <c r="Q332" s="350"/>
      <c r="R332" s="461">
        <f t="shared" si="48"/>
        <v>0.05</v>
      </c>
      <c r="S332" s="462">
        <f t="shared" si="49"/>
        <v>440179.35</v>
      </c>
    </row>
    <row r="333" spans="2:19" ht="15" x14ac:dyDescent="0.25">
      <c r="B333" s="362"/>
      <c r="C333" s="269"/>
      <c r="D333" s="361"/>
      <c r="E333" s="360"/>
      <c r="F333" s="359"/>
      <c r="H333" s="358" t="str">
        <f t="shared" si="42"/>
        <v/>
      </c>
      <c r="I333" s="460" t="str">
        <f t="shared" si="43"/>
        <v/>
      </c>
      <c r="J333" s="463" t="str">
        <f t="shared" si="40"/>
        <v/>
      </c>
      <c r="K333" s="357" t="str">
        <f>IF(L333=0,"",IF(Ijour=0,MIN(DATE(YEAR(DebAmort),MONTH(DebAmort)+(H333-1)*Imois,Jour1),DATE(YEAR(DebAmort),MONTH(DebAmort)+1+(H333-1)*Imois,0)),DATE(YEAR(DebAmort),MONTH(DebAmort),Jour1+(H333-1)*Ijour)))</f>
        <v/>
      </c>
      <c r="L333" s="270">
        <f t="shared" si="44"/>
        <v>0</v>
      </c>
      <c r="M333" s="271">
        <f t="shared" si="46"/>
        <v>0</v>
      </c>
      <c r="N333" s="272">
        <f t="shared" si="47"/>
        <v>0</v>
      </c>
      <c r="O333" s="273">
        <f t="shared" si="45"/>
        <v>0</v>
      </c>
      <c r="P333" s="274">
        <f t="shared" si="41"/>
        <v>0</v>
      </c>
      <c r="Q333" s="350"/>
      <c r="R333" s="461">
        <f t="shared" si="48"/>
        <v>0.05</v>
      </c>
      <c r="S333" s="462">
        <f t="shared" si="49"/>
        <v>440179.35</v>
      </c>
    </row>
    <row r="334" spans="2:19" ht="15" x14ac:dyDescent="0.25">
      <c r="B334" s="362"/>
      <c r="C334" s="269"/>
      <c r="D334" s="361"/>
      <c r="E334" s="360"/>
      <c r="F334" s="359"/>
      <c r="H334" s="358" t="str">
        <f t="shared" si="42"/>
        <v/>
      </c>
      <c r="I334" s="460" t="str">
        <f t="shared" si="43"/>
        <v/>
      </c>
      <c r="J334" s="463" t="str">
        <f t="shared" ref="J334:J397" si="50">IF(ISNUMBER(K334),YEAR(K334),"")</f>
        <v/>
      </c>
      <c r="K334" s="357" t="str">
        <f>IF(L334=0,"",IF(Ijour=0,MIN(DATE(YEAR(DebAmort),MONTH(DebAmort)+MoisD+(H334-1)*Imois,Jour2),DATE(YEAR(DebAmort),MONTH(DebAmort)+MoisD+1+(H334-1)*Imois,0)),DATE(YEAR(DebAmort),MONTH(DebAmort),Jour1+(H334-1)*Ijour)))</f>
        <v/>
      </c>
      <c r="L334" s="270">
        <f t="shared" si="44"/>
        <v>0</v>
      </c>
      <c r="M334" s="271">
        <f t="shared" si="46"/>
        <v>0</v>
      </c>
      <c r="N334" s="272">
        <f t="shared" si="47"/>
        <v>0</v>
      </c>
      <c r="O334" s="273">
        <f t="shared" si="45"/>
        <v>0</v>
      </c>
      <c r="P334" s="274">
        <f t="shared" ref="P334:P397" si="51">SUM(M334:O334)</f>
        <v>0</v>
      </c>
      <c r="Q334" s="350"/>
      <c r="R334" s="461">
        <f t="shared" si="48"/>
        <v>0.05</v>
      </c>
      <c r="S334" s="462">
        <f t="shared" si="49"/>
        <v>440179.35</v>
      </c>
    </row>
    <row r="335" spans="2:19" ht="15" x14ac:dyDescent="0.25">
      <c r="B335" s="362"/>
      <c r="C335" s="269"/>
      <c r="D335" s="361"/>
      <c r="E335" s="360"/>
      <c r="F335" s="359"/>
      <c r="H335" s="358" t="str">
        <f t="shared" ref="H335:H398" si="52">IF(L335=0,"",H334+1)</f>
        <v/>
      </c>
      <c r="I335" s="460" t="str">
        <f t="shared" ref="I335:I398" si="53">IF(L335&gt;0,NbEch+Différé+1-H335,"")</f>
        <v/>
      </c>
      <c r="J335" s="463" t="str">
        <f t="shared" si="50"/>
        <v/>
      </c>
      <c r="K335" s="357" t="str">
        <f>IF(L335=0,"",IF(Ijour=0,MIN(DATE(YEAR(DebAmort),MONTH(DebAmort)+(H335-1)*Imois,Jour1),DATE(YEAR(DebAmort),MONTH(DebAmort)+1+(H335-1)*Imois,0)),DATE(YEAR(DebAmort),MONTH(DebAmort),Jour1+(H335-1)*Ijour)))</f>
        <v/>
      </c>
      <c r="L335" s="270">
        <f t="shared" ref="L335:L398" si="54">L334-N334</f>
        <v>0</v>
      </c>
      <c r="M335" s="271">
        <f t="shared" si="46"/>
        <v>0</v>
      </c>
      <c r="N335" s="272">
        <f t="shared" si="47"/>
        <v>0</v>
      </c>
      <c r="O335" s="273">
        <f t="shared" ref="O335:O398" si="55">IF(OR(L335=0,H335&gt;NoEchMaxi),0,ROUND(FraisF+FraisV*L335,NbDeci))+F335</f>
        <v>0</v>
      </c>
      <c r="P335" s="274">
        <f t="shared" si="51"/>
        <v>0</v>
      </c>
      <c r="Q335" s="350"/>
      <c r="R335" s="461">
        <f t="shared" si="48"/>
        <v>0.05</v>
      </c>
      <c r="S335" s="462">
        <f t="shared" si="49"/>
        <v>440179.35</v>
      </c>
    </row>
    <row r="336" spans="2:19" ht="15" x14ac:dyDescent="0.25">
      <c r="B336" s="362"/>
      <c r="C336" s="269"/>
      <c r="D336" s="361"/>
      <c r="E336" s="360"/>
      <c r="F336" s="359"/>
      <c r="H336" s="358" t="str">
        <f t="shared" si="52"/>
        <v/>
      </c>
      <c r="I336" s="460" t="str">
        <f t="shared" si="53"/>
        <v/>
      </c>
      <c r="J336" s="463" t="str">
        <f t="shared" si="50"/>
        <v/>
      </c>
      <c r="K336" s="357" t="str">
        <f>IF(L336=0,"",IF(Ijour=0,MIN(DATE(YEAR(DebAmort),MONTH(DebAmort)+MoisD+(H336-1)*Imois,Jour2),DATE(YEAR(DebAmort),MONTH(DebAmort)+MoisD+1+(H336-1)*Imois,0)),DATE(YEAR(DebAmort),MONTH(DebAmort),Jour1+(H336-1)*Ijour)))</f>
        <v/>
      </c>
      <c r="L336" s="270">
        <f t="shared" si="54"/>
        <v>0</v>
      </c>
      <c r="M336" s="271">
        <f t="shared" ref="M336:M399" si="56">IF(H336&lt;=NoEchMaxi,ROUND(L336*R336,NbDeci),0)</f>
        <v>0</v>
      </c>
      <c r="N336" s="272">
        <f t="shared" ref="N336:N399" si="57">IF(OR(H336&lt;=Différé,H336&gt;NoEchMaxi),IF(DiffTotal,-M336,0),IF(H336&gt;=NoEchRemb,L336,IF(S336-(M336*EchFIXE)&gt;L336-2,L336,S336-(M336*EchFIXE))))+C336</f>
        <v>0</v>
      </c>
      <c r="O336" s="273">
        <f t="shared" si="55"/>
        <v>0</v>
      </c>
      <c r="P336" s="274">
        <f t="shared" si="51"/>
        <v>0</v>
      </c>
      <c r="Q336" s="350"/>
      <c r="R336" s="461">
        <f t="shared" ref="R336:R399" si="58">IF(B336&gt;0,IF(TauxActuariel,((B336+1)^(1/NbEchAn))-1,B336/NbEchAn),R335)</f>
        <v>0.05</v>
      </c>
      <c r="S336" s="462">
        <f t="shared" ref="S336:S399" si="59">IF(E336&gt;0,E336,IF(D336&gt;0,IF(AND(EchFIXE,R336&gt;0),ROUND((L336-C336)*R336/(1-((1+R336)^-D336)),NbDeci),ROUND(L336/D336,NbDeci)),S335))</f>
        <v>440179.35</v>
      </c>
    </row>
    <row r="337" spans="2:19" ht="15" x14ac:dyDescent="0.25">
      <c r="B337" s="362"/>
      <c r="C337" s="269"/>
      <c r="D337" s="361"/>
      <c r="E337" s="360"/>
      <c r="F337" s="359"/>
      <c r="H337" s="358" t="str">
        <f t="shared" si="52"/>
        <v/>
      </c>
      <c r="I337" s="460" t="str">
        <f t="shared" si="53"/>
        <v/>
      </c>
      <c r="J337" s="463" t="str">
        <f t="shared" si="50"/>
        <v/>
      </c>
      <c r="K337" s="357" t="str">
        <f>IF(L337=0,"",IF(Ijour=0,MIN(DATE(YEAR(DebAmort),MONTH(DebAmort)+(H337-1)*Imois,Jour1),DATE(YEAR(DebAmort),MONTH(DebAmort)+1+(H337-1)*Imois,0)),DATE(YEAR(DebAmort),MONTH(DebAmort),Jour1+(H337-1)*Ijour)))</f>
        <v/>
      </c>
      <c r="L337" s="270">
        <f t="shared" si="54"/>
        <v>0</v>
      </c>
      <c r="M337" s="271">
        <f t="shared" si="56"/>
        <v>0</v>
      </c>
      <c r="N337" s="272">
        <f t="shared" si="57"/>
        <v>0</v>
      </c>
      <c r="O337" s="273">
        <f t="shared" si="55"/>
        <v>0</v>
      </c>
      <c r="P337" s="274">
        <f t="shared" si="51"/>
        <v>0</v>
      </c>
      <c r="Q337" s="350"/>
      <c r="R337" s="461">
        <f t="shared" si="58"/>
        <v>0.05</v>
      </c>
      <c r="S337" s="462">
        <f t="shared" si="59"/>
        <v>440179.35</v>
      </c>
    </row>
    <row r="338" spans="2:19" ht="15" x14ac:dyDescent="0.25">
      <c r="B338" s="362"/>
      <c r="C338" s="269"/>
      <c r="D338" s="361"/>
      <c r="E338" s="360"/>
      <c r="F338" s="359"/>
      <c r="H338" s="358" t="str">
        <f t="shared" si="52"/>
        <v/>
      </c>
      <c r="I338" s="460" t="str">
        <f t="shared" si="53"/>
        <v/>
      </c>
      <c r="J338" s="463" t="str">
        <f t="shared" si="50"/>
        <v/>
      </c>
      <c r="K338" s="357" t="str">
        <f>IF(L338=0,"",IF(Ijour=0,MIN(DATE(YEAR(DebAmort),MONTH(DebAmort)+MoisD+(H338-1)*Imois,Jour2),DATE(YEAR(DebAmort),MONTH(DebAmort)+MoisD+1+(H338-1)*Imois,0)),DATE(YEAR(DebAmort),MONTH(DebAmort),Jour1+(H338-1)*Ijour)))</f>
        <v/>
      </c>
      <c r="L338" s="270">
        <f t="shared" si="54"/>
        <v>0</v>
      </c>
      <c r="M338" s="271">
        <f t="shared" si="56"/>
        <v>0</v>
      </c>
      <c r="N338" s="272">
        <f t="shared" si="57"/>
        <v>0</v>
      </c>
      <c r="O338" s="273">
        <f t="shared" si="55"/>
        <v>0</v>
      </c>
      <c r="P338" s="274">
        <f t="shared" si="51"/>
        <v>0</v>
      </c>
      <c r="Q338" s="350"/>
      <c r="R338" s="461">
        <f t="shared" si="58"/>
        <v>0.05</v>
      </c>
      <c r="S338" s="462">
        <f t="shared" si="59"/>
        <v>440179.35</v>
      </c>
    </row>
    <row r="339" spans="2:19" ht="15" x14ac:dyDescent="0.25">
      <c r="B339" s="362"/>
      <c r="C339" s="269"/>
      <c r="D339" s="361"/>
      <c r="E339" s="360"/>
      <c r="F339" s="359"/>
      <c r="H339" s="358" t="str">
        <f t="shared" si="52"/>
        <v/>
      </c>
      <c r="I339" s="460" t="str">
        <f t="shared" si="53"/>
        <v/>
      </c>
      <c r="J339" s="463" t="str">
        <f t="shared" si="50"/>
        <v/>
      </c>
      <c r="K339" s="357" t="str">
        <f>IF(L339=0,"",IF(Ijour=0,MIN(DATE(YEAR(DebAmort),MONTH(DebAmort)+(H339-1)*Imois,Jour1),DATE(YEAR(DebAmort),MONTH(DebAmort)+1+(H339-1)*Imois,0)),DATE(YEAR(DebAmort),MONTH(DebAmort),Jour1+(H339-1)*Ijour)))</f>
        <v/>
      </c>
      <c r="L339" s="270">
        <f t="shared" si="54"/>
        <v>0</v>
      </c>
      <c r="M339" s="271">
        <f t="shared" si="56"/>
        <v>0</v>
      </c>
      <c r="N339" s="272">
        <f t="shared" si="57"/>
        <v>0</v>
      </c>
      <c r="O339" s="273">
        <f t="shared" si="55"/>
        <v>0</v>
      </c>
      <c r="P339" s="274">
        <f t="shared" si="51"/>
        <v>0</v>
      </c>
      <c r="Q339" s="350"/>
      <c r="R339" s="461">
        <f t="shared" si="58"/>
        <v>0.05</v>
      </c>
      <c r="S339" s="462">
        <f t="shared" si="59"/>
        <v>440179.35</v>
      </c>
    </row>
    <row r="340" spans="2:19" ht="15" x14ac:dyDescent="0.25">
      <c r="B340" s="362"/>
      <c r="C340" s="269"/>
      <c r="D340" s="361"/>
      <c r="E340" s="360"/>
      <c r="F340" s="359"/>
      <c r="H340" s="358" t="str">
        <f t="shared" si="52"/>
        <v/>
      </c>
      <c r="I340" s="460" t="str">
        <f t="shared" si="53"/>
        <v/>
      </c>
      <c r="J340" s="463" t="str">
        <f t="shared" si="50"/>
        <v/>
      </c>
      <c r="K340" s="357" t="str">
        <f>IF(L340=0,"",IF(Ijour=0,MIN(DATE(YEAR(DebAmort),MONTH(DebAmort)+MoisD+(H340-1)*Imois,Jour2),DATE(YEAR(DebAmort),MONTH(DebAmort)+MoisD+1+(H340-1)*Imois,0)),DATE(YEAR(DebAmort),MONTH(DebAmort),Jour1+(H340-1)*Ijour)))</f>
        <v/>
      </c>
      <c r="L340" s="270">
        <f t="shared" si="54"/>
        <v>0</v>
      </c>
      <c r="M340" s="271">
        <f t="shared" si="56"/>
        <v>0</v>
      </c>
      <c r="N340" s="272">
        <f t="shared" si="57"/>
        <v>0</v>
      </c>
      <c r="O340" s="273">
        <f t="shared" si="55"/>
        <v>0</v>
      </c>
      <c r="P340" s="274">
        <f t="shared" si="51"/>
        <v>0</v>
      </c>
      <c r="Q340" s="350"/>
      <c r="R340" s="461">
        <f t="shared" si="58"/>
        <v>0.05</v>
      </c>
      <c r="S340" s="462">
        <f t="shared" si="59"/>
        <v>440179.35</v>
      </c>
    </row>
    <row r="341" spans="2:19" ht="15" x14ac:dyDescent="0.25">
      <c r="B341" s="362"/>
      <c r="C341" s="269"/>
      <c r="D341" s="361"/>
      <c r="E341" s="360"/>
      <c r="F341" s="359"/>
      <c r="H341" s="358" t="str">
        <f t="shared" si="52"/>
        <v/>
      </c>
      <c r="I341" s="460" t="str">
        <f t="shared" si="53"/>
        <v/>
      </c>
      <c r="J341" s="463" t="str">
        <f t="shared" si="50"/>
        <v/>
      </c>
      <c r="K341" s="357" t="str">
        <f>IF(L341=0,"",IF(Ijour=0,MIN(DATE(YEAR(DebAmort),MONTH(DebAmort)+(H341-1)*Imois,Jour1),DATE(YEAR(DebAmort),MONTH(DebAmort)+1+(H341-1)*Imois,0)),DATE(YEAR(DebAmort),MONTH(DebAmort),Jour1+(H341-1)*Ijour)))</f>
        <v/>
      </c>
      <c r="L341" s="270">
        <f t="shared" si="54"/>
        <v>0</v>
      </c>
      <c r="M341" s="271">
        <f t="shared" si="56"/>
        <v>0</v>
      </c>
      <c r="N341" s="272">
        <f t="shared" si="57"/>
        <v>0</v>
      </c>
      <c r="O341" s="273">
        <f t="shared" si="55"/>
        <v>0</v>
      </c>
      <c r="P341" s="274">
        <f t="shared" si="51"/>
        <v>0</v>
      </c>
      <c r="Q341" s="350"/>
      <c r="R341" s="461">
        <f t="shared" si="58"/>
        <v>0.05</v>
      </c>
      <c r="S341" s="462">
        <f t="shared" si="59"/>
        <v>440179.35</v>
      </c>
    </row>
    <row r="342" spans="2:19" ht="15" x14ac:dyDescent="0.25">
      <c r="B342" s="362"/>
      <c r="C342" s="269"/>
      <c r="D342" s="361"/>
      <c r="E342" s="360"/>
      <c r="F342" s="359"/>
      <c r="H342" s="358" t="str">
        <f t="shared" si="52"/>
        <v/>
      </c>
      <c r="I342" s="460" t="str">
        <f t="shared" si="53"/>
        <v/>
      </c>
      <c r="J342" s="463" t="str">
        <f t="shared" si="50"/>
        <v/>
      </c>
      <c r="K342" s="357" t="str">
        <f>IF(L342=0,"",IF(Ijour=0,MIN(DATE(YEAR(DebAmort),MONTH(DebAmort)+MoisD+(H342-1)*Imois,Jour2),DATE(YEAR(DebAmort),MONTH(DebAmort)+MoisD+1+(H342-1)*Imois,0)),DATE(YEAR(DebAmort),MONTH(DebAmort),Jour1+(H342-1)*Ijour)))</f>
        <v/>
      </c>
      <c r="L342" s="270">
        <f t="shared" si="54"/>
        <v>0</v>
      </c>
      <c r="M342" s="271">
        <f t="shared" si="56"/>
        <v>0</v>
      </c>
      <c r="N342" s="272">
        <f t="shared" si="57"/>
        <v>0</v>
      </c>
      <c r="O342" s="273">
        <f t="shared" si="55"/>
        <v>0</v>
      </c>
      <c r="P342" s="274">
        <f t="shared" si="51"/>
        <v>0</v>
      </c>
      <c r="Q342" s="350"/>
      <c r="R342" s="461">
        <f t="shared" si="58"/>
        <v>0.05</v>
      </c>
      <c r="S342" s="462">
        <f t="shared" si="59"/>
        <v>440179.35</v>
      </c>
    </row>
    <row r="343" spans="2:19" ht="15" x14ac:dyDescent="0.25">
      <c r="B343" s="362"/>
      <c r="C343" s="269"/>
      <c r="D343" s="361"/>
      <c r="E343" s="360"/>
      <c r="F343" s="359"/>
      <c r="H343" s="358" t="str">
        <f t="shared" si="52"/>
        <v/>
      </c>
      <c r="I343" s="460" t="str">
        <f t="shared" si="53"/>
        <v/>
      </c>
      <c r="J343" s="463" t="str">
        <f t="shared" si="50"/>
        <v/>
      </c>
      <c r="K343" s="357" t="str">
        <f>IF(L343=0,"",IF(Ijour=0,MIN(DATE(YEAR(DebAmort),MONTH(DebAmort)+(H343-1)*Imois,Jour1),DATE(YEAR(DebAmort),MONTH(DebAmort)+1+(H343-1)*Imois,0)),DATE(YEAR(DebAmort),MONTH(DebAmort),Jour1+(H343-1)*Ijour)))</f>
        <v/>
      </c>
      <c r="L343" s="270">
        <f t="shared" si="54"/>
        <v>0</v>
      </c>
      <c r="M343" s="271">
        <f t="shared" si="56"/>
        <v>0</v>
      </c>
      <c r="N343" s="272">
        <f t="shared" si="57"/>
        <v>0</v>
      </c>
      <c r="O343" s="273">
        <f t="shared" si="55"/>
        <v>0</v>
      </c>
      <c r="P343" s="274">
        <f t="shared" si="51"/>
        <v>0</v>
      </c>
      <c r="Q343" s="350"/>
      <c r="R343" s="461">
        <f t="shared" si="58"/>
        <v>0.05</v>
      </c>
      <c r="S343" s="462">
        <f t="shared" si="59"/>
        <v>440179.35</v>
      </c>
    </row>
    <row r="344" spans="2:19" ht="15" x14ac:dyDescent="0.25">
      <c r="B344" s="362"/>
      <c r="C344" s="269"/>
      <c r="D344" s="361"/>
      <c r="E344" s="360"/>
      <c r="F344" s="359"/>
      <c r="H344" s="358" t="str">
        <f t="shared" si="52"/>
        <v/>
      </c>
      <c r="I344" s="460" t="str">
        <f t="shared" si="53"/>
        <v/>
      </c>
      <c r="J344" s="463" t="str">
        <f t="shared" si="50"/>
        <v/>
      </c>
      <c r="K344" s="357" t="str">
        <f>IF(L344=0,"",IF(Ijour=0,MIN(DATE(YEAR(DebAmort),MONTH(DebAmort)+MoisD+(H344-1)*Imois,Jour2),DATE(YEAR(DebAmort),MONTH(DebAmort)+MoisD+1+(H344-1)*Imois,0)),DATE(YEAR(DebAmort),MONTH(DebAmort),Jour1+(H344-1)*Ijour)))</f>
        <v/>
      </c>
      <c r="L344" s="270">
        <f t="shared" si="54"/>
        <v>0</v>
      </c>
      <c r="M344" s="271">
        <f t="shared" si="56"/>
        <v>0</v>
      </c>
      <c r="N344" s="272">
        <f t="shared" si="57"/>
        <v>0</v>
      </c>
      <c r="O344" s="273">
        <f t="shared" si="55"/>
        <v>0</v>
      </c>
      <c r="P344" s="274">
        <f t="shared" si="51"/>
        <v>0</v>
      </c>
      <c r="Q344" s="350"/>
      <c r="R344" s="461">
        <f t="shared" si="58"/>
        <v>0.05</v>
      </c>
      <c r="S344" s="462">
        <f t="shared" si="59"/>
        <v>440179.35</v>
      </c>
    </row>
    <row r="345" spans="2:19" ht="15" x14ac:dyDescent="0.25">
      <c r="B345" s="362"/>
      <c r="C345" s="269"/>
      <c r="D345" s="361"/>
      <c r="E345" s="360"/>
      <c r="F345" s="359"/>
      <c r="H345" s="358" t="str">
        <f t="shared" si="52"/>
        <v/>
      </c>
      <c r="I345" s="460" t="str">
        <f t="shared" si="53"/>
        <v/>
      </c>
      <c r="J345" s="463" t="str">
        <f t="shared" si="50"/>
        <v/>
      </c>
      <c r="K345" s="357" t="str">
        <f>IF(L345=0,"",IF(Ijour=0,MIN(DATE(YEAR(DebAmort),MONTH(DebAmort)+(H345-1)*Imois,Jour1),DATE(YEAR(DebAmort),MONTH(DebAmort)+1+(H345-1)*Imois,0)),DATE(YEAR(DebAmort),MONTH(DebAmort),Jour1+(H345-1)*Ijour)))</f>
        <v/>
      </c>
      <c r="L345" s="270">
        <f t="shared" si="54"/>
        <v>0</v>
      </c>
      <c r="M345" s="271">
        <f t="shared" si="56"/>
        <v>0</v>
      </c>
      <c r="N345" s="272">
        <f t="shared" si="57"/>
        <v>0</v>
      </c>
      <c r="O345" s="273">
        <f t="shared" si="55"/>
        <v>0</v>
      </c>
      <c r="P345" s="274">
        <f t="shared" si="51"/>
        <v>0</v>
      </c>
      <c r="Q345" s="350"/>
      <c r="R345" s="461">
        <f t="shared" si="58"/>
        <v>0.05</v>
      </c>
      <c r="S345" s="462">
        <f t="shared" si="59"/>
        <v>440179.35</v>
      </c>
    </row>
    <row r="346" spans="2:19" ht="15" x14ac:dyDescent="0.25">
      <c r="B346" s="362"/>
      <c r="C346" s="269"/>
      <c r="D346" s="361"/>
      <c r="E346" s="360"/>
      <c r="F346" s="359"/>
      <c r="H346" s="358" t="str">
        <f t="shared" si="52"/>
        <v/>
      </c>
      <c r="I346" s="460" t="str">
        <f t="shared" si="53"/>
        <v/>
      </c>
      <c r="J346" s="463" t="str">
        <f t="shared" si="50"/>
        <v/>
      </c>
      <c r="K346" s="357" t="str">
        <f>IF(L346=0,"",IF(Ijour=0,MIN(DATE(YEAR(DebAmort),MONTH(DebAmort)+MoisD+(H346-1)*Imois,Jour2),DATE(YEAR(DebAmort),MONTH(DebAmort)+MoisD+1+(H346-1)*Imois,0)),DATE(YEAR(DebAmort),MONTH(DebAmort),Jour1+(H346-1)*Ijour)))</f>
        <v/>
      </c>
      <c r="L346" s="270">
        <f t="shared" si="54"/>
        <v>0</v>
      </c>
      <c r="M346" s="271">
        <f t="shared" si="56"/>
        <v>0</v>
      </c>
      <c r="N346" s="272">
        <f t="shared" si="57"/>
        <v>0</v>
      </c>
      <c r="O346" s="273">
        <f t="shared" si="55"/>
        <v>0</v>
      </c>
      <c r="P346" s="274">
        <f t="shared" si="51"/>
        <v>0</v>
      </c>
      <c r="Q346" s="350"/>
      <c r="R346" s="461">
        <f t="shared" si="58"/>
        <v>0.05</v>
      </c>
      <c r="S346" s="462">
        <f t="shared" si="59"/>
        <v>440179.35</v>
      </c>
    </row>
    <row r="347" spans="2:19" ht="15" x14ac:dyDescent="0.25">
      <c r="B347" s="362"/>
      <c r="C347" s="269"/>
      <c r="D347" s="361"/>
      <c r="E347" s="360"/>
      <c r="F347" s="359"/>
      <c r="H347" s="358" t="str">
        <f t="shared" si="52"/>
        <v/>
      </c>
      <c r="I347" s="460" t="str">
        <f t="shared" si="53"/>
        <v/>
      </c>
      <c r="J347" s="463" t="str">
        <f t="shared" si="50"/>
        <v/>
      </c>
      <c r="K347" s="357" t="str">
        <f>IF(L347=0,"",IF(Ijour=0,MIN(DATE(YEAR(DebAmort),MONTH(DebAmort)+(H347-1)*Imois,Jour1),DATE(YEAR(DebAmort),MONTH(DebAmort)+1+(H347-1)*Imois,0)),DATE(YEAR(DebAmort),MONTH(DebAmort),Jour1+(H347-1)*Ijour)))</f>
        <v/>
      </c>
      <c r="L347" s="270">
        <f t="shared" si="54"/>
        <v>0</v>
      </c>
      <c r="M347" s="271">
        <f t="shared" si="56"/>
        <v>0</v>
      </c>
      <c r="N347" s="272">
        <f t="shared" si="57"/>
        <v>0</v>
      </c>
      <c r="O347" s="273">
        <f t="shared" si="55"/>
        <v>0</v>
      </c>
      <c r="P347" s="274">
        <f t="shared" si="51"/>
        <v>0</v>
      </c>
      <c r="Q347" s="350"/>
      <c r="R347" s="461">
        <f t="shared" si="58"/>
        <v>0.05</v>
      </c>
      <c r="S347" s="462">
        <f t="shared" si="59"/>
        <v>440179.35</v>
      </c>
    </row>
    <row r="348" spans="2:19" ht="15" x14ac:dyDescent="0.25">
      <c r="B348" s="362"/>
      <c r="C348" s="269"/>
      <c r="D348" s="361"/>
      <c r="E348" s="360"/>
      <c r="F348" s="359"/>
      <c r="H348" s="358" t="str">
        <f t="shared" si="52"/>
        <v/>
      </c>
      <c r="I348" s="460" t="str">
        <f t="shared" si="53"/>
        <v/>
      </c>
      <c r="J348" s="463" t="str">
        <f t="shared" si="50"/>
        <v/>
      </c>
      <c r="K348" s="357" t="str">
        <f>IF(L348=0,"",IF(Ijour=0,MIN(DATE(YEAR(DebAmort),MONTH(DebAmort)+MoisD+(H348-1)*Imois,Jour2),DATE(YEAR(DebAmort),MONTH(DebAmort)+MoisD+1+(H348-1)*Imois,0)),DATE(YEAR(DebAmort),MONTH(DebAmort),Jour1+(H348-1)*Ijour)))</f>
        <v/>
      </c>
      <c r="L348" s="270">
        <f t="shared" si="54"/>
        <v>0</v>
      </c>
      <c r="M348" s="271">
        <f t="shared" si="56"/>
        <v>0</v>
      </c>
      <c r="N348" s="272">
        <f t="shared" si="57"/>
        <v>0</v>
      </c>
      <c r="O348" s="273">
        <f t="shared" si="55"/>
        <v>0</v>
      </c>
      <c r="P348" s="274">
        <f t="shared" si="51"/>
        <v>0</v>
      </c>
      <c r="Q348" s="350"/>
      <c r="R348" s="461">
        <f t="shared" si="58"/>
        <v>0.05</v>
      </c>
      <c r="S348" s="462">
        <f t="shared" si="59"/>
        <v>440179.35</v>
      </c>
    </row>
    <row r="349" spans="2:19" ht="15" x14ac:dyDescent="0.25">
      <c r="B349" s="362"/>
      <c r="C349" s="269"/>
      <c r="D349" s="361"/>
      <c r="E349" s="360"/>
      <c r="F349" s="359"/>
      <c r="H349" s="358" t="str">
        <f t="shared" si="52"/>
        <v/>
      </c>
      <c r="I349" s="460" t="str">
        <f t="shared" si="53"/>
        <v/>
      </c>
      <c r="J349" s="463" t="str">
        <f t="shared" si="50"/>
        <v/>
      </c>
      <c r="K349" s="357" t="str">
        <f>IF(L349=0,"",IF(Ijour=0,MIN(DATE(YEAR(DebAmort),MONTH(DebAmort)+(H349-1)*Imois,Jour1),DATE(YEAR(DebAmort),MONTH(DebAmort)+1+(H349-1)*Imois,0)),DATE(YEAR(DebAmort),MONTH(DebAmort),Jour1+(H349-1)*Ijour)))</f>
        <v/>
      </c>
      <c r="L349" s="270">
        <f t="shared" si="54"/>
        <v>0</v>
      </c>
      <c r="M349" s="271">
        <f t="shared" si="56"/>
        <v>0</v>
      </c>
      <c r="N349" s="272">
        <f t="shared" si="57"/>
        <v>0</v>
      </c>
      <c r="O349" s="273">
        <f t="shared" si="55"/>
        <v>0</v>
      </c>
      <c r="P349" s="274">
        <f t="shared" si="51"/>
        <v>0</v>
      </c>
      <c r="Q349" s="350"/>
      <c r="R349" s="461">
        <f t="shared" si="58"/>
        <v>0.05</v>
      </c>
      <c r="S349" s="462">
        <f t="shared" si="59"/>
        <v>440179.35</v>
      </c>
    </row>
    <row r="350" spans="2:19" ht="15" x14ac:dyDescent="0.25">
      <c r="B350" s="362"/>
      <c r="C350" s="269"/>
      <c r="D350" s="361"/>
      <c r="E350" s="360"/>
      <c r="F350" s="359"/>
      <c r="H350" s="358" t="str">
        <f t="shared" si="52"/>
        <v/>
      </c>
      <c r="I350" s="460" t="str">
        <f t="shared" si="53"/>
        <v/>
      </c>
      <c r="J350" s="463" t="str">
        <f t="shared" si="50"/>
        <v/>
      </c>
      <c r="K350" s="357" t="str">
        <f>IF(L350=0,"",IF(Ijour=0,MIN(DATE(YEAR(DebAmort),MONTH(DebAmort)+MoisD+(H350-1)*Imois,Jour2),DATE(YEAR(DebAmort),MONTH(DebAmort)+MoisD+1+(H350-1)*Imois,0)),DATE(YEAR(DebAmort),MONTH(DebAmort),Jour1+(H350-1)*Ijour)))</f>
        <v/>
      </c>
      <c r="L350" s="270">
        <f t="shared" si="54"/>
        <v>0</v>
      </c>
      <c r="M350" s="271">
        <f t="shared" si="56"/>
        <v>0</v>
      </c>
      <c r="N350" s="272">
        <f t="shared" si="57"/>
        <v>0</v>
      </c>
      <c r="O350" s="273">
        <f t="shared" si="55"/>
        <v>0</v>
      </c>
      <c r="P350" s="274">
        <f t="shared" si="51"/>
        <v>0</v>
      </c>
      <c r="Q350" s="350"/>
      <c r="R350" s="461">
        <f t="shared" si="58"/>
        <v>0.05</v>
      </c>
      <c r="S350" s="462">
        <f t="shared" si="59"/>
        <v>440179.35</v>
      </c>
    </row>
    <row r="351" spans="2:19" ht="15" x14ac:dyDescent="0.25">
      <c r="B351" s="362"/>
      <c r="C351" s="269"/>
      <c r="D351" s="361"/>
      <c r="E351" s="360"/>
      <c r="F351" s="359"/>
      <c r="H351" s="358" t="str">
        <f t="shared" si="52"/>
        <v/>
      </c>
      <c r="I351" s="460" t="str">
        <f t="shared" si="53"/>
        <v/>
      </c>
      <c r="J351" s="463" t="str">
        <f t="shared" si="50"/>
        <v/>
      </c>
      <c r="K351" s="357" t="str">
        <f>IF(L351=0,"",IF(Ijour=0,MIN(DATE(YEAR(DebAmort),MONTH(DebAmort)+(H351-1)*Imois,Jour1),DATE(YEAR(DebAmort),MONTH(DebAmort)+1+(H351-1)*Imois,0)),DATE(YEAR(DebAmort),MONTH(DebAmort),Jour1+(H351-1)*Ijour)))</f>
        <v/>
      </c>
      <c r="L351" s="270">
        <f t="shared" si="54"/>
        <v>0</v>
      </c>
      <c r="M351" s="271">
        <f t="shared" si="56"/>
        <v>0</v>
      </c>
      <c r="N351" s="272">
        <f t="shared" si="57"/>
        <v>0</v>
      </c>
      <c r="O351" s="273">
        <f t="shared" si="55"/>
        <v>0</v>
      </c>
      <c r="P351" s="274">
        <f t="shared" si="51"/>
        <v>0</v>
      </c>
      <c r="Q351" s="350"/>
      <c r="R351" s="461">
        <f t="shared" si="58"/>
        <v>0.05</v>
      </c>
      <c r="S351" s="462">
        <f t="shared" si="59"/>
        <v>440179.35</v>
      </c>
    </row>
    <row r="352" spans="2:19" ht="15" x14ac:dyDescent="0.25">
      <c r="B352" s="362"/>
      <c r="C352" s="269"/>
      <c r="D352" s="361"/>
      <c r="E352" s="360"/>
      <c r="F352" s="359"/>
      <c r="H352" s="358" t="str">
        <f t="shared" si="52"/>
        <v/>
      </c>
      <c r="I352" s="460" t="str">
        <f t="shared" si="53"/>
        <v/>
      </c>
      <c r="J352" s="463" t="str">
        <f t="shared" si="50"/>
        <v/>
      </c>
      <c r="K352" s="357" t="str">
        <f>IF(L352=0,"",IF(Ijour=0,MIN(DATE(YEAR(DebAmort),MONTH(DebAmort)+MoisD+(H352-1)*Imois,Jour2),DATE(YEAR(DebAmort),MONTH(DebAmort)+MoisD+1+(H352-1)*Imois,0)),DATE(YEAR(DebAmort),MONTH(DebAmort),Jour1+(H352-1)*Ijour)))</f>
        <v/>
      </c>
      <c r="L352" s="270">
        <f t="shared" si="54"/>
        <v>0</v>
      </c>
      <c r="M352" s="271">
        <f t="shared" si="56"/>
        <v>0</v>
      </c>
      <c r="N352" s="272">
        <f t="shared" si="57"/>
        <v>0</v>
      </c>
      <c r="O352" s="273">
        <f t="shared" si="55"/>
        <v>0</v>
      </c>
      <c r="P352" s="274">
        <f t="shared" si="51"/>
        <v>0</v>
      </c>
      <c r="Q352" s="350"/>
      <c r="R352" s="461">
        <f t="shared" si="58"/>
        <v>0.05</v>
      </c>
      <c r="S352" s="462">
        <f t="shared" si="59"/>
        <v>440179.35</v>
      </c>
    </row>
    <row r="353" spans="2:19" ht="15" x14ac:dyDescent="0.25">
      <c r="B353" s="362"/>
      <c r="C353" s="269"/>
      <c r="D353" s="361"/>
      <c r="E353" s="360"/>
      <c r="F353" s="359"/>
      <c r="H353" s="358" t="str">
        <f t="shared" si="52"/>
        <v/>
      </c>
      <c r="I353" s="460" t="str">
        <f t="shared" si="53"/>
        <v/>
      </c>
      <c r="J353" s="463" t="str">
        <f t="shared" si="50"/>
        <v/>
      </c>
      <c r="K353" s="357" t="str">
        <f>IF(L353=0,"",IF(Ijour=0,MIN(DATE(YEAR(DebAmort),MONTH(DebAmort)+(H353-1)*Imois,Jour1),DATE(YEAR(DebAmort),MONTH(DebAmort)+1+(H353-1)*Imois,0)),DATE(YEAR(DebAmort),MONTH(DebAmort),Jour1+(H353-1)*Ijour)))</f>
        <v/>
      </c>
      <c r="L353" s="270">
        <f t="shared" si="54"/>
        <v>0</v>
      </c>
      <c r="M353" s="271">
        <f t="shared" si="56"/>
        <v>0</v>
      </c>
      <c r="N353" s="272">
        <f t="shared" si="57"/>
        <v>0</v>
      </c>
      <c r="O353" s="273">
        <f t="shared" si="55"/>
        <v>0</v>
      </c>
      <c r="P353" s="274">
        <f t="shared" si="51"/>
        <v>0</v>
      </c>
      <c r="Q353" s="350"/>
      <c r="R353" s="461">
        <f t="shared" si="58"/>
        <v>0.05</v>
      </c>
      <c r="S353" s="462">
        <f t="shared" si="59"/>
        <v>440179.35</v>
      </c>
    </row>
    <row r="354" spans="2:19" ht="15" x14ac:dyDescent="0.25">
      <c r="B354" s="362"/>
      <c r="C354" s="269"/>
      <c r="D354" s="361"/>
      <c r="E354" s="360"/>
      <c r="F354" s="359"/>
      <c r="H354" s="358" t="str">
        <f t="shared" si="52"/>
        <v/>
      </c>
      <c r="I354" s="460" t="str">
        <f t="shared" si="53"/>
        <v/>
      </c>
      <c r="J354" s="463" t="str">
        <f t="shared" si="50"/>
        <v/>
      </c>
      <c r="K354" s="357" t="str">
        <f>IF(L354=0,"",IF(Ijour=0,MIN(DATE(YEAR(DebAmort),MONTH(DebAmort)+MoisD+(H354-1)*Imois,Jour2),DATE(YEAR(DebAmort),MONTH(DebAmort)+MoisD+1+(H354-1)*Imois,0)),DATE(YEAR(DebAmort),MONTH(DebAmort),Jour1+(H354-1)*Ijour)))</f>
        <v/>
      </c>
      <c r="L354" s="270">
        <f t="shared" si="54"/>
        <v>0</v>
      </c>
      <c r="M354" s="271">
        <f t="shared" si="56"/>
        <v>0</v>
      </c>
      <c r="N354" s="272">
        <f t="shared" si="57"/>
        <v>0</v>
      </c>
      <c r="O354" s="273">
        <f t="shared" si="55"/>
        <v>0</v>
      </c>
      <c r="P354" s="274">
        <f t="shared" si="51"/>
        <v>0</v>
      </c>
      <c r="Q354" s="350"/>
      <c r="R354" s="461">
        <f t="shared" si="58"/>
        <v>0.05</v>
      </c>
      <c r="S354" s="462">
        <f t="shared" si="59"/>
        <v>440179.35</v>
      </c>
    </row>
    <row r="355" spans="2:19" ht="15" x14ac:dyDescent="0.25">
      <c r="B355" s="362"/>
      <c r="C355" s="269"/>
      <c r="D355" s="361"/>
      <c r="E355" s="360"/>
      <c r="F355" s="359"/>
      <c r="H355" s="358" t="str">
        <f t="shared" si="52"/>
        <v/>
      </c>
      <c r="I355" s="460" t="str">
        <f t="shared" si="53"/>
        <v/>
      </c>
      <c r="J355" s="463" t="str">
        <f t="shared" si="50"/>
        <v/>
      </c>
      <c r="K355" s="357" t="str">
        <f>IF(L355=0,"",IF(Ijour=0,MIN(DATE(YEAR(DebAmort),MONTH(DebAmort)+(H355-1)*Imois,Jour1),DATE(YEAR(DebAmort),MONTH(DebAmort)+1+(H355-1)*Imois,0)),DATE(YEAR(DebAmort),MONTH(DebAmort),Jour1+(H355-1)*Ijour)))</f>
        <v/>
      </c>
      <c r="L355" s="270">
        <f t="shared" si="54"/>
        <v>0</v>
      </c>
      <c r="M355" s="271">
        <f t="shared" si="56"/>
        <v>0</v>
      </c>
      <c r="N355" s="272">
        <f t="shared" si="57"/>
        <v>0</v>
      </c>
      <c r="O355" s="273">
        <f t="shared" si="55"/>
        <v>0</v>
      </c>
      <c r="P355" s="274">
        <f t="shared" si="51"/>
        <v>0</v>
      </c>
      <c r="Q355" s="350"/>
      <c r="R355" s="461">
        <f t="shared" si="58"/>
        <v>0.05</v>
      </c>
      <c r="S355" s="462">
        <f t="shared" si="59"/>
        <v>440179.35</v>
      </c>
    </row>
    <row r="356" spans="2:19" ht="15" x14ac:dyDescent="0.25">
      <c r="B356" s="362"/>
      <c r="C356" s="269"/>
      <c r="D356" s="361"/>
      <c r="E356" s="360"/>
      <c r="F356" s="359"/>
      <c r="H356" s="358" t="str">
        <f t="shared" si="52"/>
        <v/>
      </c>
      <c r="I356" s="460" t="str">
        <f t="shared" si="53"/>
        <v/>
      </c>
      <c r="J356" s="463" t="str">
        <f t="shared" si="50"/>
        <v/>
      </c>
      <c r="K356" s="357" t="str">
        <f>IF(L356=0,"",IF(Ijour=0,MIN(DATE(YEAR(DebAmort),MONTH(DebAmort)+MoisD+(H356-1)*Imois,Jour2),DATE(YEAR(DebAmort),MONTH(DebAmort)+MoisD+1+(H356-1)*Imois,0)),DATE(YEAR(DebAmort),MONTH(DebAmort),Jour1+(H356-1)*Ijour)))</f>
        <v/>
      </c>
      <c r="L356" s="270">
        <f t="shared" si="54"/>
        <v>0</v>
      </c>
      <c r="M356" s="271">
        <f t="shared" si="56"/>
        <v>0</v>
      </c>
      <c r="N356" s="272">
        <f t="shared" si="57"/>
        <v>0</v>
      </c>
      <c r="O356" s="273">
        <f t="shared" si="55"/>
        <v>0</v>
      </c>
      <c r="P356" s="274">
        <f t="shared" si="51"/>
        <v>0</v>
      </c>
      <c r="Q356" s="350"/>
      <c r="R356" s="461">
        <f t="shared" si="58"/>
        <v>0.05</v>
      </c>
      <c r="S356" s="462">
        <f t="shared" si="59"/>
        <v>440179.35</v>
      </c>
    </row>
    <row r="357" spans="2:19" ht="15" x14ac:dyDescent="0.25">
      <c r="B357" s="362"/>
      <c r="C357" s="269"/>
      <c r="D357" s="361"/>
      <c r="E357" s="360"/>
      <c r="F357" s="359"/>
      <c r="H357" s="358" t="str">
        <f t="shared" si="52"/>
        <v/>
      </c>
      <c r="I357" s="460" t="str">
        <f t="shared" si="53"/>
        <v/>
      </c>
      <c r="J357" s="463" t="str">
        <f t="shared" si="50"/>
        <v/>
      </c>
      <c r="K357" s="357" t="str">
        <f>IF(L357=0,"",IF(Ijour=0,MIN(DATE(YEAR(DebAmort),MONTH(DebAmort)+(H357-1)*Imois,Jour1),DATE(YEAR(DebAmort),MONTH(DebAmort)+1+(H357-1)*Imois,0)),DATE(YEAR(DebAmort),MONTH(DebAmort),Jour1+(H357-1)*Ijour)))</f>
        <v/>
      </c>
      <c r="L357" s="270">
        <f t="shared" si="54"/>
        <v>0</v>
      </c>
      <c r="M357" s="271">
        <f t="shared" si="56"/>
        <v>0</v>
      </c>
      <c r="N357" s="272">
        <f t="shared" si="57"/>
        <v>0</v>
      </c>
      <c r="O357" s="273">
        <f t="shared" si="55"/>
        <v>0</v>
      </c>
      <c r="P357" s="274">
        <f t="shared" si="51"/>
        <v>0</v>
      </c>
      <c r="Q357" s="350"/>
      <c r="R357" s="461">
        <f t="shared" si="58"/>
        <v>0.05</v>
      </c>
      <c r="S357" s="462">
        <f t="shared" si="59"/>
        <v>440179.35</v>
      </c>
    </row>
    <row r="358" spans="2:19" ht="15" x14ac:dyDescent="0.25">
      <c r="B358" s="362"/>
      <c r="C358" s="269"/>
      <c r="D358" s="361"/>
      <c r="E358" s="360"/>
      <c r="F358" s="359"/>
      <c r="H358" s="358" t="str">
        <f t="shared" si="52"/>
        <v/>
      </c>
      <c r="I358" s="460" t="str">
        <f t="shared" si="53"/>
        <v/>
      </c>
      <c r="J358" s="463" t="str">
        <f t="shared" si="50"/>
        <v/>
      </c>
      <c r="K358" s="357" t="str">
        <f>IF(L358=0,"",IF(Ijour=0,MIN(DATE(YEAR(DebAmort),MONTH(DebAmort)+MoisD+(H358-1)*Imois,Jour2),DATE(YEAR(DebAmort),MONTH(DebAmort)+MoisD+1+(H358-1)*Imois,0)),DATE(YEAR(DebAmort),MONTH(DebAmort),Jour1+(H358-1)*Ijour)))</f>
        <v/>
      </c>
      <c r="L358" s="270">
        <f t="shared" si="54"/>
        <v>0</v>
      </c>
      <c r="M358" s="271">
        <f t="shared" si="56"/>
        <v>0</v>
      </c>
      <c r="N358" s="272">
        <f t="shared" si="57"/>
        <v>0</v>
      </c>
      <c r="O358" s="273">
        <f t="shared" si="55"/>
        <v>0</v>
      </c>
      <c r="P358" s="274">
        <f t="shared" si="51"/>
        <v>0</v>
      </c>
      <c r="Q358" s="350"/>
      <c r="R358" s="461">
        <f t="shared" si="58"/>
        <v>0.05</v>
      </c>
      <c r="S358" s="462">
        <f t="shared" si="59"/>
        <v>440179.35</v>
      </c>
    </row>
    <row r="359" spans="2:19" ht="15" x14ac:dyDescent="0.25">
      <c r="B359" s="362"/>
      <c r="C359" s="269"/>
      <c r="D359" s="361"/>
      <c r="E359" s="360"/>
      <c r="F359" s="359"/>
      <c r="H359" s="358" t="str">
        <f t="shared" si="52"/>
        <v/>
      </c>
      <c r="I359" s="460" t="str">
        <f t="shared" si="53"/>
        <v/>
      </c>
      <c r="J359" s="463" t="str">
        <f t="shared" si="50"/>
        <v/>
      </c>
      <c r="K359" s="357" t="str">
        <f>IF(L359=0,"",IF(Ijour=0,MIN(DATE(YEAR(DebAmort),MONTH(DebAmort)+(H359-1)*Imois,Jour1),DATE(YEAR(DebAmort),MONTH(DebAmort)+1+(H359-1)*Imois,0)),DATE(YEAR(DebAmort),MONTH(DebAmort),Jour1+(H359-1)*Ijour)))</f>
        <v/>
      </c>
      <c r="L359" s="270">
        <f t="shared" si="54"/>
        <v>0</v>
      </c>
      <c r="M359" s="271">
        <f t="shared" si="56"/>
        <v>0</v>
      </c>
      <c r="N359" s="272">
        <f t="shared" si="57"/>
        <v>0</v>
      </c>
      <c r="O359" s="273">
        <f t="shared" si="55"/>
        <v>0</v>
      </c>
      <c r="P359" s="274">
        <f t="shared" si="51"/>
        <v>0</v>
      </c>
      <c r="Q359" s="350"/>
      <c r="R359" s="461">
        <f t="shared" si="58"/>
        <v>0.05</v>
      </c>
      <c r="S359" s="462">
        <f t="shared" si="59"/>
        <v>440179.35</v>
      </c>
    </row>
    <row r="360" spans="2:19" ht="15" x14ac:dyDescent="0.25">
      <c r="B360" s="362"/>
      <c r="C360" s="269"/>
      <c r="D360" s="361"/>
      <c r="E360" s="360"/>
      <c r="F360" s="359"/>
      <c r="H360" s="358" t="str">
        <f t="shared" si="52"/>
        <v/>
      </c>
      <c r="I360" s="460" t="str">
        <f t="shared" si="53"/>
        <v/>
      </c>
      <c r="J360" s="463" t="str">
        <f t="shared" si="50"/>
        <v/>
      </c>
      <c r="K360" s="357" t="str">
        <f>IF(L360=0,"",IF(Ijour=0,MIN(DATE(YEAR(DebAmort),MONTH(DebAmort)+MoisD+(H360-1)*Imois,Jour2),DATE(YEAR(DebAmort),MONTH(DebAmort)+MoisD+1+(H360-1)*Imois,0)),DATE(YEAR(DebAmort),MONTH(DebAmort),Jour1+(H360-1)*Ijour)))</f>
        <v/>
      </c>
      <c r="L360" s="270">
        <f t="shared" si="54"/>
        <v>0</v>
      </c>
      <c r="M360" s="271">
        <f t="shared" si="56"/>
        <v>0</v>
      </c>
      <c r="N360" s="272">
        <f t="shared" si="57"/>
        <v>0</v>
      </c>
      <c r="O360" s="273">
        <f t="shared" si="55"/>
        <v>0</v>
      </c>
      <c r="P360" s="274">
        <f t="shared" si="51"/>
        <v>0</v>
      </c>
      <c r="Q360" s="350"/>
      <c r="R360" s="461">
        <f t="shared" si="58"/>
        <v>0.05</v>
      </c>
      <c r="S360" s="462">
        <f t="shared" si="59"/>
        <v>440179.35</v>
      </c>
    </row>
    <row r="361" spans="2:19" ht="15" x14ac:dyDescent="0.25">
      <c r="B361" s="362"/>
      <c r="C361" s="269"/>
      <c r="D361" s="361"/>
      <c r="E361" s="360"/>
      <c r="F361" s="359"/>
      <c r="H361" s="358" t="str">
        <f t="shared" si="52"/>
        <v/>
      </c>
      <c r="I361" s="460" t="str">
        <f t="shared" si="53"/>
        <v/>
      </c>
      <c r="J361" s="463" t="str">
        <f t="shared" si="50"/>
        <v/>
      </c>
      <c r="K361" s="357" t="str">
        <f>IF(L361=0,"",IF(Ijour=0,MIN(DATE(YEAR(DebAmort),MONTH(DebAmort)+(H361-1)*Imois,Jour1),DATE(YEAR(DebAmort),MONTH(DebAmort)+1+(H361-1)*Imois,0)),DATE(YEAR(DebAmort),MONTH(DebAmort),Jour1+(H361-1)*Ijour)))</f>
        <v/>
      </c>
      <c r="L361" s="270">
        <f t="shared" si="54"/>
        <v>0</v>
      </c>
      <c r="M361" s="271">
        <f t="shared" si="56"/>
        <v>0</v>
      </c>
      <c r="N361" s="272">
        <f t="shared" si="57"/>
        <v>0</v>
      </c>
      <c r="O361" s="273">
        <f t="shared" si="55"/>
        <v>0</v>
      </c>
      <c r="P361" s="274">
        <f t="shared" si="51"/>
        <v>0</v>
      </c>
      <c r="Q361" s="350"/>
      <c r="R361" s="461">
        <f t="shared" si="58"/>
        <v>0.05</v>
      </c>
      <c r="S361" s="462">
        <f t="shared" si="59"/>
        <v>440179.35</v>
      </c>
    </row>
    <row r="362" spans="2:19" ht="15" x14ac:dyDescent="0.25">
      <c r="B362" s="362"/>
      <c r="C362" s="269"/>
      <c r="D362" s="361"/>
      <c r="E362" s="360"/>
      <c r="F362" s="359"/>
      <c r="H362" s="358" t="str">
        <f t="shared" si="52"/>
        <v/>
      </c>
      <c r="I362" s="460" t="str">
        <f t="shared" si="53"/>
        <v/>
      </c>
      <c r="J362" s="463" t="str">
        <f t="shared" si="50"/>
        <v/>
      </c>
      <c r="K362" s="357" t="str">
        <f>IF(L362=0,"",IF(Ijour=0,MIN(DATE(YEAR(DebAmort),MONTH(DebAmort)+MoisD+(H362-1)*Imois,Jour2),DATE(YEAR(DebAmort),MONTH(DebAmort)+MoisD+1+(H362-1)*Imois,0)),DATE(YEAR(DebAmort),MONTH(DebAmort),Jour1+(H362-1)*Ijour)))</f>
        <v/>
      </c>
      <c r="L362" s="270">
        <f t="shared" si="54"/>
        <v>0</v>
      </c>
      <c r="M362" s="271">
        <f t="shared" si="56"/>
        <v>0</v>
      </c>
      <c r="N362" s="272">
        <f t="shared" si="57"/>
        <v>0</v>
      </c>
      <c r="O362" s="273">
        <f t="shared" si="55"/>
        <v>0</v>
      </c>
      <c r="P362" s="274">
        <f t="shared" si="51"/>
        <v>0</v>
      </c>
      <c r="Q362" s="350"/>
      <c r="R362" s="461">
        <f t="shared" si="58"/>
        <v>0.05</v>
      </c>
      <c r="S362" s="462">
        <f t="shared" si="59"/>
        <v>440179.35</v>
      </c>
    </row>
    <row r="363" spans="2:19" ht="15" x14ac:dyDescent="0.25">
      <c r="B363" s="362"/>
      <c r="C363" s="269"/>
      <c r="D363" s="361"/>
      <c r="E363" s="360"/>
      <c r="F363" s="359"/>
      <c r="H363" s="358" t="str">
        <f t="shared" si="52"/>
        <v/>
      </c>
      <c r="I363" s="460" t="str">
        <f t="shared" si="53"/>
        <v/>
      </c>
      <c r="J363" s="463" t="str">
        <f t="shared" si="50"/>
        <v/>
      </c>
      <c r="K363" s="357" t="str">
        <f>IF(L363=0,"",IF(Ijour=0,MIN(DATE(YEAR(DebAmort),MONTH(DebAmort)+(H363-1)*Imois,Jour1),DATE(YEAR(DebAmort),MONTH(DebAmort)+1+(H363-1)*Imois,0)),DATE(YEAR(DebAmort),MONTH(DebAmort),Jour1+(H363-1)*Ijour)))</f>
        <v/>
      </c>
      <c r="L363" s="270">
        <f t="shared" si="54"/>
        <v>0</v>
      </c>
      <c r="M363" s="271">
        <f t="shared" si="56"/>
        <v>0</v>
      </c>
      <c r="N363" s="272">
        <f t="shared" si="57"/>
        <v>0</v>
      </c>
      <c r="O363" s="273">
        <f t="shared" si="55"/>
        <v>0</v>
      </c>
      <c r="P363" s="274">
        <f t="shared" si="51"/>
        <v>0</v>
      </c>
      <c r="Q363" s="350"/>
      <c r="R363" s="461">
        <f t="shared" si="58"/>
        <v>0.05</v>
      </c>
      <c r="S363" s="462">
        <f t="shared" si="59"/>
        <v>440179.35</v>
      </c>
    </row>
    <row r="364" spans="2:19" ht="15" x14ac:dyDescent="0.25">
      <c r="B364" s="362"/>
      <c r="C364" s="269"/>
      <c r="D364" s="361"/>
      <c r="E364" s="360"/>
      <c r="F364" s="359"/>
      <c r="H364" s="358" t="str">
        <f t="shared" si="52"/>
        <v/>
      </c>
      <c r="I364" s="460" t="str">
        <f t="shared" si="53"/>
        <v/>
      </c>
      <c r="J364" s="463" t="str">
        <f t="shared" si="50"/>
        <v/>
      </c>
      <c r="K364" s="357" t="str">
        <f>IF(L364=0,"",IF(Ijour=0,MIN(DATE(YEAR(DebAmort),MONTH(DebAmort)+MoisD+(H364-1)*Imois,Jour2),DATE(YEAR(DebAmort),MONTH(DebAmort)+MoisD+1+(H364-1)*Imois,0)),DATE(YEAR(DebAmort),MONTH(DebAmort),Jour1+(H364-1)*Ijour)))</f>
        <v/>
      </c>
      <c r="L364" s="270">
        <f t="shared" si="54"/>
        <v>0</v>
      </c>
      <c r="M364" s="271">
        <f t="shared" si="56"/>
        <v>0</v>
      </c>
      <c r="N364" s="272">
        <f t="shared" si="57"/>
        <v>0</v>
      </c>
      <c r="O364" s="273">
        <f t="shared" si="55"/>
        <v>0</v>
      </c>
      <c r="P364" s="274">
        <f t="shared" si="51"/>
        <v>0</v>
      </c>
      <c r="Q364" s="350"/>
      <c r="R364" s="461">
        <f t="shared" si="58"/>
        <v>0.05</v>
      </c>
      <c r="S364" s="462">
        <f t="shared" si="59"/>
        <v>440179.35</v>
      </c>
    </row>
    <row r="365" spans="2:19" ht="15" x14ac:dyDescent="0.25">
      <c r="B365" s="362"/>
      <c r="C365" s="269"/>
      <c r="D365" s="361"/>
      <c r="E365" s="360"/>
      <c r="F365" s="359"/>
      <c r="H365" s="358" t="str">
        <f t="shared" si="52"/>
        <v/>
      </c>
      <c r="I365" s="460" t="str">
        <f t="shared" si="53"/>
        <v/>
      </c>
      <c r="J365" s="463" t="str">
        <f t="shared" si="50"/>
        <v/>
      </c>
      <c r="K365" s="357" t="str">
        <f>IF(L365=0,"",IF(Ijour=0,MIN(DATE(YEAR(DebAmort),MONTH(DebAmort)+(H365-1)*Imois,Jour1),DATE(YEAR(DebAmort),MONTH(DebAmort)+1+(H365-1)*Imois,0)),DATE(YEAR(DebAmort),MONTH(DebAmort),Jour1+(H365-1)*Ijour)))</f>
        <v/>
      </c>
      <c r="L365" s="270">
        <f t="shared" si="54"/>
        <v>0</v>
      </c>
      <c r="M365" s="271">
        <f t="shared" si="56"/>
        <v>0</v>
      </c>
      <c r="N365" s="272">
        <f t="shared" si="57"/>
        <v>0</v>
      </c>
      <c r="O365" s="273">
        <f t="shared" si="55"/>
        <v>0</v>
      </c>
      <c r="P365" s="274">
        <f t="shared" si="51"/>
        <v>0</v>
      </c>
      <c r="Q365" s="350"/>
      <c r="R365" s="461">
        <f t="shared" si="58"/>
        <v>0.05</v>
      </c>
      <c r="S365" s="462">
        <f t="shared" si="59"/>
        <v>440179.35</v>
      </c>
    </row>
    <row r="366" spans="2:19" ht="15" x14ac:dyDescent="0.25">
      <c r="B366" s="362"/>
      <c r="C366" s="269"/>
      <c r="D366" s="361"/>
      <c r="E366" s="360"/>
      <c r="F366" s="359"/>
      <c r="H366" s="358" t="str">
        <f t="shared" si="52"/>
        <v/>
      </c>
      <c r="I366" s="460" t="str">
        <f t="shared" si="53"/>
        <v/>
      </c>
      <c r="J366" s="463" t="str">
        <f t="shared" si="50"/>
        <v/>
      </c>
      <c r="K366" s="357" t="str">
        <f>IF(L366=0,"",IF(Ijour=0,MIN(DATE(YEAR(DebAmort),MONTH(DebAmort)+MoisD+(H366-1)*Imois,Jour2),DATE(YEAR(DebAmort),MONTH(DebAmort)+MoisD+1+(H366-1)*Imois,0)),DATE(YEAR(DebAmort),MONTH(DebAmort),Jour1+(H366-1)*Ijour)))</f>
        <v/>
      </c>
      <c r="L366" s="270">
        <f t="shared" si="54"/>
        <v>0</v>
      </c>
      <c r="M366" s="271">
        <f t="shared" si="56"/>
        <v>0</v>
      </c>
      <c r="N366" s="272">
        <f t="shared" si="57"/>
        <v>0</v>
      </c>
      <c r="O366" s="273">
        <f t="shared" si="55"/>
        <v>0</v>
      </c>
      <c r="P366" s="274">
        <f t="shared" si="51"/>
        <v>0</v>
      </c>
      <c r="Q366" s="350"/>
      <c r="R366" s="461">
        <f t="shared" si="58"/>
        <v>0.05</v>
      </c>
      <c r="S366" s="462">
        <f t="shared" si="59"/>
        <v>440179.35</v>
      </c>
    </row>
    <row r="367" spans="2:19" ht="15" x14ac:dyDescent="0.25">
      <c r="B367" s="362"/>
      <c r="C367" s="269"/>
      <c r="D367" s="361"/>
      <c r="E367" s="360"/>
      <c r="F367" s="359"/>
      <c r="H367" s="358" t="str">
        <f t="shared" si="52"/>
        <v/>
      </c>
      <c r="I367" s="460" t="str">
        <f t="shared" si="53"/>
        <v/>
      </c>
      <c r="J367" s="463" t="str">
        <f t="shared" si="50"/>
        <v/>
      </c>
      <c r="K367" s="357" t="str">
        <f>IF(L367=0,"",IF(Ijour=0,MIN(DATE(YEAR(DebAmort),MONTH(DebAmort)+(H367-1)*Imois,Jour1),DATE(YEAR(DebAmort),MONTH(DebAmort)+1+(H367-1)*Imois,0)),DATE(YEAR(DebAmort),MONTH(DebAmort),Jour1+(H367-1)*Ijour)))</f>
        <v/>
      </c>
      <c r="L367" s="270">
        <f t="shared" si="54"/>
        <v>0</v>
      </c>
      <c r="M367" s="271">
        <f t="shared" si="56"/>
        <v>0</v>
      </c>
      <c r="N367" s="272">
        <f t="shared" si="57"/>
        <v>0</v>
      </c>
      <c r="O367" s="273">
        <f t="shared" si="55"/>
        <v>0</v>
      </c>
      <c r="P367" s="274">
        <f t="shared" si="51"/>
        <v>0</v>
      </c>
      <c r="Q367" s="350"/>
      <c r="R367" s="461">
        <f t="shared" si="58"/>
        <v>0.05</v>
      </c>
      <c r="S367" s="462">
        <f t="shared" si="59"/>
        <v>440179.35</v>
      </c>
    </row>
    <row r="368" spans="2:19" ht="15" x14ac:dyDescent="0.25">
      <c r="B368" s="362"/>
      <c r="C368" s="269"/>
      <c r="D368" s="361"/>
      <c r="E368" s="360"/>
      <c r="F368" s="359"/>
      <c r="H368" s="358" t="str">
        <f t="shared" si="52"/>
        <v/>
      </c>
      <c r="I368" s="460" t="str">
        <f t="shared" si="53"/>
        <v/>
      </c>
      <c r="J368" s="463" t="str">
        <f t="shared" si="50"/>
        <v/>
      </c>
      <c r="K368" s="357" t="str">
        <f>IF(L368=0,"",IF(Ijour=0,MIN(DATE(YEAR(DebAmort),MONTH(DebAmort)+MoisD+(H368-1)*Imois,Jour2),DATE(YEAR(DebAmort),MONTH(DebAmort)+MoisD+1+(H368-1)*Imois,0)),DATE(YEAR(DebAmort),MONTH(DebAmort),Jour1+(H368-1)*Ijour)))</f>
        <v/>
      </c>
      <c r="L368" s="270">
        <f t="shared" si="54"/>
        <v>0</v>
      </c>
      <c r="M368" s="271">
        <f t="shared" si="56"/>
        <v>0</v>
      </c>
      <c r="N368" s="272">
        <f t="shared" si="57"/>
        <v>0</v>
      </c>
      <c r="O368" s="273">
        <f t="shared" si="55"/>
        <v>0</v>
      </c>
      <c r="P368" s="274">
        <f t="shared" si="51"/>
        <v>0</v>
      </c>
      <c r="Q368" s="350"/>
      <c r="R368" s="461">
        <f t="shared" si="58"/>
        <v>0.05</v>
      </c>
      <c r="S368" s="462">
        <f t="shared" si="59"/>
        <v>440179.35</v>
      </c>
    </row>
    <row r="369" spans="2:19" ht="15" x14ac:dyDescent="0.25">
      <c r="B369" s="362"/>
      <c r="C369" s="269"/>
      <c r="D369" s="361"/>
      <c r="E369" s="360"/>
      <c r="F369" s="359"/>
      <c r="H369" s="358" t="str">
        <f t="shared" si="52"/>
        <v/>
      </c>
      <c r="I369" s="460" t="str">
        <f t="shared" si="53"/>
        <v/>
      </c>
      <c r="J369" s="463" t="str">
        <f t="shared" si="50"/>
        <v/>
      </c>
      <c r="K369" s="357" t="str">
        <f>IF(L369=0,"",IF(Ijour=0,MIN(DATE(YEAR(DebAmort),MONTH(DebAmort)+(H369-1)*Imois,Jour1),DATE(YEAR(DebAmort),MONTH(DebAmort)+1+(H369-1)*Imois,0)),DATE(YEAR(DebAmort),MONTH(DebAmort),Jour1+(H369-1)*Ijour)))</f>
        <v/>
      </c>
      <c r="L369" s="270">
        <f t="shared" si="54"/>
        <v>0</v>
      </c>
      <c r="M369" s="271">
        <f t="shared" si="56"/>
        <v>0</v>
      </c>
      <c r="N369" s="272">
        <f t="shared" si="57"/>
        <v>0</v>
      </c>
      <c r="O369" s="273">
        <f t="shared" si="55"/>
        <v>0</v>
      </c>
      <c r="P369" s="274">
        <f t="shared" si="51"/>
        <v>0</v>
      </c>
      <c r="Q369" s="350"/>
      <c r="R369" s="461">
        <f t="shared" si="58"/>
        <v>0.05</v>
      </c>
      <c r="S369" s="462">
        <f t="shared" si="59"/>
        <v>440179.35</v>
      </c>
    </row>
    <row r="370" spans="2:19" ht="15" x14ac:dyDescent="0.25">
      <c r="B370" s="362"/>
      <c r="C370" s="269"/>
      <c r="D370" s="361"/>
      <c r="E370" s="360"/>
      <c r="F370" s="359"/>
      <c r="H370" s="358" t="str">
        <f t="shared" si="52"/>
        <v/>
      </c>
      <c r="I370" s="460" t="str">
        <f t="shared" si="53"/>
        <v/>
      </c>
      <c r="J370" s="463" t="str">
        <f t="shared" si="50"/>
        <v/>
      </c>
      <c r="K370" s="357" t="str">
        <f>IF(L370=0,"",IF(Ijour=0,MIN(DATE(YEAR(DebAmort),MONTH(DebAmort)+MoisD+(H370-1)*Imois,Jour2),DATE(YEAR(DebAmort),MONTH(DebAmort)+MoisD+1+(H370-1)*Imois,0)),DATE(YEAR(DebAmort),MONTH(DebAmort),Jour1+(H370-1)*Ijour)))</f>
        <v/>
      </c>
      <c r="L370" s="270">
        <f t="shared" si="54"/>
        <v>0</v>
      </c>
      <c r="M370" s="271">
        <f t="shared" si="56"/>
        <v>0</v>
      </c>
      <c r="N370" s="272">
        <f t="shared" si="57"/>
        <v>0</v>
      </c>
      <c r="O370" s="273">
        <f t="shared" si="55"/>
        <v>0</v>
      </c>
      <c r="P370" s="274">
        <f t="shared" si="51"/>
        <v>0</v>
      </c>
      <c r="Q370" s="350"/>
      <c r="R370" s="461">
        <f t="shared" si="58"/>
        <v>0.05</v>
      </c>
      <c r="S370" s="462">
        <f t="shared" si="59"/>
        <v>440179.35</v>
      </c>
    </row>
    <row r="371" spans="2:19" ht="15" x14ac:dyDescent="0.25">
      <c r="B371" s="362"/>
      <c r="C371" s="269"/>
      <c r="D371" s="361"/>
      <c r="E371" s="360"/>
      <c r="F371" s="359"/>
      <c r="H371" s="358" t="str">
        <f t="shared" si="52"/>
        <v/>
      </c>
      <c r="I371" s="460" t="str">
        <f t="shared" si="53"/>
        <v/>
      </c>
      <c r="J371" s="463" t="str">
        <f t="shared" si="50"/>
        <v/>
      </c>
      <c r="K371" s="357" t="str">
        <f>IF(L371=0,"",IF(Ijour=0,MIN(DATE(YEAR(DebAmort),MONTH(DebAmort)+(H371-1)*Imois,Jour1),DATE(YEAR(DebAmort),MONTH(DebAmort)+1+(H371-1)*Imois,0)),DATE(YEAR(DebAmort),MONTH(DebAmort),Jour1+(H371-1)*Ijour)))</f>
        <v/>
      </c>
      <c r="L371" s="270">
        <f t="shared" si="54"/>
        <v>0</v>
      </c>
      <c r="M371" s="271">
        <f t="shared" si="56"/>
        <v>0</v>
      </c>
      <c r="N371" s="272">
        <f t="shared" si="57"/>
        <v>0</v>
      </c>
      <c r="O371" s="273">
        <f t="shared" si="55"/>
        <v>0</v>
      </c>
      <c r="P371" s="274">
        <f t="shared" si="51"/>
        <v>0</v>
      </c>
      <c r="Q371" s="350"/>
      <c r="R371" s="461">
        <f t="shared" si="58"/>
        <v>0.05</v>
      </c>
      <c r="S371" s="462">
        <f t="shared" si="59"/>
        <v>440179.35</v>
      </c>
    </row>
    <row r="372" spans="2:19" ht="15" x14ac:dyDescent="0.25">
      <c r="B372" s="362"/>
      <c r="C372" s="269"/>
      <c r="D372" s="361"/>
      <c r="E372" s="360"/>
      <c r="F372" s="359"/>
      <c r="H372" s="358" t="str">
        <f t="shared" si="52"/>
        <v/>
      </c>
      <c r="I372" s="460" t="str">
        <f t="shared" si="53"/>
        <v/>
      </c>
      <c r="J372" s="463" t="str">
        <f t="shared" si="50"/>
        <v/>
      </c>
      <c r="K372" s="357" t="str">
        <f>IF(L372=0,"",IF(Ijour=0,MIN(DATE(YEAR(DebAmort),MONTH(DebAmort)+MoisD+(H372-1)*Imois,Jour2),DATE(YEAR(DebAmort),MONTH(DebAmort)+MoisD+1+(H372-1)*Imois,0)),DATE(YEAR(DebAmort),MONTH(DebAmort),Jour1+(H372-1)*Ijour)))</f>
        <v/>
      </c>
      <c r="L372" s="270">
        <f t="shared" si="54"/>
        <v>0</v>
      </c>
      <c r="M372" s="271">
        <f t="shared" si="56"/>
        <v>0</v>
      </c>
      <c r="N372" s="272">
        <f t="shared" si="57"/>
        <v>0</v>
      </c>
      <c r="O372" s="273">
        <f t="shared" si="55"/>
        <v>0</v>
      </c>
      <c r="P372" s="274">
        <f t="shared" si="51"/>
        <v>0</v>
      </c>
      <c r="Q372" s="350"/>
      <c r="R372" s="461">
        <f t="shared" si="58"/>
        <v>0.05</v>
      </c>
      <c r="S372" s="462">
        <f t="shared" si="59"/>
        <v>440179.35</v>
      </c>
    </row>
    <row r="373" spans="2:19" ht="15" x14ac:dyDescent="0.25">
      <c r="B373" s="362"/>
      <c r="C373" s="269"/>
      <c r="D373" s="361"/>
      <c r="E373" s="360"/>
      <c r="F373" s="359"/>
      <c r="H373" s="358" t="str">
        <f t="shared" si="52"/>
        <v/>
      </c>
      <c r="I373" s="460" t="str">
        <f t="shared" si="53"/>
        <v/>
      </c>
      <c r="J373" s="463" t="str">
        <f t="shared" si="50"/>
        <v/>
      </c>
      <c r="K373" s="357" t="str">
        <f>IF(L373=0,"",IF(Ijour=0,MIN(DATE(YEAR(DebAmort),MONTH(DebAmort)+(H373-1)*Imois,Jour1),DATE(YEAR(DebAmort),MONTH(DebAmort)+1+(H373-1)*Imois,0)),DATE(YEAR(DebAmort),MONTH(DebAmort),Jour1+(H373-1)*Ijour)))</f>
        <v/>
      </c>
      <c r="L373" s="270">
        <f t="shared" si="54"/>
        <v>0</v>
      </c>
      <c r="M373" s="271">
        <f t="shared" si="56"/>
        <v>0</v>
      </c>
      <c r="N373" s="272">
        <f t="shared" si="57"/>
        <v>0</v>
      </c>
      <c r="O373" s="273">
        <f t="shared" si="55"/>
        <v>0</v>
      </c>
      <c r="P373" s="274">
        <f t="shared" si="51"/>
        <v>0</v>
      </c>
      <c r="Q373" s="350"/>
      <c r="R373" s="461">
        <f t="shared" si="58"/>
        <v>0.05</v>
      </c>
      <c r="S373" s="462">
        <f t="shared" si="59"/>
        <v>440179.35</v>
      </c>
    </row>
    <row r="374" spans="2:19" ht="15" x14ac:dyDescent="0.25">
      <c r="B374" s="362"/>
      <c r="C374" s="269"/>
      <c r="D374" s="361"/>
      <c r="E374" s="360"/>
      <c r="F374" s="359"/>
      <c r="H374" s="358" t="str">
        <f t="shared" si="52"/>
        <v/>
      </c>
      <c r="I374" s="460" t="str">
        <f t="shared" si="53"/>
        <v/>
      </c>
      <c r="J374" s="463" t="str">
        <f t="shared" si="50"/>
        <v/>
      </c>
      <c r="K374" s="357" t="str">
        <f>IF(L374=0,"",IF(Ijour=0,MIN(DATE(YEAR(DebAmort),MONTH(DebAmort)+MoisD+(H374-1)*Imois,Jour2),DATE(YEAR(DebAmort),MONTH(DebAmort)+MoisD+1+(H374-1)*Imois,0)),DATE(YEAR(DebAmort),MONTH(DebAmort),Jour1+(H374-1)*Ijour)))</f>
        <v/>
      </c>
      <c r="L374" s="270">
        <f t="shared" si="54"/>
        <v>0</v>
      </c>
      <c r="M374" s="271">
        <f t="shared" si="56"/>
        <v>0</v>
      </c>
      <c r="N374" s="272">
        <f t="shared" si="57"/>
        <v>0</v>
      </c>
      <c r="O374" s="273">
        <f t="shared" si="55"/>
        <v>0</v>
      </c>
      <c r="P374" s="274">
        <f t="shared" si="51"/>
        <v>0</v>
      </c>
      <c r="Q374" s="350"/>
      <c r="R374" s="461">
        <f t="shared" si="58"/>
        <v>0.05</v>
      </c>
      <c r="S374" s="462">
        <f t="shared" si="59"/>
        <v>440179.35</v>
      </c>
    </row>
    <row r="375" spans="2:19" ht="15" x14ac:dyDescent="0.25">
      <c r="B375" s="362"/>
      <c r="C375" s="269"/>
      <c r="D375" s="361"/>
      <c r="E375" s="360"/>
      <c r="F375" s="359"/>
      <c r="H375" s="358" t="str">
        <f t="shared" si="52"/>
        <v/>
      </c>
      <c r="I375" s="460" t="str">
        <f t="shared" si="53"/>
        <v/>
      </c>
      <c r="J375" s="463" t="str">
        <f t="shared" si="50"/>
        <v/>
      </c>
      <c r="K375" s="357" t="str">
        <f>IF(L375=0,"",IF(Ijour=0,MIN(DATE(YEAR(DebAmort),MONTH(DebAmort)+(H375-1)*Imois,Jour1),DATE(YEAR(DebAmort),MONTH(DebAmort)+1+(H375-1)*Imois,0)),DATE(YEAR(DebAmort),MONTH(DebAmort),Jour1+(H375-1)*Ijour)))</f>
        <v/>
      </c>
      <c r="L375" s="270">
        <f t="shared" si="54"/>
        <v>0</v>
      </c>
      <c r="M375" s="271">
        <f t="shared" si="56"/>
        <v>0</v>
      </c>
      <c r="N375" s="272">
        <f t="shared" si="57"/>
        <v>0</v>
      </c>
      <c r="O375" s="273">
        <f t="shared" si="55"/>
        <v>0</v>
      </c>
      <c r="P375" s="274">
        <f t="shared" si="51"/>
        <v>0</v>
      </c>
      <c r="Q375" s="350"/>
      <c r="R375" s="461">
        <f t="shared" si="58"/>
        <v>0.05</v>
      </c>
      <c r="S375" s="462">
        <f t="shared" si="59"/>
        <v>440179.35</v>
      </c>
    </row>
    <row r="376" spans="2:19" ht="15" x14ac:dyDescent="0.25">
      <c r="B376" s="362"/>
      <c r="C376" s="269"/>
      <c r="D376" s="361"/>
      <c r="E376" s="360"/>
      <c r="F376" s="359"/>
      <c r="H376" s="358" t="str">
        <f t="shared" si="52"/>
        <v/>
      </c>
      <c r="I376" s="460" t="str">
        <f t="shared" si="53"/>
        <v/>
      </c>
      <c r="J376" s="463" t="str">
        <f t="shared" si="50"/>
        <v/>
      </c>
      <c r="K376" s="357" t="str">
        <f>IF(L376=0,"",IF(Ijour=0,MIN(DATE(YEAR(DebAmort),MONTH(DebAmort)+MoisD+(H376-1)*Imois,Jour2),DATE(YEAR(DebAmort),MONTH(DebAmort)+MoisD+1+(H376-1)*Imois,0)),DATE(YEAR(DebAmort),MONTH(DebAmort),Jour1+(H376-1)*Ijour)))</f>
        <v/>
      </c>
      <c r="L376" s="270">
        <f t="shared" si="54"/>
        <v>0</v>
      </c>
      <c r="M376" s="271">
        <f t="shared" si="56"/>
        <v>0</v>
      </c>
      <c r="N376" s="272">
        <f t="shared" si="57"/>
        <v>0</v>
      </c>
      <c r="O376" s="273">
        <f t="shared" si="55"/>
        <v>0</v>
      </c>
      <c r="P376" s="274">
        <f t="shared" si="51"/>
        <v>0</v>
      </c>
      <c r="Q376" s="350"/>
      <c r="R376" s="461">
        <f t="shared" si="58"/>
        <v>0.05</v>
      </c>
      <c r="S376" s="462">
        <f t="shared" si="59"/>
        <v>440179.35</v>
      </c>
    </row>
    <row r="377" spans="2:19" ht="15" x14ac:dyDescent="0.25">
      <c r="B377" s="362"/>
      <c r="C377" s="269"/>
      <c r="D377" s="361"/>
      <c r="E377" s="360"/>
      <c r="F377" s="359"/>
      <c r="H377" s="358" t="str">
        <f t="shared" si="52"/>
        <v/>
      </c>
      <c r="I377" s="460" t="str">
        <f t="shared" si="53"/>
        <v/>
      </c>
      <c r="J377" s="463" t="str">
        <f t="shared" si="50"/>
        <v/>
      </c>
      <c r="K377" s="357" t="str">
        <f>IF(L377=0,"",IF(Ijour=0,MIN(DATE(YEAR(DebAmort),MONTH(DebAmort)+(H377-1)*Imois,Jour1),DATE(YEAR(DebAmort),MONTH(DebAmort)+1+(H377-1)*Imois,0)),DATE(YEAR(DebAmort),MONTH(DebAmort),Jour1+(H377-1)*Ijour)))</f>
        <v/>
      </c>
      <c r="L377" s="270">
        <f t="shared" si="54"/>
        <v>0</v>
      </c>
      <c r="M377" s="271">
        <f t="shared" si="56"/>
        <v>0</v>
      </c>
      <c r="N377" s="272">
        <f t="shared" si="57"/>
        <v>0</v>
      </c>
      <c r="O377" s="273">
        <f t="shared" si="55"/>
        <v>0</v>
      </c>
      <c r="P377" s="274">
        <f t="shared" si="51"/>
        <v>0</v>
      </c>
      <c r="Q377" s="350"/>
      <c r="R377" s="461">
        <f t="shared" si="58"/>
        <v>0.05</v>
      </c>
      <c r="S377" s="462">
        <f t="shared" si="59"/>
        <v>440179.35</v>
      </c>
    </row>
    <row r="378" spans="2:19" ht="15" x14ac:dyDescent="0.25">
      <c r="B378" s="362"/>
      <c r="C378" s="269"/>
      <c r="D378" s="361"/>
      <c r="E378" s="360"/>
      <c r="F378" s="359"/>
      <c r="H378" s="358" t="str">
        <f t="shared" si="52"/>
        <v/>
      </c>
      <c r="I378" s="460" t="str">
        <f t="shared" si="53"/>
        <v/>
      </c>
      <c r="J378" s="463" t="str">
        <f t="shared" si="50"/>
        <v/>
      </c>
      <c r="K378" s="357" t="str">
        <f>IF(L378=0,"",IF(Ijour=0,MIN(DATE(YEAR(DebAmort),MONTH(DebAmort)+MoisD+(H378-1)*Imois,Jour2),DATE(YEAR(DebAmort),MONTH(DebAmort)+MoisD+1+(H378-1)*Imois,0)),DATE(YEAR(DebAmort),MONTH(DebAmort),Jour1+(H378-1)*Ijour)))</f>
        <v/>
      </c>
      <c r="L378" s="270">
        <f t="shared" si="54"/>
        <v>0</v>
      </c>
      <c r="M378" s="271">
        <f t="shared" si="56"/>
        <v>0</v>
      </c>
      <c r="N378" s="272">
        <f t="shared" si="57"/>
        <v>0</v>
      </c>
      <c r="O378" s="273">
        <f t="shared" si="55"/>
        <v>0</v>
      </c>
      <c r="P378" s="274">
        <f t="shared" si="51"/>
        <v>0</v>
      </c>
      <c r="Q378" s="350"/>
      <c r="R378" s="461">
        <f t="shared" si="58"/>
        <v>0.05</v>
      </c>
      <c r="S378" s="462">
        <f t="shared" si="59"/>
        <v>440179.35</v>
      </c>
    </row>
    <row r="379" spans="2:19" ht="15" x14ac:dyDescent="0.25">
      <c r="B379" s="362"/>
      <c r="C379" s="269"/>
      <c r="D379" s="361"/>
      <c r="E379" s="360"/>
      <c r="F379" s="359"/>
      <c r="H379" s="358" t="str">
        <f t="shared" si="52"/>
        <v/>
      </c>
      <c r="I379" s="460" t="str">
        <f t="shared" si="53"/>
        <v/>
      </c>
      <c r="J379" s="463" t="str">
        <f t="shared" si="50"/>
        <v/>
      </c>
      <c r="K379" s="357" t="str">
        <f>IF(L379=0,"",IF(Ijour=0,MIN(DATE(YEAR(DebAmort),MONTH(DebAmort)+(H379-1)*Imois,Jour1),DATE(YEAR(DebAmort),MONTH(DebAmort)+1+(H379-1)*Imois,0)),DATE(YEAR(DebAmort),MONTH(DebAmort),Jour1+(H379-1)*Ijour)))</f>
        <v/>
      </c>
      <c r="L379" s="270">
        <f t="shared" si="54"/>
        <v>0</v>
      </c>
      <c r="M379" s="271">
        <f t="shared" si="56"/>
        <v>0</v>
      </c>
      <c r="N379" s="272">
        <f t="shared" si="57"/>
        <v>0</v>
      </c>
      <c r="O379" s="273">
        <f t="shared" si="55"/>
        <v>0</v>
      </c>
      <c r="P379" s="274">
        <f t="shared" si="51"/>
        <v>0</v>
      </c>
      <c r="Q379" s="350"/>
      <c r="R379" s="461">
        <f t="shared" si="58"/>
        <v>0.05</v>
      </c>
      <c r="S379" s="462">
        <f t="shared" si="59"/>
        <v>440179.35</v>
      </c>
    </row>
    <row r="380" spans="2:19" ht="15" x14ac:dyDescent="0.25">
      <c r="B380" s="362"/>
      <c r="C380" s="269"/>
      <c r="D380" s="361"/>
      <c r="E380" s="360"/>
      <c r="F380" s="359"/>
      <c r="H380" s="358" t="str">
        <f t="shared" si="52"/>
        <v/>
      </c>
      <c r="I380" s="460" t="str">
        <f t="shared" si="53"/>
        <v/>
      </c>
      <c r="J380" s="463" t="str">
        <f t="shared" si="50"/>
        <v/>
      </c>
      <c r="K380" s="357" t="str">
        <f>IF(L380=0,"",IF(Ijour=0,MIN(DATE(YEAR(DebAmort),MONTH(DebAmort)+MoisD+(H380-1)*Imois,Jour2),DATE(YEAR(DebAmort),MONTH(DebAmort)+MoisD+1+(H380-1)*Imois,0)),DATE(YEAR(DebAmort),MONTH(DebAmort),Jour1+(H380-1)*Ijour)))</f>
        <v/>
      </c>
      <c r="L380" s="270">
        <f t="shared" si="54"/>
        <v>0</v>
      </c>
      <c r="M380" s="271">
        <f t="shared" si="56"/>
        <v>0</v>
      </c>
      <c r="N380" s="272">
        <f t="shared" si="57"/>
        <v>0</v>
      </c>
      <c r="O380" s="273">
        <f t="shared" si="55"/>
        <v>0</v>
      </c>
      <c r="P380" s="274">
        <f t="shared" si="51"/>
        <v>0</v>
      </c>
      <c r="Q380" s="350"/>
      <c r="R380" s="461">
        <f t="shared" si="58"/>
        <v>0.05</v>
      </c>
      <c r="S380" s="462">
        <f t="shared" si="59"/>
        <v>440179.35</v>
      </c>
    </row>
    <row r="381" spans="2:19" ht="15" x14ac:dyDescent="0.25">
      <c r="B381" s="362"/>
      <c r="C381" s="269"/>
      <c r="D381" s="361"/>
      <c r="E381" s="360"/>
      <c r="F381" s="359"/>
      <c r="H381" s="358" t="str">
        <f t="shared" si="52"/>
        <v/>
      </c>
      <c r="I381" s="460" t="str">
        <f t="shared" si="53"/>
        <v/>
      </c>
      <c r="J381" s="463" t="str">
        <f t="shared" si="50"/>
        <v/>
      </c>
      <c r="K381" s="357" t="str">
        <f>IF(L381=0,"",IF(Ijour=0,MIN(DATE(YEAR(DebAmort),MONTH(DebAmort)+(H381-1)*Imois,Jour1),DATE(YEAR(DebAmort),MONTH(DebAmort)+1+(H381-1)*Imois,0)),DATE(YEAR(DebAmort),MONTH(DebAmort),Jour1+(H381-1)*Ijour)))</f>
        <v/>
      </c>
      <c r="L381" s="270">
        <f t="shared" si="54"/>
        <v>0</v>
      </c>
      <c r="M381" s="271">
        <f t="shared" si="56"/>
        <v>0</v>
      </c>
      <c r="N381" s="272">
        <f t="shared" si="57"/>
        <v>0</v>
      </c>
      <c r="O381" s="273">
        <f t="shared" si="55"/>
        <v>0</v>
      </c>
      <c r="P381" s="274">
        <f t="shared" si="51"/>
        <v>0</v>
      </c>
      <c r="Q381" s="350"/>
      <c r="R381" s="461">
        <f t="shared" si="58"/>
        <v>0.05</v>
      </c>
      <c r="S381" s="462">
        <f t="shared" si="59"/>
        <v>440179.35</v>
      </c>
    </row>
    <row r="382" spans="2:19" ht="15" x14ac:dyDescent="0.25">
      <c r="B382" s="362"/>
      <c r="C382" s="269"/>
      <c r="D382" s="361"/>
      <c r="E382" s="360"/>
      <c r="F382" s="359"/>
      <c r="H382" s="358" t="str">
        <f t="shared" si="52"/>
        <v/>
      </c>
      <c r="I382" s="460" t="str">
        <f t="shared" si="53"/>
        <v/>
      </c>
      <c r="J382" s="463" t="str">
        <f t="shared" si="50"/>
        <v/>
      </c>
      <c r="K382" s="357" t="str">
        <f>IF(L382=0,"",IF(Ijour=0,MIN(DATE(YEAR(DebAmort),MONTH(DebAmort)+MoisD+(H382-1)*Imois,Jour2),DATE(YEAR(DebAmort),MONTH(DebAmort)+MoisD+1+(H382-1)*Imois,0)),DATE(YEAR(DebAmort),MONTH(DebAmort),Jour1+(H382-1)*Ijour)))</f>
        <v/>
      </c>
      <c r="L382" s="270">
        <f t="shared" si="54"/>
        <v>0</v>
      </c>
      <c r="M382" s="271">
        <f t="shared" si="56"/>
        <v>0</v>
      </c>
      <c r="N382" s="272">
        <f t="shared" si="57"/>
        <v>0</v>
      </c>
      <c r="O382" s="273">
        <f t="shared" si="55"/>
        <v>0</v>
      </c>
      <c r="P382" s="274">
        <f t="shared" si="51"/>
        <v>0</v>
      </c>
      <c r="Q382" s="350"/>
      <c r="R382" s="461">
        <f t="shared" si="58"/>
        <v>0.05</v>
      </c>
      <c r="S382" s="462">
        <f t="shared" si="59"/>
        <v>440179.35</v>
      </c>
    </row>
    <row r="383" spans="2:19" ht="15" x14ac:dyDescent="0.25">
      <c r="B383" s="362"/>
      <c r="C383" s="269"/>
      <c r="D383" s="361"/>
      <c r="E383" s="360"/>
      <c r="F383" s="359"/>
      <c r="H383" s="358" t="str">
        <f t="shared" si="52"/>
        <v/>
      </c>
      <c r="I383" s="460" t="str">
        <f t="shared" si="53"/>
        <v/>
      </c>
      <c r="J383" s="463" t="str">
        <f t="shared" si="50"/>
        <v/>
      </c>
      <c r="K383" s="357" t="str">
        <f>IF(L383=0,"",IF(Ijour=0,MIN(DATE(YEAR(DebAmort),MONTH(DebAmort)+(H383-1)*Imois,Jour1),DATE(YEAR(DebAmort),MONTH(DebAmort)+1+(H383-1)*Imois,0)),DATE(YEAR(DebAmort),MONTH(DebAmort),Jour1+(H383-1)*Ijour)))</f>
        <v/>
      </c>
      <c r="L383" s="270">
        <f t="shared" si="54"/>
        <v>0</v>
      </c>
      <c r="M383" s="271">
        <f t="shared" si="56"/>
        <v>0</v>
      </c>
      <c r="N383" s="272">
        <f t="shared" si="57"/>
        <v>0</v>
      </c>
      <c r="O383" s="273">
        <f t="shared" si="55"/>
        <v>0</v>
      </c>
      <c r="P383" s="274">
        <f t="shared" si="51"/>
        <v>0</v>
      </c>
      <c r="Q383" s="350"/>
      <c r="R383" s="461">
        <f t="shared" si="58"/>
        <v>0.05</v>
      </c>
      <c r="S383" s="462">
        <f t="shared" si="59"/>
        <v>440179.35</v>
      </c>
    </row>
    <row r="384" spans="2:19" ht="15" x14ac:dyDescent="0.25">
      <c r="B384" s="362"/>
      <c r="C384" s="269"/>
      <c r="D384" s="361"/>
      <c r="E384" s="360"/>
      <c r="F384" s="359"/>
      <c r="H384" s="358" t="str">
        <f t="shared" si="52"/>
        <v/>
      </c>
      <c r="I384" s="460" t="str">
        <f t="shared" si="53"/>
        <v/>
      </c>
      <c r="J384" s="463" t="str">
        <f t="shared" si="50"/>
        <v/>
      </c>
      <c r="K384" s="357" t="str">
        <f>IF(L384=0,"",IF(Ijour=0,MIN(DATE(YEAR(DebAmort),MONTH(DebAmort)+MoisD+(H384-1)*Imois,Jour2),DATE(YEAR(DebAmort),MONTH(DebAmort)+MoisD+1+(H384-1)*Imois,0)),DATE(YEAR(DebAmort),MONTH(DebAmort),Jour1+(H384-1)*Ijour)))</f>
        <v/>
      </c>
      <c r="L384" s="270">
        <f t="shared" si="54"/>
        <v>0</v>
      </c>
      <c r="M384" s="271">
        <f t="shared" si="56"/>
        <v>0</v>
      </c>
      <c r="N384" s="272">
        <f t="shared" si="57"/>
        <v>0</v>
      </c>
      <c r="O384" s="273">
        <f t="shared" si="55"/>
        <v>0</v>
      </c>
      <c r="P384" s="274">
        <f t="shared" si="51"/>
        <v>0</v>
      </c>
      <c r="Q384" s="350"/>
      <c r="R384" s="461">
        <f t="shared" si="58"/>
        <v>0.05</v>
      </c>
      <c r="S384" s="462">
        <f t="shared" si="59"/>
        <v>440179.35</v>
      </c>
    </row>
    <row r="385" spans="2:19" ht="15" x14ac:dyDescent="0.25">
      <c r="B385" s="362"/>
      <c r="C385" s="269"/>
      <c r="D385" s="361"/>
      <c r="E385" s="360"/>
      <c r="F385" s="359"/>
      <c r="H385" s="358" t="str">
        <f t="shared" si="52"/>
        <v/>
      </c>
      <c r="I385" s="460" t="str">
        <f t="shared" si="53"/>
        <v/>
      </c>
      <c r="J385" s="463" t="str">
        <f t="shared" si="50"/>
        <v/>
      </c>
      <c r="K385" s="357" t="str">
        <f>IF(L385=0,"",IF(Ijour=0,MIN(DATE(YEAR(DebAmort),MONTH(DebAmort)+(H385-1)*Imois,Jour1),DATE(YEAR(DebAmort),MONTH(DebAmort)+1+(H385-1)*Imois,0)),DATE(YEAR(DebAmort),MONTH(DebAmort),Jour1+(H385-1)*Ijour)))</f>
        <v/>
      </c>
      <c r="L385" s="270">
        <f t="shared" si="54"/>
        <v>0</v>
      </c>
      <c r="M385" s="271">
        <f t="shared" si="56"/>
        <v>0</v>
      </c>
      <c r="N385" s="272">
        <f t="shared" si="57"/>
        <v>0</v>
      </c>
      <c r="O385" s="273">
        <f t="shared" si="55"/>
        <v>0</v>
      </c>
      <c r="P385" s="274">
        <f t="shared" si="51"/>
        <v>0</v>
      </c>
      <c r="Q385" s="350"/>
      <c r="R385" s="461">
        <f t="shared" si="58"/>
        <v>0.05</v>
      </c>
      <c r="S385" s="462">
        <f t="shared" si="59"/>
        <v>440179.35</v>
      </c>
    </row>
    <row r="386" spans="2:19" ht="15" x14ac:dyDescent="0.25">
      <c r="B386" s="362"/>
      <c r="C386" s="269"/>
      <c r="D386" s="361"/>
      <c r="E386" s="360"/>
      <c r="F386" s="359"/>
      <c r="H386" s="358" t="str">
        <f t="shared" si="52"/>
        <v/>
      </c>
      <c r="I386" s="460" t="str">
        <f t="shared" si="53"/>
        <v/>
      </c>
      <c r="J386" s="463" t="str">
        <f t="shared" si="50"/>
        <v/>
      </c>
      <c r="K386" s="357" t="str">
        <f>IF(L386=0,"",IF(Ijour=0,MIN(DATE(YEAR(DebAmort),MONTH(DebAmort)+MoisD+(H386-1)*Imois,Jour2),DATE(YEAR(DebAmort),MONTH(DebAmort)+MoisD+1+(H386-1)*Imois,0)),DATE(YEAR(DebAmort),MONTH(DebAmort),Jour1+(H386-1)*Ijour)))</f>
        <v/>
      </c>
      <c r="L386" s="270">
        <f t="shared" si="54"/>
        <v>0</v>
      </c>
      <c r="M386" s="271">
        <f t="shared" si="56"/>
        <v>0</v>
      </c>
      <c r="N386" s="272">
        <f t="shared" si="57"/>
        <v>0</v>
      </c>
      <c r="O386" s="273">
        <f t="shared" si="55"/>
        <v>0</v>
      </c>
      <c r="P386" s="274">
        <f t="shared" si="51"/>
        <v>0</v>
      </c>
      <c r="Q386" s="350"/>
      <c r="R386" s="461">
        <f t="shared" si="58"/>
        <v>0.05</v>
      </c>
      <c r="S386" s="462">
        <f t="shared" si="59"/>
        <v>440179.35</v>
      </c>
    </row>
    <row r="387" spans="2:19" ht="15" x14ac:dyDescent="0.25">
      <c r="B387" s="362"/>
      <c r="C387" s="269"/>
      <c r="D387" s="361"/>
      <c r="E387" s="360"/>
      <c r="F387" s="359"/>
      <c r="H387" s="358" t="str">
        <f t="shared" si="52"/>
        <v/>
      </c>
      <c r="I387" s="460" t="str">
        <f t="shared" si="53"/>
        <v/>
      </c>
      <c r="J387" s="463" t="str">
        <f t="shared" si="50"/>
        <v/>
      </c>
      <c r="K387" s="357" t="str">
        <f>IF(L387=0,"",IF(Ijour=0,MIN(DATE(YEAR(DebAmort),MONTH(DebAmort)+(H387-1)*Imois,Jour1),DATE(YEAR(DebAmort),MONTH(DebAmort)+1+(H387-1)*Imois,0)),DATE(YEAR(DebAmort),MONTH(DebAmort),Jour1+(H387-1)*Ijour)))</f>
        <v/>
      </c>
      <c r="L387" s="270">
        <f t="shared" si="54"/>
        <v>0</v>
      </c>
      <c r="M387" s="271">
        <f t="shared" si="56"/>
        <v>0</v>
      </c>
      <c r="N387" s="272">
        <f t="shared" si="57"/>
        <v>0</v>
      </c>
      <c r="O387" s="273">
        <f t="shared" si="55"/>
        <v>0</v>
      </c>
      <c r="P387" s="274">
        <f t="shared" si="51"/>
        <v>0</v>
      </c>
      <c r="Q387" s="350"/>
      <c r="R387" s="461">
        <f t="shared" si="58"/>
        <v>0.05</v>
      </c>
      <c r="S387" s="462">
        <f t="shared" si="59"/>
        <v>440179.35</v>
      </c>
    </row>
    <row r="388" spans="2:19" ht="15" x14ac:dyDescent="0.25">
      <c r="B388" s="362"/>
      <c r="C388" s="269"/>
      <c r="D388" s="361"/>
      <c r="E388" s="360"/>
      <c r="F388" s="359"/>
      <c r="H388" s="358" t="str">
        <f t="shared" si="52"/>
        <v/>
      </c>
      <c r="I388" s="460" t="str">
        <f t="shared" si="53"/>
        <v/>
      </c>
      <c r="J388" s="463" t="str">
        <f t="shared" si="50"/>
        <v/>
      </c>
      <c r="K388" s="357" t="str">
        <f>IF(L388=0,"",IF(Ijour=0,MIN(DATE(YEAR(DebAmort),MONTH(DebAmort)+MoisD+(H388-1)*Imois,Jour2),DATE(YEAR(DebAmort),MONTH(DebAmort)+MoisD+1+(H388-1)*Imois,0)),DATE(YEAR(DebAmort),MONTH(DebAmort),Jour1+(H388-1)*Ijour)))</f>
        <v/>
      </c>
      <c r="L388" s="270">
        <f t="shared" si="54"/>
        <v>0</v>
      </c>
      <c r="M388" s="271">
        <f t="shared" si="56"/>
        <v>0</v>
      </c>
      <c r="N388" s="272">
        <f t="shared" si="57"/>
        <v>0</v>
      </c>
      <c r="O388" s="273">
        <f t="shared" si="55"/>
        <v>0</v>
      </c>
      <c r="P388" s="274">
        <f t="shared" si="51"/>
        <v>0</v>
      </c>
      <c r="Q388" s="350"/>
      <c r="R388" s="461">
        <f t="shared" si="58"/>
        <v>0.05</v>
      </c>
      <c r="S388" s="462">
        <f t="shared" si="59"/>
        <v>440179.35</v>
      </c>
    </row>
    <row r="389" spans="2:19" ht="15" x14ac:dyDescent="0.25">
      <c r="B389" s="362"/>
      <c r="C389" s="269"/>
      <c r="D389" s="361"/>
      <c r="E389" s="360"/>
      <c r="F389" s="359"/>
      <c r="H389" s="358" t="str">
        <f t="shared" si="52"/>
        <v/>
      </c>
      <c r="I389" s="460" t="str">
        <f t="shared" si="53"/>
        <v/>
      </c>
      <c r="J389" s="463" t="str">
        <f t="shared" si="50"/>
        <v/>
      </c>
      <c r="K389" s="357" t="str">
        <f>IF(L389=0,"",IF(Ijour=0,MIN(DATE(YEAR(DebAmort),MONTH(DebAmort)+(H389-1)*Imois,Jour1),DATE(YEAR(DebAmort),MONTH(DebAmort)+1+(H389-1)*Imois,0)),DATE(YEAR(DebAmort),MONTH(DebAmort),Jour1+(H389-1)*Ijour)))</f>
        <v/>
      </c>
      <c r="L389" s="270">
        <f t="shared" si="54"/>
        <v>0</v>
      </c>
      <c r="M389" s="271">
        <f t="shared" si="56"/>
        <v>0</v>
      </c>
      <c r="N389" s="272">
        <f t="shared" si="57"/>
        <v>0</v>
      </c>
      <c r="O389" s="273">
        <f t="shared" si="55"/>
        <v>0</v>
      </c>
      <c r="P389" s="274">
        <f t="shared" si="51"/>
        <v>0</v>
      </c>
      <c r="Q389" s="350"/>
      <c r="R389" s="461">
        <f t="shared" si="58"/>
        <v>0.05</v>
      </c>
      <c r="S389" s="462">
        <f t="shared" si="59"/>
        <v>440179.35</v>
      </c>
    </row>
    <row r="390" spans="2:19" ht="15" x14ac:dyDescent="0.25">
      <c r="B390" s="362"/>
      <c r="C390" s="269"/>
      <c r="D390" s="361"/>
      <c r="E390" s="360"/>
      <c r="F390" s="359"/>
      <c r="H390" s="358" t="str">
        <f t="shared" si="52"/>
        <v/>
      </c>
      <c r="I390" s="460" t="str">
        <f t="shared" si="53"/>
        <v/>
      </c>
      <c r="J390" s="463" t="str">
        <f t="shared" si="50"/>
        <v/>
      </c>
      <c r="K390" s="357" t="str">
        <f>IF(L390=0,"",IF(Ijour=0,MIN(DATE(YEAR(DebAmort),MONTH(DebAmort)+MoisD+(H390-1)*Imois,Jour2),DATE(YEAR(DebAmort),MONTH(DebAmort)+MoisD+1+(H390-1)*Imois,0)),DATE(YEAR(DebAmort),MONTH(DebAmort),Jour1+(H390-1)*Ijour)))</f>
        <v/>
      </c>
      <c r="L390" s="270">
        <f t="shared" si="54"/>
        <v>0</v>
      </c>
      <c r="M390" s="271">
        <f t="shared" si="56"/>
        <v>0</v>
      </c>
      <c r="N390" s="272">
        <f t="shared" si="57"/>
        <v>0</v>
      </c>
      <c r="O390" s="273">
        <f t="shared" si="55"/>
        <v>0</v>
      </c>
      <c r="P390" s="274">
        <f t="shared" si="51"/>
        <v>0</v>
      </c>
      <c r="Q390" s="350"/>
      <c r="R390" s="461">
        <f t="shared" si="58"/>
        <v>0.05</v>
      </c>
      <c r="S390" s="462">
        <f t="shared" si="59"/>
        <v>440179.35</v>
      </c>
    </row>
    <row r="391" spans="2:19" ht="15" x14ac:dyDescent="0.25">
      <c r="B391" s="362"/>
      <c r="C391" s="269"/>
      <c r="D391" s="361"/>
      <c r="E391" s="360"/>
      <c r="F391" s="359"/>
      <c r="H391" s="358" t="str">
        <f t="shared" si="52"/>
        <v/>
      </c>
      <c r="I391" s="460" t="str">
        <f t="shared" si="53"/>
        <v/>
      </c>
      <c r="J391" s="463" t="str">
        <f t="shared" si="50"/>
        <v/>
      </c>
      <c r="K391" s="357" t="str">
        <f>IF(L391=0,"",IF(Ijour=0,MIN(DATE(YEAR(DebAmort),MONTH(DebAmort)+(H391-1)*Imois,Jour1),DATE(YEAR(DebAmort),MONTH(DebAmort)+1+(H391-1)*Imois,0)),DATE(YEAR(DebAmort),MONTH(DebAmort),Jour1+(H391-1)*Ijour)))</f>
        <v/>
      </c>
      <c r="L391" s="270">
        <f t="shared" si="54"/>
        <v>0</v>
      </c>
      <c r="M391" s="271">
        <f t="shared" si="56"/>
        <v>0</v>
      </c>
      <c r="N391" s="272">
        <f t="shared" si="57"/>
        <v>0</v>
      </c>
      <c r="O391" s="273">
        <f t="shared" si="55"/>
        <v>0</v>
      </c>
      <c r="P391" s="274">
        <f t="shared" si="51"/>
        <v>0</v>
      </c>
      <c r="Q391" s="350"/>
      <c r="R391" s="461">
        <f t="shared" si="58"/>
        <v>0.05</v>
      </c>
      <c r="S391" s="462">
        <f t="shared" si="59"/>
        <v>440179.35</v>
      </c>
    </row>
    <row r="392" spans="2:19" ht="15" x14ac:dyDescent="0.25">
      <c r="B392" s="362"/>
      <c r="C392" s="269"/>
      <c r="D392" s="361"/>
      <c r="E392" s="360"/>
      <c r="F392" s="359"/>
      <c r="H392" s="358" t="str">
        <f t="shared" si="52"/>
        <v/>
      </c>
      <c r="I392" s="460" t="str">
        <f t="shared" si="53"/>
        <v/>
      </c>
      <c r="J392" s="463" t="str">
        <f t="shared" si="50"/>
        <v/>
      </c>
      <c r="K392" s="357" t="str">
        <f>IF(L392=0,"",IF(Ijour=0,MIN(DATE(YEAR(DebAmort),MONTH(DebAmort)+MoisD+(H392-1)*Imois,Jour2),DATE(YEAR(DebAmort),MONTH(DebAmort)+MoisD+1+(H392-1)*Imois,0)),DATE(YEAR(DebAmort),MONTH(DebAmort),Jour1+(H392-1)*Ijour)))</f>
        <v/>
      </c>
      <c r="L392" s="270">
        <f t="shared" si="54"/>
        <v>0</v>
      </c>
      <c r="M392" s="271">
        <f t="shared" si="56"/>
        <v>0</v>
      </c>
      <c r="N392" s="272">
        <f t="shared" si="57"/>
        <v>0</v>
      </c>
      <c r="O392" s="273">
        <f t="shared" si="55"/>
        <v>0</v>
      </c>
      <c r="P392" s="274">
        <f t="shared" si="51"/>
        <v>0</v>
      </c>
      <c r="Q392" s="350"/>
      <c r="R392" s="461">
        <f t="shared" si="58"/>
        <v>0.05</v>
      </c>
      <c r="S392" s="462">
        <f t="shared" si="59"/>
        <v>440179.35</v>
      </c>
    </row>
    <row r="393" spans="2:19" ht="15" x14ac:dyDescent="0.25">
      <c r="B393" s="362"/>
      <c r="C393" s="269"/>
      <c r="D393" s="361"/>
      <c r="E393" s="360"/>
      <c r="F393" s="359"/>
      <c r="H393" s="358" t="str">
        <f t="shared" si="52"/>
        <v/>
      </c>
      <c r="I393" s="460" t="str">
        <f t="shared" si="53"/>
        <v/>
      </c>
      <c r="J393" s="463" t="str">
        <f t="shared" si="50"/>
        <v/>
      </c>
      <c r="K393" s="357" t="str">
        <f>IF(L393=0,"",IF(Ijour=0,MIN(DATE(YEAR(DebAmort),MONTH(DebAmort)+(H393-1)*Imois,Jour1),DATE(YEAR(DebAmort),MONTH(DebAmort)+1+(H393-1)*Imois,0)),DATE(YEAR(DebAmort),MONTH(DebAmort),Jour1+(H393-1)*Ijour)))</f>
        <v/>
      </c>
      <c r="L393" s="270">
        <f t="shared" si="54"/>
        <v>0</v>
      </c>
      <c r="M393" s="271">
        <f t="shared" si="56"/>
        <v>0</v>
      </c>
      <c r="N393" s="272">
        <f t="shared" si="57"/>
        <v>0</v>
      </c>
      <c r="O393" s="273">
        <f t="shared" si="55"/>
        <v>0</v>
      </c>
      <c r="P393" s="274">
        <f t="shared" si="51"/>
        <v>0</v>
      </c>
      <c r="Q393" s="350"/>
      <c r="R393" s="461">
        <f t="shared" si="58"/>
        <v>0.05</v>
      </c>
      <c r="S393" s="462">
        <f t="shared" si="59"/>
        <v>440179.35</v>
      </c>
    </row>
    <row r="394" spans="2:19" ht="15" x14ac:dyDescent="0.25">
      <c r="B394" s="362"/>
      <c r="C394" s="269"/>
      <c r="D394" s="361"/>
      <c r="E394" s="360"/>
      <c r="F394" s="359"/>
      <c r="H394" s="358" t="str">
        <f t="shared" si="52"/>
        <v/>
      </c>
      <c r="I394" s="460" t="str">
        <f t="shared" si="53"/>
        <v/>
      </c>
      <c r="J394" s="463" t="str">
        <f t="shared" si="50"/>
        <v/>
      </c>
      <c r="K394" s="357" t="str">
        <f>IF(L394=0,"",IF(Ijour=0,MIN(DATE(YEAR(DebAmort),MONTH(DebAmort)+MoisD+(H394-1)*Imois,Jour2),DATE(YEAR(DebAmort),MONTH(DebAmort)+MoisD+1+(H394-1)*Imois,0)),DATE(YEAR(DebAmort),MONTH(DebAmort),Jour1+(H394-1)*Ijour)))</f>
        <v/>
      </c>
      <c r="L394" s="270">
        <f t="shared" si="54"/>
        <v>0</v>
      </c>
      <c r="M394" s="271">
        <f t="shared" si="56"/>
        <v>0</v>
      </c>
      <c r="N394" s="272">
        <f t="shared" si="57"/>
        <v>0</v>
      </c>
      <c r="O394" s="273">
        <f t="shared" si="55"/>
        <v>0</v>
      </c>
      <c r="P394" s="274">
        <f t="shared" si="51"/>
        <v>0</v>
      </c>
      <c r="Q394" s="350"/>
      <c r="R394" s="461">
        <f t="shared" si="58"/>
        <v>0.05</v>
      </c>
      <c r="S394" s="462">
        <f t="shared" si="59"/>
        <v>440179.35</v>
      </c>
    </row>
    <row r="395" spans="2:19" ht="15" x14ac:dyDescent="0.25">
      <c r="B395" s="362"/>
      <c r="C395" s="269"/>
      <c r="D395" s="361"/>
      <c r="E395" s="360"/>
      <c r="F395" s="359"/>
      <c r="H395" s="358" t="str">
        <f t="shared" si="52"/>
        <v/>
      </c>
      <c r="I395" s="460" t="str">
        <f t="shared" si="53"/>
        <v/>
      </c>
      <c r="J395" s="463" t="str">
        <f t="shared" si="50"/>
        <v/>
      </c>
      <c r="K395" s="357" t="str">
        <f>IF(L395=0,"",IF(Ijour=0,MIN(DATE(YEAR(DebAmort),MONTH(DebAmort)+(H395-1)*Imois,Jour1),DATE(YEAR(DebAmort),MONTH(DebAmort)+1+(H395-1)*Imois,0)),DATE(YEAR(DebAmort),MONTH(DebAmort),Jour1+(H395-1)*Ijour)))</f>
        <v/>
      </c>
      <c r="L395" s="270">
        <f t="shared" si="54"/>
        <v>0</v>
      </c>
      <c r="M395" s="271">
        <f t="shared" si="56"/>
        <v>0</v>
      </c>
      <c r="N395" s="272">
        <f t="shared" si="57"/>
        <v>0</v>
      </c>
      <c r="O395" s="273">
        <f t="shared" si="55"/>
        <v>0</v>
      </c>
      <c r="P395" s="274">
        <f t="shared" si="51"/>
        <v>0</v>
      </c>
      <c r="Q395" s="350"/>
      <c r="R395" s="461">
        <f t="shared" si="58"/>
        <v>0.05</v>
      </c>
      <c r="S395" s="462">
        <f t="shared" si="59"/>
        <v>440179.35</v>
      </c>
    </row>
    <row r="396" spans="2:19" ht="15" x14ac:dyDescent="0.25">
      <c r="B396" s="362"/>
      <c r="C396" s="269"/>
      <c r="D396" s="361"/>
      <c r="E396" s="360"/>
      <c r="F396" s="359"/>
      <c r="H396" s="358" t="str">
        <f t="shared" si="52"/>
        <v/>
      </c>
      <c r="I396" s="460" t="str">
        <f t="shared" si="53"/>
        <v/>
      </c>
      <c r="J396" s="463" t="str">
        <f t="shared" si="50"/>
        <v/>
      </c>
      <c r="K396" s="357" t="str">
        <f>IF(L396=0,"",IF(Ijour=0,MIN(DATE(YEAR(DebAmort),MONTH(DebAmort)+MoisD+(H396-1)*Imois,Jour2),DATE(YEAR(DebAmort),MONTH(DebAmort)+MoisD+1+(H396-1)*Imois,0)),DATE(YEAR(DebAmort),MONTH(DebAmort),Jour1+(H396-1)*Ijour)))</f>
        <v/>
      </c>
      <c r="L396" s="270">
        <f t="shared" si="54"/>
        <v>0</v>
      </c>
      <c r="M396" s="271">
        <f t="shared" si="56"/>
        <v>0</v>
      </c>
      <c r="N396" s="272">
        <f t="shared" si="57"/>
        <v>0</v>
      </c>
      <c r="O396" s="273">
        <f t="shared" si="55"/>
        <v>0</v>
      </c>
      <c r="P396" s="274">
        <f t="shared" si="51"/>
        <v>0</v>
      </c>
      <c r="Q396" s="350"/>
      <c r="R396" s="461">
        <f t="shared" si="58"/>
        <v>0.05</v>
      </c>
      <c r="S396" s="462">
        <f t="shared" si="59"/>
        <v>440179.35</v>
      </c>
    </row>
    <row r="397" spans="2:19" ht="15" x14ac:dyDescent="0.25">
      <c r="B397" s="362"/>
      <c r="C397" s="269"/>
      <c r="D397" s="361"/>
      <c r="E397" s="360"/>
      <c r="F397" s="359"/>
      <c r="H397" s="358" t="str">
        <f t="shared" si="52"/>
        <v/>
      </c>
      <c r="I397" s="460" t="str">
        <f t="shared" si="53"/>
        <v/>
      </c>
      <c r="J397" s="463" t="str">
        <f t="shared" si="50"/>
        <v/>
      </c>
      <c r="K397" s="357" t="str">
        <f>IF(L397=0,"",IF(Ijour=0,MIN(DATE(YEAR(DebAmort),MONTH(DebAmort)+(H397-1)*Imois,Jour1),DATE(YEAR(DebAmort),MONTH(DebAmort)+1+(H397-1)*Imois,0)),DATE(YEAR(DebAmort),MONTH(DebAmort),Jour1+(H397-1)*Ijour)))</f>
        <v/>
      </c>
      <c r="L397" s="270">
        <f t="shared" si="54"/>
        <v>0</v>
      </c>
      <c r="M397" s="271">
        <f t="shared" si="56"/>
        <v>0</v>
      </c>
      <c r="N397" s="272">
        <f t="shared" si="57"/>
        <v>0</v>
      </c>
      <c r="O397" s="273">
        <f t="shared" si="55"/>
        <v>0</v>
      </c>
      <c r="P397" s="274">
        <f t="shared" si="51"/>
        <v>0</v>
      </c>
      <c r="Q397" s="350"/>
      <c r="R397" s="461">
        <f t="shared" si="58"/>
        <v>0.05</v>
      </c>
      <c r="S397" s="462">
        <f t="shared" si="59"/>
        <v>440179.35</v>
      </c>
    </row>
    <row r="398" spans="2:19" ht="15" x14ac:dyDescent="0.25">
      <c r="B398" s="362"/>
      <c r="C398" s="269"/>
      <c r="D398" s="361"/>
      <c r="E398" s="360"/>
      <c r="F398" s="359"/>
      <c r="H398" s="358" t="str">
        <f t="shared" si="52"/>
        <v/>
      </c>
      <c r="I398" s="460" t="str">
        <f t="shared" si="53"/>
        <v/>
      </c>
      <c r="J398" s="463" t="str">
        <f t="shared" ref="J398:J447" si="60">IF(ISNUMBER(K398),YEAR(K398),"")</f>
        <v/>
      </c>
      <c r="K398" s="357" t="str">
        <f>IF(L398=0,"",IF(Ijour=0,MIN(DATE(YEAR(DebAmort),MONTH(DebAmort)+MoisD+(H398-1)*Imois,Jour2),DATE(YEAR(DebAmort),MONTH(DebAmort)+MoisD+1+(H398-1)*Imois,0)),DATE(YEAR(DebAmort),MONTH(DebAmort),Jour1+(H398-1)*Ijour)))</f>
        <v/>
      </c>
      <c r="L398" s="270">
        <f t="shared" si="54"/>
        <v>0</v>
      </c>
      <c r="M398" s="271">
        <f t="shared" si="56"/>
        <v>0</v>
      </c>
      <c r="N398" s="272">
        <f t="shared" si="57"/>
        <v>0</v>
      </c>
      <c r="O398" s="273">
        <f t="shared" si="55"/>
        <v>0</v>
      </c>
      <c r="P398" s="274">
        <f t="shared" ref="P398:P447" si="61">SUM(M398:O398)</f>
        <v>0</v>
      </c>
      <c r="Q398" s="350"/>
      <c r="R398" s="461">
        <f t="shared" si="58"/>
        <v>0.05</v>
      </c>
      <c r="S398" s="462">
        <f t="shared" si="59"/>
        <v>440179.35</v>
      </c>
    </row>
    <row r="399" spans="2:19" ht="15" x14ac:dyDescent="0.25">
      <c r="B399" s="362"/>
      <c r="C399" s="269"/>
      <c r="D399" s="361"/>
      <c r="E399" s="360"/>
      <c r="F399" s="359"/>
      <c r="H399" s="358" t="str">
        <f t="shared" ref="H399:H447" si="62">IF(L399=0,"",H398+1)</f>
        <v/>
      </c>
      <c r="I399" s="460" t="str">
        <f t="shared" ref="I399:I447" si="63">IF(L399&gt;0,NbEch+Différé+1-H399,"")</f>
        <v/>
      </c>
      <c r="J399" s="463" t="str">
        <f t="shared" si="60"/>
        <v/>
      </c>
      <c r="K399" s="357" t="str">
        <f>IF(L399=0,"",IF(Ijour=0,MIN(DATE(YEAR(DebAmort),MONTH(DebAmort)+(H399-1)*Imois,Jour1),DATE(YEAR(DebAmort),MONTH(DebAmort)+1+(H399-1)*Imois,0)),DATE(YEAR(DebAmort),MONTH(DebAmort),Jour1+(H399-1)*Ijour)))</f>
        <v/>
      </c>
      <c r="L399" s="270">
        <f t="shared" ref="L399:L447" si="64">L398-N398</f>
        <v>0</v>
      </c>
      <c r="M399" s="271">
        <f t="shared" si="56"/>
        <v>0</v>
      </c>
      <c r="N399" s="272">
        <f t="shared" si="57"/>
        <v>0</v>
      </c>
      <c r="O399" s="273">
        <f t="shared" ref="O399:O447" si="65">IF(OR(L399=0,H399&gt;NoEchMaxi),0,ROUND(FraisF+FraisV*L399,NbDeci))+F399</f>
        <v>0</v>
      </c>
      <c r="P399" s="274">
        <f t="shared" si="61"/>
        <v>0</v>
      </c>
      <c r="Q399" s="350"/>
      <c r="R399" s="461">
        <f t="shared" si="58"/>
        <v>0.05</v>
      </c>
      <c r="S399" s="462">
        <f t="shared" si="59"/>
        <v>440179.35</v>
      </c>
    </row>
    <row r="400" spans="2:19" ht="15" x14ac:dyDescent="0.25">
      <c r="B400" s="362"/>
      <c r="C400" s="269"/>
      <c r="D400" s="361"/>
      <c r="E400" s="360"/>
      <c r="F400" s="359"/>
      <c r="H400" s="358" t="str">
        <f t="shared" si="62"/>
        <v/>
      </c>
      <c r="I400" s="460" t="str">
        <f t="shared" si="63"/>
        <v/>
      </c>
      <c r="J400" s="463" t="str">
        <f t="shared" si="60"/>
        <v/>
      </c>
      <c r="K400" s="357" t="str">
        <f>IF(L400=0,"",IF(Ijour=0,MIN(DATE(YEAR(DebAmort),MONTH(DebAmort)+MoisD+(H400-1)*Imois,Jour2),DATE(YEAR(DebAmort),MONTH(DebAmort)+MoisD+1+(H400-1)*Imois,0)),DATE(YEAR(DebAmort),MONTH(DebAmort),Jour1+(H400-1)*Ijour)))</f>
        <v/>
      </c>
      <c r="L400" s="270">
        <f t="shared" si="64"/>
        <v>0</v>
      </c>
      <c r="M400" s="271">
        <f t="shared" ref="M400:M447" si="66">IF(H400&lt;=NoEchMaxi,ROUND(L400*R400,NbDeci),0)</f>
        <v>0</v>
      </c>
      <c r="N400" s="272">
        <f t="shared" ref="N400:N447" si="67">IF(OR(H400&lt;=Différé,H400&gt;NoEchMaxi),IF(DiffTotal,-M400,0),IF(H400&gt;=NoEchRemb,L400,IF(S400-(M400*EchFIXE)&gt;L400-2,L400,S400-(M400*EchFIXE))))+C400</f>
        <v>0</v>
      </c>
      <c r="O400" s="273">
        <f t="shared" si="65"/>
        <v>0</v>
      </c>
      <c r="P400" s="274">
        <f t="shared" si="61"/>
        <v>0</v>
      </c>
      <c r="Q400" s="350"/>
      <c r="R400" s="461">
        <f t="shared" ref="R400:R447" si="68">IF(B400&gt;0,IF(TauxActuariel,((B400+1)^(1/NbEchAn))-1,B400/NbEchAn),R399)</f>
        <v>0.05</v>
      </c>
      <c r="S400" s="462">
        <f t="shared" ref="S400:S447" si="69">IF(E400&gt;0,E400,IF(D400&gt;0,IF(AND(EchFIXE,R400&gt;0),ROUND((L400-C400)*R400/(1-((1+R400)^-D400)),NbDeci),ROUND(L400/D400,NbDeci)),S399))</f>
        <v>440179.35</v>
      </c>
    </row>
    <row r="401" spans="2:19" ht="15" x14ac:dyDescent="0.25">
      <c r="B401" s="362"/>
      <c r="C401" s="269"/>
      <c r="D401" s="361"/>
      <c r="E401" s="360"/>
      <c r="F401" s="359"/>
      <c r="H401" s="358" t="str">
        <f t="shared" si="62"/>
        <v/>
      </c>
      <c r="I401" s="460" t="str">
        <f t="shared" si="63"/>
        <v/>
      </c>
      <c r="J401" s="463" t="str">
        <f t="shared" si="60"/>
        <v/>
      </c>
      <c r="K401" s="357" t="str">
        <f>IF(L401=0,"",IF(Ijour=0,MIN(DATE(YEAR(DebAmort),MONTH(DebAmort)+(H401-1)*Imois,Jour1),DATE(YEAR(DebAmort),MONTH(DebAmort)+1+(H401-1)*Imois,0)),DATE(YEAR(DebAmort),MONTH(DebAmort),Jour1+(H401-1)*Ijour)))</f>
        <v/>
      </c>
      <c r="L401" s="270">
        <f t="shared" si="64"/>
        <v>0</v>
      </c>
      <c r="M401" s="271">
        <f t="shared" si="66"/>
        <v>0</v>
      </c>
      <c r="N401" s="272">
        <f t="shared" si="67"/>
        <v>0</v>
      </c>
      <c r="O401" s="273">
        <f t="shared" si="65"/>
        <v>0</v>
      </c>
      <c r="P401" s="274">
        <f t="shared" si="61"/>
        <v>0</v>
      </c>
      <c r="Q401" s="350"/>
      <c r="R401" s="461">
        <f t="shared" si="68"/>
        <v>0.05</v>
      </c>
      <c r="S401" s="462">
        <f t="shared" si="69"/>
        <v>440179.35</v>
      </c>
    </row>
    <row r="402" spans="2:19" ht="15" x14ac:dyDescent="0.25">
      <c r="B402" s="362"/>
      <c r="C402" s="269"/>
      <c r="D402" s="361"/>
      <c r="E402" s="360"/>
      <c r="F402" s="359"/>
      <c r="H402" s="358" t="str">
        <f t="shared" si="62"/>
        <v/>
      </c>
      <c r="I402" s="460" t="str">
        <f t="shared" si="63"/>
        <v/>
      </c>
      <c r="J402" s="463" t="str">
        <f t="shared" si="60"/>
        <v/>
      </c>
      <c r="K402" s="357" t="str">
        <f>IF(L402=0,"",IF(Ijour=0,MIN(DATE(YEAR(DebAmort),MONTH(DebAmort)+MoisD+(H402-1)*Imois,Jour2),DATE(YEAR(DebAmort),MONTH(DebAmort)+MoisD+1+(H402-1)*Imois,0)),DATE(YEAR(DebAmort),MONTH(DebAmort),Jour1+(H402-1)*Ijour)))</f>
        <v/>
      </c>
      <c r="L402" s="270">
        <f t="shared" si="64"/>
        <v>0</v>
      </c>
      <c r="M402" s="271">
        <f t="shared" si="66"/>
        <v>0</v>
      </c>
      <c r="N402" s="272">
        <f t="shared" si="67"/>
        <v>0</v>
      </c>
      <c r="O402" s="273">
        <f t="shared" si="65"/>
        <v>0</v>
      </c>
      <c r="P402" s="274">
        <f t="shared" si="61"/>
        <v>0</v>
      </c>
      <c r="Q402" s="350"/>
      <c r="R402" s="461">
        <f t="shared" si="68"/>
        <v>0.05</v>
      </c>
      <c r="S402" s="462">
        <f t="shared" si="69"/>
        <v>440179.35</v>
      </c>
    </row>
    <row r="403" spans="2:19" ht="15" x14ac:dyDescent="0.25">
      <c r="B403" s="362"/>
      <c r="C403" s="269"/>
      <c r="D403" s="361"/>
      <c r="E403" s="360"/>
      <c r="F403" s="359"/>
      <c r="H403" s="358" t="str">
        <f t="shared" si="62"/>
        <v/>
      </c>
      <c r="I403" s="460" t="str">
        <f t="shared" si="63"/>
        <v/>
      </c>
      <c r="J403" s="463" t="str">
        <f t="shared" si="60"/>
        <v/>
      </c>
      <c r="K403" s="357" t="str">
        <f>IF(L403=0,"",IF(Ijour=0,MIN(DATE(YEAR(DebAmort),MONTH(DebAmort)+(H403-1)*Imois,Jour1),DATE(YEAR(DebAmort),MONTH(DebAmort)+1+(H403-1)*Imois,0)),DATE(YEAR(DebAmort),MONTH(DebAmort),Jour1+(H403-1)*Ijour)))</f>
        <v/>
      </c>
      <c r="L403" s="270">
        <f t="shared" si="64"/>
        <v>0</v>
      </c>
      <c r="M403" s="271">
        <f t="shared" si="66"/>
        <v>0</v>
      </c>
      <c r="N403" s="272">
        <f t="shared" si="67"/>
        <v>0</v>
      </c>
      <c r="O403" s="273">
        <f t="shared" si="65"/>
        <v>0</v>
      </c>
      <c r="P403" s="274">
        <f t="shared" si="61"/>
        <v>0</v>
      </c>
      <c r="Q403" s="350"/>
      <c r="R403" s="461">
        <f t="shared" si="68"/>
        <v>0.05</v>
      </c>
      <c r="S403" s="462">
        <f t="shared" si="69"/>
        <v>440179.35</v>
      </c>
    </row>
    <row r="404" spans="2:19" ht="15" x14ac:dyDescent="0.25">
      <c r="B404" s="362"/>
      <c r="C404" s="269"/>
      <c r="D404" s="361"/>
      <c r="E404" s="360"/>
      <c r="F404" s="359"/>
      <c r="H404" s="358" t="str">
        <f t="shared" si="62"/>
        <v/>
      </c>
      <c r="I404" s="460" t="str">
        <f t="shared" si="63"/>
        <v/>
      </c>
      <c r="J404" s="463" t="str">
        <f t="shared" si="60"/>
        <v/>
      </c>
      <c r="K404" s="357" t="str">
        <f>IF(L404=0,"",IF(Ijour=0,MIN(DATE(YEAR(DebAmort),MONTH(DebAmort)+MoisD+(H404-1)*Imois,Jour2),DATE(YEAR(DebAmort),MONTH(DebAmort)+MoisD+1+(H404-1)*Imois,0)),DATE(YEAR(DebAmort),MONTH(DebAmort),Jour1+(H404-1)*Ijour)))</f>
        <v/>
      </c>
      <c r="L404" s="270">
        <f t="shared" si="64"/>
        <v>0</v>
      </c>
      <c r="M404" s="271">
        <f t="shared" si="66"/>
        <v>0</v>
      </c>
      <c r="N404" s="272">
        <f t="shared" si="67"/>
        <v>0</v>
      </c>
      <c r="O404" s="273">
        <f t="shared" si="65"/>
        <v>0</v>
      </c>
      <c r="P404" s="274">
        <f t="shared" si="61"/>
        <v>0</v>
      </c>
      <c r="Q404" s="350"/>
      <c r="R404" s="461">
        <f t="shared" si="68"/>
        <v>0.05</v>
      </c>
      <c r="S404" s="462">
        <f t="shared" si="69"/>
        <v>440179.35</v>
      </c>
    </row>
    <row r="405" spans="2:19" ht="15" x14ac:dyDescent="0.25">
      <c r="B405" s="362"/>
      <c r="C405" s="269"/>
      <c r="D405" s="361"/>
      <c r="E405" s="360"/>
      <c r="F405" s="359"/>
      <c r="H405" s="358" t="str">
        <f t="shared" si="62"/>
        <v/>
      </c>
      <c r="I405" s="460" t="str">
        <f t="shared" si="63"/>
        <v/>
      </c>
      <c r="J405" s="463" t="str">
        <f t="shared" si="60"/>
        <v/>
      </c>
      <c r="K405" s="357" t="str">
        <f>IF(L405=0,"",IF(Ijour=0,MIN(DATE(YEAR(DebAmort),MONTH(DebAmort)+(H405-1)*Imois,Jour1),DATE(YEAR(DebAmort),MONTH(DebAmort)+1+(H405-1)*Imois,0)),DATE(YEAR(DebAmort),MONTH(DebAmort),Jour1+(H405-1)*Ijour)))</f>
        <v/>
      </c>
      <c r="L405" s="270">
        <f t="shared" si="64"/>
        <v>0</v>
      </c>
      <c r="M405" s="271">
        <f t="shared" si="66"/>
        <v>0</v>
      </c>
      <c r="N405" s="272">
        <f t="shared" si="67"/>
        <v>0</v>
      </c>
      <c r="O405" s="273">
        <f t="shared" si="65"/>
        <v>0</v>
      </c>
      <c r="P405" s="274">
        <f t="shared" si="61"/>
        <v>0</v>
      </c>
      <c r="Q405" s="350"/>
      <c r="R405" s="461">
        <f t="shared" si="68"/>
        <v>0.05</v>
      </c>
      <c r="S405" s="462">
        <f t="shared" si="69"/>
        <v>440179.35</v>
      </c>
    </row>
    <row r="406" spans="2:19" ht="15" x14ac:dyDescent="0.25">
      <c r="B406" s="362"/>
      <c r="C406" s="269"/>
      <c r="D406" s="361"/>
      <c r="E406" s="360"/>
      <c r="F406" s="359"/>
      <c r="H406" s="358" t="str">
        <f t="shared" si="62"/>
        <v/>
      </c>
      <c r="I406" s="460" t="str">
        <f t="shared" si="63"/>
        <v/>
      </c>
      <c r="J406" s="463" t="str">
        <f t="shared" si="60"/>
        <v/>
      </c>
      <c r="K406" s="357" t="str">
        <f>IF(L406=0,"",IF(Ijour=0,MIN(DATE(YEAR(DebAmort),MONTH(DebAmort)+MoisD+(H406-1)*Imois,Jour2),DATE(YEAR(DebAmort),MONTH(DebAmort)+MoisD+1+(H406-1)*Imois,0)),DATE(YEAR(DebAmort),MONTH(DebAmort),Jour1+(H406-1)*Ijour)))</f>
        <v/>
      </c>
      <c r="L406" s="270">
        <f t="shared" si="64"/>
        <v>0</v>
      </c>
      <c r="M406" s="271">
        <f t="shared" si="66"/>
        <v>0</v>
      </c>
      <c r="N406" s="272">
        <f t="shared" si="67"/>
        <v>0</v>
      </c>
      <c r="O406" s="273">
        <f t="shared" si="65"/>
        <v>0</v>
      </c>
      <c r="P406" s="274">
        <f t="shared" si="61"/>
        <v>0</v>
      </c>
      <c r="Q406" s="350"/>
      <c r="R406" s="461">
        <f t="shared" si="68"/>
        <v>0.05</v>
      </c>
      <c r="S406" s="462">
        <f t="shared" si="69"/>
        <v>440179.35</v>
      </c>
    </row>
    <row r="407" spans="2:19" ht="15" x14ac:dyDescent="0.25">
      <c r="B407" s="362"/>
      <c r="C407" s="269"/>
      <c r="D407" s="361"/>
      <c r="E407" s="360"/>
      <c r="F407" s="359"/>
      <c r="H407" s="358" t="str">
        <f t="shared" si="62"/>
        <v/>
      </c>
      <c r="I407" s="460" t="str">
        <f t="shared" si="63"/>
        <v/>
      </c>
      <c r="J407" s="463" t="str">
        <f t="shared" si="60"/>
        <v/>
      </c>
      <c r="K407" s="357" t="str">
        <f>IF(L407=0,"",IF(Ijour=0,MIN(DATE(YEAR(DebAmort),MONTH(DebAmort)+(H407-1)*Imois,Jour1),DATE(YEAR(DebAmort),MONTH(DebAmort)+1+(H407-1)*Imois,0)),DATE(YEAR(DebAmort),MONTH(DebAmort),Jour1+(H407-1)*Ijour)))</f>
        <v/>
      </c>
      <c r="L407" s="270">
        <f t="shared" si="64"/>
        <v>0</v>
      </c>
      <c r="M407" s="271">
        <f t="shared" si="66"/>
        <v>0</v>
      </c>
      <c r="N407" s="272">
        <f t="shared" si="67"/>
        <v>0</v>
      </c>
      <c r="O407" s="273">
        <f t="shared" si="65"/>
        <v>0</v>
      </c>
      <c r="P407" s="274">
        <f t="shared" si="61"/>
        <v>0</v>
      </c>
      <c r="Q407" s="350"/>
      <c r="R407" s="461">
        <f t="shared" si="68"/>
        <v>0.05</v>
      </c>
      <c r="S407" s="462">
        <f t="shared" si="69"/>
        <v>440179.35</v>
      </c>
    </row>
    <row r="408" spans="2:19" ht="15" x14ac:dyDescent="0.25">
      <c r="B408" s="362"/>
      <c r="C408" s="269"/>
      <c r="D408" s="361"/>
      <c r="E408" s="360"/>
      <c r="F408" s="359"/>
      <c r="H408" s="358" t="str">
        <f t="shared" si="62"/>
        <v/>
      </c>
      <c r="I408" s="460" t="str">
        <f t="shared" si="63"/>
        <v/>
      </c>
      <c r="J408" s="463" t="str">
        <f t="shared" si="60"/>
        <v/>
      </c>
      <c r="K408" s="357" t="str">
        <f>IF(L408=0,"",IF(Ijour=0,MIN(DATE(YEAR(DebAmort),MONTH(DebAmort)+MoisD+(H408-1)*Imois,Jour2),DATE(YEAR(DebAmort),MONTH(DebAmort)+MoisD+1+(H408-1)*Imois,0)),DATE(YEAR(DebAmort),MONTH(DebAmort),Jour1+(H408-1)*Ijour)))</f>
        <v/>
      </c>
      <c r="L408" s="270">
        <f t="shared" si="64"/>
        <v>0</v>
      </c>
      <c r="M408" s="271">
        <f t="shared" si="66"/>
        <v>0</v>
      </c>
      <c r="N408" s="272">
        <f t="shared" si="67"/>
        <v>0</v>
      </c>
      <c r="O408" s="273">
        <f t="shared" si="65"/>
        <v>0</v>
      </c>
      <c r="P408" s="274">
        <f t="shared" si="61"/>
        <v>0</v>
      </c>
      <c r="Q408" s="350"/>
      <c r="R408" s="461">
        <f t="shared" si="68"/>
        <v>0.05</v>
      </c>
      <c r="S408" s="462">
        <f t="shared" si="69"/>
        <v>440179.35</v>
      </c>
    </row>
    <row r="409" spans="2:19" ht="15" x14ac:dyDescent="0.25">
      <c r="B409" s="362"/>
      <c r="C409" s="269"/>
      <c r="D409" s="361"/>
      <c r="E409" s="360"/>
      <c r="F409" s="359"/>
      <c r="H409" s="358" t="str">
        <f t="shared" si="62"/>
        <v/>
      </c>
      <c r="I409" s="460" t="str">
        <f t="shared" si="63"/>
        <v/>
      </c>
      <c r="J409" s="463" t="str">
        <f t="shared" si="60"/>
        <v/>
      </c>
      <c r="K409" s="357" t="str">
        <f>IF(L409=0,"",IF(Ijour=0,MIN(DATE(YEAR(DebAmort),MONTH(DebAmort)+(H409-1)*Imois,Jour1),DATE(YEAR(DebAmort),MONTH(DebAmort)+1+(H409-1)*Imois,0)),DATE(YEAR(DebAmort),MONTH(DebAmort),Jour1+(H409-1)*Ijour)))</f>
        <v/>
      </c>
      <c r="L409" s="270">
        <f t="shared" si="64"/>
        <v>0</v>
      </c>
      <c r="M409" s="271">
        <f t="shared" si="66"/>
        <v>0</v>
      </c>
      <c r="N409" s="272">
        <f t="shared" si="67"/>
        <v>0</v>
      </c>
      <c r="O409" s="273">
        <f t="shared" si="65"/>
        <v>0</v>
      </c>
      <c r="P409" s="274">
        <f t="shared" si="61"/>
        <v>0</v>
      </c>
      <c r="Q409" s="350"/>
      <c r="R409" s="461">
        <f t="shared" si="68"/>
        <v>0.05</v>
      </c>
      <c r="S409" s="462">
        <f t="shared" si="69"/>
        <v>440179.35</v>
      </c>
    </row>
    <row r="410" spans="2:19" ht="15" x14ac:dyDescent="0.25">
      <c r="B410" s="362"/>
      <c r="C410" s="269"/>
      <c r="D410" s="361"/>
      <c r="E410" s="360"/>
      <c r="F410" s="359"/>
      <c r="H410" s="358" t="str">
        <f t="shared" si="62"/>
        <v/>
      </c>
      <c r="I410" s="460" t="str">
        <f t="shared" si="63"/>
        <v/>
      </c>
      <c r="J410" s="463" t="str">
        <f t="shared" si="60"/>
        <v/>
      </c>
      <c r="K410" s="357" t="str">
        <f>IF(L410=0,"",IF(Ijour=0,MIN(DATE(YEAR(DebAmort),MONTH(DebAmort)+MoisD+(H410-1)*Imois,Jour2),DATE(YEAR(DebAmort),MONTH(DebAmort)+MoisD+1+(H410-1)*Imois,0)),DATE(YEAR(DebAmort),MONTH(DebAmort),Jour1+(H410-1)*Ijour)))</f>
        <v/>
      </c>
      <c r="L410" s="270">
        <f t="shared" si="64"/>
        <v>0</v>
      </c>
      <c r="M410" s="271">
        <f t="shared" si="66"/>
        <v>0</v>
      </c>
      <c r="N410" s="272">
        <f t="shared" si="67"/>
        <v>0</v>
      </c>
      <c r="O410" s="273">
        <f t="shared" si="65"/>
        <v>0</v>
      </c>
      <c r="P410" s="274">
        <f t="shared" si="61"/>
        <v>0</v>
      </c>
      <c r="Q410" s="350"/>
      <c r="R410" s="461">
        <f t="shared" si="68"/>
        <v>0.05</v>
      </c>
      <c r="S410" s="462">
        <f t="shared" si="69"/>
        <v>440179.35</v>
      </c>
    </row>
    <row r="411" spans="2:19" ht="15" x14ac:dyDescent="0.25">
      <c r="B411" s="362"/>
      <c r="C411" s="269"/>
      <c r="D411" s="361"/>
      <c r="E411" s="360"/>
      <c r="F411" s="359"/>
      <c r="H411" s="358" t="str">
        <f t="shared" si="62"/>
        <v/>
      </c>
      <c r="I411" s="460" t="str">
        <f t="shared" si="63"/>
        <v/>
      </c>
      <c r="J411" s="463" t="str">
        <f t="shared" si="60"/>
        <v/>
      </c>
      <c r="K411" s="357" t="str">
        <f>IF(L411=0,"",IF(Ijour=0,MIN(DATE(YEAR(DebAmort),MONTH(DebAmort)+(H411-1)*Imois,Jour1),DATE(YEAR(DebAmort),MONTH(DebAmort)+1+(H411-1)*Imois,0)),DATE(YEAR(DebAmort),MONTH(DebAmort),Jour1+(H411-1)*Ijour)))</f>
        <v/>
      </c>
      <c r="L411" s="270">
        <f t="shared" si="64"/>
        <v>0</v>
      </c>
      <c r="M411" s="271">
        <f t="shared" si="66"/>
        <v>0</v>
      </c>
      <c r="N411" s="272">
        <f t="shared" si="67"/>
        <v>0</v>
      </c>
      <c r="O411" s="273">
        <f t="shared" si="65"/>
        <v>0</v>
      </c>
      <c r="P411" s="274">
        <f t="shared" si="61"/>
        <v>0</v>
      </c>
      <c r="Q411" s="350"/>
      <c r="R411" s="461">
        <f t="shared" si="68"/>
        <v>0.05</v>
      </c>
      <c r="S411" s="462">
        <f t="shared" si="69"/>
        <v>440179.35</v>
      </c>
    </row>
    <row r="412" spans="2:19" ht="15" x14ac:dyDescent="0.25">
      <c r="B412" s="362"/>
      <c r="C412" s="269"/>
      <c r="D412" s="361"/>
      <c r="E412" s="360"/>
      <c r="F412" s="359"/>
      <c r="H412" s="358" t="str">
        <f t="shared" si="62"/>
        <v/>
      </c>
      <c r="I412" s="460" t="str">
        <f t="shared" si="63"/>
        <v/>
      </c>
      <c r="J412" s="463" t="str">
        <f t="shared" si="60"/>
        <v/>
      </c>
      <c r="K412" s="357" t="str">
        <f>IF(L412=0,"",IF(Ijour=0,MIN(DATE(YEAR(DebAmort),MONTH(DebAmort)+MoisD+(H412-1)*Imois,Jour2),DATE(YEAR(DebAmort),MONTH(DebAmort)+MoisD+1+(H412-1)*Imois,0)),DATE(YEAR(DebAmort),MONTH(DebAmort),Jour1+(H412-1)*Ijour)))</f>
        <v/>
      </c>
      <c r="L412" s="270">
        <f t="shared" si="64"/>
        <v>0</v>
      </c>
      <c r="M412" s="271">
        <f t="shared" si="66"/>
        <v>0</v>
      </c>
      <c r="N412" s="272">
        <f t="shared" si="67"/>
        <v>0</v>
      </c>
      <c r="O412" s="273">
        <f t="shared" si="65"/>
        <v>0</v>
      </c>
      <c r="P412" s="274">
        <f t="shared" si="61"/>
        <v>0</v>
      </c>
      <c r="Q412" s="350"/>
      <c r="R412" s="461">
        <f t="shared" si="68"/>
        <v>0.05</v>
      </c>
      <c r="S412" s="462">
        <f t="shared" si="69"/>
        <v>440179.35</v>
      </c>
    </row>
    <row r="413" spans="2:19" ht="15" x14ac:dyDescent="0.25">
      <c r="B413" s="362"/>
      <c r="C413" s="269"/>
      <c r="D413" s="361"/>
      <c r="E413" s="360"/>
      <c r="F413" s="359"/>
      <c r="H413" s="358" t="str">
        <f t="shared" si="62"/>
        <v/>
      </c>
      <c r="I413" s="460" t="str">
        <f t="shared" si="63"/>
        <v/>
      </c>
      <c r="J413" s="463" t="str">
        <f t="shared" si="60"/>
        <v/>
      </c>
      <c r="K413" s="357" t="str">
        <f>IF(L413=0,"",IF(Ijour=0,MIN(DATE(YEAR(DebAmort),MONTH(DebAmort)+(H413-1)*Imois,Jour1),DATE(YEAR(DebAmort),MONTH(DebAmort)+1+(H413-1)*Imois,0)),DATE(YEAR(DebAmort),MONTH(DebAmort),Jour1+(H413-1)*Ijour)))</f>
        <v/>
      </c>
      <c r="L413" s="270">
        <f t="shared" si="64"/>
        <v>0</v>
      </c>
      <c r="M413" s="271">
        <f t="shared" si="66"/>
        <v>0</v>
      </c>
      <c r="N413" s="272">
        <f t="shared" si="67"/>
        <v>0</v>
      </c>
      <c r="O413" s="273">
        <f t="shared" si="65"/>
        <v>0</v>
      </c>
      <c r="P413" s="274">
        <f t="shared" si="61"/>
        <v>0</v>
      </c>
      <c r="Q413" s="350"/>
      <c r="R413" s="461">
        <f t="shared" si="68"/>
        <v>0.05</v>
      </c>
      <c r="S413" s="462">
        <f t="shared" si="69"/>
        <v>440179.35</v>
      </c>
    </row>
    <row r="414" spans="2:19" ht="15" x14ac:dyDescent="0.25">
      <c r="B414" s="362"/>
      <c r="C414" s="269"/>
      <c r="D414" s="361"/>
      <c r="E414" s="360"/>
      <c r="F414" s="359"/>
      <c r="H414" s="358" t="str">
        <f t="shared" si="62"/>
        <v/>
      </c>
      <c r="I414" s="460" t="str">
        <f t="shared" si="63"/>
        <v/>
      </c>
      <c r="J414" s="463" t="str">
        <f t="shared" si="60"/>
        <v/>
      </c>
      <c r="K414" s="357" t="str">
        <f>IF(L414=0,"",IF(Ijour=0,MIN(DATE(YEAR(DebAmort),MONTH(DebAmort)+MoisD+(H414-1)*Imois,Jour2),DATE(YEAR(DebAmort),MONTH(DebAmort)+MoisD+1+(H414-1)*Imois,0)),DATE(YEAR(DebAmort),MONTH(DebAmort),Jour1+(H414-1)*Ijour)))</f>
        <v/>
      </c>
      <c r="L414" s="270">
        <f t="shared" si="64"/>
        <v>0</v>
      </c>
      <c r="M414" s="271">
        <f t="shared" si="66"/>
        <v>0</v>
      </c>
      <c r="N414" s="272">
        <f t="shared" si="67"/>
        <v>0</v>
      </c>
      <c r="O414" s="273">
        <f t="shared" si="65"/>
        <v>0</v>
      </c>
      <c r="P414" s="274">
        <f t="shared" si="61"/>
        <v>0</v>
      </c>
      <c r="Q414" s="350"/>
      <c r="R414" s="461">
        <f t="shared" si="68"/>
        <v>0.05</v>
      </c>
      <c r="S414" s="462">
        <f t="shared" si="69"/>
        <v>440179.35</v>
      </c>
    </row>
    <row r="415" spans="2:19" ht="15" x14ac:dyDescent="0.25">
      <c r="B415" s="362"/>
      <c r="C415" s="269"/>
      <c r="D415" s="361"/>
      <c r="E415" s="360"/>
      <c r="F415" s="359"/>
      <c r="H415" s="358" t="str">
        <f t="shared" si="62"/>
        <v/>
      </c>
      <c r="I415" s="460" t="str">
        <f t="shared" si="63"/>
        <v/>
      </c>
      <c r="J415" s="463" t="str">
        <f t="shared" si="60"/>
        <v/>
      </c>
      <c r="K415" s="357" t="str">
        <f>IF(L415=0,"",IF(Ijour=0,MIN(DATE(YEAR(DebAmort),MONTH(DebAmort)+(H415-1)*Imois,Jour1),DATE(YEAR(DebAmort),MONTH(DebAmort)+1+(H415-1)*Imois,0)),DATE(YEAR(DebAmort),MONTH(DebAmort),Jour1+(H415-1)*Ijour)))</f>
        <v/>
      </c>
      <c r="L415" s="270">
        <f t="shared" si="64"/>
        <v>0</v>
      </c>
      <c r="M415" s="271">
        <f t="shared" si="66"/>
        <v>0</v>
      </c>
      <c r="N415" s="272">
        <f t="shared" si="67"/>
        <v>0</v>
      </c>
      <c r="O415" s="273">
        <f t="shared" si="65"/>
        <v>0</v>
      </c>
      <c r="P415" s="274">
        <f t="shared" si="61"/>
        <v>0</v>
      </c>
      <c r="Q415" s="350"/>
      <c r="R415" s="461">
        <f t="shared" si="68"/>
        <v>0.05</v>
      </c>
      <c r="S415" s="462">
        <f t="shared" si="69"/>
        <v>440179.35</v>
      </c>
    </row>
    <row r="416" spans="2:19" ht="15" x14ac:dyDescent="0.25">
      <c r="B416" s="362"/>
      <c r="C416" s="269"/>
      <c r="D416" s="361"/>
      <c r="E416" s="360"/>
      <c r="F416" s="359"/>
      <c r="H416" s="358" t="str">
        <f t="shared" si="62"/>
        <v/>
      </c>
      <c r="I416" s="460" t="str">
        <f t="shared" si="63"/>
        <v/>
      </c>
      <c r="J416" s="463" t="str">
        <f t="shared" si="60"/>
        <v/>
      </c>
      <c r="K416" s="357" t="str">
        <f>IF(L416=0,"",IF(Ijour=0,MIN(DATE(YEAR(DebAmort),MONTH(DebAmort)+MoisD+(H416-1)*Imois,Jour2),DATE(YEAR(DebAmort),MONTH(DebAmort)+MoisD+1+(H416-1)*Imois,0)),DATE(YEAR(DebAmort),MONTH(DebAmort),Jour1+(H416-1)*Ijour)))</f>
        <v/>
      </c>
      <c r="L416" s="270">
        <f t="shared" si="64"/>
        <v>0</v>
      </c>
      <c r="M416" s="271">
        <f t="shared" si="66"/>
        <v>0</v>
      </c>
      <c r="N416" s="272">
        <f t="shared" si="67"/>
        <v>0</v>
      </c>
      <c r="O416" s="273">
        <f t="shared" si="65"/>
        <v>0</v>
      </c>
      <c r="P416" s="274">
        <f t="shared" si="61"/>
        <v>0</v>
      </c>
      <c r="Q416" s="350"/>
      <c r="R416" s="461">
        <f t="shared" si="68"/>
        <v>0.05</v>
      </c>
      <c r="S416" s="462">
        <f t="shared" si="69"/>
        <v>440179.35</v>
      </c>
    </row>
    <row r="417" spans="2:19" ht="15" x14ac:dyDescent="0.25">
      <c r="B417" s="362"/>
      <c r="C417" s="269"/>
      <c r="D417" s="361"/>
      <c r="E417" s="360"/>
      <c r="F417" s="359"/>
      <c r="H417" s="358" t="str">
        <f t="shared" si="62"/>
        <v/>
      </c>
      <c r="I417" s="460" t="str">
        <f t="shared" si="63"/>
        <v/>
      </c>
      <c r="J417" s="463" t="str">
        <f t="shared" si="60"/>
        <v/>
      </c>
      <c r="K417" s="357" t="str">
        <f>IF(L417=0,"",IF(Ijour=0,MIN(DATE(YEAR(DebAmort),MONTH(DebAmort)+(H417-1)*Imois,Jour1),DATE(YEAR(DebAmort),MONTH(DebAmort)+1+(H417-1)*Imois,0)),DATE(YEAR(DebAmort),MONTH(DebAmort),Jour1+(H417-1)*Ijour)))</f>
        <v/>
      </c>
      <c r="L417" s="270">
        <f t="shared" si="64"/>
        <v>0</v>
      </c>
      <c r="M417" s="271">
        <f t="shared" si="66"/>
        <v>0</v>
      </c>
      <c r="N417" s="272">
        <f t="shared" si="67"/>
        <v>0</v>
      </c>
      <c r="O417" s="273">
        <f t="shared" si="65"/>
        <v>0</v>
      </c>
      <c r="P417" s="274">
        <f t="shared" si="61"/>
        <v>0</v>
      </c>
      <c r="Q417" s="350"/>
      <c r="R417" s="461">
        <f t="shared" si="68"/>
        <v>0.05</v>
      </c>
      <c r="S417" s="462">
        <f t="shared" si="69"/>
        <v>440179.35</v>
      </c>
    </row>
    <row r="418" spans="2:19" ht="15" x14ac:dyDescent="0.25">
      <c r="B418" s="362"/>
      <c r="C418" s="269"/>
      <c r="D418" s="361"/>
      <c r="E418" s="360"/>
      <c r="F418" s="359"/>
      <c r="H418" s="358" t="str">
        <f t="shared" si="62"/>
        <v/>
      </c>
      <c r="I418" s="460" t="str">
        <f t="shared" si="63"/>
        <v/>
      </c>
      <c r="J418" s="463" t="str">
        <f t="shared" si="60"/>
        <v/>
      </c>
      <c r="K418" s="357" t="str">
        <f>IF(L418=0,"",IF(Ijour=0,MIN(DATE(YEAR(DebAmort),MONTH(DebAmort)+MoisD+(H418-1)*Imois,Jour2),DATE(YEAR(DebAmort),MONTH(DebAmort)+MoisD+1+(H418-1)*Imois,0)),DATE(YEAR(DebAmort),MONTH(DebAmort),Jour1+(H418-1)*Ijour)))</f>
        <v/>
      </c>
      <c r="L418" s="270">
        <f t="shared" si="64"/>
        <v>0</v>
      </c>
      <c r="M418" s="271">
        <f t="shared" si="66"/>
        <v>0</v>
      </c>
      <c r="N418" s="272">
        <f t="shared" si="67"/>
        <v>0</v>
      </c>
      <c r="O418" s="273">
        <f t="shared" si="65"/>
        <v>0</v>
      </c>
      <c r="P418" s="274">
        <f t="shared" si="61"/>
        <v>0</v>
      </c>
      <c r="Q418" s="350"/>
      <c r="R418" s="461">
        <f t="shared" si="68"/>
        <v>0.05</v>
      </c>
      <c r="S418" s="462">
        <f t="shared" si="69"/>
        <v>440179.35</v>
      </c>
    </row>
    <row r="419" spans="2:19" ht="15" x14ac:dyDescent="0.25">
      <c r="B419" s="362"/>
      <c r="C419" s="269"/>
      <c r="D419" s="361"/>
      <c r="E419" s="360"/>
      <c r="F419" s="359"/>
      <c r="H419" s="358" t="str">
        <f t="shared" si="62"/>
        <v/>
      </c>
      <c r="I419" s="460" t="str">
        <f t="shared" si="63"/>
        <v/>
      </c>
      <c r="J419" s="463" t="str">
        <f t="shared" si="60"/>
        <v/>
      </c>
      <c r="K419" s="357" t="str">
        <f>IF(L419=0,"",IF(Ijour=0,MIN(DATE(YEAR(DebAmort),MONTH(DebAmort)+(H419-1)*Imois,Jour1),DATE(YEAR(DebAmort),MONTH(DebAmort)+1+(H419-1)*Imois,0)),DATE(YEAR(DebAmort),MONTH(DebAmort),Jour1+(H419-1)*Ijour)))</f>
        <v/>
      </c>
      <c r="L419" s="270">
        <f t="shared" si="64"/>
        <v>0</v>
      </c>
      <c r="M419" s="271">
        <f t="shared" si="66"/>
        <v>0</v>
      </c>
      <c r="N419" s="272">
        <f t="shared" si="67"/>
        <v>0</v>
      </c>
      <c r="O419" s="273">
        <f t="shared" si="65"/>
        <v>0</v>
      </c>
      <c r="P419" s="274">
        <f t="shared" si="61"/>
        <v>0</v>
      </c>
      <c r="Q419" s="350"/>
      <c r="R419" s="461">
        <f t="shared" si="68"/>
        <v>0.05</v>
      </c>
      <c r="S419" s="462">
        <f t="shared" si="69"/>
        <v>440179.35</v>
      </c>
    </row>
    <row r="420" spans="2:19" ht="15" x14ac:dyDescent="0.25">
      <c r="B420" s="362"/>
      <c r="C420" s="269"/>
      <c r="D420" s="361"/>
      <c r="E420" s="360"/>
      <c r="F420" s="359"/>
      <c r="H420" s="358" t="str">
        <f t="shared" si="62"/>
        <v/>
      </c>
      <c r="I420" s="460" t="str">
        <f t="shared" si="63"/>
        <v/>
      </c>
      <c r="J420" s="463" t="str">
        <f t="shared" si="60"/>
        <v/>
      </c>
      <c r="K420" s="357" t="str">
        <f>IF(L420=0,"",IF(Ijour=0,MIN(DATE(YEAR(DebAmort),MONTH(DebAmort)+MoisD+(H420-1)*Imois,Jour2),DATE(YEAR(DebAmort),MONTH(DebAmort)+MoisD+1+(H420-1)*Imois,0)),DATE(YEAR(DebAmort),MONTH(DebAmort),Jour1+(H420-1)*Ijour)))</f>
        <v/>
      </c>
      <c r="L420" s="270">
        <f t="shared" si="64"/>
        <v>0</v>
      </c>
      <c r="M420" s="271">
        <f t="shared" si="66"/>
        <v>0</v>
      </c>
      <c r="N420" s="272">
        <f t="shared" si="67"/>
        <v>0</v>
      </c>
      <c r="O420" s="273">
        <f t="shared" si="65"/>
        <v>0</v>
      </c>
      <c r="P420" s="274">
        <f t="shared" si="61"/>
        <v>0</v>
      </c>
      <c r="Q420" s="350"/>
      <c r="R420" s="461">
        <f t="shared" si="68"/>
        <v>0.05</v>
      </c>
      <c r="S420" s="462">
        <f t="shared" si="69"/>
        <v>440179.35</v>
      </c>
    </row>
    <row r="421" spans="2:19" ht="15" x14ac:dyDescent="0.25">
      <c r="B421" s="362"/>
      <c r="C421" s="269"/>
      <c r="D421" s="361"/>
      <c r="E421" s="360"/>
      <c r="F421" s="359"/>
      <c r="H421" s="358" t="str">
        <f t="shared" si="62"/>
        <v/>
      </c>
      <c r="I421" s="460" t="str">
        <f t="shared" si="63"/>
        <v/>
      </c>
      <c r="J421" s="463" t="str">
        <f t="shared" si="60"/>
        <v/>
      </c>
      <c r="K421" s="357" t="str">
        <f>IF(L421=0,"",IF(Ijour=0,MIN(DATE(YEAR(DebAmort),MONTH(DebAmort)+(H421-1)*Imois,Jour1),DATE(YEAR(DebAmort),MONTH(DebAmort)+1+(H421-1)*Imois,0)),DATE(YEAR(DebAmort),MONTH(DebAmort),Jour1+(H421-1)*Ijour)))</f>
        <v/>
      </c>
      <c r="L421" s="270">
        <f t="shared" si="64"/>
        <v>0</v>
      </c>
      <c r="M421" s="271">
        <f t="shared" si="66"/>
        <v>0</v>
      </c>
      <c r="N421" s="272">
        <f t="shared" si="67"/>
        <v>0</v>
      </c>
      <c r="O421" s="273">
        <f t="shared" si="65"/>
        <v>0</v>
      </c>
      <c r="P421" s="274">
        <f t="shared" si="61"/>
        <v>0</v>
      </c>
      <c r="Q421" s="350"/>
      <c r="R421" s="461">
        <f t="shared" si="68"/>
        <v>0.05</v>
      </c>
      <c r="S421" s="462">
        <f t="shared" si="69"/>
        <v>440179.35</v>
      </c>
    </row>
    <row r="422" spans="2:19" ht="15" x14ac:dyDescent="0.25">
      <c r="B422" s="362"/>
      <c r="C422" s="269"/>
      <c r="D422" s="361"/>
      <c r="E422" s="360"/>
      <c r="F422" s="359"/>
      <c r="H422" s="358" t="str">
        <f t="shared" si="62"/>
        <v/>
      </c>
      <c r="I422" s="460" t="str">
        <f t="shared" si="63"/>
        <v/>
      </c>
      <c r="J422" s="463" t="str">
        <f t="shared" si="60"/>
        <v/>
      </c>
      <c r="K422" s="357" t="str">
        <f>IF(L422=0,"",IF(Ijour=0,MIN(DATE(YEAR(DebAmort),MONTH(DebAmort)+MoisD+(H422-1)*Imois,Jour2),DATE(YEAR(DebAmort),MONTH(DebAmort)+MoisD+1+(H422-1)*Imois,0)),DATE(YEAR(DebAmort),MONTH(DebAmort),Jour1+(H422-1)*Ijour)))</f>
        <v/>
      </c>
      <c r="L422" s="270">
        <f t="shared" si="64"/>
        <v>0</v>
      </c>
      <c r="M422" s="271">
        <f t="shared" si="66"/>
        <v>0</v>
      </c>
      <c r="N422" s="272">
        <f t="shared" si="67"/>
        <v>0</v>
      </c>
      <c r="O422" s="273">
        <f t="shared" si="65"/>
        <v>0</v>
      </c>
      <c r="P422" s="274">
        <f t="shared" si="61"/>
        <v>0</v>
      </c>
      <c r="Q422" s="350"/>
      <c r="R422" s="461">
        <f t="shared" si="68"/>
        <v>0.05</v>
      </c>
      <c r="S422" s="462">
        <f t="shared" si="69"/>
        <v>440179.35</v>
      </c>
    </row>
    <row r="423" spans="2:19" ht="15" x14ac:dyDescent="0.25">
      <c r="B423" s="362"/>
      <c r="C423" s="269"/>
      <c r="D423" s="361"/>
      <c r="E423" s="360"/>
      <c r="F423" s="359"/>
      <c r="H423" s="358" t="str">
        <f t="shared" si="62"/>
        <v/>
      </c>
      <c r="I423" s="460" t="str">
        <f t="shared" si="63"/>
        <v/>
      </c>
      <c r="J423" s="463" t="str">
        <f t="shared" si="60"/>
        <v/>
      </c>
      <c r="K423" s="357" t="str">
        <f>IF(L423=0,"",IF(Ijour=0,MIN(DATE(YEAR(DebAmort),MONTH(DebAmort)+(H423-1)*Imois,Jour1),DATE(YEAR(DebAmort),MONTH(DebAmort)+1+(H423-1)*Imois,0)),DATE(YEAR(DebAmort),MONTH(DebAmort),Jour1+(H423-1)*Ijour)))</f>
        <v/>
      </c>
      <c r="L423" s="270">
        <f t="shared" si="64"/>
        <v>0</v>
      </c>
      <c r="M423" s="271">
        <f t="shared" si="66"/>
        <v>0</v>
      </c>
      <c r="N423" s="272">
        <f t="shared" si="67"/>
        <v>0</v>
      </c>
      <c r="O423" s="273">
        <f t="shared" si="65"/>
        <v>0</v>
      </c>
      <c r="P423" s="274">
        <f t="shared" si="61"/>
        <v>0</v>
      </c>
      <c r="Q423" s="350"/>
      <c r="R423" s="461">
        <f t="shared" si="68"/>
        <v>0.05</v>
      </c>
      <c r="S423" s="462">
        <f t="shared" si="69"/>
        <v>440179.35</v>
      </c>
    </row>
    <row r="424" spans="2:19" ht="15" x14ac:dyDescent="0.25">
      <c r="B424" s="362"/>
      <c r="C424" s="269"/>
      <c r="D424" s="361"/>
      <c r="E424" s="360"/>
      <c r="F424" s="359"/>
      <c r="H424" s="358" t="str">
        <f t="shared" si="62"/>
        <v/>
      </c>
      <c r="I424" s="460" t="str">
        <f t="shared" si="63"/>
        <v/>
      </c>
      <c r="J424" s="463" t="str">
        <f t="shared" si="60"/>
        <v/>
      </c>
      <c r="K424" s="357" t="str">
        <f>IF(L424=0,"",IF(Ijour=0,MIN(DATE(YEAR(DebAmort),MONTH(DebAmort)+MoisD+(H424-1)*Imois,Jour2),DATE(YEAR(DebAmort),MONTH(DebAmort)+MoisD+1+(H424-1)*Imois,0)),DATE(YEAR(DebAmort),MONTH(DebAmort),Jour1+(H424-1)*Ijour)))</f>
        <v/>
      </c>
      <c r="L424" s="270">
        <f t="shared" si="64"/>
        <v>0</v>
      </c>
      <c r="M424" s="271">
        <f t="shared" si="66"/>
        <v>0</v>
      </c>
      <c r="N424" s="272">
        <f t="shared" si="67"/>
        <v>0</v>
      </c>
      <c r="O424" s="273">
        <f t="shared" si="65"/>
        <v>0</v>
      </c>
      <c r="P424" s="274">
        <f t="shared" si="61"/>
        <v>0</v>
      </c>
      <c r="Q424" s="350"/>
      <c r="R424" s="461">
        <f t="shared" si="68"/>
        <v>0.05</v>
      </c>
      <c r="S424" s="462">
        <f t="shared" si="69"/>
        <v>440179.35</v>
      </c>
    </row>
    <row r="425" spans="2:19" ht="15" x14ac:dyDescent="0.25">
      <c r="B425" s="362"/>
      <c r="C425" s="269"/>
      <c r="D425" s="361"/>
      <c r="E425" s="360"/>
      <c r="F425" s="359"/>
      <c r="H425" s="358" t="str">
        <f t="shared" si="62"/>
        <v/>
      </c>
      <c r="I425" s="460" t="str">
        <f t="shared" si="63"/>
        <v/>
      </c>
      <c r="J425" s="463" t="str">
        <f t="shared" si="60"/>
        <v/>
      </c>
      <c r="K425" s="357" t="str">
        <f>IF(L425=0,"",IF(Ijour=0,MIN(DATE(YEAR(DebAmort),MONTH(DebAmort)+(H425-1)*Imois,Jour1),DATE(YEAR(DebAmort),MONTH(DebAmort)+1+(H425-1)*Imois,0)),DATE(YEAR(DebAmort),MONTH(DebAmort),Jour1+(H425-1)*Ijour)))</f>
        <v/>
      </c>
      <c r="L425" s="270">
        <f t="shared" si="64"/>
        <v>0</v>
      </c>
      <c r="M425" s="271">
        <f t="shared" si="66"/>
        <v>0</v>
      </c>
      <c r="N425" s="272">
        <f t="shared" si="67"/>
        <v>0</v>
      </c>
      <c r="O425" s="273">
        <f t="shared" si="65"/>
        <v>0</v>
      </c>
      <c r="P425" s="274">
        <f t="shared" si="61"/>
        <v>0</v>
      </c>
      <c r="Q425" s="350"/>
      <c r="R425" s="461">
        <f t="shared" si="68"/>
        <v>0.05</v>
      </c>
      <c r="S425" s="462">
        <f t="shared" si="69"/>
        <v>440179.35</v>
      </c>
    </row>
    <row r="426" spans="2:19" ht="15" x14ac:dyDescent="0.25">
      <c r="B426" s="362"/>
      <c r="C426" s="269"/>
      <c r="D426" s="361"/>
      <c r="E426" s="360"/>
      <c r="F426" s="359"/>
      <c r="H426" s="358" t="str">
        <f t="shared" si="62"/>
        <v/>
      </c>
      <c r="I426" s="460" t="str">
        <f t="shared" si="63"/>
        <v/>
      </c>
      <c r="J426" s="463" t="str">
        <f t="shared" si="60"/>
        <v/>
      </c>
      <c r="K426" s="357" t="str">
        <f>IF(L426=0,"",IF(Ijour=0,MIN(DATE(YEAR(DebAmort),MONTH(DebAmort)+MoisD+(H426-1)*Imois,Jour2),DATE(YEAR(DebAmort),MONTH(DebAmort)+MoisD+1+(H426-1)*Imois,0)),DATE(YEAR(DebAmort),MONTH(DebAmort),Jour1+(H426-1)*Ijour)))</f>
        <v/>
      </c>
      <c r="L426" s="270">
        <f t="shared" si="64"/>
        <v>0</v>
      </c>
      <c r="M426" s="271">
        <f t="shared" si="66"/>
        <v>0</v>
      </c>
      <c r="N426" s="272">
        <f t="shared" si="67"/>
        <v>0</v>
      </c>
      <c r="O426" s="273">
        <f t="shared" si="65"/>
        <v>0</v>
      </c>
      <c r="P426" s="274">
        <f t="shared" si="61"/>
        <v>0</v>
      </c>
      <c r="Q426" s="350"/>
      <c r="R426" s="461">
        <f t="shared" si="68"/>
        <v>0.05</v>
      </c>
      <c r="S426" s="462">
        <f t="shared" si="69"/>
        <v>440179.35</v>
      </c>
    </row>
    <row r="427" spans="2:19" ht="15" x14ac:dyDescent="0.25">
      <c r="B427" s="362"/>
      <c r="C427" s="269"/>
      <c r="D427" s="361"/>
      <c r="E427" s="360"/>
      <c r="F427" s="359"/>
      <c r="H427" s="358" t="str">
        <f t="shared" si="62"/>
        <v/>
      </c>
      <c r="I427" s="460" t="str">
        <f t="shared" si="63"/>
        <v/>
      </c>
      <c r="J427" s="463" t="str">
        <f t="shared" si="60"/>
        <v/>
      </c>
      <c r="K427" s="357" t="str">
        <f>IF(L427=0,"",IF(Ijour=0,MIN(DATE(YEAR(DebAmort),MONTH(DebAmort)+(H427-1)*Imois,Jour1),DATE(YEAR(DebAmort),MONTH(DebAmort)+1+(H427-1)*Imois,0)),DATE(YEAR(DebAmort),MONTH(DebAmort),Jour1+(H427-1)*Ijour)))</f>
        <v/>
      </c>
      <c r="L427" s="270">
        <f t="shared" si="64"/>
        <v>0</v>
      </c>
      <c r="M427" s="271">
        <f t="shared" si="66"/>
        <v>0</v>
      </c>
      <c r="N427" s="272">
        <f t="shared" si="67"/>
        <v>0</v>
      </c>
      <c r="O427" s="273">
        <f t="shared" si="65"/>
        <v>0</v>
      </c>
      <c r="P427" s="274">
        <f t="shared" si="61"/>
        <v>0</v>
      </c>
      <c r="Q427" s="350"/>
      <c r="R427" s="461">
        <f t="shared" si="68"/>
        <v>0.05</v>
      </c>
      <c r="S427" s="462">
        <f t="shared" si="69"/>
        <v>440179.35</v>
      </c>
    </row>
    <row r="428" spans="2:19" ht="15" x14ac:dyDescent="0.25">
      <c r="B428" s="362"/>
      <c r="C428" s="269"/>
      <c r="D428" s="361"/>
      <c r="E428" s="360"/>
      <c r="F428" s="359"/>
      <c r="H428" s="358" t="str">
        <f t="shared" si="62"/>
        <v/>
      </c>
      <c r="I428" s="460" t="str">
        <f t="shared" si="63"/>
        <v/>
      </c>
      <c r="J428" s="463" t="str">
        <f t="shared" si="60"/>
        <v/>
      </c>
      <c r="K428" s="357" t="str">
        <f>IF(L428=0,"",IF(Ijour=0,MIN(DATE(YEAR(DebAmort),MONTH(DebAmort)+MoisD+(H428-1)*Imois,Jour2),DATE(YEAR(DebAmort),MONTH(DebAmort)+MoisD+1+(H428-1)*Imois,0)),DATE(YEAR(DebAmort),MONTH(DebAmort),Jour1+(H428-1)*Ijour)))</f>
        <v/>
      </c>
      <c r="L428" s="270">
        <f t="shared" si="64"/>
        <v>0</v>
      </c>
      <c r="M428" s="271">
        <f t="shared" si="66"/>
        <v>0</v>
      </c>
      <c r="N428" s="272">
        <f t="shared" si="67"/>
        <v>0</v>
      </c>
      <c r="O428" s="273">
        <f t="shared" si="65"/>
        <v>0</v>
      </c>
      <c r="P428" s="274">
        <f t="shared" si="61"/>
        <v>0</v>
      </c>
      <c r="Q428" s="350"/>
      <c r="R428" s="461">
        <f t="shared" si="68"/>
        <v>0.05</v>
      </c>
      <c r="S428" s="462">
        <f t="shared" si="69"/>
        <v>440179.35</v>
      </c>
    </row>
    <row r="429" spans="2:19" ht="15" x14ac:dyDescent="0.25">
      <c r="B429" s="362"/>
      <c r="C429" s="269"/>
      <c r="D429" s="361"/>
      <c r="E429" s="360"/>
      <c r="F429" s="359"/>
      <c r="H429" s="358" t="str">
        <f t="shared" si="62"/>
        <v/>
      </c>
      <c r="I429" s="460" t="str">
        <f t="shared" si="63"/>
        <v/>
      </c>
      <c r="J429" s="463" t="str">
        <f t="shared" si="60"/>
        <v/>
      </c>
      <c r="K429" s="357" t="str">
        <f>IF(L429=0,"",IF(Ijour=0,MIN(DATE(YEAR(DebAmort),MONTH(DebAmort)+(H429-1)*Imois,Jour1),DATE(YEAR(DebAmort),MONTH(DebAmort)+1+(H429-1)*Imois,0)),DATE(YEAR(DebAmort),MONTH(DebAmort),Jour1+(H429-1)*Ijour)))</f>
        <v/>
      </c>
      <c r="L429" s="270">
        <f t="shared" si="64"/>
        <v>0</v>
      </c>
      <c r="M429" s="271">
        <f t="shared" si="66"/>
        <v>0</v>
      </c>
      <c r="N429" s="272">
        <f t="shared" si="67"/>
        <v>0</v>
      </c>
      <c r="O429" s="273">
        <f t="shared" si="65"/>
        <v>0</v>
      </c>
      <c r="P429" s="274">
        <f t="shared" si="61"/>
        <v>0</v>
      </c>
      <c r="Q429" s="350"/>
      <c r="R429" s="461">
        <f t="shared" si="68"/>
        <v>0.05</v>
      </c>
      <c r="S429" s="462">
        <f t="shared" si="69"/>
        <v>440179.35</v>
      </c>
    </row>
    <row r="430" spans="2:19" ht="15" x14ac:dyDescent="0.25">
      <c r="B430" s="362"/>
      <c r="C430" s="269"/>
      <c r="D430" s="361"/>
      <c r="E430" s="360"/>
      <c r="F430" s="359"/>
      <c r="H430" s="358" t="str">
        <f t="shared" si="62"/>
        <v/>
      </c>
      <c r="I430" s="460" t="str">
        <f t="shared" si="63"/>
        <v/>
      </c>
      <c r="J430" s="463" t="str">
        <f t="shared" si="60"/>
        <v/>
      </c>
      <c r="K430" s="357" t="str">
        <f>IF(L430=0,"",IF(Ijour=0,MIN(DATE(YEAR(DebAmort),MONTH(DebAmort)+MoisD+(H430-1)*Imois,Jour2),DATE(YEAR(DebAmort),MONTH(DebAmort)+MoisD+1+(H430-1)*Imois,0)),DATE(YEAR(DebAmort),MONTH(DebAmort),Jour1+(H430-1)*Ijour)))</f>
        <v/>
      </c>
      <c r="L430" s="270">
        <f t="shared" si="64"/>
        <v>0</v>
      </c>
      <c r="M430" s="271">
        <f t="shared" si="66"/>
        <v>0</v>
      </c>
      <c r="N430" s="272">
        <f t="shared" si="67"/>
        <v>0</v>
      </c>
      <c r="O430" s="273">
        <f t="shared" si="65"/>
        <v>0</v>
      </c>
      <c r="P430" s="274">
        <f t="shared" si="61"/>
        <v>0</v>
      </c>
      <c r="Q430" s="350"/>
      <c r="R430" s="461">
        <f t="shared" si="68"/>
        <v>0.05</v>
      </c>
      <c r="S430" s="462">
        <f t="shared" si="69"/>
        <v>440179.35</v>
      </c>
    </row>
    <row r="431" spans="2:19" ht="15" x14ac:dyDescent="0.25">
      <c r="B431" s="362"/>
      <c r="C431" s="269"/>
      <c r="D431" s="361"/>
      <c r="E431" s="360"/>
      <c r="F431" s="359"/>
      <c r="H431" s="358" t="str">
        <f t="shared" si="62"/>
        <v/>
      </c>
      <c r="I431" s="460" t="str">
        <f t="shared" si="63"/>
        <v/>
      </c>
      <c r="J431" s="463" t="str">
        <f t="shared" si="60"/>
        <v/>
      </c>
      <c r="K431" s="357" t="str">
        <f>IF(L431=0,"",IF(Ijour=0,MIN(DATE(YEAR(DebAmort),MONTH(DebAmort)+(H431-1)*Imois,Jour1),DATE(YEAR(DebAmort),MONTH(DebAmort)+1+(H431-1)*Imois,0)),DATE(YEAR(DebAmort),MONTH(DebAmort),Jour1+(H431-1)*Ijour)))</f>
        <v/>
      </c>
      <c r="L431" s="270">
        <f t="shared" si="64"/>
        <v>0</v>
      </c>
      <c r="M431" s="271">
        <f t="shared" si="66"/>
        <v>0</v>
      </c>
      <c r="N431" s="272">
        <f t="shared" si="67"/>
        <v>0</v>
      </c>
      <c r="O431" s="273">
        <f t="shared" si="65"/>
        <v>0</v>
      </c>
      <c r="P431" s="274">
        <f t="shared" si="61"/>
        <v>0</v>
      </c>
      <c r="Q431" s="350"/>
      <c r="R431" s="461">
        <f t="shared" si="68"/>
        <v>0.05</v>
      </c>
      <c r="S431" s="462">
        <f t="shared" si="69"/>
        <v>440179.35</v>
      </c>
    </row>
    <row r="432" spans="2:19" ht="15" x14ac:dyDescent="0.25">
      <c r="B432" s="362"/>
      <c r="C432" s="269"/>
      <c r="D432" s="361"/>
      <c r="E432" s="360"/>
      <c r="F432" s="359"/>
      <c r="H432" s="358" t="str">
        <f t="shared" si="62"/>
        <v/>
      </c>
      <c r="I432" s="460" t="str">
        <f t="shared" si="63"/>
        <v/>
      </c>
      <c r="J432" s="463" t="str">
        <f t="shared" si="60"/>
        <v/>
      </c>
      <c r="K432" s="357" t="str">
        <f>IF(L432=0,"",IF(Ijour=0,MIN(DATE(YEAR(DebAmort),MONTH(DebAmort)+MoisD+(H432-1)*Imois,Jour2),DATE(YEAR(DebAmort),MONTH(DebAmort)+MoisD+1+(H432-1)*Imois,0)),DATE(YEAR(DebAmort),MONTH(DebAmort),Jour1+(H432-1)*Ijour)))</f>
        <v/>
      </c>
      <c r="L432" s="270">
        <f t="shared" si="64"/>
        <v>0</v>
      </c>
      <c r="M432" s="271">
        <f t="shared" si="66"/>
        <v>0</v>
      </c>
      <c r="N432" s="272">
        <f t="shared" si="67"/>
        <v>0</v>
      </c>
      <c r="O432" s="273">
        <f t="shared" si="65"/>
        <v>0</v>
      </c>
      <c r="P432" s="274">
        <f t="shared" si="61"/>
        <v>0</v>
      </c>
      <c r="Q432" s="350"/>
      <c r="R432" s="461">
        <f t="shared" si="68"/>
        <v>0.05</v>
      </c>
      <c r="S432" s="462">
        <f t="shared" si="69"/>
        <v>440179.35</v>
      </c>
    </row>
    <row r="433" spans="2:19" ht="15" x14ac:dyDescent="0.25">
      <c r="B433" s="362"/>
      <c r="C433" s="269"/>
      <c r="D433" s="361"/>
      <c r="E433" s="360"/>
      <c r="F433" s="359"/>
      <c r="H433" s="358" t="str">
        <f t="shared" si="62"/>
        <v/>
      </c>
      <c r="I433" s="460" t="str">
        <f t="shared" si="63"/>
        <v/>
      </c>
      <c r="J433" s="463" t="str">
        <f t="shared" si="60"/>
        <v/>
      </c>
      <c r="K433" s="357" t="str">
        <f>IF(L433=0,"",IF(Ijour=0,MIN(DATE(YEAR(DebAmort),MONTH(DebAmort)+(H433-1)*Imois,Jour1),DATE(YEAR(DebAmort),MONTH(DebAmort)+1+(H433-1)*Imois,0)),DATE(YEAR(DebAmort),MONTH(DebAmort),Jour1+(H433-1)*Ijour)))</f>
        <v/>
      </c>
      <c r="L433" s="270">
        <f t="shared" si="64"/>
        <v>0</v>
      </c>
      <c r="M433" s="271">
        <f t="shared" si="66"/>
        <v>0</v>
      </c>
      <c r="N433" s="272">
        <f t="shared" si="67"/>
        <v>0</v>
      </c>
      <c r="O433" s="273">
        <f t="shared" si="65"/>
        <v>0</v>
      </c>
      <c r="P433" s="274">
        <f t="shared" si="61"/>
        <v>0</v>
      </c>
      <c r="Q433" s="350"/>
      <c r="R433" s="461">
        <f t="shared" si="68"/>
        <v>0.05</v>
      </c>
      <c r="S433" s="462">
        <f t="shared" si="69"/>
        <v>440179.35</v>
      </c>
    </row>
    <row r="434" spans="2:19" ht="15" x14ac:dyDescent="0.25">
      <c r="B434" s="362"/>
      <c r="C434" s="269"/>
      <c r="D434" s="361"/>
      <c r="E434" s="360"/>
      <c r="F434" s="359"/>
      <c r="H434" s="358" t="str">
        <f t="shared" si="62"/>
        <v/>
      </c>
      <c r="I434" s="460" t="str">
        <f t="shared" si="63"/>
        <v/>
      </c>
      <c r="J434" s="463" t="str">
        <f t="shared" si="60"/>
        <v/>
      </c>
      <c r="K434" s="357" t="str">
        <f>IF(L434=0,"",IF(Ijour=0,MIN(DATE(YEAR(DebAmort),MONTH(DebAmort)+MoisD+(H434-1)*Imois,Jour2),DATE(YEAR(DebAmort),MONTH(DebAmort)+MoisD+1+(H434-1)*Imois,0)),DATE(YEAR(DebAmort),MONTH(DebAmort),Jour1+(H434-1)*Ijour)))</f>
        <v/>
      </c>
      <c r="L434" s="270">
        <f t="shared" si="64"/>
        <v>0</v>
      </c>
      <c r="M434" s="271">
        <f t="shared" si="66"/>
        <v>0</v>
      </c>
      <c r="N434" s="272">
        <f t="shared" si="67"/>
        <v>0</v>
      </c>
      <c r="O434" s="273">
        <f t="shared" si="65"/>
        <v>0</v>
      </c>
      <c r="P434" s="274">
        <f t="shared" si="61"/>
        <v>0</v>
      </c>
      <c r="Q434" s="350"/>
      <c r="R434" s="461">
        <f t="shared" si="68"/>
        <v>0.05</v>
      </c>
      <c r="S434" s="462">
        <f t="shared" si="69"/>
        <v>440179.35</v>
      </c>
    </row>
    <row r="435" spans="2:19" ht="15" x14ac:dyDescent="0.25">
      <c r="B435" s="362"/>
      <c r="C435" s="269"/>
      <c r="D435" s="361"/>
      <c r="E435" s="360"/>
      <c r="F435" s="359"/>
      <c r="H435" s="358" t="str">
        <f t="shared" si="62"/>
        <v/>
      </c>
      <c r="I435" s="460" t="str">
        <f t="shared" si="63"/>
        <v/>
      </c>
      <c r="J435" s="463" t="str">
        <f t="shared" si="60"/>
        <v/>
      </c>
      <c r="K435" s="357" t="str">
        <f>IF(L435=0,"",IF(Ijour=0,MIN(DATE(YEAR(DebAmort),MONTH(DebAmort)+(H435-1)*Imois,Jour1),DATE(YEAR(DebAmort),MONTH(DebAmort)+1+(H435-1)*Imois,0)),DATE(YEAR(DebAmort),MONTH(DebAmort),Jour1+(H435-1)*Ijour)))</f>
        <v/>
      </c>
      <c r="L435" s="270">
        <f t="shared" si="64"/>
        <v>0</v>
      </c>
      <c r="M435" s="271">
        <f t="shared" si="66"/>
        <v>0</v>
      </c>
      <c r="N435" s="272">
        <f t="shared" si="67"/>
        <v>0</v>
      </c>
      <c r="O435" s="273">
        <f t="shared" si="65"/>
        <v>0</v>
      </c>
      <c r="P435" s="274">
        <f t="shared" si="61"/>
        <v>0</v>
      </c>
      <c r="Q435" s="350"/>
      <c r="R435" s="461">
        <f t="shared" si="68"/>
        <v>0.05</v>
      </c>
      <c r="S435" s="462">
        <f t="shared" si="69"/>
        <v>440179.35</v>
      </c>
    </row>
    <row r="436" spans="2:19" ht="15" x14ac:dyDescent="0.25">
      <c r="B436" s="362"/>
      <c r="C436" s="269"/>
      <c r="D436" s="361"/>
      <c r="E436" s="360"/>
      <c r="F436" s="359"/>
      <c r="H436" s="358" t="str">
        <f t="shared" si="62"/>
        <v/>
      </c>
      <c r="I436" s="460" t="str">
        <f t="shared" si="63"/>
        <v/>
      </c>
      <c r="J436" s="463" t="str">
        <f t="shared" si="60"/>
        <v/>
      </c>
      <c r="K436" s="357" t="str">
        <f>IF(L436=0,"",IF(Ijour=0,MIN(DATE(YEAR(DebAmort),MONTH(DebAmort)+MoisD+(H436-1)*Imois,Jour2),DATE(YEAR(DebAmort),MONTH(DebAmort)+MoisD+1+(H436-1)*Imois,0)),DATE(YEAR(DebAmort),MONTH(DebAmort),Jour1+(H436-1)*Ijour)))</f>
        <v/>
      </c>
      <c r="L436" s="270">
        <f t="shared" si="64"/>
        <v>0</v>
      </c>
      <c r="M436" s="271">
        <f t="shared" si="66"/>
        <v>0</v>
      </c>
      <c r="N436" s="272">
        <f t="shared" si="67"/>
        <v>0</v>
      </c>
      <c r="O436" s="273">
        <f t="shared" si="65"/>
        <v>0</v>
      </c>
      <c r="P436" s="274">
        <f t="shared" si="61"/>
        <v>0</v>
      </c>
      <c r="Q436" s="350"/>
      <c r="R436" s="461">
        <f t="shared" si="68"/>
        <v>0.05</v>
      </c>
      <c r="S436" s="462">
        <f t="shared" si="69"/>
        <v>440179.35</v>
      </c>
    </row>
    <row r="437" spans="2:19" ht="15" x14ac:dyDescent="0.25">
      <c r="B437" s="362"/>
      <c r="C437" s="269"/>
      <c r="D437" s="361"/>
      <c r="E437" s="360"/>
      <c r="F437" s="359"/>
      <c r="H437" s="358" t="str">
        <f t="shared" si="62"/>
        <v/>
      </c>
      <c r="I437" s="460" t="str">
        <f t="shared" si="63"/>
        <v/>
      </c>
      <c r="J437" s="463" t="str">
        <f t="shared" si="60"/>
        <v/>
      </c>
      <c r="K437" s="357" t="str">
        <f>IF(L437=0,"",IF(Ijour=0,MIN(DATE(YEAR(DebAmort),MONTH(DebAmort)+(H437-1)*Imois,Jour1),DATE(YEAR(DebAmort),MONTH(DebAmort)+1+(H437-1)*Imois,0)),DATE(YEAR(DebAmort),MONTH(DebAmort),Jour1+(H437-1)*Ijour)))</f>
        <v/>
      </c>
      <c r="L437" s="270">
        <f t="shared" si="64"/>
        <v>0</v>
      </c>
      <c r="M437" s="271">
        <f t="shared" si="66"/>
        <v>0</v>
      </c>
      <c r="N437" s="272">
        <f t="shared" si="67"/>
        <v>0</v>
      </c>
      <c r="O437" s="273">
        <f t="shared" si="65"/>
        <v>0</v>
      </c>
      <c r="P437" s="274">
        <f t="shared" si="61"/>
        <v>0</v>
      </c>
      <c r="Q437" s="350"/>
      <c r="R437" s="461">
        <f t="shared" si="68"/>
        <v>0.05</v>
      </c>
      <c r="S437" s="462">
        <f t="shared" si="69"/>
        <v>440179.35</v>
      </c>
    </row>
    <row r="438" spans="2:19" ht="15" x14ac:dyDescent="0.25">
      <c r="B438" s="362"/>
      <c r="C438" s="269"/>
      <c r="D438" s="361"/>
      <c r="E438" s="360"/>
      <c r="F438" s="359"/>
      <c r="H438" s="358" t="str">
        <f t="shared" si="62"/>
        <v/>
      </c>
      <c r="I438" s="460" t="str">
        <f t="shared" si="63"/>
        <v/>
      </c>
      <c r="J438" s="463" t="str">
        <f t="shared" si="60"/>
        <v/>
      </c>
      <c r="K438" s="357" t="str">
        <f>IF(L438=0,"",IF(Ijour=0,MIN(DATE(YEAR(DebAmort),MONTH(DebAmort)+MoisD+(H438-1)*Imois,Jour2),DATE(YEAR(DebAmort),MONTH(DebAmort)+MoisD+1+(H438-1)*Imois,0)),DATE(YEAR(DebAmort),MONTH(DebAmort),Jour1+(H438-1)*Ijour)))</f>
        <v/>
      </c>
      <c r="L438" s="270">
        <f t="shared" si="64"/>
        <v>0</v>
      </c>
      <c r="M438" s="271">
        <f t="shared" si="66"/>
        <v>0</v>
      </c>
      <c r="N438" s="272">
        <f t="shared" si="67"/>
        <v>0</v>
      </c>
      <c r="O438" s="273">
        <f t="shared" si="65"/>
        <v>0</v>
      </c>
      <c r="P438" s="274">
        <f t="shared" si="61"/>
        <v>0</v>
      </c>
      <c r="Q438" s="350"/>
      <c r="R438" s="461">
        <f t="shared" si="68"/>
        <v>0.05</v>
      </c>
      <c r="S438" s="462">
        <f t="shared" si="69"/>
        <v>440179.35</v>
      </c>
    </row>
    <row r="439" spans="2:19" ht="15" x14ac:dyDescent="0.25">
      <c r="B439" s="362"/>
      <c r="C439" s="269"/>
      <c r="D439" s="361"/>
      <c r="E439" s="360"/>
      <c r="F439" s="359"/>
      <c r="H439" s="358" t="str">
        <f t="shared" si="62"/>
        <v/>
      </c>
      <c r="I439" s="460" t="str">
        <f t="shared" si="63"/>
        <v/>
      </c>
      <c r="J439" s="463" t="str">
        <f t="shared" si="60"/>
        <v/>
      </c>
      <c r="K439" s="357" t="str">
        <f>IF(L439=0,"",IF(Ijour=0,MIN(DATE(YEAR(DebAmort),MONTH(DebAmort)+(H439-1)*Imois,Jour1),DATE(YEAR(DebAmort),MONTH(DebAmort)+1+(H439-1)*Imois,0)),DATE(YEAR(DebAmort),MONTH(DebAmort),Jour1+(H439-1)*Ijour)))</f>
        <v/>
      </c>
      <c r="L439" s="270">
        <f t="shared" si="64"/>
        <v>0</v>
      </c>
      <c r="M439" s="271">
        <f t="shared" si="66"/>
        <v>0</v>
      </c>
      <c r="N439" s="272">
        <f t="shared" si="67"/>
        <v>0</v>
      </c>
      <c r="O439" s="273">
        <f t="shared" si="65"/>
        <v>0</v>
      </c>
      <c r="P439" s="274">
        <f t="shared" si="61"/>
        <v>0</v>
      </c>
      <c r="Q439" s="350"/>
      <c r="R439" s="461">
        <f t="shared" si="68"/>
        <v>0.05</v>
      </c>
      <c r="S439" s="462">
        <f t="shared" si="69"/>
        <v>440179.35</v>
      </c>
    </row>
    <row r="440" spans="2:19" ht="15" x14ac:dyDescent="0.25">
      <c r="B440" s="362"/>
      <c r="C440" s="269"/>
      <c r="D440" s="361"/>
      <c r="E440" s="360"/>
      <c r="F440" s="359"/>
      <c r="H440" s="358" t="str">
        <f t="shared" si="62"/>
        <v/>
      </c>
      <c r="I440" s="460" t="str">
        <f t="shared" si="63"/>
        <v/>
      </c>
      <c r="J440" s="463" t="str">
        <f t="shared" si="60"/>
        <v/>
      </c>
      <c r="K440" s="357" t="str">
        <f>IF(L440=0,"",IF(Ijour=0,MIN(DATE(YEAR(DebAmort),MONTH(DebAmort)+MoisD+(H440-1)*Imois,Jour2),DATE(YEAR(DebAmort),MONTH(DebAmort)+MoisD+1+(H440-1)*Imois,0)),DATE(YEAR(DebAmort),MONTH(DebAmort),Jour1+(H440-1)*Ijour)))</f>
        <v/>
      </c>
      <c r="L440" s="270">
        <f t="shared" si="64"/>
        <v>0</v>
      </c>
      <c r="M440" s="271">
        <f t="shared" si="66"/>
        <v>0</v>
      </c>
      <c r="N440" s="272">
        <f t="shared" si="67"/>
        <v>0</v>
      </c>
      <c r="O440" s="273">
        <f t="shared" si="65"/>
        <v>0</v>
      </c>
      <c r="P440" s="274">
        <f t="shared" si="61"/>
        <v>0</v>
      </c>
      <c r="Q440" s="350"/>
      <c r="R440" s="461">
        <f t="shared" si="68"/>
        <v>0.05</v>
      </c>
      <c r="S440" s="462">
        <f t="shared" si="69"/>
        <v>440179.35</v>
      </c>
    </row>
    <row r="441" spans="2:19" ht="15" x14ac:dyDescent="0.25">
      <c r="B441" s="362"/>
      <c r="C441" s="269"/>
      <c r="D441" s="361"/>
      <c r="E441" s="360"/>
      <c r="F441" s="359"/>
      <c r="H441" s="358" t="str">
        <f t="shared" si="62"/>
        <v/>
      </c>
      <c r="I441" s="460" t="str">
        <f t="shared" si="63"/>
        <v/>
      </c>
      <c r="J441" s="463" t="str">
        <f t="shared" si="60"/>
        <v/>
      </c>
      <c r="K441" s="357" t="str">
        <f>IF(L441=0,"",IF(Ijour=0,MIN(DATE(YEAR(DebAmort),MONTH(DebAmort)+(H441-1)*Imois,Jour1),DATE(YEAR(DebAmort),MONTH(DebAmort)+1+(H441-1)*Imois,0)),DATE(YEAR(DebAmort),MONTH(DebAmort),Jour1+(H441-1)*Ijour)))</f>
        <v/>
      </c>
      <c r="L441" s="270">
        <f t="shared" si="64"/>
        <v>0</v>
      </c>
      <c r="M441" s="271">
        <f t="shared" si="66"/>
        <v>0</v>
      </c>
      <c r="N441" s="272">
        <f t="shared" si="67"/>
        <v>0</v>
      </c>
      <c r="O441" s="273">
        <f t="shared" si="65"/>
        <v>0</v>
      </c>
      <c r="P441" s="274">
        <f t="shared" si="61"/>
        <v>0</v>
      </c>
      <c r="Q441" s="350"/>
      <c r="R441" s="461">
        <f t="shared" si="68"/>
        <v>0.05</v>
      </c>
      <c r="S441" s="462">
        <f t="shared" si="69"/>
        <v>440179.35</v>
      </c>
    </row>
    <row r="442" spans="2:19" ht="15" x14ac:dyDescent="0.25">
      <c r="B442" s="362"/>
      <c r="C442" s="269"/>
      <c r="D442" s="361"/>
      <c r="E442" s="360"/>
      <c r="F442" s="359"/>
      <c r="H442" s="358" t="str">
        <f t="shared" si="62"/>
        <v/>
      </c>
      <c r="I442" s="460" t="str">
        <f t="shared" si="63"/>
        <v/>
      </c>
      <c r="J442" s="463" t="str">
        <f t="shared" si="60"/>
        <v/>
      </c>
      <c r="K442" s="357" t="str">
        <f>IF(L442=0,"",IF(Ijour=0,MIN(DATE(YEAR(DebAmort),MONTH(DebAmort)+MoisD+(H442-1)*Imois,Jour2),DATE(YEAR(DebAmort),MONTH(DebAmort)+MoisD+1+(H442-1)*Imois,0)),DATE(YEAR(DebAmort),MONTH(DebAmort),Jour1+(H442-1)*Ijour)))</f>
        <v/>
      </c>
      <c r="L442" s="270">
        <f t="shared" si="64"/>
        <v>0</v>
      </c>
      <c r="M442" s="271">
        <f t="shared" si="66"/>
        <v>0</v>
      </c>
      <c r="N442" s="272">
        <f t="shared" si="67"/>
        <v>0</v>
      </c>
      <c r="O442" s="273">
        <f t="shared" si="65"/>
        <v>0</v>
      </c>
      <c r="P442" s="274">
        <f t="shared" si="61"/>
        <v>0</v>
      </c>
      <c r="Q442" s="350"/>
      <c r="R442" s="461">
        <f t="shared" si="68"/>
        <v>0.05</v>
      </c>
      <c r="S442" s="462">
        <f t="shared" si="69"/>
        <v>440179.35</v>
      </c>
    </row>
    <row r="443" spans="2:19" ht="15" x14ac:dyDescent="0.25">
      <c r="B443" s="362"/>
      <c r="C443" s="269"/>
      <c r="D443" s="361"/>
      <c r="E443" s="360"/>
      <c r="F443" s="359"/>
      <c r="H443" s="358" t="str">
        <f t="shared" si="62"/>
        <v/>
      </c>
      <c r="I443" s="460" t="str">
        <f t="shared" si="63"/>
        <v/>
      </c>
      <c r="J443" s="463" t="str">
        <f t="shared" si="60"/>
        <v/>
      </c>
      <c r="K443" s="357" t="str">
        <f>IF(L443=0,"",IF(Ijour=0,MIN(DATE(YEAR(DebAmort),MONTH(DebAmort)+(H443-1)*Imois,Jour1),DATE(YEAR(DebAmort),MONTH(DebAmort)+1+(H443-1)*Imois,0)),DATE(YEAR(DebAmort),MONTH(DebAmort),Jour1+(H443-1)*Ijour)))</f>
        <v/>
      </c>
      <c r="L443" s="270">
        <f t="shared" si="64"/>
        <v>0</v>
      </c>
      <c r="M443" s="271">
        <f t="shared" si="66"/>
        <v>0</v>
      </c>
      <c r="N443" s="272">
        <f t="shared" si="67"/>
        <v>0</v>
      </c>
      <c r="O443" s="273">
        <f t="shared" si="65"/>
        <v>0</v>
      </c>
      <c r="P443" s="274">
        <f t="shared" si="61"/>
        <v>0</v>
      </c>
      <c r="Q443" s="350"/>
      <c r="R443" s="461">
        <f t="shared" si="68"/>
        <v>0.05</v>
      </c>
      <c r="S443" s="462">
        <f t="shared" si="69"/>
        <v>440179.35</v>
      </c>
    </row>
    <row r="444" spans="2:19" ht="15" x14ac:dyDescent="0.25">
      <c r="B444" s="362"/>
      <c r="C444" s="269"/>
      <c r="D444" s="361"/>
      <c r="E444" s="360"/>
      <c r="F444" s="359"/>
      <c r="H444" s="358" t="str">
        <f t="shared" si="62"/>
        <v/>
      </c>
      <c r="I444" s="460" t="str">
        <f t="shared" si="63"/>
        <v/>
      </c>
      <c r="J444" s="463" t="str">
        <f t="shared" si="60"/>
        <v/>
      </c>
      <c r="K444" s="357" t="str">
        <f>IF(L444=0,"",IF(Ijour=0,MIN(DATE(YEAR(DebAmort),MONTH(DebAmort)+MoisD+(H444-1)*Imois,Jour2),DATE(YEAR(DebAmort),MONTH(DebAmort)+MoisD+1+(H444-1)*Imois,0)),DATE(YEAR(DebAmort),MONTH(DebAmort),Jour1+(H444-1)*Ijour)))</f>
        <v/>
      </c>
      <c r="L444" s="270">
        <f t="shared" si="64"/>
        <v>0</v>
      </c>
      <c r="M444" s="271">
        <f t="shared" si="66"/>
        <v>0</v>
      </c>
      <c r="N444" s="272">
        <f t="shared" si="67"/>
        <v>0</v>
      </c>
      <c r="O444" s="273">
        <f t="shared" si="65"/>
        <v>0</v>
      </c>
      <c r="P444" s="274">
        <f t="shared" si="61"/>
        <v>0</v>
      </c>
      <c r="Q444" s="350"/>
      <c r="R444" s="461">
        <f t="shared" si="68"/>
        <v>0.05</v>
      </c>
      <c r="S444" s="462">
        <f t="shared" si="69"/>
        <v>440179.35</v>
      </c>
    </row>
    <row r="445" spans="2:19" ht="15" x14ac:dyDescent="0.25">
      <c r="B445" s="362"/>
      <c r="C445" s="269"/>
      <c r="D445" s="361"/>
      <c r="E445" s="360"/>
      <c r="F445" s="359"/>
      <c r="H445" s="358" t="str">
        <f t="shared" si="62"/>
        <v/>
      </c>
      <c r="I445" s="460" t="str">
        <f t="shared" si="63"/>
        <v/>
      </c>
      <c r="J445" s="463" t="str">
        <f t="shared" si="60"/>
        <v/>
      </c>
      <c r="K445" s="357" t="str">
        <f>IF(L445=0,"",IF(Ijour=0,MIN(DATE(YEAR(DebAmort),MONTH(DebAmort)+(H445-1)*Imois,Jour1),DATE(YEAR(DebAmort),MONTH(DebAmort)+1+(H445-1)*Imois,0)),DATE(YEAR(DebAmort),MONTH(DebAmort),Jour1+(H445-1)*Ijour)))</f>
        <v/>
      </c>
      <c r="L445" s="270">
        <f t="shared" si="64"/>
        <v>0</v>
      </c>
      <c r="M445" s="271">
        <f t="shared" si="66"/>
        <v>0</v>
      </c>
      <c r="N445" s="272">
        <f t="shared" si="67"/>
        <v>0</v>
      </c>
      <c r="O445" s="273">
        <f t="shared" si="65"/>
        <v>0</v>
      </c>
      <c r="P445" s="274">
        <f t="shared" si="61"/>
        <v>0</v>
      </c>
      <c r="Q445" s="350"/>
      <c r="R445" s="461">
        <f t="shared" si="68"/>
        <v>0.05</v>
      </c>
      <c r="S445" s="462">
        <f t="shared" si="69"/>
        <v>440179.35</v>
      </c>
    </row>
    <row r="446" spans="2:19" ht="15" x14ac:dyDescent="0.25">
      <c r="B446" s="362"/>
      <c r="C446" s="269"/>
      <c r="D446" s="361"/>
      <c r="E446" s="360"/>
      <c r="F446" s="359"/>
      <c r="H446" s="358" t="str">
        <f t="shared" si="62"/>
        <v/>
      </c>
      <c r="I446" s="460" t="str">
        <f t="shared" si="63"/>
        <v/>
      </c>
      <c r="J446" s="463" t="str">
        <f t="shared" si="60"/>
        <v/>
      </c>
      <c r="K446" s="357" t="str">
        <f>IF(L446=0,"",IF(Ijour=0,MIN(DATE(YEAR(DebAmort),MONTH(DebAmort)+MoisD+(H446-1)*Imois,Jour2),DATE(YEAR(DebAmort),MONTH(DebAmort)+MoisD+1+(H446-1)*Imois,0)),DATE(YEAR(DebAmort),MONTH(DebAmort),Jour1+(H446-1)*Ijour)))</f>
        <v/>
      </c>
      <c r="L446" s="270">
        <f t="shared" si="64"/>
        <v>0</v>
      </c>
      <c r="M446" s="271">
        <f t="shared" si="66"/>
        <v>0</v>
      </c>
      <c r="N446" s="272">
        <f t="shared" si="67"/>
        <v>0</v>
      </c>
      <c r="O446" s="273">
        <f t="shared" si="65"/>
        <v>0</v>
      </c>
      <c r="P446" s="274">
        <f t="shared" si="61"/>
        <v>0</v>
      </c>
      <c r="Q446" s="350"/>
      <c r="R446" s="461">
        <f t="shared" si="68"/>
        <v>0.05</v>
      </c>
      <c r="S446" s="462">
        <f t="shared" si="69"/>
        <v>440179.35</v>
      </c>
    </row>
    <row r="447" spans="2:19" ht="15.75" thickBot="1" x14ac:dyDescent="0.3">
      <c r="B447" s="356"/>
      <c r="C447" s="275"/>
      <c r="D447" s="355"/>
      <c r="E447" s="354"/>
      <c r="F447" s="353"/>
      <c r="H447" s="352" t="str">
        <f t="shared" si="62"/>
        <v/>
      </c>
      <c r="I447" s="464" t="str">
        <f t="shared" si="63"/>
        <v/>
      </c>
      <c r="J447" s="464" t="str">
        <f t="shared" si="60"/>
        <v/>
      </c>
      <c r="K447" s="351" t="str">
        <f>IF(L447=0,"",IF(Ijour=0,MIN(DATE(YEAR(DebAmort),MONTH(DebAmort)+(H447-1)*Imois,Jour1),DATE(YEAR(DebAmort),MONTH(DebAmort)+1+(H447-1)*Imois,0)),DATE(YEAR(DebAmort),MONTH(DebAmort),Jour1+(H447-1)*Ijour)))</f>
        <v/>
      </c>
      <c r="L447" s="276">
        <f t="shared" si="64"/>
        <v>0</v>
      </c>
      <c r="M447" s="277">
        <f t="shared" si="66"/>
        <v>0</v>
      </c>
      <c r="N447" s="276">
        <f t="shared" si="67"/>
        <v>0</v>
      </c>
      <c r="O447" s="278">
        <f t="shared" si="65"/>
        <v>0</v>
      </c>
      <c r="P447" s="279">
        <f t="shared" si="61"/>
        <v>0</v>
      </c>
      <c r="Q447" s="350"/>
      <c r="R447" s="461">
        <f t="shared" si="68"/>
        <v>0.05</v>
      </c>
      <c r="S447" s="462">
        <f t="shared" si="69"/>
        <v>440179.35</v>
      </c>
    </row>
    <row r="449" spans="11:16" x14ac:dyDescent="0.2">
      <c r="K449" s="349" t="s">
        <v>191</v>
      </c>
      <c r="L449" s="349"/>
      <c r="M449" s="280">
        <f>SUBTOTAL(9,M14:M447)</f>
        <v>676462</v>
      </c>
      <c r="N449" s="280">
        <f>SUBTOTAL(9,N14:N447)</f>
        <v>0</v>
      </c>
      <c r="O449" s="280">
        <f>SUBTOTAL(9,O14:O447)</f>
        <v>0</v>
      </c>
      <c r="P449" s="280">
        <f>SUBTOTAL(9,P14:P447)</f>
        <v>676462.00000000058</v>
      </c>
    </row>
  </sheetData>
  <sheetProtection password="AE4F" sheet="1" objects="1" scenarios="1" formatCells="0" autoFilter="0"/>
  <autoFilter ref="J13:J447"/>
  <mergeCells count="24">
    <mergeCell ref="D14:E14"/>
    <mergeCell ref="B10:F10"/>
    <mergeCell ref="R10:S10"/>
    <mergeCell ref="H10:P10"/>
    <mergeCell ref="B12:B13"/>
    <mergeCell ref="C12:C13"/>
    <mergeCell ref="D12:D13"/>
    <mergeCell ref="F12:F13"/>
    <mergeCell ref="E12:E13"/>
    <mergeCell ref="I11:I13"/>
    <mergeCell ref="K11:K13"/>
    <mergeCell ref="S11:S13"/>
    <mergeCell ref="R11:R13"/>
    <mergeCell ref="M11:M13"/>
    <mergeCell ref="P11:P13"/>
    <mergeCell ref="L11:L13"/>
    <mergeCell ref="N11:N13"/>
    <mergeCell ref="O11:O13"/>
    <mergeCell ref="N7:O7"/>
    <mergeCell ref="N8:O8"/>
    <mergeCell ref="N3:O3"/>
    <mergeCell ref="N4:O4"/>
    <mergeCell ref="N5:O5"/>
    <mergeCell ref="N6:O6"/>
  </mergeCells>
  <conditionalFormatting sqref="H15:P447">
    <cfRule type="expression" dxfId="5" priority="1" stopIfTrue="1">
      <formula>$H15=""</formula>
    </cfRule>
    <cfRule type="expression" dxfId="4" priority="2" stopIfTrue="1">
      <formula>$H15&lt;=Différé</formula>
    </cfRule>
  </conditionalFormatting>
  <conditionalFormatting sqref="B15:F447">
    <cfRule type="expression" dxfId="3" priority="3" stopIfTrue="1">
      <formula>$H15=""</formula>
    </cfRule>
    <cfRule type="expression" dxfId="2" priority="4" stopIfTrue="1">
      <formula>$H15&lt;=Différé</formula>
    </cfRule>
  </conditionalFormatting>
  <conditionalFormatting sqref="N6:P6">
    <cfRule type="expression" dxfId="1" priority="5" stopIfTrue="1">
      <formula>$P$6&lt;$D$3</formula>
    </cfRule>
  </conditionalFormatting>
  <conditionalFormatting sqref="M7">
    <cfRule type="expression" dxfId="0" priority="6" stopIfTrue="1">
      <formula>MOD(Différé,1)&lt;&gt;0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4" r:id="rId4" name="Drop Down 10">
              <controlPr locked="0" defaultSize="0" autoLine="0" autoPict="0" altText="Périodicité">
                <anchor moveWithCells="1">
                  <from>
                    <xdr:col>6</xdr:col>
                    <xdr:colOff>47625</xdr:colOff>
                    <xdr:row>4</xdr:row>
                    <xdr:rowOff>152400</xdr:rowOff>
                  </from>
                  <to>
                    <xdr:col>9</xdr:col>
                    <xdr:colOff>85725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5" name="Option Button 11">
              <controlPr locked="0"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28575</xdr:rowOff>
                  </from>
                  <to>
                    <xdr:col>2</xdr:col>
                    <xdr:colOff>628650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6" name="Option Button 12">
              <controlPr locked="0" defaultSize="0" autoFill="0" autoLine="0" autoPict="0">
                <anchor moveWithCells="1">
                  <from>
                    <xdr:col>2</xdr:col>
                    <xdr:colOff>609600</xdr:colOff>
                    <xdr:row>5</xdr:row>
                    <xdr:rowOff>28575</xdr:rowOff>
                  </from>
                  <to>
                    <xdr:col>3</xdr:col>
                    <xdr:colOff>628650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7" name="Group Box 13">
              <controlPr defaultSize="0" autoFill="0" autoPict="0">
                <anchor moveWithCells="1">
                  <from>
                    <xdr:col>2</xdr:col>
                    <xdr:colOff>0</xdr:colOff>
                    <xdr:row>5</xdr:row>
                    <xdr:rowOff>19050</xdr:rowOff>
                  </from>
                  <to>
                    <xdr:col>3</xdr:col>
                    <xdr:colOff>657225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8" name="Option Button 14">
              <controlPr locked="0" defaultSize="0" autoFill="0" autoLine="0" autoPict="0">
                <anchor moveWithCells="1">
                  <from>
                    <xdr:col>11</xdr:col>
                    <xdr:colOff>504825</xdr:colOff>
                    <xdr:row>4</xdr:row>
                    <xdr:rowOff>47625</xdr:rowOff>
                  </from>
                  <to>
                    <xdr:col>12</xdr:col>
                    <xdr:colOff>247650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9" name="Option Button 15">
              <controlPr locked="0" defaultSize="0" autoFill="0" autoLine="0" autoPict="0">
                <anchor moveWithCells="1">
                  <from>
                    <xdr:col>12</xdr:col>
                    <xdr:colOff>238125</xdr:colOff>
                    <xdr:row>4</xdr:row>
                    <xdr:rowOff>47625</xdr:rowOff>
                  </from>
                  <to>
                    <xdr:col>12</xdr:col>
                    <xdr:colOff>685800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0" name="Group Box 16">
              <controlPr defaultSize="0" autoFill="0" autoPict="0">
                <anchor moveWithCells="1">
                  <from>
                    <xdr:col>11</xdr:col>
                    <xdr:colOff>485775</xdr:colOff>
                    <xdr:row>4</xdr:row>
                    <xdr:rowOff>28575</xdr:rowOff>
                  </from>
                  <to>
                    <xdr:col>12</xdr:col>
                    <xdr:colOff>714375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33</vt:i4>
      </vt:variant>
    </vt:vector>
  </HeadingPairs>
  <TitlesOfParts>
    <vt:vector size="38" baseType="lpstr">
      <vt:lpstr>ACQUISITION FINANCEMENT</vt:lpstr>
      <vt:lpstr>LOCATION</vt:lpstr>
      <vt:lpstr>ETAT SURFACE - EVALUATION TRVX</vt:lpstr>
      <vt:lpstr>TRI </vt:lpstr>
      <vt:lpstr>TAM</vt:lpstr>
      <vt:lpstr>TAM!Anniversaire</vt:lpstr>
      <vt:lpstr>TAM!CAP1E</vt:lpstr>
      <vt:lpstr>TAM!Changement_de_taux</vt:lpstr>
      <vt:lpstr>TAM!Cout_Total</vt:lpstr>
      <vt:lpstr>TAM!DATDB</vt:lpstr>
      <vt:lpstr>TAM!DebAmort</vt:lpstr>
      <vt:lpstr>TAM!Différé</vt:lpstr>
      <vt:lpstr>TAM!DiffSimple</vt:lpstr>
      <vt:lpstr>TAM!DiffTotal</vt:lpstr>
      <vt:lpstr>TAM!EchFIXE</vt:lpstr>
      <vt:lpstr>TAM!FraisF</vt:lpstr>
      <vt:lpstr>TAM!FraisV</vt:lpstr>
      <vt:lpstr>TAM!Ijour</vt:lpstr>
      <vt:lpstr>TAM!Imois</vt:lpstr>
      <vt:lpstr>TAM!INT1E</vt:lpstr>
      <vt:lpstr>TAM!Jour1</vt:lpstr>
      <vt:lpstr>TAM!Jour2</vt:lpstr>
      <vt:lpstr>TAM!MoisD</vt:lpstr>
      <vt:lpstr>TAM!MtEch</vt:lpstr>
      <vt:lpstr>TAM!MtEmprunt</vt:lpstr>
      <vt:lpstr>TAM!NbDeci</vt:lpstr>
      <vt:lpstr>TAM!NbEch</vt:lpstr>
      <vt:lpstr>TAM!NbEchAn</vt:lpstr>
      <vt:lpstr>TAM!NoEchMaxi</vt:lpstr>
      <vt:lpstr>TAM!NoEchRemb</vt:lpstr>
      <vt:lpstr>TAM!Nombre_échéances</vt:lpstr>
      <vt:lpstr>TAM!Periodicite</vt:lpstr>
      <vt:lpstr>TAM!TauxActuariel</vt:lpstr>
      <vt:lpstr>TAM!Total_Capital</vt:lpstr>
      <vt:lpstr>TAM!Total_Frais</vt:lpstr>
      <vt:lpstr>TAM!Total_Intérêts</vt:lpstr>
      <vt:lpstr>TAM!TVDebit</vt:lpstr>
      <vt:lpstr>TAM!TxPer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Aniri Maguru</dc:creator>
  <cp:lastModifiedBy>Aniri MAGURU</cp:lastModifiedBy>
  <cp:lastPrinted>2018-06-11T10:08:48Z</cp:lastPrinted>
  <dcterms:created xsi:type="dcterms:W3CDTF">2018-05-29T09:51:49Z</dcterms:created>
  <dcterms:modified xsi:type="dcterms:W3CDTF">2018-06-12T09:39:31Z</dcterms:modified>
</cp:coreProperties>
</file>