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updateLinks="never" codeName="ThisWorkbook" defaultThemeVersion="164011"/>
  <bookViews>
    <workbookView xWindow="0" yWindow="0" windowWidth="19500" windowHeight="5700" tabRatio="898" activeTab="1"/>
  </bookViews>
  <sheets>
    <sheet name="Recherche" sheetId="121" r:id="rId1"/>
    <sheet name="Complet" sheetId="116" r:id="rId2"/>
    <sheet name="Matrice" sheetId="3" r:id="rId3"/>
    <sheet name="Matrice Tel" sheetId="123" r:id="rId4"/>
    <sheet name="Mutuelles" sheetId="124" r:id="rId5"/>
  </sheets>
  <definedNames>
    <definedName name="_xlnm._FilterDatabase" localSheetId="4" hidden="1">Mutuelles!$A$1:$LH$22</definedName>
    <definedName name="agepro">Complet!$CT$2:$CT$45</definedName>
    <definedName name="AlptisPBE">#REF!</definedName>
    <definedName name="AlptisPDOA">#REF!</definedName>
    <definedName name="AlptisPH">#REF!</definedName>
    <definedName name="AlptisPlurielle1">#REF!</definedName>
    <definedName name="AlptisPlurielle2">#REF!</definedName>
    <definedName name="AlptisPlurielle3">#REF!</definedName>
    <definedName name="AlptisPlurielle4">#REF!</definedName>
    <definedName name="AlptisPlurielle5">#REF!</definedName>
    <definedName name="AlptisPlurielleEco">#REF!</definedName>
    <definedName name="année" localSheetId="1">Complet!$AI$1</definedName>
    <definedName name="annéecomplet" localSheetId="1">Complet!$AI$1</definedName>
    <definedName name="ApiviaBronze">#REF!</definedName>
    <definedName name="ApiviaGold">#REF!</definedName>
    <definedName name="Apiviam55ans100">#REF!</definedName>
    <definedName name="Apiviam55ans125">#REF!</definedName>
    <definedName name="Apiviam55ans150">#REF!</definedName>
    <definedName name="Apiviam55ans200">#REF!</definedName>
    <definedName name="Apiviap55ans100">#REF!</definedName>
    <definedName name="Apiviap55ans125">#REF!</definedName>
    <definedName name="Apiviap55ans150">#REF!</definedName>
    <definedName name="Apiviap55ans200">#REF!</definedName>
    <definedName name="ApiviaPlatine">#REF!</definedName>
    <definedName name="ApiviaSilver">#REF!</definedName>
    <definedName name="ApiviaTNS1">#REF!</definedName>
    <definedName name="ApiviaTNS2">#REF!</definedName>
    <definedName name="ApiviaTNS3">#REF!</definedName>
    <definedName name="ApiviaTNS4">#REF!</definedName>
    <definedName name="ApiviaTNS5">#REF!</definedName>
    <definedName name="aprilentre">'Matrice Tel'!$E$9</definedName>
    <definedName name="AprilEssentielle1">#REF!</definedName>
    <definedName name="AprilEssentielle2">#REF!</definedName>
    <definedName name="AprilEssentielle3">#REF!</definedName>
    <definedName name="AprilEssentielle4">#REF!</definedName>
    <definedName name="AprilEssentielle5">#REF!</definedName>
    <definedName name="AprilEssentielle6">#REF!</definedName>
    <definedName name="AprilEvolutive1">#REF!</definedName>
    <definedName name="AprilEvolutive2">#REF!</definedName>
    <definedName name="AprilEvolutive2Hospi">#REF!</definedName>
    <definedName name="AprilEvolutive3">#REF!</definedName>
    <definedName name="AprilEvolutive3Hospi">#REF!</definedName>
    <definedName name="AprilEvolutive4">#REF!</definedName>
    <definedName name="AprilEvolutive4Hospi">#REF!</definedName>
    <definedName name="AprilEvolutive5">#REF!</definedName>
    <definedName name="AprilEvolutive6">#REF!</definedName>
    <definedName name="AprilGlobale1">#REF!</definedName>
    <definedName name="AprilGlobale2">#REF!</definedName>
    <definedName name="AprilGlobale3">#REF!</definedName>
    <definedName name="AprilGlobale4">#REF!</definedName>
    <definedName name="AprilGlobale5">#REF!</definedName>
    <definedName name="AprilGlobale6">#REF!</definedName>
    <definedName name="AprilGlobaleEco">#REF!</definedName>
    <definedName name="aprilpart">'Matrice Tel'!$E$7</definedName>
    <definedName name="AprilSantéPro1">#REF!</definedName>
    <definedName name="AprilSantéPro2">#REF!</definedName>
    <definedName name="AprilSantéPro3">#REF!</definedName>
    <definedName name="AprilSantéPro4">#REF!</definedName>
    <definedName name="AprilSantéPro5">#REF!</definedName>
    <definedName name="AprilSantéPro6">#REF!</definedName>
    <definedName name="AprilSantéPro7">#REF!</definedName>
    <definedName name="AsafFamille1">#REF!</definedName>
    <definedName name="AsafFamille2">#REF!</definedName>
    <definedName name="AsafFamille3">#REF!</definedName>
    <definedName name="AsafFamille4">#REF!</definedName>
    <definedName name="AsafFamille5">#REF!</definedName>
    <definedName name="AsafFamille6">#REF!</definedName>
    <definedName name="AsafFamillePHOD">#REF!</definedName>
    <definedName name="AsafSeniors1">#REF!</definedName>
    <definedName name="AsafSeniors2">#REF!</definedName>
    <definedName name="AsafSeniors3">#REF!</definedName>
    <definedName name="AsafSeniors4">#REF!</definedName>
    <definedName name="AsafSeniors5">#REF!</definedName>
    <definedName name="AsafSeniorsPH">#REF!</definedName>
    <definedName name="AsafSeniorsPOD">#REF!</definedName>
    <definedName name="AsafTNS1">#REF!</definedName>
    <definedName name="AsafTNS2">#REF!</definedName>
    <definedName name="AsafTNS3">#REF!</definedName>
    <definedName name="AsafTNS4">#REF!</definedName>
    <definedName name="AsafTNS5">#REF!</definedName>
    <definedName name="AsafTNSPH1">#REF!</definedName>
    <definedName name="AsafTNSPH2">#REF!</definedName>
    <definedName name="AsafTNSPOD1">#REF!</definedName>
    <definedName name="AsafTNSPOD2">#REF!</definedName>
    <definedName name="assurance" localSheetId="1">Complet!$K$2:$K$45</definedName>
    <definedName name="Auditif">#REF!</definedName>
    <definedName name="AuditifMax">#REF!</definedName>
    <definedName name="avecro">Complet!$DC$2:$DC$45</definedName>
    <definedName name="BienÊtre">#REF!</definedName>
    <definedName name="BienÊtreMax">#REF!</definedName>
    <definedName name="blabla">Mutuelles!$BY$1:$LH$1</definedName>
    <definedName name="Campagne" localSheetId="1">Complet!$G$2:$G$45</definedName>
    <definedName name="capdec">Complet!$DF$2:$DF$45</definedName>
    <definedName name="ChambreParticulière">#REF!</definedName>
    <definedName name="ChambreParticulièreMax">#REF!</definedName>
    <definedName name="Codesrenforts">Mutuelles!$B$1:$LH$1</definedName>
    <definedName name="Consultation">#REF!</definedName>
    <definedName name="ctspro">#REF!</definedName>
    <definedName name="CureThermale">#REF!</definedName>
    <definedName name="Dentaire">#REF!</definedName>
    <definedName name="DentaireMax">#REF!</definedName>
    <definedName name="f_nm">OFFSET(p_nm,0,0,COUNTA(nompren),1)</definedName>
    <definedName name="fraispro">Complet!$DE$2:$DE$45</definedName>
    <definedName name="franchise">Complet!$DD$2:$DD$45</definedName>
    <definedName name="GlobalePBE1">#REF!</definedName>
    <definedName name="GlobalePBE2">#REF!</definedName>
    <definedName name="GlobalePC1">#REF!</definedName>
    <definedName name="GlobalePC2">#REF!</definedName>
    <definedName name="Hospitalisation">#REF!</definedName>
    <definedName name="HospitalisationMax">#REF!</definedName>
    <definedName name="Implant">#REF!</definedName>
    <definedName name="ImplantMax">#REF!</definedName>
    <definedName name="Infoman" localSheetId="1">Complet!$A$1</definedName>
    <definedName name="invalidité">Complet!$DG$2:$DG$45</definedName>
    <definedName name="LentillesNonRemboursées">#REF!</definedName>
    <definedName name="LentillesRemboursées">#REF!</definedName>
    <definedName name="Médicaments">#REF!</definedName>
    <definedName name="mens" localSheetId="1">Complet!$M$2:$M$45</definedName>
    <definedName name="Mutuelles">#REF!</definedName>
    <definedName name="MutuellesetRenforts">#REF!</definedName>
    <definedName name="MutuellesF">Mutuelles!$B$1:$LH$1</definedName>
    <definedName name="MutuellesRenforts">Mutuelles!$B$1:$LH$1</definedName>
    <definedName name="NéolianeInitial1">#REF!</definedName>
    <definedName name="NéolianeInitial2">#REF!</definedName>
    <definedName name="NéolianeInitial3">#REF!</definedName>
    <definedName name="NéolianeInitial4">#REF!</definedName>
    <definedName name="NéolianeSantéPro1">#REF!</definedName>
    <definedName name="NéolianeSantéPro2">#REF!</definedName>
    <definedName name="NéolianeSantéPro3">#REF!</definedName>
    <definedName name="NéolianeSantéPro4">#REF!</definedName>
    <definedName name="NéolianeSérénité1">#REF!</definedName>
    <definedName name="NéolianeSérénité2">#REF!</definedName>
    <definedName name="NéolianeSérénité3">#REF!</definedName>
    <definedName name="NéolianeSérénité4">#REF!</definedName>
    <definedName name="NéolianeSérénité5">#REF!</definedName>
    <definedName name="NéolianeSérénité6">#REF!</definedName>
    <definedName name="NéolianeSérénité7">#REF!</definedName>
    <definedName name="NéolianeVitalité1">#REF!</definedName>
    <definedName name="NéolianeVitalité2">#REF!</definedName>
    <definedName name="NéolianeVitalité3">#REF!</definedName>
    <definedName name="NéolianeVitalité4">#REF!</definedName>
    <definedName name="nompren">Complet!$A$2:$A$45</definedName>
    <definedName name="optdos">Complet!$DJ$2:$DJ$45</definedName>
    <definedName name="Optique">#REF!</definedName>
    <definedName name="OptiqueMax">#REF!</definedName>
    <definedName name="optpsy">Complet!$DK$2:$DK$45</definedName>
    <definedName name="Orthodontie">#REF!</definedName>
    <definedName name="p_nm">Complet!$A$2</definedName>
    <definedName name="p_nom">Complet!#REF!</definedName>
    <definedName name="Plafond">#REF!</definedName>
    <definedName name="PlafondMax">#REF!</definedName>
    <definedName name="prevapriltel">'Matrice Tel'!$E$5</definedName>
    <definedName name="prevaviva">'Matrice Tel'!$J$6</definedName>
    <definedName name="prevcipres">'Matrice Tel'!$J$11</definedName>
    <definedName name="regime">Complet!$CU$2:$CU$45</definedName>
    <definedName name="Renforts">Mutuelles!#REF!</definedName>
    <definedName name="renteconj">Complet!$DH$2:$DH$45</definedName>
    <definedName name="renteed">Complet!$DI$2:$DI$45</definedName>
    <definedName name="salairepro">Complet!$DB$2:$DB$45</definedName>
    <definedName name="santéindivalptis">'Matrice Tel'!$J$2</definedName>
    <definedName name="santéindivapril">'Matrice Tel'!$E$2</definedName>
    <definedName name="santéindivasaf">'Matrice Tel'!$J$18</definedName>
    <definedName name="santéindivceg">'Matrice Tel'!$J$14</definedName>
    <definedName name="santéindivneo">'Matrice Tel'!$E$12</definedName>
    <definedName name="slinterm">'Matrice Tel'!$E$18</definedName>
    <definedName name="tarif2016" localSheetId="1">Complet!$AM$2:$AM$45</definedName>
    <definedName name="tarif2017" localSheetId="1">Complet!$AN$2:$AN$45</definedName>
    <definedName name="tarif2019" localSheetId="1">Complet!$AS$2:$AS$45</definedName>
    <definedName name="tarif2020" localSheetId="1">Complet!$AV$2:$AV$45</definedName>
    <definedName name="typecomm" localSheetId="1">Complet!$S$2:$S$45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16" l="1"/>
  <c r="A3" i="116"/>
  <c r="A4" i="116"/>
  <c r="A5" i="116"/>
  <c r="I2" i="116"/>
  <c r="I3" i="116"/>
  <c r="I4" i="116"/>
  <c r="I5" i="116"/>
  <c r="I6" i="116"/>
  <c r="I7" i="116"/>
  <c r="I8" i="116"/>
  <c r="I9" i="116"/>
  <c r="I10" i="116"/>
  <c r="I11" i="116"/>
  <c r="I12" i="116"/>
  <c r="I13" i="116"/>
  <c r="I14" i="116"/>
  <c r="I15" i="116"/>
  <c r="I16" i="116"/>
  <c r="I17" i="116"/>
  <c r="I18" i="116"/>
  <c r="I19" i="116"/>
  <c r="I20" i="116"/>
  <c r="I21" i="116"/>
  <c r="I22" i="116"/>
  <c r="I23" i="116"/>
  <c r="I24" i="116"/>
  <c r="I25" i="116"/>
  <c r="I26" i="116"/>
  <c r="I27" i="116"/>
  <c r="I28" i="116"/>
  <c r="I29" i="116"/>
  <c r="I30" i="116"/>
  <c r="I31" i="116"/>
  <c r="I32" i="116"/>
  <c r="I33" i="116"/>
  <c r="I34" i="116"/>
  <c r="I35" i="116"/>
  <c r="I36" i="116"/>
  <c r="I37" i="116"/>
  <c r="I38" i="116"/>
  <c r="I39" i="116"/>
  <c r="I40" i="116"/>
  <c r="I41" i="116"/>
  <c r="I42" i="116"/>
  <c r="I43" i="116"/>
  <c r="I44" i="116"/>
  <c r="I45" i="116"/>
  <c r="I1" i="116"/>
  <c r="AA2" i="116"/>
  <c r="AA3" i="116"/>
  <c r="AA4" i="116"/>
  <c r="AA5" i="116"/>
  <c r="AA6" i="116"/>
  <c r="AA7" i="116"/>
  <c r="AA8" i="116"/>
  <c r="AA9" i="116"/>
  <c r="AA10" i="116"/>
  <c r="AA11" i="116"/>
  <c r="AA12" i="116"/>
  <c r="AA13" i="116"/>
  <c r="AA14" i="116"/>
  <c r="AA15" i="116"/>
  <c r="AA16" i="116"/>
  <c r="AA17" i="116"/>
  <c r="AA18" i="116"/>
  <c r="AA19" i="116"/>
  <c r="AA20" i="116"/>
  <c r="AA21" i="116"/>
  <c r="AA22" i="116"/>
  <c r="AA23" i="116"/>
  <c r="AA24" i="116"/>
  <c r="AA25" i="116"/>
  <c r="AA26" i="116"/>
  <c r="AA27" i="116"/>
  <c r="AA28" i="116"/>
  <c r="AA29" i="116"/>
  <c r="AA30" i="116"/>
  <c r="AA31" i="116"/>
  <c r="AA32" i="116"/>
  <c r="AA33" i="116"/>
  <c r="AA34" i="116"/>
  <c r="AA35" i="116"/>
  <c r="AA36" i="116"/>
  <c r="AA37" i="116"/>
  <c r="AA38" i="116"/>
  <c r="AA39" i="116"/>
  <c r="AA40" i="116"/>
  <c r="AA41" i="116"/>
  <c r="AA42" i="116"/>
  <c r="AA43" i="116"/>
  <c r="AA44" i="116"/>
  <c r="AA45" i="116"/>
  <c r="AA1" i="116"/>
  <c r="AD2" i="116"/>
  <c r="Q2" i="116"/>
  <c r="R2" i="116"/>
  <c r="T2" i="116"/>
  <c r="U2" i="116"/>
  <c r="V2" i="116"/>
  <c r="W2" i="116"/>
  <c r="X2" i="116"/>
  <c r="Y2" i="116"/>
  <c r="AE2" i="116"/>
  <c r="AG2" i="116"/>
  <c r="AH2" i="116"/>
  <c r="AI2" i="116"/>
  <c r="AJ2" i="116"/>
  <c r="AK2" i="116"/>
  <c r="AL2" i="116"/>
  <c r="AM2" i="116"/>
  <c r="AN2" i="116"/>
  <c r="AO2" i="116"/>
  <c r="AQ2" i="116"/>
  <c r="AR2" i="116"/>
  <c r="AS2" i="116"/>
  <c r="AT2" i="116"/>
  <c r="AU2" i="116"/>
  <c r="AV2" i="116"/>
  <c r="AW2" i="116"/>
  <c r="AX2" i="116"/>
  <c r="BL2" i="116"/>
  <c r="BO2" i="116"/>
  <c r="BR2" i="116"/>
  <c r="BU2" i="116"/>
  <c r="BX2" i="116"/>
  <c r="CA2" i="116"/>
  <c r="CD2" i="116"/>
  <c r="CG2" i="116"/>
  <c r="CJ2" i="116"/>
  <c r="CT2" i="116"/>
  <c r="CY2" i="116"/>
  <c r="DM2" i="116"/>
  <c r="DN2" i="116"/>
  <c r="DO2" i="116"/>
  <c r="DP2" i="116"/>
  <c r="DQ2" i="116"/>
  <c r="DR2" i="116"/>
  <c r="AD3" i="116"/>
  <c r="Q3" i="116"/>
  <c r="R3" i="116"/>
  <c r="T3" i="116"/>
  <c r="U3" i="116"/>
  <c r="V3" i="116"/>
  <c r="W3" i="116"/>
  <c r="X3" i="116"/>
  <c r="Y3" i="116"/>
  <c r="AE3" i="116"/>
  <c r="AG3" i="116"/>
  <c r="AH3" i="116"/>
  <c r="AI3" i="116"/>
  <c r="AJ3" i="116"/>
  <c r="AK3" i="116"/>
  <c r="AL3" i="116"/>
  <c r="AM3" i="116"/>
  <c r="AN3" i="116"/>
  <c r="AO3" i="116"/>
  <c r="AQ3" i="116"/>
  <c r="AR3" i="116"/>
  <c r="AT3" i="116"/>
  <c r="AU3" i="116"/>
  <c r="AV3" i="116"/>
  <c r="AW3" i="116"/>
  <c r="AX3" i="116"/>
  <c r="BL3" i="116"/>
  <c r="BO3" i="116"/>
  <c r="BR3" i="116"/>
  <c r="BU3" i="116"/>
  <c r="BX3" i="116"/>
  <c r="CA3" i="116"/>
  <c r="CD3" i="116"/>
  <c r="CG3" i="116"/>
  <c r="CJ3" i="116"/>
  <c r="CT3" i="116"/>
  <c r="CY3" i="116"/>
  <c r="DM3" i="116"/>
  <c r="DN3" i="116"/>
  <c r="DO3" i="116"/>
  <c r="DP3" i="116"/>
  <c r="DQ3" i="116"/>
  <c r="DR3" i="116"/>
  <c r="AD4" i="116"/>
  <c r="Q4" i="116"/>
  <c r="R4" i="116"/>
  <c r="T4" i="116"/>
  <c r="U4" i="116"/>
  <c r="V4" i="116"/>
  <c r="W4" i="116"/>
  <c r="X4" i="116"/>
  <c r="Y4" i="116"/>
  <c r="AE4" i="116"/>
  <c r="AG4" i="116"/>
  <c r="AH4" i="116"/>
  <c r="AI4" i="116"/>
  <c r="AJ4" i="116"/>
  <c r="AK4" i="116"/>
  <c r="AL4" i="116"/>
  <c r="AM4" i="116"/>
  <c r="AN4" i="116"/>
  <c r="AO4" i="116"/>
  <c r="AQ4" i="116"/>
  <c r="AR4" i="116"/>
  <c r="AT4" i="116"/>
  <c r="AU4" i="116"/>
  <c r="AV4" i="116"/>
  <c r="AW4" i="116"/>
  <c r="AX4" i="116"/>
  <c r="BL4" i="116"/>
  <c r="BO4" i="116"/>
  <c r="BR4" i="116"/>
  <c r="BU4" i="116"/>
  <c r="BX4" i="116"/>
  <c r="CA4" i="116"/>
  <c r="CD4" i="116"/>
  <c r="CG4" i="116"/>
  <c r="CJ4" i="116"/>
  <c r="CT4" i="116"/>
  <c r="CY4" i="116"/>
  <c r="DM4" i="116"/>
  <c r="DN4" i="116"/>
  <c r="DO4" i="116"/>
  <c r="DP4" i="116"/>
  <c r="DQ4" i="116"/>
  <c r="DR4" i="116"/>
  <c r="Q5" i="116"/>
  <c r="R5" i="116"/>
  <c r="U5" i="116"/>
  <c r="V5" i="116"/>
  <c r="W5" i="116"/>
  <c r="X5" i="116"/>
  <c r="Y5" i="116"/>
  <c r="AG5" i="116"/>
  <c r="AH5" i="116"/>
  <c r="AI5" i="116"/>
  <c r="AJ5" i="116"/>
  <c r="AK5" i="116"/>
  <c r="AL5" i="116"/>
  <c r="AO5" i="116"/>
  <c r="AQ5" i="116"/>
  <c r="AR5" i="116"/>
  <c r="AT5" i="116"/>
  <c r="AU5" i="116"/>
  <c r="AW5" i="116"/>
  <c r="AX5" i="116"/>
  <c r="BL5" i="116"/>
  <c r="BO5" i="116"/>
  <c r="BR5" i="116"/>
  <c r="BU5" i="116"/>
  <c r="BX5" i="116"/>
  <c r="CA5" i="116"/>
  <c r="CD5" i="116"/>
  <c r="CG5" i="116"/>
  <c r="CJ5" i="116"/>
  <c r="CT5" i="116"/>
  <c r="DM5" i="116"/>
  <c r="DN5" i="116"/>
  <c r="DO5" i="116"/>
  <c r="DP5" i="116"/>
  <c r="DQ5" i="116"/>
  <c r="DR5" i="116"/>
  <c r="A6" i="116"/>
  <c r="AD6" i="116"/>
  <c r="Q6" i="116"/>
  <c r="R6" i="116"/>
  <c r="T6" i="116"/>
  <c r="U6" i="116"/>
  <c r="V6" i="116"/>
  <c r="W6" i="116"/>
  <c r="X6" i="116"/>
  <c r="Y6" i="116"/>
  <c r="AE6" i="116"/>
  <c r="AG6" i="116"/>
  <c r="AH6" i="116"/>
  <c r="AI6" i="116"/>
  <c r="AJ6" i="116"/>
  <c r="AK6" i="116"/>
  <c r="AL6" i="116"/>
  <c r="AM6" i="116"/>
  <c r="AN6" i="116"/>
  <c r="AO6" i="116"/>
  <c r="AP6" i="116"/>
  <c r="AQ6" i="116"/>
  <c r="AR6" i="116"/>
  <c r="AS6" i="116"/>
  <c r="AT6" i="116"/>
  <c r="AU6" i="116"/>
  <c r="AV6" i="116"/>
  <c r="AW6" i="116"/>
  <c r="AX6" i="116"/>
  <c r="BL6" i="116"/>
  <c r="BO6" i="116"/>
  <c r="BR6" i="116"/>
  <c r="BU6" i="116"/>
  <c r="BX6" i="116"/>
  <c r="CA6" i="116"/>
  <c r="CD6" i="116"/>
  <c r="CG6" i="116"/>
  <c r="CJ6" i="116"/>
  <c r="CT6" i="116"/>
  <c r="CY6" i="116"/>
  <c r="DM6" i="116"/>
  <c r="DN6" i="116"/>
  <c r="DO6" i="116"/>
  <c r="DP6" i="116"/>
  <c r="DQ6" i="116"/>
  <c r="DR6" i="116"/>
  <c r="A7" i="116"/>
  <c r="AD7" i="116"/>
  <c r="Q7" i="116"/>
  <c r="R7" i="116"/>
  <c r="T7" i="116"/>
  <c r="U7" i="116"/>
  <c r="V7" i="116"/>
  <c r="W7" i="116"/>
  <c r="X7" i="116"/>
  <c r="Y7" i="116"/>
  <c r="AE7" i="116"/>
  <c r="AG7" i="116"/>
  <c r="AH7" i="116"/>
  <c r="AI7" i="116"/>
  <c r="AJ7" i="116"/>
  <c r="AK7" i="116"/>
  <c r="AL7" i="116"/>
  <c r="AM7" i="116"/>
  <c r="AN7" i="116"/>
  <c r="AO7" i="116"/>
  <c r="AP7" i="116"/>
  <c r="AQ7" i="116"/>
  <c r="AR7" i="116"/>
  <c r="AS7" i="116"/>
  <c r="AT7" i="116"/>
  <c r="AU7" i="116"/>
  <c r="AV7" i="116"/>
  <c r="AW7" i="116"/>
  <c r="AX7" i="116"/>
  <c r="BL7" i="116"/>
  <c r="BO7" i="116"/>
  <c r="BR7" i="116"/>
  <c r="BU7" i="116"/>
  <c r="BX7" i="116"/>
  <c r="CA7" i="116"/>
  <c r="CD7" i="116"/>
  <c r="CG7" i="116"/>
  <c r="CJ7" i="116"/>
  <c r="CT7" i="116"/>
  <c r="CY7" i="116"/>
  <c r="DM7" i="116"/>
  <c r="DN7" i="116"/>
  <c r="DO7" i="116"/>
  <c r="DP7" i="116"/>
  <c r="DQ7" i="116"/>
  <c r="DR7" i="116"/>
  <c r="A8" i="116"/>
  <c r="AD8" i="116"/>
  <c r="Q8" i="116"/>
  <c r="R8" i="116"/>
  <c r="T8" i="116"/>
  <c r="U8" i="116"/>
  <c r="V8" i="116"/>
  <c r="W8" i="116"/>
  <c r="X8" i="116"/>
  <c r="Y8" i="116"/>
  <c r="AE8" i="116"/>
  <c r="AG8" i="116"/>
  <c r="AH8" i="116"/>
  <c r="AI8" i="116"/>
  <c r="AJ8" i="116"/>
  <c r="AK8" i="116"/>
  <c r="AL8" i="116"/>
  <c r="AM8" i="116"/>
  <c r="AN8" i="116"/>
  <c r="AO8" i="116"/>
  <c r="AP8" i="116"/>
  <c r="AQ8" i="116"/>
  <c r="AR8" i="116"/>
  <c r="AS8" i="116"/>
  <c r="AT8" i="116"/>
  <c r="AU8" i="116"/>
  <c r="AV8" i="116"/>
  <c r="AW8" i="116"/>
  <c r="AX8" i="116"/>
  <c r="BL8" i="116"/>
  <c r="BO8" i="116"/>
  <c r="BR8" i="116"/>
  <c r="BU8" i="116"/>
  <c r="BX8" i="116"/>
  <c r="CA8" i="116"/>
  <c r="CD8" i="116"/>
  <c r="CG8" i="116"/>
  <c r="CJ8" i="116"/>
  <c r="CT8" i="116"/>
  <c r="CY8" i="116"/>
  <c r="DM8" i="116"/>
  <c r="DN8" i="116"/>
  <c r="DO8" i="116"/>
  <c r="DP8" i="116"/>
  <c r="DQ8" i="116"/>
  <c r="DR8" i="116"/>
  <c r="A9" i="116"/>
  <c r="AD9" i="116"/>
  <c r="Q9" i="116"/>
  <c r="R9" i="116"/>
  <c r="T9" i="116"/>
  <c r="U9" i="116"/>
  <c r="V9" i="116"/>
  <c r="W9" i="116"/>
  <c r="X9" i="116"/>
  <c r="Y9" i="116"/>
  <c r="AE9" i="116"/>
  <c r="AG9" i="116"/>
  <c r="AH9" i="116"/>
  <c r="AI9" i="116"/>
  <c r="AJ9" i="116"/>
  <c r="AK9" i="116"/>
  <c r="AL9" i="116"/>
  <c r="AM9" i="116"/>
  <c r="AN9" i="116"/>
  <c r="AO9" i="116"/>
  <c r="AP9" i="116"/>
  <c r="AQ9" i="116"/>
  <c r="AR9" i="116"/>
  <c r="AS9" i="116"/>
  <c r="AT9" i="116"/>
  <c r="AU9" i="116"/>
  <c r="AV9" i="116"/>
  <c r="AW9" i="116"/>
  <c r="AX9" i="116"/>
  <c r="BL9" i="116"/>
  <c r="BO9" i="116"/>
  <c r="BR9" i="116"/>
  <c r="BU9" i="116"/>
  <c r="BX9" i="116"/>
  <c r="CA9" i="116"/>
  <c r="CD9" i="116"/>
  <c r="CG9" i="116"/>
  <c r="CJ9" i="116"/>
  <c r="CT9" i="116"/>
  <c r="CY9" i="116"/>
  <c r="DM9" i="116"/>
  <c r="DN9" i="116"/>
  <c r="DO9" i="116"/>
  <c r="DP9" i="116"/>
  <c r="DQ9" i="116"/>
  <c r="DR9" i="116"/>
  <c r="A10" i="116"/>
  <c r="AD10" i="116"/>
  <c r="Q10" i="116"/>
  <c r="R10" i="116"/>
  <c r="T10" i="116"/>
  <c r="U10" i="116"/>
  <c r="V10" i="116"/>
  <c r="W10" i="116"/>
  <c r="X10" i="116"/>
  <c r="Y10" i="116"/>
  <c r="AE10" i="116"/>
  <c r="AG10" i="116"/>
  <c r="AH10" i="116"/>
  <c r="AI10" i="116"/>
  <c r="AJ10" i="116"/>
  <c r="AK10" i="116"/>
  <c r="AL10" i="116"/>
  <c r="AM10" i="116"/>
  <c r="AN10" i="116"/>
  <c r="AO10" i="116"/>
  <c r="AP10" i="116"/>
  <c r="AQ10" i="116"/>
  <c r="AR10" i="116"/>
  <c r="AS10" i="116"/>
  <c r="AT10" i="116"/>
  <c r="AU10" i="116"/>
  <c r="AV10" i="116"/>
  <c r="AW10" i="116"/>
  <c r="AX10" i="116"/>
  <c r="BL10" i="116"/>
  <c r="BO10" i="116"/>
  <c r="BR10" i="116"/>
  <c r="BU10" i="116"/>
  <c r="BX10" i="116"/>
  <c r="CA10" i="116"/>
  <c r="CD10" i="116"/>
  <c r="CG10" i="116"/>
  <c r="CJ10" i="116"/>
  <c r="CT10" i="116"/>
  <c r="CY10" i="116"/>
  <c r="DM10" i="116"/>
  <c r="DN10" i="116"/>
  <c r="DO10" i="116"/>
  <c r="DP10" i="116"/>
  <c r="DQ10" i="116"/>
  <c r="DR10" i="116"/>
  <c r="A11" i="116"/>
  <c r="AD11" i="116"/>
  <c r="Q11" i="116"/>
  <c r="R11" i="116"/>
  <c r="T11" i="116"/>
  <c r="U11" i="116"/>
  <c r="V11" i="116"/>
  <c r="W11" i="116"/>
  <c r="X11" i="116"/>
  <c r="Y11" i="116"/>
  <c r="AE11" i="116"/>
  <c r="AG11" i="116"/>
  <c r="AH11" i="116"/>
  <c r="AI11" i="116"/>
  <c r="AJ11" i="116"/>
  <c r="AK11" i="116"/>
  <c r="AL11" i="116"/>
  <c r="AM11" i="116"/>
  <c r="AN11" i="116"/>
  <c r="AO11" i="116"/>
  <c r="AP11" i="116"/>
  <c r="AQ11" i="116"/>
  <c r="AR11" i="116"/>
  <c r="AS11" i="116"/>
  <c r="AT11" i="116"/>
  <c r="AU11" i="116"/>
  <c r="AV11" i="116"/>
  <c r="AW11" i="116"/>
  <c r="AX11" i="116"/>
  <c r="BL11" i="116"/>
  <c r="BO11" i="116"/>
  <c r="BR11" i="116"/>
  <c r="BU11" i="116"/>
  <c r="BX11" i="116"/>
  <c r="CA11" i="116"/>
  <c r="CD11" i="116"/>
  <c r="CG11" i="116"/>
  <c r="CJ11" i="116"/>
  <c r="CT11" i="116"/>
  <c r="CY11" i="116"/>
  <c r="DM11" i="116"/>
  <c r="DN11" i="116"/>
  <c r="DO11" i="116"/>
  <c r="DP11" i="116"/>
  <c r="DQ11" i="116"/>
  <c r="DR11" i="116"/>
  <c r="A12" i="116"/>
  <c r="AD12" i="116"/>
  <c r="Q12" i="116"/>
  <c r="R12" i="116"/>
  <c r="T12" i="116"/>
  <c r="U12" i="116"/>
  <c r="V12" i="116"/>
  <c r="W12" i="116"/>
  <c r="X12" i="116"/>
  <c r="Y12" i="116"/>
  <c r="AE12" i="116"/>
  <c r="AG12" i="116"/>
  <c r="AH12" i="116"/>
  <c r="AI12" i="116"/>
  <c r="AJ12" i="116"/>
  <c r="AK12" i="116"/>
  <c r="AL12" i="116"/>
  <c r="AM12" i="116"/>
  <c r="AN12" i="116"/>
  <c r="AO12" i="116"/>
  <c r="AP12" i="116"/>
  <c r="AQ12" i="116"/>
  <c r="AR12" i="116"/>
  <c r="AS12" i="116"/>
  <c r="AT12" i="116"/>
  <c r="AU12" i="116"/>
  <c r="AV12" i="116"/>
  <c r="AW12" i="116"/>
  <c r="AX12" i="116"/>
  <c r="BL12" i="116"/>
  <c r="BO12" i="116"/>
  <c r="BR12" i="116"/>
  <c r="BU12" i="116"/>
  <c r="BX12" i="116"/>
  <c r="CA12" i="116"/>
  <c r="CD12" i="116"/>
  <c r="CG12" i="116"/>
  <c r="CJ12" i="116"/>
  <c r="CT12" i="116"/>
  <c r="CY12" i="116"/>
  <c r="DM12" i="116"/>
  <c r="DN12" i="116"/>
  <c r="DO12" i="116"/>
  <c r="DP12" i="116"/>
  <c r="DQ12" i="116"/>
  <c r="DR12" i="116"/>
  <c r="A13" i="116"/>
  <c r="AD13" i="116"/>
  <c r="Q13" i="116"/>
  <c r="R13" i="116"/>
  <c r="T13" i="116"/>
  <c r="U13" i="116"/>
  <c r="V13" i="116"/>
  <c r="W13" i="116"/>
  <c r="X13" i="116"/>
  <c r="Y13" i="116"/>
  <c r="AE13" i="116"/>
  <c r="AG13" i="116"/>
  <c r="AH13" i="116"/>
  <c r="AI13" i="116"/>
  <c r="AJ13" i="116"/>
  <c r="AK13" i="116"/>
  <c r="AL13" i="116"/>
  <c r="AM13" i="116"/>
  <c r="AN13" i="116"/>
  <c r="AO13" i="116"/>
  <c r="AP13" i="116"/>
  <c r="AQ13" i="116"/>
  <c r="AR13" i="116"/>
  <c r="AS13" i="116"/>
  <c r="AT13" i="116"/>
  <c r="AU13" i="116"/>
  <c r="AV13" i="116"/>
  <c r="AW13" i="116"/>
  <c r="AX13" i="116"/>
  <c r="BL13" i="116"/>
  <c r="BO13" i="116"/>
  <c r="BR13" i="116"/>
  <c r="BU13" i="116"/>
  <c r="BX13" i="116"/>
  <c r="CA13" i="116"/>
  <c r="CD13" i="116"/>
  <c r="CG13" i="116"/>
  <c r="CJ13" i="116"/>
  <c r="CT13" i="116"/>
  <c r="CY13" i="116"/>
  <c r="DM13" i="116"/>
  <c r="DN13" i="116"/>
  <c r="DO13" i="116"/>
  <c r="DP13" i="116"/>
  <c r="DQ13" i="116"/>
  <c r="DR13" i="116"/>
  <c r="A14" i="116"/>
  <c r="AD14" i="116"/>
  <c r="Q14" i="116"/>
  <c r="R14" i="116"/>
  <c r="T14" i="116"/>
  <c r="U14" i="116"/>
  <c r="V14" i="116"/>
  <c r="W14" i="116"/>
  <c r="X14" i="116"/>
  <c r="Y14" i="116"/>
  <c r="AE14" i="116"/>
  <c r="AG14" i="116"/>
  <c r="AH14" i="116"/>
  <c r="AI14" i="116"/>
  <c r="AJ14" i="116"/>
  <c r="AK14" i="116"/>
  <c r="AL14" i="116"/>
  <c r="AM14" i="116"/>
  <c r="AN14" i="116"/>
  <c r="AO14" i="116"/>
  <c r="AP14" i="116"/>
  <c r="AQ14" i="116"/>
  <c r="AR14" i="116"/>
  <c r="AS14" i="116"/>
  <c r="AT14" i="116"/>
  <c r="AU14" i="116"/>
  <c r="AV14" i="116"/>
  <c r="AW14" i="116"/>
  <c r="AX14" i="116"/>
  <c r="BL14" i="116"/>
  <c r="BO14" i="116"/>
  <c r="BR14" i="116"/>
  <c r="BU14" i="116"/>
  <c r="BX14" i="116"/>
  <c r="CA14" i="116"/>
  <c r="CD14" i="116"/>
  <c r="CG14" i="116"/>
  <c r="CJ14" i="116"/>
  <c r="CT14" i="116"/>
  <c r="CY14" i="116"/>
  <c r="DM14" i="116"/>
  <c r="DN14" i="116"/>
  <c r="DO14" i="116"/>
  <c r="DP14" i="116"/>
  <c r="DQ14" i="116"/>
  <c r="DR14" i="116"/>
  <c r="A15" i="116"/>
  <c r="AD15" i="116"/>
  <c r="Q15" i="116"/>
  <c r="R15" i="116"/>
  <c r="T15" i="116"/>
  <c r="U15" i="116"/>
  <c r="V15" i="116"/>
  <c r="W15" i="116"/>
  <c r="X15" i="116"/>
  <c r="Y15" i="116"/>
  <c r="AE15" i="116"/>
  <c r="AG15" i="116"/>
  <c r="AH15" i="116"/>
  <c r="AI15" i="116"/>
  <c r="AJ15" i="116"/>
  <c r="AK15" i="116"/>
  <c r="AL15" i="116"/>
  <c r="AM15" i="116"/>
  <c r="AN15" i="116"/>
  <c r="AO15" i="116"/>
  <c r="AP15" i="116"/>
  <c r="AQ15" i="116"/>
  <c r="AR15" i="116"/>
  <c r="AS15" i="116"/>
  <c r="AT15" i="116"/>
  <c r="AU15" i="116"/>
  <c r="AV15" i="116"/>
  <c r="AW15" i="116"/>
  <c r="AX15" i="116"/>
  <c r="BL15" i="116"/>
  <c r="BO15" i="116"/>
  <c r="BR15" i="116"/>
  <c r="BU15" i="116"/>
  <c r="BX15" i="116"/>
  <c r="CA15" i="116"/>
  <c r="CD15" i="116"/>
  <c r="CG15" i="116"/>
  <c r="CJ15" i="116"/>
  <c r="CT15" i="116"/>
  <c r="CY15" i="116"/>
  <c r="DM15" i="116"/>
  <c r="DN15" i="116"/>
  <c r="DO15" i="116"/>
  <c r="DP15" i="116"/>
  <c r="DQ15" i="116"/>
  <c r="DR15" i="116"/>
  <c r="A16" i="116"/>
  <c r="AD16" i="116"/>
  <c r="Q16" i="116"/>
  <c r="R16" i="116"/>
  <c r="T16" i="116"/>
  <c r="U16" i="116"/>
  <c r="V16" i="116"/>
  <c r="W16" i="116"/>
  <c r="X16" i="116"/>
  <c r="Y16" i="116"/>
  <c r="AE16" i="116"/>
  <c r="AG16" i="116"/>
  <c r="AH16" i="116"/>
  <c r="AI16" i="116"/>
  <c r="AJ16" i="116"/>
  <c r="AK16" i="116"/>
  <c r="AL16" i="116"/>
  <c r="AM16" i="116"/>
  <c r="AN16" i="116"/>
  <c r="AO16" i="116"/>
  <c r="AP16" i="116"/>
  <c r="AQ16" i="116"/>
  <c r="AR16" i="116"/>
  <c r="AS16" i="116"/>
  <c r="AT16" i="116"/>
  <c r="AU16" i="116"/>
  <c r="AV16" i="116"/>
  <c r="AW16" i="116"/>
  <c r="AX16" i="116"/>
  <c r="BL16" i="116"/>
  <c r="BO16" i="116"/>
  <c r="BR16" i="116"/>
  <c r="BU16" i="116"/>
  <c r="BX16" i="116"/>
  <c r="CA16" i="116"/>
  <c r="CD16" i="116"/>
  <c r="CG16" i="116"/>
  <c r="CJ16" i="116"/>
  <c r="CT16" i="116"/>
  <c r="CY16" i="116"/>
  <c r="DM16" i="116"/>
  <c r="DN16" i="116"/>
  <c r="DO16" i="116"/>
  <c r="DP16" i="116"/>
  <c r="DQ16" i="116"/>
  <c r="DR16" i="116"/>
  <c r="A17" i="116"/>
  <c r="AD17" i="116"/>
  <c r="Q17" i="116"/>
  <c r="R17" i="116"/>
  <c r="T17" i="116"/>
  <c r="U17" i="116"/>
  <c r="V17" i="116"/>
  <c r="W17" i="116"/>
  <c r="X17" i="116"/>
  <c r="Y17" i="116"/>
  <c r="AE17" i="116"/>
  <c r="AG17" i="116"/>
  <c r="AH17" i="116"/>
  <c r="AI17" i="116"/>
  <c r="AJ17" i="116"/>
  <c r="AK17" i="116"/>
  <c r="AL17" i="116"/>
  <c r="AM17" i="116"/>
  <c r="AN17" i="116"/>
  <c r="AO17" i="116"/>
  <c r="AP17" i="116"/>
  <c r="AQ17" i="116"/>
  <c r="AR17" i="116"/>
  <c r="AS17" i="116"/>
  <c r="AT17" i="116"/>
  <c r="AU17" i="116"/>
  <c r="AV17" i="116"/>
  <c r="AW17" i="116"/>
  <c r="AX17" i="116"/>
  <c r="BL17" i="116"/>
  <c r="BO17" i="116"/>
  <c r="BR17" i="116"/>
  <c r="BU17" i="116"/>
  <c r="BX17" i="116"/>
  <c r="CA17" i="116"/>
  <c r="CD17" i="116"/>
  <c r="CG17" i="116"/>
  <c r="CJ17" i="116"/>
  <c r="CT17" i="116"/>
  <c r="CY17" i="116"/>
  <c r="DM17" i="116"/>
  <c r="DN17" i="116"/>
  <c r="DO17" i="116"/>
  <c r="DP17" i="116"/>
  <c r="DQ17" i="116"/>
  <c r="DR17" i="116"/>
  <c r="A18" i="116"/>
  <c r="AD18" i="116"/>
  <c r="Q18" i="116"/>
  <c r="R18" i="116"/>
  <c r="T18" i="116"/>
  <c r="U18" i="116"/>
  <c r="V18" i="116"/>
  <c r="W18" i="116"/>
  <c r="X18" i="116"/>
  <c r="Y18" i="116"/>
  <c r="AE18" i="116"/>
  <c r="AG18" i="116"/>
  <c r="AH18" i="116"/>
  <c r="AI18" i="116"/>
  <c r="AJ18" i="116"/>
  <c r="AK18" i="116"/>
  <c r="AL18" i="116"/>
  <c r="AM18" i="116"/>
  <c r="AN18" i="116"/>
  <c r="AO18" i="116"/>
  <c r="AP18" i="116"/>
  <c r="AQ18" i="116"/>
  <c r="AR18" i="116"/>
  <c r="AS18" i="116"/>
  <c r="AT18" i="116"/>
  <c r="AU18" i="116"/>
  <c r="AV18" i="116"/>
  <c r="AW18" i="116"/>
  <c r="AX18" i="116"/>
  <c r="BL18" i="116"/>
  <c r="BO18" i="116"/>
  <c r="BR18" i="116"/>
  <c r="BU18" i="116"/>
  <c r="BX18" i="116"/>
  <c r="CA18" i="116"/>
  <c r="CD18" i="116"/>
  <c r="CG18" i="116"/>
  <c r="CJ18" i="116"/>
  <c r="CT18" i="116"/>
  <c r="CY18" i="116"/>
  <c r="DM18" i="116"/>
  <c r="DN18" i="116"/>
  <c r="DO18" i="116"/>
  <c r="DP18" i="116"/>
  <c r="DQ18" i="116"/>
  <c r="DR18" i="116"/>
  <c r="A19" i="116"/>
  <c r="AD19" i="116"/>
  <c r="Q19" i="116"/>
  <c r="R19" i="116"/>
  <c r="T19" i="116"/>
  <c r="U19" i="116"/>
  <c r="V19" i="116"/>
  <c r="W19" i="116"/>
  <c r="X19" i="116"/>
  <c r="Y19" i="116"/>
  <c r="AE19" i="116"/>
  <c r="AG19" i="116"/>
  <c r="AH19" i="116"/>
  <c r="AI19" i="116"/>
  <c r="AJ19" i="116"/>
  <c r="AK19" i="116"/>
  <c r="AL19" i="116"/>
  <c r="AM19" i="116"/>
  <c r="AN19" i="116"/>
  <c r="AO19" i="116"/>
  <c r="AP19" i="116"/>
  <c r="AQ19" i="116"/>
  <c r="AR19" i="116"/>
  <c r="AS19" i="116"/>
  <c r="AT19" i="116"/>
  <c r="AU19" i="116"/>
  <c r="AV19" i="116"/>
  <c r="AW19" i="116"/>
  <c r="AX19" i="116"/>
  <c r="BL19" i="116"/>
  <c r="BO19" i="116"/>
  <c r="BR19" i="116"/>
  <c r="BU19" i="116"/>
  <c r="BX19" i="116"/>
  <c r="CA19" i="116"/>
  <c r="CD19" i="116"/>
  <c r="CG19" i="116"/>
  <c r="CJ19" i="116"/>
  <c r="CT19" i="116"/>
  <c r="CY19" i="116"/>
  <c r="DM19" i="116"/>
  <c r="DN19" i="116"/>
  <c r="DO19" i="116"/>
  <c r="DP19" i="116"/>
  <c r="DQ19" i="116"/>
  <c r="DR19" i="116"/>
  <c r="A20" i="116"/>
  <c r="AD20" i="116"/>
  <c r="Q20" i="116"/>
  <c r="R20" i="116"/>
  <c r="T20" i="116"/>
  <c r="U20" i="116"/>
  <c r="V20" i="116"/>
  <c r="W20" i="116"/>
  <c r="X20" i="116"/>
  <c r="Y20" i="116"/>
  <c r="AE20" i="116"/>
  <c r="AG20" i="116"/>
  <c r="AH20" i="116"/>
  <c r="AI20" i="116"/>
  <c r="AJ20" i="116"/>
  <c r="AK20" i="116"/>
  <c r="AL20" i="116"/>
  <c r="AM20" i="116"/>
  <c r="AN20" i="116"/>
  <c r="AO20" i="116"/>
  <c r="AP20" i="116"/>
  <c r="AQ20" i="116"/>
  <c r="AR20" i="116"/>
  <c r="AS20" i="116"/>
  <c r="AT20" i="116"/>
  <c r="AU20" i="116"/>
  <c r="AV20" i="116"/>
  <c r="AW20" i="116"/>
  <c r="AX20" i="116"/>
  <c r="BL20" i="116"/>
  <c r="BO20" i="116"/>
  <c r="BR20" i="116"/>
  <c r="BU20" i="116"/>
  <c r="BX20" i="116"/>
  <c r="CA20" i="116"/>
  <c r="CD20" i="116"/>
  <c r="CG20" i="116"/>
  <c r="CJ20" i="116"/>
  <c r="CT20" i="116"/>
  <c r="CY20" i="116"/>
  <c r="DM20" i="116"/>
  <c r="DN20" i="116"/>
  <c r="DO20" i="116"/>
  <c r="DP20" i="116"/>
  <c r="DQ20" i="116"/>
  <c r="DR20" i="116"/>
  <c r="A21" i="116"/>
  <c r="AD21" i="116"/>
  <c r="Q21" i="116"/>
  <c r="R21" i="116"/>
  <c r="T21" i="116"/>
  <c r="U21" i="116"/>
  <c r="V21" i="116"/>
  <c r="W21" i="116"/>
  <c r="X21" i="116"/>
  <c r="Y21" i="116"/>
  <c r="AE21" i="116"/>
  <c r="AG21" i="116"/>
  <c r="AH21" i="116"/>
  <c r="AI21" i="116"/>
  <c r="AJ21" i="116"/>
  <c r="AK21" i="116"/>
  <c r="AL21" i="116"/>
  <c r="AM21" i="116"/>
  <c r="AN21" i="116"/>
  <c r="AO21" i="116"/>
  <c r="AP21" i="116"/>
  <c r="AQ21" i="116"/>
  <c r="AR21" i="116"/>
  <c r="AS21" i="116"/>
  <c r="AT21" i="116"/>
  <c r="AU21" i="116"/>
  <c r="AV21" i="116"/>
  <c r="AW21" i="116"/>
  <c r="AX21" i="116"/>
  <c r="BL21" i="116"/>
  <c r="BO21" i="116"/>
  <c r="BR21" i="116"/>
  <c r="BU21" i="116"/>
  <c r="BX21" i="116"/>
  <c r="CA21" i="116"/>
  <c r="CD21" i="116"/>
  <c r="CG21" i="116"/>
  <c r="CJ21" i="116"/>
  <c r="CT21" i="116"/>
  <c r="CY21" i="116"/>
  <c r="DM21" i="116"/>
  <c r="DN21" i="116"/>
  <c r="DO21" i="116"/>
  <c r="DP21" i="116"/>
  <c r="DQ21" i="116"/>
  <c r="DR21" i="116"/>
  <c r="A22" i="116"/>
  <c r="AD22" i="116"/>
  <c r="Q22" i="116"/>
  <c r="R22" i="116"/>
  <c r="T22" i="116"/>
  <c r="U22" i="116"/>
  <c r="V22" i="116"/>
  <c r="W22" i="116"/>
  <c r="X22" i="116"/>
  <c r="Y22" i="116"/>
  <c r="AE22" i="116"/>
  <c r="AG22" i="116"/>
  <c r="AH22" i="116"/>
  <c r="AI22" i="116"/>
  <c r="AJ22" i="116"/>
  <c r="AK22" i="116"/>
  <c r="AL22" i="116"/>
  <c r="AM22" i="116"/>
  <c r="AN22" i="116"/>
  <c r="AO22" i="116"/>
  <c r="AP22" i="116"/>
  <c r="AQ22" i="116"/>
  <c r="AR22" i="116"/>
  <c r="AS22" i="116"/>
  <c r="AT22" i="116"/>
  <c r="AU22" i="116"/>
  <c r="AV22" i="116"/>
  <c r="AW22" i="116"/>
  <c r="AX22" i="116"/>
  <c r="BL22" i="116"/>
  <c r="BO22" i="116"/>
  <c r="BR22" i="116"/>
  <c r="BU22" i="116"/>
  <c r="BX22" i="116"/>
  <c r="CA22" i="116"/>
  <c r="CD22" i="116"/>
  <c r="CG22" i="116"/>
  <c r="CJ22" i="116"/>
  <c r="CT22" i="116"/>
  <c r="CY22" i="116"/>
  <c r="DM22" i="116"/>
  <c r="DN22" i="116"/>
  <c r="DO22" i="116"/>
  <c r="DP22" i="116"/>
  <c r="DQ22" i="116"/>
  <c r="DR22" i="116"/>
  <c r="A23" i="116"/>
  <c r="AD23" i="116"/>
  <c r="Q23" i="116"/>
  <c r="R23" i="116"/>
  <c r="T23" i="116"/>
  <c r="U23" i="116"/>
  <c r="V23" i="116"/>
  <c r="W23" i="116"/>
  <c r="X23" i="116"/>
  <c r="Y23" i="116"/>
  <c r="AE23" i="116"/>
  <c r="AG23" i="116"/>
  <c r="AH23" i="116"/>
  <c r="AI23" i="116"/>
  <c r="AJ23" i="116"/>
  <c r="AK23" i="116"/>
  <c r="AL23" i="116"/>
  <c r="AM23" i="116"/>
  <c r="AN23" i="116"/>
  <c r="AO23" i="116"/>
  <c r="AP23" i="116"/>
  <c r="AQ23" i="116"/>
  <c r="AR23" i="116"/>
  <c r="AS23" i="116"/>
  <c r="AT23" i="116"/>
  <c r="AU23" i="116"/>
  <c r="AV23" i="116"/>
  <c r="AW23" i="116"/>
  <c r="AX23" i="116"/>
  <c r="BL23" i="116"/>
  <c r="BO23" i="116"/>
  <c r="BR23" i="116"/>
  <c r="BU23" i="116"/>
  <c r="BX23" i="116"/>
  <c r="CA23" i="116"/>
  <c r="CD23" i="116"/>
  <c r="CG23" i="116"/>
  <c r="CJ23" i="116"/>
  <c r="CT23" i="116"/>
  <c r="CY23" i="116"/>
  <c r="DM23" i="116"/>
  <c r="DN23" i="116"/>
  <c r="DO23" i="116"/>
  <c r="DP23" i="116"/>
  <c r="DQ23" i="116"/>
  <c r="DR23" i="116"/>
  <c r="A24" i="116"/>
  <c r="AD24" i="116"/>
  <c r="Q24" i="116"/>
  <c r="R24" i="116"/>
  <c r="T24" i="116"/>
  <c r="U24" i="116"/>
  <c r="V24" i="116"/>
  <c r="W24" i="116"/>
  <c r="X24" i="116"/>
  <c r="Y24" i="116"/>
  <c r="AE24" i="116"/>
  <c r="AG24" i="116"/>
  <c r="AH24" i="116"/>
  <c r="AI24" i="116"/>
  <c r="AJ24" i="116"/>
  <c r="AK24" i="116"/>
  <c r="AL24" i="116"/>
  <c r="AM24" i="116"/>
  <c r="AN24" i="116"/>
  <c r="AO24" i="116"/>
  <c r="AP24" i="116"/>
  <c r="AQ24" i="116"/>
  <c r="AR24" i="116"/>
  <c r="AS24" i="116"/>
  <c r="AT24" i="116"/>
  <c r="AU24" i="116"/>
  <c r="AV24" i="116"/>
  <c r="AW24" i="116"/>
  <c r="AX24" i="116"/>
  <c r="BL24" i="116"/>
  <c r="BO24" i="116"/>
  <c r="BR24" i="116"/>
  <c r="BU24" i="116"/>
  <c r="BX24" i="116"/>
  <c r="CA24" i="116"/>
  <c r="CD24" i="116"/>
  <c r="CG24" i="116"/>
  <c r="CJ24" i="116"/>
  <c r="CT24" i="116"/>
  <c r="CY24" i="116"/>
  <c r="DM24" i="116"/>
  <c r="DN24" i="116"/>
  <c r="DO24" i="116"/>
  <c r="DP24" i="116"/>
  <c r="DQ24" i="116"/>
  <c r="DR24" i="116"/>
  <c r="A25" i="116"/>
  <c r="AD25" i="116"/>
  <c r="Q25" i="116"/>
  <c r="R25" i="116"/>
  <c r="T25" i="116"/>
  <c r="U25" i="116"/>
  <c r="V25" i="116"/>
  <c r="W25" i="116"/>
  <c r="X25" i="116"/>
  <c r="Y25" i="116"/>
  <c r="AE25" i="116"/>
  <c r="AG25" i="116"/>
  <c r="AH25" i="116"/>
  <c r="AI25" i="116"/>
  <c r="AJ25" i="116"/>
  <c r="AK25" i="116"/>
  <c r="AL25" i="116"/>
  <c r="AM25" i="116"/>
  <c r="AN25" i="116"/>
  <c r="AO25" i="116"/>
  <c r="AP25" i="116"/>
  <c r="AQ25" i="116"/>
  <c r="AR25" i="116"/>
  <c r="AS25" i="116"/>
  <c r="AT25" i="116"/>
  <c r="AU25" i="116"/>
  <c r="AV25" i="116"/>
  <c r="AW25" i="116"/>
  <c r="AX25" i="116"/>
  <c r="BL25" i="116"/>
  <c r="BO25" i="116"/>
  <c r="BR25" i="116"/>
  <c r="BU25" i="116"/>
  <c r="BX25" i="116"/>
  <c r="CA25" i="116"/>
  <c r="CD25" i="116"/>
  <c r="CG25" i="116"/>
  <c r="CJ25" i="116"/>
  <c r="CT25" i="116"/>
  <c r="CY25" i="116"/>
  <c r="DM25" i="116"/>
  <c r="DN25" i="116"/>
  <c r="DO25" i="116"/>
  <c r="DP25" i="116"/>
  <c r="DQ25" i="116"/>
  <c r="DR25" i="116"/>
  <c r="A26" i="116"/>
  <c r="AD26" i="116"/>
  <c r="Q26" i="116"/>
  <c r="R26" i="116"/>
  <c r="T26" i="116"/>
  <c r="U26" i="116"/>
  <c r="V26" i="116"/>
  <c r="W26" i="116"/>
  <c r="X26" i="116"/>
  <c r="Y26" i="116"/>
  <c r="AE26" i="116"/>
  <c r="AG26" i="116"/>
  <c r="AH26" i="116"/>
  <c r="AI26" i="116"/>
  <c r="AJ26" i="116"/>
  <c r="AK26" i="116"/>
  <c r="AL26" i="116"/>
  <c r="AM26" i="116"/>
  <c r="AN26" i="116"/>
  <c r="AO26" i="116"/>
  <c r="AP26" i="116"/>
  <c r="AQ26" i="116"/>
  <c r="AR26" i="116"/>
  <c r="AS26" i="116"/>
  <c r="AT26" i="116"/>
  <c r="AU26" i="116"/>
  <c r="AV26" i="116"/>
  <c r="AW26" i="116"/>
  <c r="AX26" i="116"/>
  <c r="BL26" i="116"/>
  <c r="BO26" i="116"/>
  <c r="BR26" i="116"/>
  <c r="BU26" i="116"/>
  <c r="BX26" i="116"/>
  <c r="CA26" i="116"/>
  <c r="CD26" i="116"/>
  <c r="CG26" i="116"/>
  <c r="CJ26" i="116"/>
  <c r="CT26" i="116"/>
  <c r="CY26" i="116"/>
  <c r="DM26" i="116"/>
  <c r="DN26" i="116"/>
  <c r="DO26" i="116"/>
  <c r="DP26" i="116"/>
  <c r="DQ26" i="116"/>
  <c r="DR26" i="116"/>
  <c r="A27" i="116"/>
  <c r="AD27" i="116"/>
  <c r="Q27" i="116"/>
  <c r="R27" i="116"/>
  <c r="T27" i="116"/>
  <c r="U27" i="116"/>
  <c r="V27" i="116"/>
  <c r="W27" i="116"/>
  <c r="X27" i="116"/>
  <c r="Y27" i="116"/>
  <c r="AE27" i="116"/>
  <c r="AG27" i="116"/>
  <c r="AH27" i="116"/>
  <c r="AI27" i="116"/>
  <c r="AJ27" i="116"/>
  <c r="AK27" i="116"/>
  <c r="AL27" i="116"/>
  <c r="AM27" i="116"/>
  <c r="AN27" i="116"/>
  <c r="AO27" i="116"/>
  <c r="AP27" i="116"/>
  <c r="AQ27" i="116"/>
  <c r="AR27" i="116"/>
  <c r="AS27" i="116"/>
  <c r="AT27" i="116"/>
  <c r="AU27" i="116"/>
  <c r="AV27" i="116"/>
  <c r="AW27" i="116"/>
  <c r="AX27" i="116"/>
  <c r="BL27" i="116"/>
  <c r="BO27" i="116"/>
  <c r="BR27" i="116"/>
  <c r="BU27" i="116"/>
  <c r="BX27" i="116"/>
  <c r="CA27" i="116"/>
  <c r="CD27" i="116"/>
  <c r="CG27" i="116"/>
  <c r="CJ27" i="116"/>
  <c r="CT27" i="116"/>
  <c r="CY27" i="116"/>
  <c r="DM27" i="116"/>
  <c r="DN27" i="116"/>
  <c r="DO27" i="116"/>
  <c r="DP27" i="116"/>
  <c r="DQ27" i="116"/>
  <c r="DR27" i="116"/>
  <c r="A28" i="116"/>
  <c r="AD28" i="116"/>
  <c r="Q28" i="116"/>
  <c r="R28" i="116"/>
  <c r="T28" i="116"/>
  <c r="U28" i="116"/>
  <c r="V28" i="116"/>
  <c r="W28" i="116"/>
  <c r="X28" i="116"/>
  <c r="Y28" i="116"/>
  <c r="AE28" i="116"/>
  <c r="AG28" i="116"/>
  <c r="AH28" i="116"/>
  <c r="AI28" i="116"/>
  <c r="AJ28" i="116"/>
  <c r="AK28" i="116"/>
  <c r="AL28" i="116"/>
  <c r="AM28" i="116"/>
  <c r="AN28" i="116"/>
  <c r="AO28" i="116"/>
  <c r="AP28" i="116"/>
  <c r="AQ28" i="116"/>
  <c r="AR28" i="116"/>
  <c r="AS28" i="116"/>
  <c r="AT28" i="116"/>
  <c r="AU28" i="116"/>
  <c r="AV28" i="116"/>
  <c r="AW28" i="116"/>
  <c r="AX28" i="116"/>
  <c r="BL28" i="116"/>
  <c r="BO28" i="116"/>
  <c r="BR28" i="116"/>
  <c r="BU28" i="116"/>
  <c r="BX28" i="116"/>
  <c r="CA28" i="116"/>
  <c r="CD28" i="116"/>
  <c r="CG28" i="116"/>
  <c r="CJ28" i="116"/>
  <c r="CT28" i="116"/>
  <c r="CY28" i="116"/>
  <c r="DM28" i="116"/>
  <c r="DN28" i="116"/>
  <c r="DO28" i="116"/>
  <c r="DP28" i="116"/>
  <c r="DQ28" i="116"/>
  <c r="DR28" i="116"/>
  <c r="A29" i="116"/>
  <c r="AD29" i="116"/>
  <c r="Q29" i="116"/>
  <c r="R29" i="116"/>
  <c r="T29" i="116"/>
  <c r="U29" i="116"/>
  <c r="V29" i="116"/>
  <c r="W29" i="116"/>
  <c r="X29" i="116"/>
  <c r="Y29" i="116"/>
  <c r="AE29" i="116"/>
  <c r="AG29" i="116"/>
  <c r="AH29" i="116"/>
  <c r="AI29" i="116"/>
  <c r="AJ29" i="116"/>
  <c r="AK29" i="116"/>
  <c r="AL29" i="116"/>
  <c r="AM29" i="116"/>
  <c r="AN29" i="116"/>
  <c r="AO29" i="116"/>
  <c r="AP29" i="116"/>
  <c r="AQ29" i="116"/>
  <c r="AR29" i="116"/>
  <c r="AS29" i="116"/>
  <c r="AT29" i="116"/>
  <c r="AU29" i="116"/>
  <c r="AV29" i="116"/>
  <c r="AW29" i="116"/>
  <c r="AX29" i="116"/>
  <c r="BL29" i="116"/>
  <c r="BO29" i="116"/>
  <c r="BR29" i="116"/>
  <c r="BU29" i="116"/>
  <c r="BX29" i="116"/>
  <c r="CA29" i="116"/>
  <c r="CD29" i="116"/>
  <c r="CG29" i="116"/>
  <c r="CJ29" i="116"/>
  <c r="CT29" i="116"/>
  <c r="CY29" i="116"/>
  <c r="DM29" i="116"/>
  <c r="DN29" i="116"/>
  <c r="DO29" i="116"/>
  <c r="DP29" i="116"/>
  <c r="DQ29" i="116"/>
  <c r="DR29" i="116"/>
  <c r="A30" i="116"/>
  <c r="AD30" i="116"/>
  <c r="Q30" i="116"/>
  <c r="R30" i="116"/>
  <c r="T30" i="116"/>
  <c r="U30" i="116"/>
  <c r="V30" i="116"/>
  <c r="W30" i="116"/>
  <c r="X30" i="116"/>
  <c r="Y30" i="116"/>
  <c r="AE30" i="116"/>
  <c r="AG30" i="116"/>
  <c r="AH30" i="116"/>
  <c r="AI30" i="116"/>
  <c r="AJ30" i="116"/>
  <c r="AK30" i="116"/>
  <c r="AL30" i="116"/>
  <c r="AM30" i="116"/>
  <c r="AN30" i="116"/>
  <c r="AO30" i="116"/>
  <c r="AP30" i="116"/>
  <c r="AQ30" i="116"/>
  <c r="AR30" i="116"/>
  <c r="AS30" i="116"/>
  <c r="AT30" i="116"/>
  <c r="AU30" i="116"/>
  <c r="AV30" i="116"/>
  <c r="AW30" i="116"/>
  <c r="AX30" i="116"/>
  <c r="BL30" i="116"/>
  <c r="BO30" i="116"/>
  <c r="BR30" i="116"/>
  <c r="BU30" i="116"/>
  <c r="BX30" i="116"/>
  <c r="CA30" i="116"/>
  <c r="CD30" i="116"/>
  <c r="CG30" i="116"/>
  <c r="CJ30" i="116"/>
  <c r="CT30" i="116"/>
  <c r="CY30" i="116"/>
  <c r="DM30" i="116"/>
  <c r="DN30" i="116"/>
  <c r="DO30" i="116"/>
  <c r="DP30" i="116"/>
  <c r="DQ30" i="116"/>
  <c r="DR30" i="116"/>
  <c r="A31" i="116"/>
  <c r="AD31" i="116"/>
  <c r="Q31" i="116"/>
  <c r="R31" i="116"/>
  <c r="T31" i="116"/>
  <c r="U31" i="116"/>
  <c r="V31" i="116"/>
  <c r="W31" i="116"/>
  <c r="X31" i="116"/>
  <c r="Y31" i="116"/>
  <c r="AE31" i="116"/>
  <c r="AG31" i="116"/>
  <c r="AH31" i="116"/>
  <c r="AI31" i="116"/>
  <c r="AJ31" i="116"/>
  <c r="AK31" i="116"/>
  <c r="AL31" i="116"/>
  <c r="AM31" i="116"/>
  <c r="AN31" i="116"/>
  <c r="AO31" i="116"/>
  <c r="AP31" i="116"/>
  <c r="AQ31" i="116"/>
  <c r="AR31" i="116"/>
  <c r="AS31" i="116"/>
  <c r="AT31" i="116"/>
  <c r="AU31" i="116"/>
  <c r="AV31" i="116"/>
  <c r="AW31" i="116"/>
  <c r="AX31" i="116"/>
  <c r="BL31" i="116"/>
  <c r="BO31" i="116"/>
  <c r="BR31" i="116"/>
  <c r="BU31" i="116"/>
  <c r="BX31" i="116"/>
  <c r="CA31" i="116"/>
  <c r="CD31" i="116"/>
  <c r="CG31" i="116"/>
  <c r="CJ31" i="116"/>
  <c r="CT31" i="116"/>
  <c r="CY31" i="116"/>
  <c r="DM31" i="116"/>
  <c r="DN31" i="116"/>
  <c r="DO31" i="116"/>
  <c r="DP31" i="116"/>
  <c r="DQ31" i="116"/>
  <c r="DR31" i="116"/>
  <c r="A32" i="116"/>
  <c r="AD32" i="116"/>
  <c r="Q32" i="116"/>
  <c r="R32" i="116"/>
  <c r="T32" i="116"/>
  <c r="U32" i="116"/>
  <c r="V32" i="116"/>
  <c r="W32" i="116"/>
  <c r="X32" i="116"/>
  <c r="Y32" i="116"/>
  <c r="AE32" i="116"/>
  <c r="AG32" i="116"/>
  <c r="AH32" i="116"/>
  <c r="AI32" i="116"/>
  <c r="AJ32" i="116"/>
  <c r="AK32" i="116"/>
  <c r="AL32" i="116"/>
  <c r="AM32" i="116"/>
  <c r="AN32" i="116"/>
  <c r="AO32" i="116"/>
  <c r="AP32" i="116"/>
  <c r="AQ32" i="116"/>
  <c r="AR32" i="116"/>
  <c r="AS32" i="116"/>
  <c r="AT32" i="116"/>
  <c r="AU32" i="116"/>
  <c r="AV32" i="116"/>
  <c r="AW32" i="116"/>
  <c r="AX32" i="116"/>
  <c r="BL32" i="116"/>
  <c r="BO32" i="116"/>
  <c r="BR32" i="116"/>
  <c r="BU32" i="116"/>
  <c r="BX32" i="116"/>
  <c r="CA32" i="116"/>
  <c r="CD32" i="116"/>
  <c r="CG32" i="116"/>
  <c r="CJ32" i="116"/>
  <c r="CT32" i="116"/>
  <c r="CY32" i="116"/>
  <c r="DM32" i="116"/>
  <c r="DN32" i="116"/>
  <c r="DO32" i="116"/>
  <c r="DP32" i="116"/>
  <c r="DQ32" i="116"/>
  <c r="DR32" i="116"/>
  <c r="A33" i="116"/>
  <c r="AD33" i="116"/>
  <c r="Q33" i="116"/>
  <c r="R33" i="116"/>
  <c r="T33" i="116"/>
  <c r="U33" i="116"/>
  <c r="V33" i="116"/>
  <c r="W33" i="116"/>
  <c r="X33" i="116"/>
  <c r="Y33" i="116"/>
  <c r="AE33" i="116"/>
  <c r="AG33" i="116"/>
  <c r="AH33" i="116"/>
  <c r="AI33" i="116"/>
  <c r="AJ33" i="116"/>
  <c r="AK33" i="116"/>
  <c r="AL33" i="116"/>
  <c r="AM33" i="116"/>
  <c r="AN33" i="116"/>
  <c r="AO33" i="116"/>
  <c r="AP33" i="116"/>
  <c r="AQ33" i="116"/>
  <c r="AR33" i="116"/>
  <c r="AS33" i="116"/>
  <c r="AT33" i="116"/>
  <c r="AU33" i="116"/>
  <c r="AV33" i="116"/>
  <c r="AW33" i="116"/>
  <c r="AX33" i="116"/>
  <c r="BL33" i="116"/>
  <c r="BO33" i="116"/>
  <c r="BR33" i="116"/>
  <c r="BU33" i="116"/>
  <c r="BX33" i="116"/>
  <c r="CA33" i="116"/>
  <c r="CD33" i="116"/>
  <c r="CG33" i="116"/>
  <c r="CJ33" i="116"/>
  <c r="CT33" i="116"/>
  <c r="CY33" i="116"/>
  <c r="DM33" i="116"/>
  <c r="DN33" i="116"/>
  <c r="DO33" i="116"/>
  <c r="DP33" i="116"/>
  <c r="DQ33" i="116"/>
  <c r="DR33" i="116"/>
  <c r="A34" i="116"/>
  <c r="AD34" i="116"/>
  <c r="Q34" i="116"/>
  <c r="R34" i="116"/>
  <c r="T34" i="116"/>
  <c r="U34" i="116"/>
  <c r="V34" i="116"/>
  <c r="W34" i="116"/>
  <c r="X34" i="116"/>
  <c r="Y34" i="116"/>
  <c r="AE34" i="116"/>
  <c r="AG34" i="116"/>
  <c r="AH34" i="116"/>
  <c r="AI34" i="116"/>
  <c r="AJ34" i="116"/>
  <c r="AK34" i="116"/>
  <c r="AL34" i="116"/>
  <c r="AM34" i="116"/>
  <c r="AN34" i="116"/>
  <c r="AO34" i="116"/>
  <c r="AP34" i="116"/>
  <c r="AQ34" i="116"/>
  <c r="AR34" i="116"/>
  <c r="AS34" i="116"/>
  <c r="AT34" i="116"/>
  <c r="AU34" i="116"/>
  <c r="AV34" i="116"/>
  <c r="AW34" i="116"/>
  <c r="AX34" i="116"/>
  <c r="BL34" i="116"/>
  <c r="BO34" i="116"/>
  <c r="BR34" i="116"/>
  <c r="BU34" i="116"/>
  <c r="BX34" i="116"/>
  <c r="CA34" i="116"/>
  <c r="CD34" i="116"/>
  <c r="CG34" i="116"/>
  <c r="CJ34" i="116"/>
  <c r="CT34" i="116"/>
  <c r="CY34" i="116"/>
  <c r="DM34" i="116"/>
  <c r="DN34" i="116"/>
  <c r="DO34" i="116"/>
  <c r="DP34" i="116"/>
  <c r="DQ34" i="116"/>
  <c r="DR34" i="116"/>
  <c r="A35" i="116"/>
  <c r="AD35" i="116"/>
  <c r="Q35" i="116"/>
  <c r="R35" i="116"/>
  <c r="T35" i="116"/>
  <c r="U35" i="116"/>
  <c r="V35" i="116"/>
  <c r="W35" i="116"/>
  <c r="X35" i="116"/>
  <c r="Y35" i="116"/>
  <c r="AE35" i="116"/>
  <c r="AG35" i="116"/>
  <c r="AH35" i="116"/>
  <c r="AI35" i="116"/>
  <c r="AJ35" i="116"/>
  <c r="AK35" i="116"/>
  <c r="AL35" i="116"/>
  <c r="AM35" i="116"/>
  <c r="AN35" i="116"/>
  <c r="AO35" i="116"/>
  <c r="AP35" i="116"/>
  <c r="AQ35" i="116"/>
  <c r="AR35" i="116"/>
  <c r="AS35" i="116"/>
  <c r="AT35" i="116"/>
  <c r="AU35" i="116"/>
  <c r="AV35" i="116"/>
  <c r="AW35" i="116"/>
  <c r="AX35" i="116"/>
  <c r="BL35" i="116"/>
  <c r="BO35" i="116"/>
  <c r="BR35" i="116"/>
  <c r="BU35" i="116"/>
  <c r="BX35" i="116"/>
  <c r="CA35" i="116"/>
  <c r="CD35" i="116"/>
  <c r="CG35" i="116"/>
  <c r="CJ35" i="116"/>
  <c r="CT35" i="116"/>
  <c r="CY35" i="116"/>
  <c r="DM35" i="116"/>
  <c r="DN35" i="116"/>
  <c r="DO35" i="116"/>
  <c r="DP35" i="116"/>
  <c r="DQ35" i="116"/>
  <c r="DR35" i="116"/>
  <c r="A36" i="116"/>
  <c r="AD36" i="116"/>
  <c r="Q36" i="116"/>
  <c r="R36" i="116"/>
  <c r="T36" i="116"/>
  <c r="U36" i="116"/>
  <c r="V36" i="116"/>
  <c r="W36" i="116"/>
  <c r="X36" i="116"/>
  <c r="Y36" i="116"/>
  <c r="AE36" i="116"/>
  <c r="AG36" i="116"/>
  <c r="AH36" i="116"/>
  <c r="AI36" i="116"/>
  <c r="AJ36" i="116"/>
  <c r="AK36" i="116"/>
  <c r="AL36" i="116"/>
  <c r="AM36" i="116"/>
  <c r="AN36" i="116"/>
  <c r="AO36" i="116"/>
  <c r="AP36" i="116"/>
  <c r="AQ36" i="116"/>
  <c r="AR36" i="116"/>
  <c r="AS36" i="116"/>
  <c r="AT36" i="116"/>
  <c r="AU36" i="116"/>
  <c r="AV36" i="116"/>
  <c r="AW36" i="116"/>
  <c r="AX36" i="116"/>
  <c r="BL36" i="116"/>
  <c r="BO36" i="116"/>
  <c r="BR36" i="116"/>
  <c r="BU36" i="116"/>
  <c r="BX36" i="116"/>
  <c r="CA36" i="116"/>
  <c r="CD36" i="116"/>
  <c r="CG36" i="116"/>
  <c r="CJ36" i="116"/>
  <c r="CT36" i="116"/>
  <c r="CY36" i="116"/>
  <c r="DM36" i="116"/>
  <c r="DN36" i="116"/>
  <c r="DO36" i="116"/>
  <c r="DP36" i="116"/>
  <c r="DQ36" i="116"/>
  <c r="DR36" i="116"/>
  <c r="A37" i="116"/>
  <c r="AD37" i="116"/>
  <c r="Q37" i="116"/>
  <c r="R37" i="116"/>
  <c r="T37" i="116"/>
  <c r="U37" i="116"/>
  <c r="V37" i="116"/>
  <c r="W37" i="116"/>
  <c r="X37" i="116"/>
  <c r="Y37" i="116"/>
  <c r="AE37" i="116"/>
  <c r="AG37" i="116"/>
  <c r="AH37" i="116"/>
  <c r="AI37" i="116"/>
  <c r="AJ37" i="116"/>
  <c r="AK37" i="116"/>
  <c r="AL37" i="116"/>
  <c r="AM37" i="116"/>
  <c r="AN37" i="116"/>
  <c r="AO37" i="116"/>
  <c r="AP37" i="116"/>
  <c r="AQ37" i="116"/>
  <c r="AR37" i="116"/>
  <c r="AS37" i="116"/>
  <c r="AT37" i="116"/>
  <c r="AU37" i="116"/>
  <c r="AV37" i="116"/>
  <c r="AW37" i="116"/>
  <c r="AX37" i="116"/>
  <c r="BL37" i="116"/>
  <c r="BO37" i="116"/>
  <c r="BR37" i="116"/>
  <c r="BU37" i="116"/>
  <c r="BX37" i="116"/>
  <c r="CA37" i="116"/>
  <c r="CD37" i="116"/>
  <c r="CG37" i="116"/>
  <c r="CJ37" i="116"/>
  <c r="CT37" i="116"/>
  <c r="CY37" i="116"/>
  <c r="DM37" i="116"/>
  <c r="DN37" i="116"/>
  <c r="DO37" i="116"/>
  <c r="DP37" i="116"/>
  <c r="DQ37" i="116"/>
  <c r="DR37" i="116"/>
  <c r="A38" i="116"/>
  <c r="AD38" i="116"/>
  <c r="Q38" i="116"/>
  <c r="R38" i="116"/>
  <c r="T38" i="116"/>
  <c r="U38" i="116"/>
  <c r="V38" i="116"/>
  <c r="W38" i="116"/>
  <c r="X38" i="116"/>
  <c r="Y38" i="116"/>
  <c r="AE38" i="116"/>
  <c r="AG38" i="116"/>
  <c r="AH38" i="116"/>
  <c r="AI38" i="116"/>
  <c r="AJ38" i="116"/>
  <c r="AK38" i="116"/>
  <c r="AL38" i="116"/>
  <c r="AM38" i="116"/>
  <c r="AN38" i="116"/>
  <c r="AO38" i="116"/>
  <c r="AP38" i="116"/>
  <c r="AQ38" i="116"/>
  <c r="AR38" i="116"/>
  <c r="AS38" i="116"/>
  <c r="AT38" i="116"/>
  <c r="AU38" i="116"/>
  <c r="AV38" i="116"/>
  <c r="AW38" i="116"/>
  <c r="AX38" i="116"/>
  <c r="BL38" i="116"/>
  <c r="BO38" i="116"/>
  <c r="BR38" i="116"/>
  <c r="BU38" i="116"/>
  <c r="BX38" i="116"/>
  <c r="CA38" i="116"/>
  <c r="CD38" i="116"/>
  <c r="CG38" i="116"/>
  <c r="CJ38" i="116"/>
  <c r="CT38" i="116"/>
  <c r="CY38" i="116"/>
  <c r="DM38" i="116"/>
  <c r="DN38" i="116"/>
  <c r="DO38" i="116"/>
  <c r="DP38" i="116"/>
  <c r="DQ38" i="116"/>
  <c r="DR38" i="116"/>
  <c r="A39" i="116"/>
  <c r="AD39" i="116"/>
  <c r="Q39" i="116"/>
  <c r="R39" i="116"/>
  <c r="T39" i="116"/>
  <c r="U39" i="116"/>
  <c r="V39" i="116"/>
  <c r="W39" i="116"/>
  <c r="X39" i="116"/>
  <c r="Y39" i="116"/>
  <c r="AE39" i="116"/>
  <c r="AG39" i="116"/>
  <c r="AH39" i="116"/>
  <c r="AI39" i="116"/>
  <c r="AJ39" i="116"/>
  <c r="AK39" i="116"/>
  <c r="AL39" i="116"/>
  <c r="AM39" i="116"/>
  <c r="AN39" i="116"/>
  <c r="AO39" i="116"/>
  <c r="AP39" i="116"/>
  <c r="AQ39" i="116"/>
  <c r="AR39" i="116"/>
  <c r="AS39" i="116"/>
  <c r="AT39" i="116"/>
  <c r="AU39" i="116"/>
  <c r="AV39" i="116"/>
  <c r="AW39" i="116"/>
  <c r="AX39" i="116"/>
  <c r="BL39" i="116"/>
  <c r="BO39" i="116"/>
  <c r="BR39" i="116"/>
  <c r="BU39" i="116"/>
  <c r="BX39" i="116"/>
  <c r="CA39" i="116"/>
  <c r="CD39" i="116"/>
  <c r="CG39" i="116"/>
  <c r="CJ39" i="116"/>
  <c r="CT39" i="116"/>
  <c r="CY39" i="116"/>
  <c r="DM39" i="116"/>
  <c r="DN39" i="116"/>
  <c r="DO39" i="116"/>
  <c r="DP39" i="116"/>
  <c r="DQ39" i="116"/>
  <c r="DR39" i="116"/>
  <c r="A40" i="116"/>
  <c r="AD40" i="116"/>
  <c r="Q40" i="116"/>
  <c r="R40" i="116"/>
  <c r="T40" i="116"/>
  <c r="U40" i="116"/>
  <c r="V40" i="116"/>
  <c r="W40" i="116"/>
  <c r="X40" i="116"/>
  <c r="Y40" i="116"/>
  <c r="AE40" i="116"/>
  <c r="AG40" i="116"/>
  <c r="AH40" i="116"/>
  <c r="AI40" i="116"/>
  <c r="AJ40" i="116"/>
  <c r="AK40" i="116"/>
  <c r="AL40" i="116"/>
  <c r="AM40" i="116"/>
  <c r="AN40" i="116"/>
  <c r="AO40" i="116"/>
  <c r="AP40" i="116"/>
  <c r="AQ40" i="116"/>
  <c r="AR40" i="116"/>
  <c r="AS40" i="116"/>
  <c r="AT40" i="116"/>
  <c r="AU40" i="116"/>
  <c r="AV40" i="116"/>
  <c r="AW40" i="116"/>
  <c r="AX40" i="116"/>
  <c r="BL40" i="116"/>
  <c r="BO40" i="116"/>
  <c r="BR40" i="116"/>
  <c r="BU40" i="116"/>
  <c r="BX40" i="116"/>
  <c r="CA40" i="116"/>
  <c r="CD40" i="116"/>
  <c r="CG40" i="116"/>
  <c r="CJ40" i="116"/>
  <c r="CT40" i="116"/>
  <c r="CY40" i="116"/>
  <c r="DM40" i="116"/>
  <c r="DN40" i="116"/>
  <c r="DO40" i="116"/>
  <c r="DP40" i="116"/>
  <c r="DQ40" i="116"/>
  <c r="DR40" i="116"/>
  <c r="A41" i="116"/>
  <c r="AD41" i="116"/>
  <c r="Q41" i="116"/>
  <c r="R41" i="116"/>
  <c r="T41" i="116"/>
  <c r="U41" i="116"/>
  <c r="V41" i="116"/>
  <c r="W41" i="116"/>
  <c r="X41" i="116"/>
  <c r="Y41" i="116"/>
  <c r="AE41" i="116"/>
  <c r="AG41" i="116"/>
  <c r="AH41" i="116"/>
  <c r="AI41" i="116"/>
  <c r="AJ41" i="116"/>
  <c r="AK41" i="116"/>
  <c r="AL41" i="116"/>
  <c r="AM41" i="116"/>
  <c r="AN41" i="116"/>
  <c r="AO41" i="116"/>
  <c r="AP41" i="116"/>
  <c r="AQ41" i="116"/>
  <c r="AR41" i="116"/>
  <c r="AS41" i="116"/>
  <c r="AT41" i="116"/>
  <c r="AU41" i="116"/>
  <c r="AV41" i="116"/>
  <c r="AW41" i="116"/>
  <c r="AX41" i="116"/>
  <c r="BL41" i="116"/>
  <c r="BO41" i="116"/>
  <c r="BR41" i="116"/>
  <c r="BU41" i="116"/>
  <c r="BX41" i="116"/>
  <c r="CA41" i="116"/>
  <c r="CD41" i="116"/>
  <c r="CG41" i="116"/>
  <c r="CJ41" i="116"/>
  <c r="CT41" i="116"/>
  <c r="CY41" i="116"/>
  <c r="DM41" i="116"/>
  <c r="DN41" i="116"/>
  <c r="DO41" i="116"/>
  <c r="DP41" i="116"/>
  <c r="DQ41" i="116"/>
  <c r="DR41" i="116"/>
  <c r="A42" i="116"/>
  <c r="AD42" i="116"/>
  <c r="Q42" i="116"/>
  <c r="R42" i="116"/>
  <c r="T42" i="116"/>
  <c r="U42" i="116"/>
  <c r="V42" i="116"/>
  <c r="W42" i="116"/>
  <c r="X42" i="116"/>
  <c r="Y42" i="116"/>
  <c r="AE42" i="116"/>
  <c r="AG42" i="116"/>
  <c r="AH42" i="116"/>
  <c r="AI42" i="116"/>
  <c r="AJ42" i="116"/>
  <c r="AK42" i="116"/>
  <c r="AL42" i="116"/>
  <c r="AM42" i="116"/>
  <c r="AN42" i="116"/>
  <c r="AO42" i="116"/>
  <c r="AP42" i="116"/>
  <c r="AQ42" i="116"/>
  <c r="AR42" i="116"/>
  <c r="AS42" i="116"/>
  <c r="AT42" i="116"/>
  <c r="AU42" i="116"/>
  <c r="AV42" i="116"/>
  <c r="AW42" i="116"/>
  <c r="AX42" i="116"/>
  <c r="BL42" i="116"/>
  <c r="BO42" i="116"/>
  <c r="BR42" i="116"/>
  <c r="BU42" i="116"/>
  <c r="BX42" i="116"/>
  <c r="CA42" i="116"/>
  <c r="CD42" i="116"/>
  <c r="CG42" i="116"/>
  <c r="CJ42" i="116"/>
  <c r="CT42" i="116"/>
  <c r="CY42" i="116"/>
  <c r="DM42" i="116"/>
  <c r="DN42" i="116"/>
  <c r="DO42" i="116"/>
  <c r="DP42" i="116"/>
  <c r="DQ42" i="116"/>
  <c r="DR42" i="116"/>
  <c r="A43" i="116"/>
  <c r="AD43" i="116"/>
  <c r="Q43" i="116"/>
  <c r="R43" i="116"/>
  <c r="T43" i="116"/>
  <c r="U43" i="116"/>
  <c r="V43" i="116"/>
  <c r="W43" i="116"/>
  <c r="X43" i="116"/>
  <c r="Y43" i="116"/>
  <c r="AE43" i="116"/>
  <c r="AG43" i="116"/>
  <c r="AH43" i="116"/>
  <c r="AI43" i="116"/>
  <c r="AJ43" i="116"/>
  <c r="AK43" i="116"/>
  <c r="AL43" i="116"/>
  <c r="AM43" i="116"/>
  <c r="AN43" i="116"/>
  <c r="AO43" i="116"/>
  <c r="AP43" i="116"/>
  <c r="AQ43" i="116"/>
  <c r="AR43" i="116"/>
  <c r="AS43" i="116"/>
  <c r="AT43" i="116"/>
  <c r="AU43" i="116"/>
  <c r="AV43" i="116"/>
  <c r="AW43" i="116"/>
  <c r="AX43" i="116"/>
  <c r="BL43" i="116"/>
  <c r="BO43" i="116"/>
  <c r="BR43" i="116"/>
  <c r="BU43" i="116"/>
  <c r="BX43" i="116"/>
  <c r="CA43" i="116"/>
  <c r="CD43" i="116"/>
  <c r="CG43" i="116"/>
  <c r="CJ43" i="116"/>
  <c r="CT43" i="116"/>
  <c r="CY43" i="116"/>
  <c r="DM43" i="116"/>
  <c r="DN43" i="116"/>
  <c r="DO43" i="116"/>
  <c r="DP43" i="116"/>
  <c r="DQ43" i="116"/>
  <c r="DR43" i="116"/>
  <c r="A44" i="116"/>
  <c r="AD44" i="116"/>
  <c r="Q44" i="116"/>
  <c r="R44" i="116"/>
  <c r="T44" i="116"/>
  <c r="U44" i="116"/>
  <c r="V44" i="116"/>
  <c r="W44" i="116"/>
  <c r="X44" i="116"/>
  <c r="Y44" i="116"/>
  <c r="AE44" i="116"/>
  <c r="AG44" i="116"/>
  <c r="AH44" i="116"/>
  <c r="AI44" i="116"/>
  <c r="AJ44" i="116"/>
  <c r="AK44" i="116"/>
  <c r="AL44" i="116"/>
  <c r="AM44" i="116"/>
  <c r="AN44" i="116"/>
  <c r="AO44" i="116"/>
  <c r="AP44" i="116"/>
  <c r="AQ44" i="116"/>
  <c r="AR44" i="116"/>
  <c r="AS44" i="116"/>
  <c r="AT44" i="116"/>
  <c r="AU44" i="116"/>
  <c r="AV44" i="116"/>
  <c r="AW44" i="116"/>
  <c r="AX44" i="116"/>
  <c r="BL44" i="116"/>
  <c r="BO44" i="116"/>
  <c r="BR44" i="116"/>
  <c r="BU44" i="116"/>
  <c r="BX44" i="116"/>
  <c r="CA44" i="116"/>
  <c r="CD44" i="116"/>
  <c r="CG44" i="116"/>
  <c r="CJ44" i="116"/>
  <c r="CT44" i="116"/>
  <c r="CY44" i="116"/>
  <c r="DM44" i="116"/>
  <c r="DN44" i="116"/>
  <c r="DO44" i="116"/>
  <c r="DP44" i="116"/>
  <c r="DQ44" i="116"/>
  <c r="DR44" i="116"/>
  <c r="A45" i="116"/>
  <c r="AD45" i="116"/>
  <c r="Q45" i="116"/>
  <c r="R45" i="116"/>
  <c r="T45" i="116"/>
  <c r="U45" i="116"/>
  <c r="V45" i="116"/>
  <c r="W45" i="116"/>
  <c r="X45" i="116"/>
  <c r="Y45" i="116"/>
  <c r="AE45" i="116"/>
  <c r="AG45" i="116"/>
  <c r="AH45" i="116"/>
  <c r="AI45" i="116"/>
  <c r="AJ45" i="116"/>
  <c r="AK45" i="116"/>
  <c r="AL45" i="116"/>
  <c r="AM45" i="116"/>
  <c r="AN45" i="116"/>
  <c r="AO45" i="116"/>
  <c r="AP45" i="116"/>
  <c r="AQ45" i="116"/>
  <c r="AR45" i="116"/>
  <c r="AS45" i="116"/>
  <c r="AT45" i="116"/>
  <c r="AU45" i="116"/>
  <c r="AV45" i="116"/>
  <c r="AW45" i="116"/>
  <c r="AX45" i="116"/>
  <c r="BL45" i="116"/>
  <c r="BO45" i="116"/>
  <c r="BR45" i="116"/>
  <c r="BU45" i="116"/>
  <c r="BX45" i="116"/>
  <c r="CA45" i="116"/>
  <c r="CD45" i="116"/>
  <c r="CG45" i="116"/>
  <c r="CJ45" i="116"/>
  <c r="CT45" i="116"/>
  <c r="CY45" i="116"/>
  <c r="DM45" i="116"/>
  <c r="DN45" i="116"/>
  <c r="DO45" i="116"/>
  <c r="DP45" i="116"/>
  <c r="DQ45" i="116"/>
  <c r="DR45" i="116"/>
  <c r="H13" i="121"/>
  <c r="E7" i="121"/>
  <c r="J13" i="121"/>
  <c r="J9" i="121"/>
  <c r="J8" i="121"/>
  <c r="J7" i="121"/>
  <c r="J10" i="121"/>
  <c r="J6" i="121"/>
  <c r="J5" i="121"/>
  <c r="E6" i="121"/>
  <c r="I8" i="121"/>
  <c r="J4" i="121"/>
  <c r="J3" i="121"/>
  <c r="C2" i="121"/>
  <c r="F2" i="121"/>
  <c r="B37" i="121"/>
  <c r="B38" i="121"/>
  <c r="C17" i="3"/>
  <c r="C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AA19" i="3"/>
  <c r="AB19" i="3"/>
  <c r="AC19" i="3"/>
  <c r="AD19" i="3"/>
  <c r="AE19" i="3"/>
  <c r="AF19" i="3"/>
  <c r="AG19" i="3"/>
  <c r="AH19" i="3"/>
  <c r="AI19" i="3"/>
  <c r="AJ19" i="3"/>
  <c r="AK19" i="3"/>
  <c r="AL19" i="3"/>
  <c r="AM19" i="3"/>
  <c r="AN19" i="3"/>
  <c r="AO19" i="3"/>
  <c r="AP19" i="3"/>
  <c r="AQ19" i="3"/>
  <c r="AR19" i="3"/>
  <c r="AS19" i="3"/>
  <c r="AT19" i="3"/>
  <c r="AU19" i="3"/>
  <c r="AV19" i="3"/>
  <c r="AW19" i="3"/>
  <c r="AX19" i="3"/>
  <c r="AY19" i="3"/>
  <c r="AZ19" i="3"/>
  <c r="BA19" i="3"/>
  <c r="BB19" i="3"/>
  <c r="BC19" i="3"/>
  <c r="BD19" i="3"/>
  <c r="BE19" i="3"/>
  <c r="BF19" i="3"/>
  <c r="BG19" i="3"/>
  <c r="BH19" i="3"/>
  <c r="BI19" i="3"/>
  <c r="BJ19" i="3"/>
  <c r="BK19" i="3"/>
  <c r="BL19" i="3"/>
  <c r="BM19" i="3"/>
  <c r="BN19" i="3"/>
  <c r="BO19" i="3"/>
  <c r="BP19" i="3"/>
  <c r="BQ19" i="3"/>
  <c r="BR19" i="3"/>
  <c r="BS19" i="3"/>
  <c r="BT19" i="3"/>
  <c r="BU19" i="3"/>
  <c r="BV19" i="3"/>
  <c r="BW19" i="3"/>
  <c r="BX19" i="3"/>
  <c r="BY19" i="3"/>
  <c r="BZ19" i="3"/>
  <c r="CA19" i="3"/>
  <c r="CB19" i="3"/>
  <c r="CC19" i="3"/>
  <c r="CD19" i="3"/>
  <c r="CE19" i="3"/>
  <c r="CF19" i="3"/>
  <c r="CG19" i="3"/>
  <c r="CH19" i="3"/>
  <c r="CI19" i="3"/>
  <c r="CJ19" i="3"/>
  <c r="CK19" i="3"/>
  <c r="CL19" i="3"/>
  <c r="CM19" i="3"/>
  <c r="CN19" i="3"/>
  <c r="CO19" i="3"/>
  <c r="CP19" i="3"/>
  <c r="CQ19" i="3"/>
  <c r="D19" i="3"/>
  <c r="E19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AG17" i="3"/>
  <c r="AH17" i="3"/>
  <c r="AI17" i="3"/>
  <c r="AJ17" i="3"/>
  <c r="AK17" i="3"/>
  <c r="AL17" i="3"/>
  <c r="AM17" i="3"/>
  <c r="AN17" i="3"/>
  <c r="AO17" i="3"/>
  <c r="AP17" i="3"/>
  <c r="AQ17" i="3"/>
  <c r="AR17" i="3"/>
  <c r="AS17" i="3"/>
  <c r="AT17" i="3"/>
  <c r="AU17" i="3"/>
  <c r="AV17" i="3"/>
  <c r="AW17" i="3"/>
  <c r="AX17" i="3"/>
  <c r="AY17" i="3"/>
  <c r="AZ17" i="3"/>
  <c r="BA17" i="3"/>
  <c r="BB17" i="3"/>
  <c r="BC17" i="3"/>
  <c r="BD17" i="3"/>
  <c r="BE17" i="3"/>
  <c r="BF17" i="3"/>
  <c r="BG17" i="3"/>
  <c r="BH17" i="3"/>
  <c r="BI17" i="3"/>
  <c r="BJ17" i="3"/>
  <c r="BK17" i="3"/>
  <c r="BL17" i="3"/>
  <c r="BM17" i="3"/>
  <c r="BN17" i="3"/>
  <c r="BO17" i="3"/>
  <c r="BP17" i="3"/>
  <c r="BQ17" i="3"/>
  <c r="BR17" i="3"/>
  <c r="BS17" i="3"/>
  <c r="BT17" i="3"/>
  <c r="BU17" i="3"/>
  <c r="BV17" i="3"/>
  <c r="BW17" i="3"/>
  <c r="BX17" i="3"/>
  <c r="BY17" i="3"/>
  <c r="BZ17" i="3"/>
  <c r="CA17" i="3"/>
  <c r="CB17" i="3"/>
  <c r="CC17" i="3"/>
  <c r="CD17" i="3"/>
  <c r="CE17" i="3"/>
  <c r="CF17" i="3"/>
  <c r="CG17" i="3"/>
  <c r="CH17" i="3"/>
  <c r="CI17" i="3"/>
  <c r="CJ17" i="3"/>
  <c r="CK17" i="3"/>
  <c r="CL17" i="3"/>
  <c r="CM17" i="3"/>
  <c r="CN17" i="3"/>
  <c r="CO17" i="3"/>
  <c r="CP17" i="3"/>
  <c r="CQ17" i="3"/>
  <c r="B18" i="121"/>
  <c r="B19" i="121"/>
  <c r="B20" i="121"/>
  <c r="E9" i="121"/>
  <c r="E10" i="121"/>
  <c r="D20" i="121"/>
  <c r="F17" i="121"/>
  <c r="F19" i="121"/>
  <c r="A23" i="121"/>
  <c r="B23" i="121"/>
  <c r="C23" i="121"/>
  <c r="D23" i="121"/>
  <c r="E23" i="121"/>
  <c r="H2" i="121"/>
  <c r="I5" i="121"/>
  <c r="I6" i="121"/>
  <c r="I10" i="121"/>
  <c r="I7" i="121"/>
  <c r="I9" i="121"/>
  <c r="D28" i="121"/>
  <c r="E28" i="121"/>
  <c r="A30" i="121"/>
  <c r="C30" i="121"/>
  <c r="E30" i="121"/>
  <c r="A32" i="121"/>
  <c r="B32" i="121"/>
  <c r="C32" i="121"/>
  <c r="D32" i="121"/>
  <c r="E32" i="121"/>
  <c r="A34" i="121"/>
  <c r="B34" i="121"/>
  <c r="C34" i="121"/>
  <c r="D34" i="121"/>
  <c r="E34" i="121"/>
  <c r="F12" i="121"/>
  <c r="D19" i="121"/>
  <c r="D17" i="121"/>
  <c r="H1" i="121"/>
  <c r="B2" i="121"/>
  <c r="A3" i="121"/>
  <c r="I17" i="121"/>
  <c r="I19" i="121"/>
  <c r="I21" i="121"/>
  <c r="I23" i="121"/>
  <c r="I25" i="121"/>
  <c r="I27" i="121"/>
  <c r="I29" i="121"/>
  <c r="I31" i="121"/>
  <c r="B8" i="121"/>
  <c r="B17" i="121"/>
  <c r="C1" i="121"/>
  <c r="E24" i="121"/>
  <c r="D24" i="121"/>
  <c r="C24" i="121"/>
  <c r="C25" i="121"/>
  <c r="B24" i="121"/>
  <c r="D25" i="121"/>
  <c r="E25" i="121"/>
  <c r="F8" i="121"/>
  <c r="F14" i="121"/>
  <c r="F10" i="121"/>
  <c r="D13" i="121"/>
  <c r="F18" i="121"/>
  <c r="B6" i="121"/>
  <c r="B10" i="121"/>
  <c r="B5" i="121"/>
  <c r="B7" i="121"/>
  <c r="B12" i="121"/>
  <c r="B11" i="121"/>
  <c r="B9" i="121"/>
  <c r="B13" i="121"/>
  <c r="E11" i="121"/>
  <c r="E8" i="121"/>
  <c r="B15" i="121"/>
  <c r="I20" i="121"/>
  <c r="I26" i="121"/>
  <c r="I16" i="121"/>
  <c r="I22" i="121"/>
  <c r="I28" i="121"/>
  <c r="I18" i="121"/>
  <c r="I24" i="121"/>
  <c r="I30" i="121"/>
  <c r="A28" i="121"/>
  <c r="C28" i="121"/>
  <c r="B30" i="121"/>
  <c r="D30" i="121"/>
  <c r="B35" i="121"/>
  <c r="B14" i="121"/>
  <c r="E1" i="121"/>
  <c r="F20" i="121"/>
  <c r="D18" i="121"/>
  <c r="E5" i="121"/>
  <c r="F1" i="121"/>
  <c r="F6" i="121"/>
</calcChain>
</file>

<file path=xl/sharedStrings.xml><?xml version="1.0" encoding="utf-8"?>
<sst xmlns="http://schemas.openxmlformats.org/spreadsheetml/2006/main" count="7349" uniqueCount="1685">
  <si>
    <t>Date</t>
  </si>
  <si>
    <t>Type</t>
  </si>
  <si>
    <t>Assurance</t>
  </si>
  <si>
    <t>Prix /mois</t>
  </si>
  <si>
    <t>Prix /an</t>
  </si>
  <si>
    <t>Date d'Effet</t>
  </si>
  <si>
    <t>Mut. Resil.</t>
  </si>
  <si>
    <t>Note Perso</t>
  </si>
  <si>
    <t>Type de Comm.</t>
  </si>
  <si>
    <t>Comm. Perso</t>
  </si>
  <si>
    <t>Santé Collective</t>
  </si>
  <si>
    <t>SWISSLIFE</t>
  </si>
  <si>
    <t>X</t>
  </si>
  <si>
    <t>Linéaire</t>
  </si>
  <si>
    <t>Prev. Pro</t>
  </si>
  <si>
    <t>ALPTIS</t>
  </si>
  <si>
    <t>Précompte</t>
  </si>
  <si>
    <t>Santé Individuelle</t>
  </si>
  <si>
    <t>NEOLIANE</t>
  </si>
  <si>
    <t>CIPRES</t>
  </si>
  <si>
    <t>SPI</t>
  </si>
  <si>
    <t>SLPI</t>
  </si>
  <si>
    <t>Tarif Temp</t>
  </si>
  <si>
    <t>Charges</t>
  </si>
  <si>
    <t>Type Résil</t>
  </si>
  <si>
    <t>APRIL</t>
  </si>
  <si>
    <t>GM</t>
  </si>
  <si>
    <t>Classique</t>
  </si>
  <si>
    <t>Validation</t>
  </si>
  <si>
    <t>Resil</t>
  </si>
  <si>
    <t>Formule/Note</t>
  </si>
  <si>
    <t>e4</t>
  </si>
  <si>
    <t>alp1be</t>
  </si>
  <si>
    <t>ASAF</t>
  </si>
  <si>
    <t>tn1</t>
  </si>
  <si>
    <t>Annulé</t>
  </si>
  <si>
    <t>V</t>
  </si>
  <si>
    <t>alp5be</t>
  </si>
  <si>
    <t>AVIVA</t>
  </si>
  <si>
    <t>CEGEMA</t>
  </si>
  <si>
    <t>APIVIA</t>
  </si>
  <si>
    <t>ADIS/AXA</t>
  </si>
  <si>
    <t>PRAECONIS</t>
  </si>
  <si>
    <t>SMATIS</t>
  </si>
  <si>
    <t>Chatel avec Echeancier</t>
  </si>
  <si>
    <t>Chatel sans Echeancier</t>
  </si>
  <si>
    <t>Rétractation</t>
  </si>
  <si>
    <t>Revalorisation</t>
  </si>
  <si>
    <t xml:space="preserve">ACPR </t>
  </si>
  <si>
    <t>Changement Statut</t>
  </si>
  <si>
    <t>Démission d'Association</t>
  </si>
  <si>
    <t>Autre</t>
  </si>
  <si>
    <t>OK</t>
  </si>
  <si>
    <t>Reçue</t>
  </si>
  <si>
    <t>Envoyée</t>
  </si>
  <si>
    <t>KO</t>
  </si>
  <si>
    <t>Chien Chat 50</t>
  </si>
  <si>
    <t>Chien Chat 80</t>
  </si>
  <si>
    <t>Chien Chat 100</t>
  </si>
  <si>
    <t>Prev. Part</t>
  </si>
  <si>
    <t>Contrat Papier</t>
  </si>
  <si>
    <t>Signature</t>
  </si>
  <si>
    <t>Refus</t>
  </si>
  <si>
    <t>Sans Suite</t>
  </si>
  <si>
    <t>Report</t>
  </si>
  <si>
    <t>Déjà Signé</t>
  </si>
  <si>
    <t>Report + Médical</t>
  </si>
  <si>
    <t>Validation Compagnie</t>
  </si>
  <si>
    <t>Validation Médicale</t>
  </si>
  <si>
    <t>Refus Médical</t>
  </si>
  <si>
    <t>Ponctuel</t>
  </si>
  <si>
    <t>Retour</t>
  </si>
  <si>
    <t>Programmée</t>
  </si>
  <si>
    <t>A faire</t>
  </si>
  <si>
    <t xml:space="preserve">Programmation </t>
  </si>
  <si>
    <t>Santé</t>
  </si>
  <si>
    <t>Préc. Brut</t>
  </si>
  <si>
    <t>Lin. Brut</t>
  </si>
  <si>
    <t>RSI</t>
  </si>
  <si>
    <t>sp3</t>
  </si>
  <si>
    <t>sp1</t>
  </si>
  <si>
    <t>Précompte 1</t>
  </si>
  <si>
    <t>Précompte 2</t>
  </si>
  <si>
    <t>Préc. Net</t>
  </si>
  <si>
    <t>Comm.</t>
  </si>
  <si>
    <t>€</t>
  </si>
  <si>
    <t>NEOLIANE Prev</t>
  </si>
  <si>
    <t>Renf.</t>
  </si>
  <si>
    <t>Lin. Net</t>
  </si>
  <si>
    <t>sp4</t>
  </si>
  <si>
    <t>ev6</t>
  </si>
  <si>
    <t>tn1od2</t>
  </si>
  <si>
    <t>n1</t>
  </si>
  <si>
    <t>spi5</t>
  </si>
  <si>
    <t>Collectif</t>
  </si>
  <si>
    <t>alp1</t>
  </si>
  <si>
    <t>Reprise</t>
  </si>
  <si>
    <t>tn3od2h2</t>
  </si>
  <si>
    <t>sen2od</t>
  </si>
  <si>
    <t>Prime Net</t>
  </si>
  <si>
    <t>RC Pro</t>
  </si>
  <si>
    <t>1er Contact</t>
  </si>
  <si>
    <t>Campagne</t>
  </si>
  <si>
    <t>Cabinet</t>
  </si>
  <si>
    <t>Parrainage</t>
  </si>
  <si>
    <t>Shark</t>
  </si>
  <si>
    <t>Re-signature</t>
  </si>
  <si>
    <t>Lead</t>
  </si>
  <si>
    <t>Old</t>
  </si>
  <si>
    <t>Couplage</t>
  </si>
  <si>
    <t>Frigo</t>
  </si>
  <si>
    <t>Annulation</t>
  </si>
  <si>
    <t>Contrat Papier + Médical</t>
  </si>
  <si>
    <t>Linéaire Échu</t>
  </si>
  <si>
    <t>ETAT Resil</t>
  </si>
  <si>
    <t>Nom</t>
  </si>
  <si>
    <t>Prénom</t>
  </si>
  <si>
    <t>Ref.</t>
  </si>
  <si>
    <t>CP</t>
  </si>
  <si>
    <t>Années</t>
  </si>
  <si>
    <t>email</t>
  </si>
  <si>
    <t>RIB</t>
  </si>
  <si>
    <t>N° Sécu 1</t>
  </si>
  <si>
    <t>N° Sécu 2</t>
  </si>
  <si>
    <t>ddn1</t>
  </si>
  <si>
    <t>ddn2</t>
  </si>
  <si>
    <t>ddne1</t>
  </si>
  <si>
    <t>ddne2</t>
  </si>
  <si>
    <t>ddne3</t>
  </si>
  <si>
    <t>ddne4</t>
  </si>
  <si>
    <t>ddne5</t>
  </si>
  <si>
    <t>ddne6</t>
  </si>
  <si>
    <t>ddne7</t>
  </si>
  <si>
    <t>Régime</t>
  </si>
  <si>
    <t>ss</t>
  </si>
  <si>
    <t>ssf</t>
  </si>
  <si>
    <t>tns</t>
  </si>
  <si>
    <t>tnsss</t>
  </si>
  <si>
    <t>msatns</t>
  </si>
  <si>
    <t>msa</t>
  </si>
  <si>
    <t>am</t>
  </si>
  <si>
    <t>Assuré(s)</t>
  </si>
  <si>
    <t>% 2017</t>
  </si>
  <si>
    <t>% 2018</t>
  </si>
  <si>
    <t>% 2019</t>
  </si>
  <si>
    <t>% 2020</t>
  </si>
  <si>
    <t>reg1</t>
  </si>
  <si>
    <t>reg2</t>
  </si>
  <si>
    <t>rege1</t>
  </si>
  <si>
    <t>rege2</t>
  </si>
  <si>
    <t>rege3</t>
  </si>
  <si>
    <t>rege4</t>
  </si>
  <si>
    <t>rege5</t>
  </si>
  <si>
    <t>rege6</t>
  </si>
  <si>
    <t>rege7</t>
  </si>
  <si>
    <t>Jusqu'à 2019</t>
  </si>
  <si>
    <t>Jusqu'à 2020</t>
  </si>
  <si>
    <t>Jusqu'à 2018</t>
  </si>
  <si>
    <t xml:space="preserve"> € 2020</t>
  </si>
  <si>
    <t xml:space="preserve"> € 2019</t>
  </si>
  <si>
    <t xml:space="preserve"> € 2018</t>
  </si>
  <si>
    <t xml:space="preserve"> € 2016</t>
  </si>
  <si>
    <t xml:space="preserve"> € 2017</t>
  </si>
  <si>
    <t>age1</t>
  </si>
  <si>
    <t>age2</t>
  </si>
  <si>
    <t>agee1</t>
  </si>
  <si>
    <t>agee2</t>
  </si>
  <si>
    <t>agee3</t>
  </si>
  <si>
    <t>agee4</t>
  </si>
  <si>
    <t>agee5</t>
  </si>
  <si>
    <t>ev5</t>
  </si>
  <si>
    <t>geco</t>
  </si>
  <si>
    <t>aess2</t>
  </si>
  <si>
    <t>g3c1</t>
  </si>
  <si>
    <t>g6c2</t>
  </si>
  <si>
    <t>g4c1</t>
  </si>
  <si>
    <t>i3</t>
  </si>
  <si>
    <t>i2</t>
  </si>
  <si>
    <t>i1</t>
  </si>
  <si>
    <t>v3</t>
  </si>
  <si>
    <t>v2</t>
  </si>
  <si>
    <t>i4</t>
  </si>
  <si>
    <t>s6</t>
  </si>
  <si>
    <t>ANDRE</t>
  </si>
  <si>
    <t>A</t>
  </si>
  <si>
    <t>E</t>
  </si>
  <si>
    <t>Pré 2018 OK</t>
  </si>
  <si>
    <t>Pré 2018 KO</t>
  </si>
  <si>
    <t>Pré 2018 à Voir</t>
  </si>
  <si>
    <t>Impayé</t>
  </si>
  <si>
    <t>Radié</t>
  </si>
  <si>
    <t>Pas Trouvé</t>
  </si>
  <si>
    <t>A Trouver</t>
  </si>
  <si>
    <t>A Jour</t>
  </si>
  <si>
    <t>Résilié</t>
  </si>
  <si>
    <t>Profil</t>
  </si>
  <si>
    <t>n° mois</t>
  </si>
  <si>
    <t>Mois Numérique</t>
  </si>
  <si>
    <t>Mois Abrév</t>
  </si>
  <si>
    <t>Sécurité</t>
  </si>
  <si>
    <t>Orgueil</t>
  </si>
  <si>
    <t>Nouveauté</t>
  </si>
  <si>
    <t>Confort</t>
  </si>
  <si>
    <t>Argent</t>
  </si>
  <si>
    <t>Sympathie</t>
  </si>
  <si>
    <t>Profil Client</t>
  </si>
  <si>
    <t>Optique</t>
  </si>
  <si>
    <t>Dentaire</t>
  </si>
  <si>
    <t>Med. Nat.</t>
  </si>
  <si>
    <t>Agence</t>
  </si>
  <si>
    <t>Hospi</t>
  </si>
  <si>
    <t>0/3/7</t>
  </si>
  <si>
    <t>3/0/7</t>
  </si>
  <si>
    <t>3/3/7</t>
  </si>
  <si>
    <t>0/3/15</t>
  </si>
  <si>
    <t>3/0/15</t>
  </si>
  <si>
    <t>3/3/15</t>
  </si>
  <si>
    <t>15/15/15</t>
  </si>
  <si>
    <t>0/3/30</t>
  </si>
  <si>
    <t>3/3/30</t>
  </si>
  <si>
    <t>30/30/30</t>
  </si>
  <si>
    <t>60/60/60</t>
  </si>
  <si>
    <t>90/90/90</t>
  </si>
  <si>
    <t>365/365/365</t>
  </si>
  <si>
    <t>Prev Pro</t>
  </si>
  <si>
    <t>So Prev</t>
  </si>
  <si>
    <t>Senséo</t>
  </si>
  <si>
    <t>Formule</t>
  </si>
  <si>
    <t>Besoins Santé</t>
  </si>
  <si>
    <t>Franchise</t>
  </si>
  <si>
    <t>Autoentrepreneur</t>
  </si>
  <si>
    <t xml:space="preserve">Nom Propre </t>
  </si>
  <si>
    <t>Société</t>
  </si>
  <si>
    <t>NC</t>
  </si>
  <si>
    <t>CIPAV</t>
  </si>
  <si>
    <t>Salarié</t>
  </si>
  <si>
    <t>Métier</t>
  </si>
  <si>
    <t>Age</t>
  </si>
  <si>
    <t>Dépass.</t>
  </si>
  <si>
    <t>RO</t>
  </si>
  <si>
    <t>CARPIMKO</t>
  </si>
  <si>
    <t>AMEXA</t>
  </si>
  <si>
    <t>CNBF-LPA</t>
  </si>
  <si>
    <t>CARMF</t>
  </si>
  <si>
    <t>MDA</t>
  </si>
  <si>
    <t>AGESSA</t>
  </si>
  <si>
    <t>CARCDSF</t>
  </si>
  <si>
    <t>CRN</t>
  </si>
  <si>
    <t>CAVP</t>
  </si>
  <si>
    <t>CARPV</t>
  </si>
  <si>
    <t>CAVEC</t>
  </si>
  <si>
    <t>CAVOM</t>
  </si>
  <si>
    <t>CAVIMAC</t>
  </si>
  <si>
    <t>CAVAMAC</t>
  </si>
  <si>
    <t>Statut</t>
  </si>
  <si>
    <t>Micro</t>
  </si>
  <si>
    <t>SASU</t>
  </si>
  <si>
    <t>EIRL</t>
  </si>
  <si>
    <t>SARL</t>
  </si>
  <si>
    <t>EURL</t>
  </si>
  <si>
    <t>SAS</t>
  </si>
  <si>
    <t>SA</t>
  </si>
  <si>
    <t>SNC</t>
  </si>
  <si>
    <t>SELARL</t>
  </si>
  <si>
    <t>Date Création</t>
  </si>
  <si>
    <t>Salaire</t>
  </si>
  <si>
    <t>CD</t>
  </si>
  <si>
    <t>Fumeur</t>
  </si>
  <si>
    <t>Médical</t>
  </si>
  <si>
    <t>Avec</t>
  </si>
  <si>
    <t>Avec RO</t>
  </si>
  <si>
    <t>Rente Conj.</t>
  </si>
  <si>
    <t>Rente Ed.</t>
  </si>
  <si>
    <t>Dos</t>
  </si>
  <si>
    <t>Psy</t>
  </si>
  <si>
    <t>Notes</t>
  </si>
  <si>
    <t>Oui</t>
  </si>
  <si>
    <t>Non</t>
  </si>
  <si>
    <t>Coupl. Santé</t>
  </si>
  <si>
    <t>Plus Tard</t>
  </si>
  <si>
    <t>Pas Demandé</t>
  </si>
  <si>
    <t>Portabilité</t>
  </si>
  <si>
    <t>OK - Couplé</t>
  </si>
  <si>
    <t>Programmé</t>
  </si>
  <si>
    <t>Groupe</t>
  </si>
  <si>
    <t>Étude à Faire</t>
  </si>
  <si>
    <t>Étude KO</t>
  </si>
  <si>
    <t>Très Courtes</t>
  </si>
  <si>
    <t>Courtes</t>
  </si>
  <si>
    <t>Normales</t>
  </si>
  <si>
    <t>Longues</t>
  </si>
  <si>
    <t>Sans</t>
  </si>
  <si>
    <t>Invalidité</t>
  </si>
  <si>
    <t>Barème Croisé 33%</t>
  </si>
  <si>
    <t>Barème Croisé 20%</t>
  </si>
  <si>
    <t>Barème Croisé 16%</t>
  </si>
  <si>
    <t>Barème Croisé 15%</t>
  </si>
  <si>
    <t>Professionnel</t>
  </si>
  <si>
    <t>Barème Professionnel 15%</t>
  </si>
  <si>
    <t>Fonctionnel</t>
  </si>
  <si>
    <t>Amélioré</t>
  </si>
  <si>
    <t>Barème Professionnel 16%</t>
  </si>
  <si>
    <t>Oui + Exclusions</t>
  </si>
  <si>
    <t>Oui Sans Exclusions</t>
  </si>
  <si>
    <t>NAF</t>
  </si>
  <si>
    <t>Important</t>
  </si>
  <si>
    <t>Intéressé</t>
  </si>
  <si>
    <t>Important + Passif</t>
  </si>
  <si>
    <t>Remise(s)</t>
  </si>
  <si>
    <t>Remises</t>
  </si>
  <si>
    <t>Oui - Créateur</t>
  </si>
  <si>
    <t>?</t>
  </si>
  <si>
    <t>Oui - Couplage</t>
  </si>
  <si>
    <t>Oui - Couplage + Créateur</t>
  </si>
  <si>
    <t>Oui - Geste Comm</t>
  </si>
  <si>
    <t>Frais Pro</t>
  </si>
  <si>
    <t>42401 42794</t>
  </si>
  <si>
    <t>42430 42825</t>
  </si>
  <si>
    <t>42461 42855</t>
  </si>
  <si>
    <t>42491 42886</t>
  </si>
  <si>
    <t>42522 42916</t>
  </si>
  <si>
    <t>42552 42947</t>
  </si>
  <si>
    <t>42583 42978</t>
  </si>
  <si>
    <t>42614 43008</t>
  </si>
  <si>
    <t>42644 43039</t>
  </si>
  <si>
    <t>42675 43069</t>
  </si>
  <si>
    <t>42705 43100</t>
  </si>
  <si>
    <t>42736 43131</t>
  </si>
  <si>
    <t>42767 43159</t>
  </si>
  <si>
    <t>42795 43190</t>
  </si>
  <si>
    <t>42826 43220</t>
  </si>
  <si>
    <t>42856 43251</t>
  </si>
  <si>
    <t>42887 43281</t>
  </si>
  <si>
    <t>42917 43312</t>
  </si>
  <si>
    <t>42948 43343</t>
  </si>
  <si>
    <t>42979 43373</t>
  </si>
  <si>
    <t>43009 43404</t>
  </si>
  <si>
    <t>43040 43434</t>
  </si>
  <si>
    <t>43070 43465</t>
  </si>
  <si>
    <t>43101 43496</t>
  </si>
  <si>
    <t>43132 43524</t>
  </si>
  <si>
    <t>43160 43555</t>
  </si>
  <si>
    <t>43191 43585</t>
  </si>
  <si>
    <t>43221 43616</t>
  </si>
  <si>
    <t>43252 43646</t>
  </si>
  <si>
    <t>43282 43677</t>
  </si>
  <si>
    <t>43313 43708</t>
  </si>
  <si>
    <t>43344 43738</t>
  </si>
  <si>
    <t>43374 43769</t>
  </si>
  <si>
    <t>43405 43799</t>
  </si>
  <si>
    <t>43435 43830</t>
  </si>
  <si>
    <t>43466 43861</t>
  </si>
  <si>
    <t>43497 43890</t>
  </si>
  <si>
    <t>43525 43921</t>
  </si>
  <si>
    <t>43556 43951</t>
  </si>
  <si>
    <t>43586 43982</t>
  </si>
  <si>
    <t>43617 44012</t>
  </si>
  <si>
    <t>43647 44043</t>
  </si>
  <si>
    <t>43678 44074</t>
  </si>
  <si>
    <t>43709 44104</t>
  </si>
  <si>
    <t>43739 44135</t>
  </si>
  <si>
    <t>43770 44165</t>
  </si>
  <si>
    <t>43800 44196</t>
  </si>
  <si>
    <t>43831 44227</t>
  </si>
  <si>
    <t>43862 44255</t>
  </si>
  <si>
    <t>43891 44286</t>
  </si>
  <si>
    <t>43922 44316</t>
  </si>
  <si>
    <t>43952 44347</t>
  </si>
  <si>
    <t>43983 44377</t>
  </si>
  <si>
    <t>44013 44408</t>
  </si>
  <si>
    <t>44044 44439</t>
  </si>
  <si>
    <t>44075 44469</t>
  </si>
  <si>
    <t>44105 44500</t>
  </si>
  <si>
    <t>44136 44530</t>
  </si>
  <si>
    <t>44166 44561</t>
  </si>
  <si>
    <t>44197 44592</t>
  </si>
  <si>
    <t>44228 44620</t>
  </si>
  <si>
    <t>44256 44651</t>
  </si>
  <si>
    <t>44287 44681</t>
  </si>
  <si>
    <t>44317 44712</t>
  </si>
  <si>
    <t>44348 44742</t>
  </si>
  <si>
    <t>44378 44773</t>
  </si>
  <si>
    <t>44409 44804</t>
  </si>
  <si>
    <t>44440 44834</t>
  </si>
  <si>
    <t>44470 44865</t>
  </si>
  <si>
    <t>44501 44895</t>
  </si>
  <si>
    <t>44531 44926</t>
  </si>
  <si>
    <t>44562 44957</t>
  </si>
  <si>
    <t>44593 44985</t>
  </si>
  <si>
    <t>44621 45016</t>
  </si>
  <si>
    <t>44652 45046</t>
  </si>
  <si>
    <t>44682 45077</t>
  </si>
  <si>
    <t>44713 45107</t>
  </si>
  <si>
    <t>44743 45138</t>
  </si>
  <si>
    <t>44774 45169</t>
  </si>
  <si>
    <t>44805 45199</t>
  </si>
  <si>
    <t>44835 45230</t>
  </si>
  <si>
    <t>44866 45260</t>
  </si>
  <si>
    <t>44896 45291</t>
  </si>
  <si>
    <t>44927 45322</t>
  </si>
  <si>
    <t>44958 45351</t>
  </si>
  <si>
    <t>44986 45382</t>
  </si>
  <si>
    <t>45017 45412</t>
  </si>
  <si>
    <t>45047 45443</t>
  </si>
  <si>
    <t>45078 45473</t>
  </si>
  <si>
    <t>45108 45504</t>
  </si>
  <si>
    <t>45139 45535</t>
  </si>
  <si>
    <t>45170 45565</t>
  </si>
  <si>
    <t xml:space="preserve"> </t>
  </si>
  <si>
    <t>RAS</t>
  </si>
  <si>
    <t>N° Mois</t>
  </si>
  <si>
    <t>Infos Man.</t>
  </si>
  <si>
    <t>Infos</t>
  </si>
  <si>
    <t>Tout</t>
  </si>
  <si>
    <t>1er Anniv</t>
  </si>
  <si>
    <t>Année</t>
  </si>
  <si>
    <t>Mini</t>
  </si>
  <si>
    <t>Trans.</t>
  </si>
  <si>
    <t>Inter.</t>
  </si>
  <si>
    <t>à vérif.</t>
  </si>
  <si>
    <t>sp2</t>
  </si>
  <si>
    <t>8690E</t>
  </si>
  <si>
    <t>g2c1b1</t>
  </si>
  <si>
    <t>g2b1</t>
  </si>
  <si>
    <t>Ali</t>
  </si>
  <si>
    <t>ev3</t>
  </si>
  <si>
    <t>fatghareb@yahoo.fr</t>
  </si>
  <si>
    <t>g3c1b2</t>
  </si>
  <si>
    <t>alp2</t>
  </si>
  <si>
    <t>alpeco</t>
  </si>
  <si>
    <t>tn2h1</t>
  </si>
  <si>
    <t>tn2od2h1</t>
  </si>
  <si>
    <t>tn2od2h2</t>
  </si>
  <si>
    <t>sen3</t>
  </si>
  <si>
    <t>atn2</t>
  </si>
  <si>
    <t>eq+50200</t>
  </si>
  <si>
    <t>cess1</t>
  </si>
  <si>
    <t>Sexe</t>
  </si>
  <si>
    <t>Monsieur</t>
  </si>
  <si>
    <t>Madame</t>
  </si>
  <si>
    <t>gh</t>
  </si>
  <si>
    <t>gecoc1</t>
  </si>
  <si>
    <t>gecob1</t>
  </si>
  <si>
    <t>gecoc1b1</t>
  </si>
  <si>
    <t>g1</t>
  </si>
  <si>
    <t>g1c1</t>
  </si>
  <si>
    <t>g1b1</t>
  </si>
  <si>
    <t>g1c1b1</t>
  </si>
  <si>
    <t>g2</t>
  </si>
  <si>
    <t>g2c1</t>
  </si>
  <si>
    <t>g2c1b2</t>
  </si>
  <si>
    <t>g2c2</t>
  </si>
  <si>
    <t>g2c2b1</t>
  </si>
  <si>
    <t>g2c2b2</t>
  </si>
  <si>
    <t>g2b2</t>
  </si>
  <si>
    <t>g3</t>
  </si>
  <si>
    <t>g3c1b1</t>
  </si>
  <si>
    <t>g3c2</t>
  </si>
  <si>
    <t>g3c2b1</t>
  </si>
  <si>
    <t>g3c2b2</t>
  </si>
  <si>
    <t>g3b1</t>
  </si>
  <si>
    <t>g3b2</t>
  </si>
  <si>
    <t>g4</t>
  </si>
  <si>
    <t>g4c1b1</t>
  </si>
  <si>
    <t>g4c1b2</t>
  </si>
  <si>
    <t>g4c2</t>
  </si>
  <si>
    <t>g4c2b1</t>
  </si>
  <si>
    <t>g4c2b2</t>
  </si>
  <si>
    <t>g4b1</t>
  </si>
  <si>
    <t>g4b2</t>
  </si>
  <si>
    <t>g5</t>
  </si>
  <si>
    <t>g5c1</t>
  </si>
  <si>
    <t>g5c1b1</t>
  </si>
  <si>
    <t>g5c1b2</t>
  </si>
  <si>
    <t>g5c2</t>
  </si>
  <si>
    <t>g5c2b1</t>
  </si>
  <si>
    <t>g5c2b2</t>
  </si>
  <si>
    <t>g5b1</t>
  </si>
  <si>
    <t>g5b2</t>
  </si>
  <si>
    <t>g6</t>
  </si>
  <si>
    <t>g6c1</t>
  </si>
  <si>
    <t>g6c1b1</t>
  </si>
  <si>
    <t>g6c1b2</t>
  </si>
  <si>
    <t>g6c2b1</t>
  </si>
  <si>
    <t>g6c2b2</t>
  </si>
  <si>
    <t>g6b1</t>
  </si>
  <si>
    <t>g6b2</t>
  </si>
  <si>
    <t>ev1</t>
  </si>
  <si>
    <t>ev2</t>
  </si>
  <si>
    <t>ev2h</t>
  </si>
  <si>
    <t>ev3h</t>
  </si>
  <si>
    <t>ev4</t>
  </si>
  <si>
    <t>ev4h</t>
  </si>
  <si>
    <t>sp5</t>
  </si>
  <si>
    <t>sp6</t>
  </si>
  <si>
    <t>sp7</t>
  </si>
  <si>
    <t>aess1</t>
  </si>
  <si>
    <t>aess3</t>
  </si>
  <si>
    <t>aess4</t>
  </si>
  <si>
    <t>aess5</t>
  </si>
  <si>
    <t>aess6</t>
  </si>
  <si>
    <t>fam1</t>
  </si>
  <si>
    <t>fam2</t>
  </si>
  <si>
    <t>fam2hod</t>
  </si>
  <si>
    <t>fam3</t>
  </si>
  <si>
    <t>fam3hod</t>
  </si>
  <si>
    <t>fam4</t>
  </si>
  <si>
    <t>fam4hod</t>
  </si>
  <si>
    <t>fam5</t>
  </si>
  <si>
    <t>fam5hod</t>
  </si>
  <si>
    <t>fam6</t>
  </si>
  <si>
    <t>fam6hod</t>
  </si>
  <si>
    <t>sen1</t>
  </si>
  <si>
    <t>sen2</t>
  </si>
  <si>
    <t>sen2odh</t>
  </si>
  <si>
    <t>sen2h</t>
  </si>
  <si>
    <t>sen3od</t>
  </si>
  <si>
    <t>sen3odh</t>
  </si>
  <si>
    <t>sen3h</t>
  </si>
  <si>
    <t>sen4</t>
  </si>
  <si>
    <t>sen4od</t>
  </si>
  <si>
    <t>sen4odh</t>
  </si>
  <si>
    <t>sen4h</t>
  </si>
  <si>
    <t>sen5</t>
  </si>
  <si>
    <t>sen5od</t>
  </si>
  <si>
    <t>sen5odh</t>
  </si>
  <si>
    <t>sen5h</t>
  </si>
  <si>
    <t>tn1od1</t>
  </si>
  <si>
    <t>tn1od1h1</t>
  </si>
  <si>
    <t>tn1od1h2</t>
  </si>
  <si>
    <t>tn1od2h1</t>
  </si>
  <si>
    <t>tn1od2h2</t>
  </si>
  <si>
    <t>tn1h1</t>
  </si>
  <si>
    <t>tn1h2</t>
  </si>
  <si>
    <t>tn2</t>
  </si>
  <si>
    <t>tn2od1</t>
  </si>
  <si>
    <t>tn2od2</t>
  </si>
  <si>
    <t>tn2od1h1</t>
  </si>
  <si>
    <t>tn2od1h2</t>
  </si>
  <si>
    <t>tn2h2</t>
  </si>
  <si>
    <t>tn3</t>
  </si>
  <si>
    <t>tn3od1</t>
  </si>
  <si>
    <t>tn3od2</t>
  </si>
  <si>
    <t>tn3od1h1</t>
  </si>
  <si>
    <t>tn3od1h2</t>
  </si>
  <si>
    <t>tn3od2h1</t>
  </si>
  <si>
    <t>tn3h1</t>
  </si>
  <si>
    <t>tn3h2</t>
  </si>
  <si>
    <t>tn4</t>
  </si>
  <si>
    <t>tn4od1</t>
  </si>
  <si>
    <t>tn4od2</t>
  </si>
  <si>
    <t>tn4od1h1</t>
  </si>
  <si>
    <t>tn4od1h2</t>
  </si>
  <si>
    <t>tn4od2h1</t>
  </si>
  <si>
    <t>tn4od2h2</t>
  </si>
  <si>
    <t>tn4h1</t>
  </si>
  <si>
    <t>tn4h2</t>
  </si>
  <si>
    <t>tn5</t>
  </si>
  <si>
    <t>tn5od1</t>
  </si>
  <si>
    <t>tn5od2</t>
  </si>
  <si>
    <t>tn5od1h1</t>
  </si>
  <si>
    <t>tn5od1h2</t>
  </si>
  <si>
    <t>tn5od2h1</t>
  </si>
  <si>
    <t>tn5od2h2</t>
  </si>
  <si>
    <t>tn5h1</t>
  </si>
  <si>
    <t>tn5h2</t>
  </si>
  <si>
    <t>ess1</t>
  </si>
  <si>
    <t>ess1h</t>
  </si>
  <si>
    <t>ess2</t>
  </si>
  <si>
    <t>ess2h</t>
  </si>
  <si>
    <t>ess3</t>
  </si>
  <si>
    <t>ess3h</t>
  </si>
  <si>
    <t>alp1doa</t>
  </si>
  <si>
    <t>alp1h</t>
  </si>
  <si>
    <t>alp1doabe</t>
  </si>
  <si>
    <t>alp1doah</t>
  </si>
  <si>
    <t>alp1tt</t>
  </si>
  <si>
    <t>alp1beh</t>
  </si>
  <si>
    <t>alp2doa</t>
  </si>
  <si>
    <t>alp2be</t>
  </si>
  <si>
    <t>alp2h</t>
  </si>
  <si>
    <t>alp2doabe</t>
  </si>
  <si>
    <t>alp2doah</t>
  </si>
  <si>
    <t>alp2tt</t>
  </si>
  <si>
    <t>alp2beh</t>
  </si>
  <si>
    <t>alp3</t>
  </si>
  <si>
    <t>alp3doa</t>
  </si>
  <si>
    <t>alp3be</t>
  </si>
  <si>
    <t>alp3h</t>
  </si>
  <si>
    <t>alp3doabe</t>
  </si>
  <si>
    <t>alp3doah</t>
  </si>
  <si>
    <t>alp3tt</t>
  </si>
  <si>
    <t>alp3beh</t>
  </si>
  <si>
    <t>alp4</t>
  </si>
  <si>
    <t>alp4doa</t>
  </si>
  <si>
    <t>alp4be</t>
  </si>
  <si>
    <t>alp4h</t>
  </si>
  <si>
    <t>alp4doabe</t>
  </si>
  <si>
    <t>alp4doah</t>
  </si>
  <si>
    <t>alp4tt</t>
  </si>
  <si>
    <t>alp4beh</t>
  </si>
  <si>
    <t>alp5</t>
  </si>
  <si>
    <t>alp5doa</t>
  </si>
  <si>
    <t>alp5h</t>
  </si>
  <si>
    <t>alp5doabe</t>
  </si>
  <si>
    <t>alp5doah</t>
  </si>
  <si>
    <t>alp5tt</t>
  </si>
  <si>
    <t>alp5beh</t>
  </si>
  <si>
    <t>spi1</t>
  </si>
  <si>
    <t>spi1s</t>
  </si>
  <si>
    <t>spi2</t>
  </si>
  <si>
    <t>spi2s</t>
  </si>
  <si>
    <t>spi3</t>
  </si>
  <si>
    <t>spi3s</t>
  </si>
  <si>
    <t>spi4</t>
  </si>
  <si>
    <t>spi4s</t>
  </si>
  <si>
    <t>spi5s</t>
  </si>
  <si>
    <t>e1</t>
  </si>
  <si>
    <t>e1+</t>
  </si>
  <si>
    <t>e1++</t>
  </si>
  <si>
    <t>e2</t>
  </si>
  <si>
    <t>e2+</t>
  </si>
  <si>
    <t>e2++</t>
  </si>
  <si>
    <t>e3</t>
  </si>
  <si>
    <t>e3+</t>
  </si>
  <si>
    <t>e3++</t>
  </si>
  <si>
    <t>e4+</t>
  </si>
  <si>
    <t>e4++</t>
  </si>
  <si>
    <t>e5</t>
  </si>
  <si>
    <t>e5+</t>
  </si>
  <si>
    <t>e5++</t>
  </si>
  <si>
    <t>e6</t>
  </si>
  <si>
    <t>e6+</t>
  </si>
  <si>
    <t>e6++</t>
  </si>
  <si>
    <t>n1c</t>
  </si>
  <si>
    <t>n1me</t>
  </si>
  <si>
    <t>n1cme</t>
  </si>
  <si>
    <t>n2</t>
  </si>
  <si>
    <t>n2c</t>
  </si>
  <si>
    <t>n2me</t>
  </si>
  <si>
    <t>n2cme</t>
  </si>
  <si>
    <t>n3</t>
  </si>
  <si>
    <t>n3c</t>
  </si>
  <si>
    <t>n3me</t>
  </si>
  <si>
    <t>n3cme</t>
  </si>
  <si>
    <t>n4</t>
  </si>
  <si>
    <t>n4c</t>
  </si>
  <si>
    <t>n4me</t>
  </si>
  <si>
    <t>n4cme</t>
  </si>
  <si>
    <t>n5</t>
  </si>
  <si>
    <t>n5c</t>
  </si>
  <si>
    <t>n5me</t>
  </si>
  <si>
    <t>n5cme</t>
  </si>
  <si>
    <t>v1</t>
  </si>
  <si>
    <t>v4</t>
  </si>
  <si>
    <t>s1</t>
  </si>
  <si>
    <t>s2</t>
  </si>
  <si>
    <t>s3</t>
  </si>
  <si>
    <t>s4</t>
  </si>
  <si>
    <t>s5</t>
  </si>
  <si>
    <t>s7</t>
  </si>
  <si>
    <t>ch</t>
  </si>
  <si>
    <t>cess1a</t>
  </si>
  <si>
    <t>cess2</t>
  </si>
  <si>
    <t>cess2a</t>
  </si>
  <si>
    <t>cess2b</t>
  </si>
  <si>
    <t>cess2ab</t>
  </si>
  <si>
    <t>w1</t>
  </si>
  <si>
    <t>w1a</t>
  </si>
  <si>
    <t>w1b</t>
  </si>
  <si>
    <t>w1ab</t>
  </si>
  <si>
    <t>w2</t>
  </si>
  <si>
    <t>w2a</t>
  </si>
  <si>
    <t>w2b</t>
  </si>
  <si>
    <t>w2ab</t>
  </si>
  <si>
    <t>w3</t>
  </si>
  <si>
    <t>w3a</t>
  </si>
  <si>
    <t>w3b</t>
  </si>
  <si>
    <t>w3ab</t>
  </si>
  <si>
    <t>w4</t>
  </si>
  <si>
    <t>w4a</t>
  </si>
  <si>
    <t>w4b</t>
  </si>
  <si>
    <t>w4ab</t>
  </si>
  <si>
    <t>ph1</t>
  </si>
  <si>
    <t>ph2</t>
  </si>
  <si>
    <t>ph3</t>
  </si>
  <si>
    <t>ph4</t>
  </si>
  <si>
    <t>ph5</t>
  </si>
  <si>
    <t>ph6</t>
  </si>
  <si>
    <t>ph7</t>
  </si>
  <si>
    <t>slsen1</t>
  </si>
  <si>
    <t>slsen2</t>
  </si>
  <si>
    <t>slsen3</t>
  </si>
  <si>
    <t>slsen4</t>
  </si>
  <si>
    <t>slsen5</t>
  </si>
  <si>
    <t>slsen6</t>
  </si>
  <si>
    <t>sc3</t>
  </si>
  <si>
    <t>sc4</t>
  </si>
  <si>
    <t>sc5</t>
  </si>
  <si>
    <t>sc6</t>
  </si>
  <si>
    <t>eq-50100</t>
  </si>
  <si>
    <t>eq-50125</t>
  </si>
  <si>
    <t>eq-50150</t>
  </si>
  <si>
    <t>eq-50200</t>
  </si>
  <si>
    <t>eq+50100</t>
  </si>
  <si>
    <t>eq+50125</t>
  </si>
  <si>
    <t>eq+50150</t>
  </si>
  <si>
    <t>abro</t>
  </si>
  <si>
    <t>asil</t>
  </si>
  <si>
    <t>agol</t>
  </si>
  <si>
    <t>apla</t>
  </si>
  <si>
    <t>atn1</t>
  </si>
  <si>
    <t>atn3</t>
  </si>
  <si>
    <t>atn4</t>
  </si>
  <si>
    <t>atn5</t>
  </si>
  <si>
    <t>acsa</t>
  </si>
  <si>
    <t>acsb</t>
  </si>
  <si>
    <t>acsc</t>
  </si>
  <si>
    <t>smatn1</t>
  </si>
  <si>
    <t>smatn2</t>
  </si>
  <si>
    <t>smatn3</t>
  </si>
  <si>
    <t>smatn4</t>
  </si>
  <si>
    <t>ciptn1</t>
  </si>
  <si>
    <t>ciptn2</t>
  </si>
  <si>
    <t>ciptn3</t>
  </si>
  <si>
    <t>ciptn4</t>
  </si>
  <si>
    <t>ciptn1nr</t>
  </si>
  <si>
    <t>ciptn2nr</t>
  </si>
  <si>
    <t>ciptn3nr</t>
  </si>
  <si>
    <t>ciptn4nr</t>
  </si>
  <si>
    <t>aprmod1</t>
  </si>
  <si>
    <t>aprmod2</t>
  </si>
  <si>
    <t>aprmod3</t>
  </si>
  <si>
    <t>aprmod4</t>
  </si>
  <si>
    <t>aprmod5</t>
  </si>
  <si>
    <t>aprmod6</t>
  </si>
  <si>
    <t>aprmod7</t>
  </si>
  <si>
    <t>aprmod8</t>
  </si>
  <si>
    <t>aprmod9</t>
  </si>
  <si>
    <t>aprmod10</t>
  </si>
  <si>
    <t>aprmod11</t>
  </si>
  <si>
    <t>aprmod12</t>
  </si>
  <si>
    <t>aprani</t>
  </si>
  <si>
    <t>aprani+</t>
  </si>
  <si>
    <t>apranir1</t>
  </si>
  <si>
    <t>apranir2</t>
  </si>
  <si>
    <t>apranir3</t>
  </si>
  <si>
    <t>apranir4</t>
  </si>
  <si>
    <t>apranir5</t>
  </si>
  <si>
    <t>aprtpe1</t>
  </si>
  <si>
    <t>aprtpe2</t>
  </si>
  <si>
    <t>aprtpe3</t>
  </si>
  <si>
    <t>aprtpe4</t>
  </si>
  <si>
    <t>aprtpe5</t>
  </si>
  <si>
    <t>aprtper1</t>
  </si>
  <si>
    <t>aprtper2</t>
  </si>
  <si>
    <t>aprtper3</t>
  </si>
  <si>
    <t>aprtper4</t>
  </si>
  <si>
    <t>aprtper5</t>
  </si>
  <si>
    <t>cipani</t>
  </si>
  <si>
    <t>cipaniess</t>
  </si>
  <si>
    <t>cipanisec</t>
  </si>
  <si>
    <t>cipaniconf</t>
  </si>
  <si>
    <t>cipaniexcel</t>
  </si>
  <si>
    <t>cipani+</t>
  </si>
  <si>
    <t>cipani+ess</t>
  </si>
  <si>
    <t>cipani+sec</t>
  </si>
  <si>
    <t>cipani+conf</t>
  </si>
  <si>
    <t>cipani+excel</t>
  </si>
  <si>
    <t>cipess</t>
  </si>
  <si>
    <t>cipesssec</t>
  </si>
  <si>
    <t>cipessconf</t>
  </si>
  <si>
    <t>cipessexcel</t>
  </si>
  <si>
    <t>cipsecu</t>
  </si>
  <si>
    <t>cipsecuconf</t>
  </si>
  <si>
    <t>cipsecuexcel</t>
  </si>
  <si>
    <t>cipconf</t>
  </si>
  <si>
    <t>cipconfexcel</t>
  </si>
  <si>
    <t>cipexc</t>
  </si>
  <si>
    <t>cipexc+</t>
  </si>
  <si>
    <t>AlpColANI</t>
  </si>
  <si>
    <t>AlpColANIs</t>
  </si>
  <si>
    <t>AlpCol1</t>
  </si>
  <si>
    <t>AlpCol1s</t>
  </si>
  <si>
    <t>AlpCol2</t>
  </si>
  <si>
    <t>AlpCol2s</t>
  </si>
  <si>
    <t>AlpCol3</t>
  </si>
  <si>
    <t>AlpCol3s</t>
  </si>
  <si>
    <t>AlpCol4</t>
  </si>
  <si>
    <t>AlpCol4s</t>
  </si>
  <si>
    <t>AlpCol5</t>
  </si>
  <si>
    <t>AlpCol5s</t>
  </si>
  <si>
    <t>AlpColsen</t>
  </si>
  <si>
    <t>AlpCols1</t>
  </si>
  <si>
    <t>AlpCols2</t>
  </si>
  <si>
    <t>AlpCols3</t>
  </si>
  <si>
    <t>AlpColod1</t>
  </si>
  <si>
    <t>AlpColod2</t>
  </si>
  <si>
    <t>AlpColod3</t>
  </si>
  <si>
    <t>Abréviation</t>
  </si>
  <si>
    <t>APRIL Globale 2</t>
  </si>
  <si>
    <t>AXA-ASAF Famille 1</t>
  </si>
  <si>
    <t>AXA-ASAF Famille 2</t>
  </si>
  <si>
    <t>AXA-ASAF Famille 3</t>
  </si>
  <si>
    <t>AXA-ASAF Famille 4</t>
  </si>
  <si>
    <t>AXA-ASAF Famille 5</t>
  </si>
  <si>
    <t>AXA-ASAF Famille 6</t>
  </si>
  <si>
    <t>AXA-ASAF Seniors 1</t>
  </si>
  <si>
    <t>AXA-ASAF Seniors 2</t>
  </si>
  <si>
    <t>AXA-ASAF Seniors 3</t>
  </si>
  <si>
    <t>AXA-ASAF Seniors 4</t>
  </si>
  <si>
    <t>AXA-ASAF Seniors 5</t>
  </si>
  <si>
    <t>AXA-ASAF TNS 1</t>
  </si>
  <si>
    <t>AXA-ASAF TNS 2</t>
  </si>
  <si>
    <t>AXA-ASAF TNS 3</t>
  </si>
  <si>
    <t>AXA-ASAF TNS 4</t>
  </si>
  <si>
    <t>AXA-ASAF TNS 5</t>
  </si>
  <si>
    <t>AXA-ASAF Essentiel 1</t>
  </si>
  <si>
    <t>AXA-ASAF Essentiel 2</t>
  </si>
  <si>
    <t>AXA-ASAF Essentiel 3</t>
  </si>
  <si>
    <t>ALPTIS Plurielle Eco</t>
  </si>
  <si>
    <t>ALPTIS Plurielle 1</t>
  </si>
  <si>
    <t>ALPTIS Plurielle 2</t>
  </si>
  <si>
    <t>ALPTIS Plurielle 3</t>
  </si>
  <si>
    <t>ALPTIS Plurielle 4</t>
  </si>
  <si>
    <t>ALPTIS Plurielle 5</t>
  </si>
  <si>
    <t>ALPTIS SPI 1</t>
  </si>
  <si>
    <t>ALPTIS SPI 2</t>
  </si>
  <si>
    <t>ALPTIS SPI 3</t>
  </si>
  <si>
    <t>ALPTIS SPI 4</t>
  </si>
  <si>
    <t>ALPTIS SPI 5</t>
  </si>
  <si>
    <t>SWISSLIFE Pack Hospi 1</t>
  </si>
  <si>
    <t>SWISSLIFE Pack Hospi 2</t>
  </si>
  <si>
    <t>SWISSLIFE Pack Hospi 3</t>
  </si>
  <si>
    <t>SWISSLIFE Pack Hospi 4</t>
  </si>
  <si>
    <t>SWISSLIFE Pack Hospi 5</t>
  </si>
  <si>
    <t>SWISSLIFE Pack Hospi 6</t>
  </si>
  <si>
    <t>SWISSLIFE Pack Hospi 7</t>
  </si>
  <si>
    <t>SWISSLIFE Senior 1</t>
  </si>
  <si>
    <t>SWISSLIFE Senior 2</t>
  </si>
  <si>
    <t>SWISSLIFE Senior 3</t>
  </si>
  <si>
    <t>SWISSLIFE Senior 4</t>
  </si>
  <si>
    <t>SWISSLIFE Senior 5</t>
  </si>
  <si>
    <t>SWISSLIFE Senior 6</t>
  </si>
  <si>
    <t>SWISSLIFE Surcomplémentaire 3</t>
  </si>
  <si>
    <t>SWISSLIFE Surcomplémentaire 4</t>
  </si>
  <si>
    <t>SWISSLIFE Surcomplémentaire 5</t>
  </si>
  <si>
    <t>SWISSLIFE Surcomplémentaire 6</t>
  </si>
  <si>
    <t>APIVIA Equilibre 100</t>
  </si>
  <si>
    <t>APIVIA Equilibre 125</t>
  </si>
  <si>
    <t>APIVIA Equilibre 150</t>
  </si>
  <si>
    <t>APIVIA Equilibre 200</t>
  </si>
  <si>
    <t>APIVIA  Exclusive Bronze</t>
  </si>
  <si>
    <t>APIVIA  Exclusive Silver</t>
  </si>
  <si>
    <t>APIVIA  Exclusive Gold</t>
  </si>
  <si>
    <t>APIVIA  Exclusive Platine</t>
  </si>
  <si>
    <t>APIVIA  TNS 1</t>
  </si>
  <si>
    <t>APIVIA  TNS 2</t>
  </si>
  <si>
    <t>APIVIA  TNS 3</t>
  </si>
  <si>
    <t>APIVIA  TNS 4</t>
  </si>
  <si>
    <t>APIVIA  TNS 5</t>
  </si>
  <si>
    <t>APIVIA  ACS A</t>
  </si>
  <si>
    <t>APIVIA  ACS B</t>
  </si>
  <si>
    <t>APIVIA  ACS C</t>
  </si>
  <si>
    <t>APRIL - Globale Hospi</t>
  </si>
  <si>
    <t xml:space="preserve">APRIL - Globale Éco </t>
  </si>
  <si>
    <t>APRIL - Globale 1</t>
  </si>
  <si>
    <t>APRIL - Globale 3</t>
  </si>
  <si>
    <t>APRIL - Globale 4</t>
  </si>
  <si>
    <t>APRIL - Globale 5</t>
  </si>
  <si>
    <t>APRIL - Globale 6</t>
  </si>
  <si>
    <t>APRIL - Évolutive 1</t>
  </si>
  <si>
    <t>APRIL - Évolutive 2</t>
  </si>
  <si>
    <t>APRIL - Évolutive 2 Hospi</t>
  </si>
  <si>
    <t>APRIL - Évolutive 3</t>
  </si>
  <si>
    <t>APRIL - Évolutive 3 Hospi</t>
  </si>
  <si>
    <t>APRIL - Évolutive 4</t>
  </si>
  <si>
    <t>APRIL - Évolutive 4 Hospi</t>
  </si>
  <si>
    <t>APRIL - Évolutive 5</t>
  </si>
  <si>
    <t>APRIL - Évolutive 6</t>
  </si>
  <si>
    <t>APRIL - Santé Pro 1</t>
  </si>
  <si>
    <t>APRIL - Santé Pro 2</t>
  </si>
  <si>
    <t>APRIL - Santé Pro 3</t>
  </si>
  <si>
    <t>APRIL - Santé Pro 4</t>
  </si>
  <si>
    <t>APRIL - Santé Pro 5</t>
  </si>
  <si>
    <t>APRIL - Santé Pro 6</t>
  </si>
  <si>
    <t>APRIL - Santé Pro 7</t>
  </si>
  <si>
    <t>APRIL - Essentielle+ 1</t>
  </si>
  <si>
    <t>APRIL - Essentielle+ 2</t>
  </si>
  <si>
    <t>APRIL - Essentielle+ 3</t>
  </si>
  <si>
    <t>APRIL - Essentielle+ 4</t>
  </si>
  <si>
    <t>APRIL - Essentielle+ 5</t>
  </si>
  <si>
    <t>APRIL - Essentielle+ 6</t>
  </si>
  <si>
    <t>NÉOLIANE - Initial+ 1</t>
  </si>
  <si>
    <t>NÉOLIANE - Initial+ 2</t>
  </si>
  <si>
    <t>NÉOLIANE - Initial+ 3</t>
  </si>
  <si>
    <t>NÉOLIANE - Initial+ 4</t>
  </si>
  <si>
    <t>NÉOLIANE - Équilibre 1</t>
  </si>
  <si>
    <t>NÉOLIANE - Équilibre 2</t>
  </si>
  <si>
    <t>NÉOLIANE - Équilibre 3</t>
  </si>
  <si>
    <t>NÉOLIANE - Équilibre 4</t>
  </si>
  <si>
    <t>NÉOLIANE - Équilibre 5</t>
  </si>
  <si>
    <t>NÉOLIANE - Équilibre 6</t>
  </si>
  <si>
    <t>NÉOLIANE - Énergie 1</t>
  </si>
  <si>
    <t>NÉOLIANE - Énergie 2</t>
  </si>
  <si>
    <t>NÉOLIANE - Énergie 3</t>
  </si>
  <si>
    <t>NÉOLIANE - Énergie 4</t>
  </si>
  <si>
    <t>NÉOLIANE - Énergie 5</t>
  </si>
  <si>
    <t>NÉOLIANE - Vitalité 1</t>
  </si>
  <si>
    <t>NÉOLIANE - Vitalité 2</t>
  </si>
  <si>
    <t>NÉOLIANE - Vitalité 3</t>
  </si>
  <si>
    <t>NÉOLIANE - Vitalité 4</t>
  </si>
  <si>
    <t>NÉOLIANE - Sérénité 1</t>
  </si>
  <si>
    <t>NÉOLIANE - Sérénité 2</t>
  </si>
  <si>
    <t>NÉOLIANE - Sérénité 3</t>
  </si>
  <si>
    <t>NÉOLIANE - Sérénité 4</t>
  </si>
  <si>
    <t>NÉOLIANE - Sérénité 5</t>
  </si>
  <si>
    <t>NÉOLIANE - Sérénité 6</t>
  </si>
  <si>
    <t>NÉOLIANE - Sérénité 7</t>
  </si>
  <si>
    <t>CEGEMA - Hospi</t>
  </si>
  <si>
    <t>CEGEMA - Essentiel 1</t>
  </si>
  <si>
    <t>CEGEMA - Essentiel 2</t>
  </si>
  <si>
    <t>CEGEMA - W1</t>
  </si>
  <si>
    <t>CEGEMA - W2</t>
  </si>
  <si>
    <t>CEGEMA - W3</t>
  </si>
  <si>
    <t>CEGEMA - W4</t>
  </si>
  <si>
    <t>SMATIS - Sécurité</t>
  </si>
  <si>
    <t>SMATIS - Confort</t>
  </si>
  <si>
    <t>SMATIS - Renfort</t>
  </si>
  <si>
    <t>SMATIS - Optimum</t>
  </si>
  <si>
    <t xml:space="preserve">CIPRES TNS - Essentiel </t>
  </si>
  <si>
    <t>CIPRES TNS - Sécurité</t>
  </si>
  <si>
    <t>CIPRES TNS - Confort</t>
  </si>
  <si>
    <t>CIPRES TNS - Excellence</t>
  </si>
  <si>
    <t>CIPRES TNS - Essentiel (NR)</t>
  </si>
  <si>
    <t>CIPRES TNS - Sécurité (NR)</t>
  </si>
  <si>
    <t>CIPRES TNS - Confort (NR)</t>
  </si>
  <si>
    <t>CIPRES TNS - Excellence (NR)</t>
  </si>
  <si>
    <t>APRIL - Modulaire 1</t>
  </si>
  <si>
    <t>APRIL - Modulaire 2</t>
  </si>
  <si>
    <t>APRIL - Modulaire 3</t>
  </si>
  <si>
    <t>APRIL - Modulaire 4</t>
  </si>
  <si>
    <t>APRIL - Modulaire 5</t>
  </si>
  <si>
    <t>APRIL - Modulaire 6</t>
  </si>
  <si>
    <t>APRIL - Modulaire 7</t>
  </si>
  <si>
    <t>APRIL - Modulaire 8</t>
  </si>
  <si>
    <t>APRIL - Modulaire 9</t>
  </si>
  <si>
    <t>APRIL - Modulaire 10</t>
  </si>
  <si>
    <t>APRIL - Modulaire 11</t>
  </si>
  <si>
    <t>APRIL - Modulaire 12</t>
  </si>
  <si>
    <t>APRIL Renfort - Modulaire 1</t>
  </si>
  <si>
    <t>APRIL Renfort - Modulaire 2</t>
  </si>
  <si>
    <t>APRIL Renfort - Modulaire 3</t>
  </si>
  <si>
    <t>APRIL Renfort - Modulaire 4</t>
  </si>
  <si>
    <t>APRIL Renfort - Modulaire 5</t>
  </si>
  <si>
    <t>APRIL - ANI</t>
  </si>
  <si>
    <t>APRIL - ANI +</t>
  </si>
  <si>
    <t>APRIL Renfort - ANI 1</t>
  </si>
  <si>
    <t>APRIL Renfort - ANI 2</t>
  </si>
  <si>
    <t>APRIL Renfort - ANI 3</t>
  </si>
  <si>
    <t>APRIL Renfort - ANI 4</t>
  </si>
  <si>
    <t>APRIL Renfort - ANI 5</t>
  </si>
  <si>
    <t>APRIL - TPE 1</t>
  </si>
  <si>
    <t>APRIL - TPE 2</t>
  </si>
  <si>
    <t>APRIL - TPE 3</t>
  </si>
  <si>
    <t>APRIL - TPE 4</t>
  </si>
  <si>
    <t>APRIL - TPE 5</t>
  </si>
  <si>
    <t>APRIL TPE - Renfort 1</t>
  </si>
  <si>
    <t>APRIL TPE - Renfort 2</t>
  </si>
  <si>
    <t>APRIL TPE - Renfort 3</t>
  </si>
  <si>
    <t>APRIL TPE - Renfort 4</t>
  </si>
  <si>
    <t>APRIL TPE - Renfort 5</t>
  </si>
  <si>
    <t>CIPRES Collectif - ANI</t>
  </si>
  <si>
    <t>CIPRES Ani - Essentiel</t>
  </si>
  <si>
    <t>CIPRES Ani - Sécurité</t>
  </si>
  <si>
    <t>CIPRES Ani - Confort</t>
  </si>
  <si>
    <t>CIPRES Ani - Excellence</t>
  </si>
  <si>
    <t>CIPRES Collectif - ANI+</t>
  </si>
  <si>
    <t>CIPRES Ani+ - Essentiel</t>
  </si>
  <si>
    <t>CIPRES Ani+ - Sécurité</t>
  </si>
  <si>
    <t>CIPRES Ani+ - Confort</t>
  </si>
  <si>
    <t>CIPRES Ani+ - Excellence</t>
  </si>
  <si>
    <t xml:space="preserve">CIPRES Collectif - Essentiel </t>
  </si>
  <si>
    <t>CIPRES Essentiel - Sécurité</t>
  </si>
  <si>
    <t>CIPRES Essentiel - Confort</t>
  </si>
  <si>
    <t>CIPRES Essentiel - Excellence</t>
  </si>
  <si>
    <t xml:space="preserve">CIPRES Collectif - Sécurité </t>
  </si>
  <si>
    <t>CIPRES Sécurité - Confort</t>
  </si>
  <si>
    <t>CIPRES Sécurité - Excellence</t>
  </si>
  <si>
    <t>CIPRES Collectif - Confort</t>
  </si>
  <si>
    <t>CIPRES Confort - Excellence</t>
  </si>
  <si>
    <t xml:space="preserve">CIPRES Collectif - Excellence </t>
  </si>
  <si>
    <t>CIPRES - Excellence +</t>
  </si>
  <si>
    <t>ALPTIS - Niveau ANI</t>
  </si>
  <si>
    <t>ALPTIS - Niveau 1</t>
  </si>
  <si>
    <t>ALPTIS - Niveau 2</t>
  </si>
  <si>
    <t>ALPTIS - Niveau 3</t>
  </si>
  <si>
    <t>ALPTIS - Niveau 4</t>
  </si>
  <si>
    <t>ALPTIS - Niveau 5</t>
  </si>
  <si>
    <t>ALPTIS - Pack Sérenité</t>
  </si>
  <si>
    <t>ALPTIS - Renfort Soin 1</t>
  </si>
  <si>
    <t>ALPTIS - Renfort Soin 2</t>
  </si>
  <si>
    <t>ALPTIS - Renfort Soin 3</t>
  </si>
  <si>
    <t>ALPTIS - Renfort OD 1</t>
  </si>
  <si>
    <t>ALPTIS - Renfort OD 2</t>
  </si>
  <si>
    <t>ALPTIS - Renfort OD 3</t>
  </si>
  <si>
    <t xml:space="preserve">AUDIERNE </t>
  </si>
  <si>
    <t>ALBA</t>
  </si>
  <si>
    <t>agee7</t>
  </si>
  <si>
    <t>agee6</t>
  </si>
  <si>
    <t>Rappel m-3</t>
  </si>
  <si>
    <t>Aloulou</t>
  </si>
  <si>
    <t/>
  </si>
  <si>
    <t>Limite m-2</t>
  </si>
  <si>
    <t>Si Résil</t>
  </si>
  <si>
    <t>55MQ8377</t>
  </si>
  <si>
    <t>quent1.a@hotmail.fr</t>
  </si>
  <si>
    <t>Kinésithérapeute</t>
  </si>
  <si>
    <t>Quentin</t>
  </si>
  <si>
    <t>Titre</t>
  </si>
  <si>
    <t>Objet Mail</t>
  </si>
  <si>
    <t>Contenu Mail</t>
  </si>
  <si>
    <t>Philippe</t>
  </si>
  <si>
    <t>Oui + Surprimes</t>
  </si>
  <si>
    <t>CMU</t>
  </si>
  <si>
    <t>DateCréation</t>
  </si>
  <si>
    <t>philippe-alba@orange.fr</t>
  </si>
  <si>
    <t>1480333003017 43</t>
  </si>
  <si>
    <t>1490199381313 27</t>
  </si>
  <si>
    <t>slr2</t>
  </si>
  <si>
    <t>slr6</t>
  </si>
  <si>
    <t>Samuel</t>
  </si>
  <si>
    <t>9400-15918</t>
  </si>
  <si>
    <t>ameliesam01@gmail.com</t>
  </si>
  <si>
    <t>1780644069047 97</t>
  </si>
  <si>
    <t>Tel1</t>
  </si>
  <si>
    <t>Tel2</t>
  </si>
  <si>
    <t>Résilié - Groupe</t>
  </si>
  <si>
    <t>Résilié - ACS</t>
  </si>
  <si>
    <t>J+</t>
  </si>
  <si>
    <t>Date Signature</t>
  </si>
  <si>
    <t>Date de Naissance</t>
  </si>
  <si>
    <t>Ancienneté</t>
  </si>
  <si>
    <t>Échéance Actuelle</t>
  </si>
  <si>
    <t>Limite Actuelle</t>
  </si>
  <si>
    <t>Adultes(s)</t>
  </si>
  <si>
    <t>Enfants(s)</t>
  </si>
  <si>
    <t>Tarif 2016</t>
  </si>
  <si>
    <t>Tarif 2017</t>
  </si>
  <si>
    <t>Tarif 2018</t>
  </si>
  <si>
    <t>Tarif 2019</t>
  </si>
  <si>
    <t>Tarif 2020</t>
  </si>
  <si>
    <t>Anniversaire A1</t>
  </si>
  <si>
    <t>Anniversaire A2</t>
  </si>
  <si>
    <t>Régime A1</t>
  </si>
  <si>
    <t>Anniversaire E1</t>
  </si>
  <si>
    <t>Anniversaire E2</t>
  </si>
  <si>
    <t>Anniversaire E3</t>
  </si>
  <si>
    <t>Régime E1</t>
  </si>
  <si>
    <t>Régime E2</t>
  </si>
  <si>
    <t>Régime E3</t>
  </si>
  <si>
    <t>Anniversaire E4</t>
  </si>
  <si>
    <t>Régime E4</t>
  </si>
  <si>
    <t>Anniversaire E5</t>
  </si>
  <si>
    <t>Régime E5</t>
  </si>
  <si>
    <t>Anniversaire E6</t>
  </si>
  <si>
    <t>Régime E6</t>
  </si>
  <si>
    <t>Régime A2</t>
  </si>
  <si>
    <t>Objet Mail 
Étude N+1/N+2</t>
  </si>
  <si>
    <t>Contenu Mail 
Étude N+1/N+2</t>
  </si>
  <si>
    <t>% N-1</t>
  </si>
  <si>
    <t>% depuis Départ</t>
  </si>
  <si>
    <t>Validation Contrat</t>
  </si>
  <si>
    <t>Type de Résiliation</t>
  </si>
  <si>
    <t>Mutuelle Résiliée</t>
  </si>
  <si>
    <t>Téléphones Assurances</t>
  </si>
  <si>
    <t>Secretariat : 9h30-13h / 14h-18h</t>
  </si>
  <si>
    <t xml:space="preserve">
</t>
  </si>
  <si>
    <t>09 74 50 94 94</t>
  </si>
  <si>
    <t>04 91 13 30 90</t>
  </si>
  <si>
    <t>Service Client</t>
  </si>
  <si>
    <t>09 74 50 20 20</t>
  </si>
  <si>
    <t>Prestation</t>
  </si>
  <si>
    <t>04 72 36 16 30</t>
  </si>
  <si>
    <t>Carole</t>
  </si>
  <si>
    <t>06 79 47 01 06</t>
  </si>
  <si>
    <t>Brigitte</t>
  </si>
  <si>
    <t>06 83 83 94 74</t>
  </si>
  <si>
    <t>Prévoyance</t>
  </si>
  <si>
    <t>09 74 50 75 75</t>
  </si>
  <si>
    <t>Indemnisation</t>
  </si>
  <si>
    <t>04 26 29 20 39</t>
  </si>
  <si>
    <t>NCDEM16</t>
  </si>
  <si>
    <t>Thomas Roux</t>
  </si>
  <si>
    <t>06 73 63 79 81</t>
  </si>
  <si>
    <t>Partenaire</t>
  </si>
  <si>
    <t>05 46 99 40 01</t>
  </si>
  <si>
    <t>03 88 65 88 51</t>
  </si>
  <si>
    <t>Entreprise</t>
  </si>
  <si>
    <t>04 72 36 74 59</t>
  </si>
  <si>
    <t>José Sanchez</t>
  </si>
  <si>
    <t>04 69 73 27 65</t>
  </si>
  <si>
    <t>Pré-V.</t>
  </si>
  <si>
    <t>0 969 329 319</t>
  </si>
  <si>
    <t>04 26 29 36 61</t>
  </si>
  <si>
    <t>Après-V.</t>
  </si>
  <si>
    <t>0 969 327 317</t>
  </si>
  <si>
    <t>NR 1930</t>
  </si>
  <si>
    <t>04 89 22 83 65</t>
  </si>
  <si>
    <t>Aude</t>
  </si>
  <si>
    <t>07 86 80 37 50</t>
  </si>
  <si>
    <t>pour Clients</t>
  </si>
  <si>
    <t>04 92 17 53 58</t>
  </si>
  <si>
    <t>Mutua Gestion</t>
  </si>
  <si>
    <t>05 61 43 83 83</t>
  </si>
  <si>
    <r>
      <t>CEGEMA</t>
    </r>
    <r>
      <rPr>
        <b/>
        <sz val="1"/>
        <color theme="1"/>
        <rFont val="Calibri"/>
        <family val="2"/>
        <scheme val="minor"/>
      </rPr>
      <t/>
    </r>
  </si>
  <si>
    <t>DW5</t>
  </si>
  <si>
    <t>04 92 02 64 26</t>
  </si>
  <si>
    <t>Mickael Morabito</t>
  </si>
  <si>
    <t>06 18 74 62 86</t>
  </si>
  <si>
    <t xml:space="preserve">Santé </t>
  </si>
  <si>
    <t>0 825 317 317</t>
  </si>
  <si>
    <t>Serv. Interm,</t>
  </si>
  <si>
    <t>03 28 52 11 55</t>
  </si>
  <si>
    <r>
      <t>ASAF</t>
    </r>
    <r>
      <rPr>
        <b/>
        <sz val="2"/>
        <color theme="1"/>
        <rFont val="Calibri"/>
        <family val="2"/>
        <scheme val="minor"/>
      </rPr>
      <t/>
    </r>
  </si>
  <si>
    <t>8ZE</t>
  </si>
  <si>
    <t>04 89 88 36 46</t>
  </si>
  <si>
    <t>+ 6</t>
  </si>
  <si>
    <t>Région</t>
  </si>
  <si>
    <t>04 91 45 62 05</t>
  </si>
  <si>
    <t>Ludo DASNOY</t>
  </si>
  <si>
    <t>7 70 72 62 61</t>
  </si>
  <si>
    <t>Téléphones Utiles</t>
  </si>
  <si>
    <t>Téléphones Équipe</t>
  </si>
  <si>
    <t>SÉCURITÉ SOCIALE</t>
  </si>
  <si>
    <t>36 46</t>
  </si>
  <si>
    <t>Laurent</t>
  </si>
  <si>
    <r>
      <t xml:space="preserve">04 91 20 29 </t>
    </r>
    <r>
      <rPr>
        <b/>
        <sz val="11"/>
        <color theme="1"/>
        <rFont val="Calibri"/>
        <family val="2"/>
        <scheme val="minor"/>
      </rPr>
      <t>26</t>
    </r>
    <r>
      <rPr>
        <sz val="11"/>
        <color theme="1"/>
        <rFont val="Calibri"/>
        <family val="2"/>
        <scheme val="minor"/>
      </rPr>
      <t xml:space="preserve"> </t>
    </r>
  </si>
  <si>
    <t>36 48</t>
  </si>
  <si>
    <t>André</t>
  </si>
  <si>
    <r>
      <t xml:space="preserve">04 91 20 29 </t>
    </r>
    <r>
      <rPr>
        <b/>
        <sz val="11"/>
        <color theme="1"/>
        <rFont val="Calibri"/>
        <family val="2"/>
        <scheme val="minor"/>
      </rPr>
      <t>29</t>
    </r>
  </si>
  <si>
    <t>RAM</t>
  </si>
  <si>
    <t>0 811 012 012</t>
  </si>
  <si>
    <t>Gam</t>
  </si>
  <si>
    <r>
      <t xml:space="preserve">04 91 20 29 </t>
    </r>
    <r>
      <rPr>
        <b/>
        <sz val="11"/>
        <color theme="1"/>
        <rFont val="Calibri"/>
        <family val="2"/>
        <scheme val="minor"/>
      </rPr>
      <t>25</t>
    </r>
  </si>
  <si>
    <t>GO COURTAGE</t>
  </si>
  <si>
    <t>09 67 19 46 39</t>
  </si>
  <si>
    <t>Mehdi</t>
  </si>
  <si>
    <r>
      <t xml:space="preserve">04 91 20 29 </t>
    </r>
    <r>
      <rPr>
        <b/>
        <sz val="11"/>
        <color theme="1"/>
        <rFont val="Calibri"/>
        <family val="2"/>
        <scheme val="minor"/>
      </rPr>
      <t>30</t>
    </r>
  </si>
  <si>
    <t>GO COURTAGE - Olivier Matrant</t>
  </si>
  <si>
    <t>06 84 85 66 51</t>
  </si>
  <si>
    <t>Marcellin</t>
  </si>
  <si>
    <r>
      <t xml:space="preserve">04 91 20 29 </t>
    </r>
    <r>
      <rPr>
        <b/>
        <sz val="11"/>
        <color theme="1"/>
        <rFont val="Calibri"/>
        <family val="2"/>
        <scheme val="minor"/>
      </rPr>
      <t>21</t>
    </r>
  </si>
  <si>
    <t>SIMULASSURE - Romain Alleno</t>
  </si>
  <si>
    <t>06 59 93 10 85</t>
  </si>
  <si>
    <t>Infos Pratiques</t>
  </si>
  <si>
    <t>Kiplink</t>
  </si>
  <si>
    <t>04 72 90 10 70</t>
  </si>
  <si>
    <t>Alsace-Moselle</t>
  </si>
  <si>
    <t>57 - 67 - 68</t>
  </si>
  <si>
    <t>0 892 045 555</t>
  </si>
  <si>
    <t>PMSS</t>
  </si>
  <si>
    <t>01 76 62 82 12</t>
  </si>
  <si>
    <t>Gestion</t>
  </si>
  <si>
    <t xml:space="preserve">cEDLITO </t>
  </si>
  <si>
    <t>mATHIEU</t>
  </si>
  <si>
    <t>06/06/2017</t>
  </si>
  <si>
    <t>01/12/2016</t>
  </si>
  <si>
    <t>55.96</t>
  </si>
  <si>
    <t>2</t>
  </si>
  <si>
    <t>1</t>
  </si>
  <si>
    <t>Mutuelles</t>
  </si>
  <si>
    <t>slr1</t>
  </si>
  <si>
    <t>slr3</t>
  </si>
  <si>
    <t>slr4</t>
  </si>
  <si>
    <t>slr5</t>
  </si>
  <si>
    <t>APRIL
Globale Hospi</t>
  </si>
  <si>
    <t xml:space="preserve">APRIL
Globale Éco </t>
  </si>
  <si>
    <t>APRIL
Globale 1</t>
  </si>
  <si>
    <t>APRIL 
Globale 2</t>
  </si>
  <si>
    <t>APRIL
Globale 3</t>
  </si>
  <si>
    <t>APRIL
Globale 4</t>
  </si>
  <si>
    <t>APRIL
Globale 5</t>
  </si>
  <si>
    <t>APRIL
Globale 6</t>
  </si>
  <si>
    <t>APRIL
Évolutive 1</t>
  </si>
  <si>
    <t>APRIL
Évolutive 2</t>
  </si>
  <si>
    <t>APRIL
Évolutive 2 Hospi</t>
  </si>
  <si>
    <t>APRIL
Évolutive 3</t>
  </si>
  <si>
    <t>APRIL
Évolutive 3 Hospi</t>
  </si>
  <si>
    <t>APRIL
Évolutive 4</t>
  </si>
  <si>
    <t>APRIL
Évolutive 4 Hospi</t>
  </si>
  <si>
    <t>APRIL
Évolutive 5</t>
  </si>
  <si>
    <t>APRIL
Évolutive 6</t>
  </si>
  <si>
    <t>APRIL
Santé Pro 1</t>
  </si>
  <si>
    <t>APRIL
Santé Pro 2</t>
  </si>
  <si>
    <t>APRIL
Santé Pro 3</t>
  </si>
  <si>
    <t>APRIL
Santé Pro 4</t>
  </si>
  <si>
    <t>APRIL
Santé Pro 5</t>
  </si>
  <si>
    <t>APRIL
Santé Pro 6</t>
  </si>
  <si>
    <t>APRIL
Santé Pro 7</t>
  </si>
  <si>
    <t>APRIL
Essentielle+ 1</t>
  </si>
  <si>
    <t>APRIL
Essentielle+ 2</t>
  </si>
  <si>
    <t>APRIL
Essentielle+ 3</t>
  </si>
  <si>
    <t>APRIL
Essentielle+ 4</t>
  </si>
  <si>
    <t>APRIL
Essentielle+ 5</t>
  </si>
  <si>
    <t>APRIL
Essentielle+ 6</t>
  </si>
  <si>
    <t>AXA-ASAF 
Famille 1</t>
  </si>
  <si>
    <t>AXA-ASAF 
Famille 2</t>
  </si>
  <si>
    <t>AXA-ASAF 
Famille 3</t>
  </si>
  <si>
    <t>AXA-ASAF 
Famille 4</t>
  </si>
  <si>
    <t>AXA-ASAF 
Famille 5</t>
  </si>
  <si>
    <t>AXA-ASAF 
Famille 6</t>
  </si>
  <si>
    <t>AXA-ASAF 
Seniors 1</t>
  </si>
  <si>
    <t>AXA-ASAF 
Seniors 2</t>
  </si>
  <si>
    <t>AXA-ASAF 
Seniors 3</t>
  </si>
  <si>
    <t>AXA-ASAF 
Seniors 4</t>
  </si>
  <si>
    <t>AXA-ASAF 
Seniors 5</t>
  </si>
  <si>
    <t>AXA-ASAF 
TNS 1</t>
  </si>
  <si>
    <t>AXA-ASAF 
TNS 2</t>
  </si>
  <si>
    <t>AXA-ASAF 
TNS 3</t>
  </si>
  <si>
    <t>AXA-ASAF 
TNS 4</t>
  </si>
  <si>
    <t>AXA-ASAF 
TNS 5</t>
  </si>
  <si>
    <t>AXA-ASAF 
Essentiel 1</t>
  </si>
  <si>
    <t>AXA-ASAF 
Essentiel 2</t>
  </si>
  <si>
    <t>AXA-ASAF 
Essentiel 3</t>
  </si>
  <si>
    <t>ALPTIS 
Plurielle Eco</t>
  </si>
  <si>
    <t>ALPTIS 
Plurielle 1</t>
  </si>
  <si>
    <t>ALPTIS 
Plurielle 2</t>
  </si>
  <si>
    <t>ALPTIS 
Plurielle 3</t>
  </si>
  <si>
    <t>ALPTIS 
Plurielle 4</t>
  </si>
  <si>
    <t>ALPTIS 
Plurielle 5</t>
  </si>
  <si>
    <t>ALPTIS 
SPI 1</t>
  </si>
  <si>
    <t>ALPTIS 
SPI 2</t>
  </si>
  <si>
    <t>ALPTIS 
SPI 3</t>
  </si>
  <si>
    <t>ALPTIS 
SPI 4</t>
  </si>
  <si>
    <t>ALPTIS 
SPI 5</t>
  </si>
  <si>
    <t>NÉOLIANE
Initial+ 1</t>
  </si>
  <si>
    <t>NÉOLIANE
Initial+ 2</t>
  </si>
  <si>
    <t>NÉOLIANE
Initial+ 3</t>
  </si>
  <si>
    <t>NÉOLIANE
Initial+ 4</t>
  </si>
  <si>
    <t>NÉOLIANE
Équilibre 1</t>
  </si>
  <si>
    <t>NÉOLIANE
Équilibre 2</t>
  </si>
  <si>
    <t>NÉOLIANE
Équilibre 3</t>
  </si>
  <si>
    <t>NÉOLIANE
Équilibre 4</t>
  </si>
  <si>
    <t>NÉOLIANE
Équilibre 5</t>
  </si>
  <si>
    <t>NÉOLIANE
Équilibre 6</t>
  </si>
  <si>
    <t>NÉOLIANE
Énergie 1</t>
  </si>
  <si>
    <t>NÉOLIANE
Énergie 2</t>
  </si>
  <si>
    <t>NÉOLIANE
Énergie 3</t>
  </si>
  <si>
    <t>NÉOLIANE
Énergie 4</t>
  </si>
  <si>
    <t>NÉOLIANE
Énergie 5</t>
  </si>
  <si>
    <t>NÉOLIANE
Vitalité 1</t>
  </si>
  <si>
    <t>NÉOLIANE
Vitalité 2</t>
  </si>
  <si>
    <t>NÉOLIANE
Vitalité 3</t>
  </si>
  <si>
    <t>NÉOLIANE
Vitalité 4</t>
  </si>
  <si>
    <t>NÉOLIANE
Sérénité 1</t>
  </si>
  <si>
    <t>NÉOLIANE
Sérénité 2</t>
  </si>
  <si>
    <t>NÉOLIANE
Sérénité 3</t>
  </si>
  <si>
    <t>NÉOLIANE
Sérénité 4</t>
  </si>
  <si>
    <t>NÉOLIANE
Sérénité 5</t>
  </si>
  <si>
    <t>NÉOLIANE
Sérénité 6</t>
  </si>
  <si>
    <t>NÉOLIANE
Sérénité 7</t>
  </si>
  <si>
    <t>CEGEMA
Hospi</t>
  </si>
  <si>
    <t>CEGEMA
Essentiel 1</t>
  </si>
  <si>
    <t>CEGEMA
Essentiel 2</t>
  </si>
  <si>
    <t>CEGEMA
W1</t>
  </si>
  <si>
    <t>CEGEMA
W2</t>
  </si>
  <si>
    <t>CEGEMA
W3</t>
  </si>
  <si>
    <t>CEGEMA
W4</t>
  </si>
  <si>
    <t>SWISSLIFE 
Pack Hospi 1</t>
  </si>
  <si>
    <t>SWISSLIFE 
Pack Hospi 2</t>
  </si>
  <si>
    <t>SWISSLIFE 
Pack Hospi 3</t>
  </si>
  <si>
    <t>SWISSLIFE 
Pack Hospi 4</t>
  </si>
  <si>
    <t>SWISSLIFE 
Pack Hospi 5</t>
  </si>
  <si>
    <t>SWISSLIFE 
Pack Hospi 6</t>
  </si>
  <si>
    <t>SWISSLIFE 
Pack Hospi 7</t>
  </si>
  <si>
    <t>SWISSLIFE 
Senior 1</t>
  </si>
  <si>
    <t>SWISSLIFE 
Senior 2</t>
  </si>
  <si>
    <t>SWISSLIFE 
Senior 3</t>
  </si>
  <si>
    <t>SWISSLIFE 
Senior 4</t>
  </si>
  <si>
    <t>SWISSLIFE 
Senior 5</t>
  </si>
  <si>
    <t>SWISSLIFE 
Senior 6</t>
  </si>
  <si>
    <t>SWISSLIFE 
Surcomplémentaire 3</t>
  </si>
  <si>
    <t>SWISSLIFE 
Surcomplémentaire 4</t>
  </si>
  <si>
    <t>SWISSLIFE 
Surcomplémentaire 5</t>
  </si>
  <si>
    <t>SWISSLIFE 
Surcomplémentaire 6</t>
  </si>
  <si>
    <t>APIVIA 
Equilibre 100</t>
  </si>
  <si>
    <t>APIVIA 
Equilibre 125</t>
  </si>
  <si>
    <t>APIVIA 
Equilibre 150</t>
  </si>
  <si>
    <t>APIVIA 
Equilibre 200</t>
  </si>
  <si>
    <t>APIVIA  
Exclusive Bronze</t>
  </si>
  <si>
    <t>APIVIA  
Exclusive Silver</t>
  </si>
  <si>
    <t>APIVIA  
Exclusive Gold</t>
  </si>
  <si>
    <t>APIVIA  
Exclusive Platine</t>
  </si>
  <si>
    <t>APIVIA  
TNS 1</t>
  </si>
  <si>
    <t>APIVIA  
TNS 2</t>
  </si>
  <si>
    <t>APIVIA  
TNS 3</t>
  </si>
  <si>
    <t>APIVIA  
TNS 4</t>
  </si>
  <si>
    <t>APIVIA  
TNS 5</t>
  </si>
  <si>
    <t>APIVIA  
ACS A</t>
  </si>
  <si>
    <t>APIVIA  
ACS B</t>
  </si>
  <si>
    <t>APIVIA  
ACS C</t>
  </si>
  <si>
    <t>SMATIS
Sécurité</t>
  </si>
  <si>
    <t>SMATIS
Confort</t>
  </si>
  <si>
    <t>SMATIS
Renfort</t>
  </si>
  <si>
    <t>SMATIS
Optimum</t>
  </si>
  <si>
    <t xml:space="preserve">CIPRES TNS
Essentiel </t>
  </si>
  <si>
    <t>CIPRES TNS
Sécurité</t>
  </si>
  <si>
    <t>CIPRES TNS
Confort</t>
  </si>
  <si>
    <t>CIPRES TNS
Excellence</t>
  </si>
  <si>
    <t>CIPRES TNS
Essentiel (NR)</t>
  </si>
  <si>
    <t>CIPRES TNS
Sécurité (NR)</t>
  </si>
  <si>
    <t>CIPRES TNS
Confort (NR)</t>
  </si>
  <si>
    <t>CIPRES TNS
Excellence (NR)</t>
  </si>
  <si>
    <t>APRIL
Modulaire 1</t>
  </si>
  <si>
    <t>APRIL
Modulaire 2</t>
  </si>
  <si>
    <t>APRIL
Modulaire 3</t>
  </si>
  <si>
    <t>APRIL
Modulaire 4</t>
  </si>
  <si>
    <t>APRIL
Modulaire 5</t>
  </si>
  <si>
    <t>APRIL
Modulaire 6</t>
  </si>
  <si>
    <t>APRIL
Modulaire 7</t>
  </si>
  <si>
    <t>APRIL
Modulaire 8</t>
  </si>
  <si>
    <t>APRIL
Modulaire 9</t>
  </si>
  <si>
    <t>APRIL
Modulaire 10</t>
  </si>
  <si>
    <t>APRIL
Modulaire 11</t>
  </si>
  <si>
    <t>APRIL
Modulaire 12</t>
  </si>
  <si>
    <t>APRIL Renfort
Modulaire 1</t>
  </si>
  <si>
    <t>APRIL Renfort
Modulaire 2</t>
  </si>
  <si>
    <t>APRIL Renfort
Modulaire 3</t>
  </si>
  <si>
    <t>APRIL Renfort
Modulaire 4</t>
  </si>
  <si>
    <t>APRIL Renfort
Modulaire 5</t>
  </si>
  <si>
    <t>APRIL
ANI</t>
  </si>
  <si>
    <t>APRIL
ANI +</t>
  </si>
  <si>
    <t>APRIL Renfort
ANI 1</t>
  </si>
  <si>
    <t>APRIL Renfort
ANI 2</t>
  </si>
  <si>
    <t>APRIL Renfort
ANI 3</t>
  </si>
  <si>
    <t>APRIL Renfort
ANI 4</t>
  </si>
  <si>
    <t>APRIL Renfort
ANI 5</t>
  </si>
  <si>
    <t>APRIL
TPE 1</t>
  </si>
  <si>
    <t>APRIL
TPE 2</t>
  </si>
  <si>
    <t>APRIL
TPE 3</t>
  </si>
  <si>
    <t>APRIL
TPE 4</t>
  </si>
  <si>
    <t>APRIL
TPE 5</t>
  </si>
  <si>
    <t>APRIL TPE
Renfort 1</t>
  </si>
  <si>
    <t>APRIL TPE
Renfort 2</t>
  </si>
  <si>
    <t>APRIL TPE
Renfort 3</t>
  </si>
  <si>
    <t>APRIL TPE
Renfort 4</t>
  </si>
  <si>
    <t>APRIL TPE
Renfort 5</t>
  </si>
  <si>
    <t>CIPRES Collectif
ANI</t>
  </si>
  <si>
    <t>CIPRES Ani
Essentiel</t>
  </si>
  <si>
    <t>CIPRES Ani
Sécurité</t>
  </si>
  <si>
    <t>CIPRES Ani
Confort</t>
  </si>
  <si>
    <t>CIPRES Ani
Excellence</t>
  </si>
  <si>
    <t>CIPRES Collectif
ANI+</t>
  </si>
  <si>
    <t>CIPRES Ani+
Essentiel</t>
  </si>
  <si>
    <t>CIPRES Ani+
Sécurité</t>
  </si>
  <si>
    <t>CIPRES Ani+
Confort</t>
  </si>
  <si>
    <t>CIPRES Ani+
Excellence</t>
  </si>
  <si>
    <t xml:space="preserve">CIPRES Collectif
Essentiel </t>
  </si>
  <si>
    <t>CIPRES Essentiel
Sécurité</t>
  </si>
  <si>
    <t>CIPRES Essentiel
Confort</t>
  </si>
  <si>
    <t>CIPRES Essentiel
Excellence</t>
  </si>
  <si>
    <t xml:space="preserve">CIPRES Collectif
Sécurité </t>
  </si>
  <si>
    <t>CIPRES Sécurité
Confort</t>
  </si>
  <si>
    <t>CIPRES Sécurité
Excellence</t>
  </si>
  <si>
    <t>CIPRES Collectif
Confort</t>
  </si>
  <si>
    <t>CIPRES Confort
Excellence</t>
  </si>
  <si>
    <t xml:space="preserve">CIPRES Collectif
Excellence </t>
  </si>
  <si>
    <t>CIPRES
Excellence +</t>
  </si>
  <si>
    <t>ALPTIS
Niveau ANI</t>
  </si>
  <si>
    <t>ALPTIS
Niveau 1</t>
  </si>
  <si>
    <t>ALPTIS
Niveau 2</t>
  </si>
  <si>
    <t>ALPTIS
Niveau 3</t>
  </si>
  <si>
    <t>ALPTIS
Niveau 4</t>
  </si>
  <si>
    <t>ALPTIS
Niveau 5</t>
  </si>
  <si>
    <t>ALPTIS
Pack Sérenité</t>
  </si>
  <si>
    <t>ALPTIS
Renfort Soin 1</t>
  </si>
  <si>
    <t>ALPTIS
Renfort Soin 2</t>
  </si>
  <si>
    <t>ALPTIS
Renfort Soin 3</t>
  </si>
  <si>
    <t>ALPTIS
Renfort OD 1</t>
  </si>
  <si>
    <t>ALPTIS
Renfort OD 2</t>
  </si>
  <si>
    <t>ALPTIS
Renfort OD 3</t>
  </si>
  <si>
    <t>Prix/mois</t>
  </si>
  <si>
    <t>Hospitalisation</t>
  </si>
  <si>
    <t>Frais Réels</t>
  </si>
  <si>
    <t>Frais réels</t>
  </si>
  <si>
    <t>Hospitalisation non CAS</t>
  </si>
  <si>
    <t xml:space="preserve">2000/o </t>
  </si>
  <si>
    <t>Frais de Séjour</t>
  </si>
  <si>
    <t>100%</t>
  </si>
  <si>
    <t>120%</t>
  </si>
  <si>
    <t>140%</t>
  </si>
  <si>
    <t>165%</t>
  </si>
  <si>
    <t>190%</t>
  </si>
  <si>
    <t>215%</t>
  </si>
  <si>
    <t xml:space="preserve">125% </t>
  </si>
  <si>
    <t>150%</t>
  </si>
  <si>
    <t>200%</t>
  </si>
  <si>
    <t>125%</t>
  </si>
  <si>
    <t>225%</t>
  </si>
  <si>
    <t>250%</t>
  </si>
  <si>
    <t>300%</t>
  </si>
  <si>
    <t>350%</t>
  </si>
  <si>
    <t>400%</t>
  </si>
  <si>
    <t>175%</t>
  </si>
  <si>
    <t>450%</t>
  </si>
  <si>
    <t>Forfait Journalier</t>
  </si>
  <si>
    <t>Chambre Particulière</t>
  </si>
  <si>
    <t>70%</t>
  </si>
  <si>
    <t>275%</t>
  </si>
  <si>
    <t>375%</t>
  </si>
  <si>
    <t>130%</t>
  </si>
  <si>
    <t>180%</t>
  </si>
  <si>
    <t>500%</t>
  </si>
  <si>
    <t>150% + 100 €</t>
  </si>
  <si>
    <t>175% + 100 €</t>
  </si>
  <si>
    <t>200% + 100 €</t>
  </si>
  <si>
    <t>250% + 100 €</t>
  </si>
  <si>
    <t>100% + 100 €</t>
  </si>
  <si>
    <t>125% + 100 €</t>
  </si>
  <si>
    <t>300% + 100 €</t>
  </si>
  <si>
    <t>170%</t>
  </si>
  <si>
    <t>220%</t>
  </si>
  <si>
    <t>320%</t>
  </si>
  <si>
    <t>420%</t>
  </si>
  <si>
    <t>520%</t>
  </si>
  <si>
    <t>325%</t>
  </si>
  <si>
    <t>425%</t>
  </si>
  <si>
    <t>485%</t>
  </si>
  <si>
    <t>550%</t>
  </si>
  <si>
    <t>25%</t>
  </si>
  <si>
    <t>50%</t>
  </si>
  <si>
    <t>75%</t>
  </si>
  <si>
    <t>270%</t>
  </si>
  <si>
    <t>370%</t>
  </si>
  <si>
    <t>470%</t>
  </si>
  <si>
    <t>570%</t>
  </si>
  <si>
    <t>90%</t>
  </si>
  <si>
    <t>290%</t>
  </si>
  <si>
    <t>390%</t>
  </si>
  <si>
    <t>0%</t>
  </si>
  <si>
    <t>Orthodontie</t>
  </si>
  <si>
    <t>100% + 400 €</t>
  </si>
  <si>
    <t>422 €</t>
  </si>
  <si>
    <t>633 €</t>
  </si>
  <si>
    <t>845 €</t>
  </si>
  <si>
    <t>1 267 €</t>
  </si>
  <si>
    <t>160%</t>
  </si>
  <si>
    <t>240%</t>
  </si>
  <si>
    <t>Implant</t>
  </si>
  <si>
    <t>2 x 250 €</t>
  </si>
  <si>
    <t>2 x 300 €</t>
  </si>
  <si>
    <t>2 x 450 €</t>
  </si>
  <si>
    <t>2 x 600 €</t>
  </si>
  <si>
    <t>2 x 750 €</t>
  </si>
  <si>
    <t>0</t>
  </si>
  <si>
    <t>200 €</t>
  </si>
  <si>
    <t>275 €</t>
  </si>
  <si>
    <t>350 €</t>
  </si>
  <si>
    <t>425 €</t>
  </si>
  <si>
    <t>500 €</t>
  </si>
  <si>
    <t>575 €</t>
  </si>
  <si>
    <t>650 €</t>
  </si>
  <si>
    <t>725 €</t>
  </si>
  <si>
    <t>800 €</t>
  </si>
  <si>
    <t>875 €</t>
  </si>
  <si>
    <t>950 €</t>
  </si>
  <si>
    <t>1025 €</t>
  </si>
  <si>
    <t>175 €</t>
  </si>
  <si>
    <t>250 €</t>
  </si>
  <si>
    <t>325 €</t>
  </si>
  <si>
    <t>400 €</t>
  </si>
  <si>
    <t>Plafond</t>
  </si>
  <si>
    <t>illimité</t>
  </si>
  <si>
    <t>60%</t>
  </si>
  <si>
    <t>441 €</t>
  </si>
  <si>
    <t>539 €</t>
  </si>
  <si>
    <t>801 €</t>
  </si>
  <si>
    <t>826 €</t>
  </si>
  <si>
    <t>320 €</t>
  </si>
  <si>
    <t>360 €</t>
  </si>
  <si>
    <t>440 €</t>
  </si>
  <si>
    <t>480 €</t>
  </si>
  <si>
    <t>520 €</t>
  </si>
  <si>
    <t>560 €</t>
  </si>
  <si>
    <t>600 €</t>
  </si>
  <si>
    <t>640 €</t>
  </si>
  <si>
    <t>680 €</t>
  </si>
  <si>
    <t>720 €</t>
  </si>
  <si>
    <t>750 €</t>
  </si>
  <si>
    <t>212 €</t>
  </si>
  <si>
    <t>311 €</t>
  </si>
  <si>
    <t>Lentilles Remboursées</t>
  </si>
  <si>
    <t>100% + 20 €</t>
  </si>
  <si>
    <t>100% + 70 €</t>
  </si>
  <si>
    <t>100% + 120 €</t>
  </si>
  <si>
    <t>100% + 170 €</t>
  </si>
  <si>
    <t>100% + 200 €</t>
  </si>
  <si>
    <t>100% + 250 €</t>
  </si>
  <si>
    <t>100% + 220 €</t>
  </si>
  <si>
    <t>100% + 25 €</t>
  </si>
  <si>
    <t>100% + 75 €</t>
  </si>
  <si>
    <t>100% + 150 €</t>
  </si>
  <si>
    <t>100% + 225 €</t>
  </si>
  <si>
    <t>100% + 300 €</t>
  </si>
  <si>
    <t>100% + 350 €</t>
  </si>
  <si>
    <t>100% + 50 €</t>
  </si>
  <si>
    <t>100% + 125 €</t>
  </si>
  <si>
    <t>100% + 175 €</t>
  </si>
  <si>
    <t>100% + 10 €</t>
  </si>
  <si>
    <t>100% + 60 €</t>
  </si>
  <si>
    <t xml:space="preserve">100% </t>
  </si>
  <si>
    <t>100% + 40 €</t>
  </si>
  <si>
    <t>100% + 212 €</t>
  </si>
  <si>
    <t>100% + 262 €</t>
  </si>
  <si>
    <t>100% + 327 €</t>
  </si>
  <si>
    <t>100% + 376 €</t>
  </si>
  <si>
    <t>100% + 275 €</t>
  </si>
  <si>
    <t>100% + 325 €</t>
  </si>
  <si>
    <t>100% + 375 €</t>
  </si>
  <si>
    <t>100% + 80 €</t>
  </si>
  <si>
    <t>100% + 160 €</t>
  </si>
  <si>
    <t>100% + 187 €</t>
  </si>
  <si>
    <t>100% + 312 €</t>
  </si>
  <si>
    <t>100% + 114 €</t>
  </si>
  <si>
    <t>100% + 98 €</t>
  </si>
  <si>
    <t>100% + 147 €</t>
  </si>
  <si>
    <t>100% + 131 €</t>
  </si>
  <si>
    <t>100% + 82 €</t>
  </si>
  <si>
    <t>100% + 196 €</t>
  </si>
  <si>
    <t>100% + 245 €</t>
  </si>
  <si>
    <t>100% + 49 €</t>
  </si>
  <si>
    <t>100% + 163 €</t>
  </si>
  <si>
    <t>100% + 65 €</t>
  </si>
  <si>
    <t>Lentilles</t>
  </si>
  <si>
    <t>Sur Optique</t>
  </si>
  <si>
    <t>0 €</t>
  </si>
  <si>
    <t>40 €</t>
  </si>
  <si>
    <t>80 €</t>
  </si>
  <si>
    <t>120 €</t>
  </si>
  <si>
    <t>160 €</t>
  </si>
  <si>
    <t>Consultation</t>
  </si>
  <si>
    <t>Consultation non CAS</t>
  </si>
  <si>
    <t>110%</t>
  </si>
  <si>
    <t>Médicaments</t>
  </si>
  <si>
    <t>Part Sécurité Sociale</t>
  </si>
  <si>
    <t>Pas les Vignettes Oranges</t>
  </si>
  <si>
    <t>Toutes les Vignettes</t>
  </si>
  <si>
    <t>Uniquement Vignettes Blanches</t>
  </si>
  <si>
    <t>Médicaments
non-Remboursés</t>
  </si>
  <si>
    <t>25 €/pers.</t>
  </si>
  <si>
    <t>50 €/pers.</t>
  </si>
  <si>
    <t>75 €/pers.</t>
  </si>
  <si>
    <t>15 €/pers.</t>
  </si>
  <si>
    <t>30 €/pers.</t>
  </si>
  <si>
    <t>45 €/pers.</t>
  </si>
  <si>
    <t>55 €/pers.</t>
  </si>
  <si>
    <t>80 €/pers.</t>
  </si>
  <si>
    <t>100 €/pers.</t>
  </si>
  <si>
    <t>120 €/pers.</t>
  </si>
  <si>
    <t>150 €/pers.</t>
  </si>
  <si>
    <t>200 €/pers.</t>
  </si>
  <si>
    <t>250 €/pers.</t>
  </si>
  <si>
    <t>10 €/pers.</t>
  </si>
  <si>
    <t>20 €/pers.</t>
  </si>
  <si>
    <t>(sur Bien-Être)</t>
  </si>
  <si>
    <t>32 €/pers</t>
  </si>
  <si>
    <t>43 €/pers</t>
  </si>
  <si>
    <t>53 €/pers</t>
  </si>
  <si>
    <t>73 €/pers</t>
  </si>
  <si>
    <t>40 €/pers.</t>
  </si>
  <si>
    <t>50 €/pers</t>
  </si>
  <si>
    <t xml:space="preserve">Bien-Être </t>
  </si>
  <si>
    <t>125 €/pers.</t>
  </si>
  <si>
    <t>175 €/pers.</t>
  </si>
  <si>
    <t>60 €/pers.</t>
  </si>
  <si>
    <t>90 €/pers.</t>
  </si>
  <si>
    <t>300 €/pers.</t>
  </si>
  <si>
    <t>70 €/pers.</t>
  </si>
  <si>
    <t>160 €/pers.</t>
  </si>
  <si>
    <t>215 €/pers</t>
  </si>
  <si>
    <t>180 €/pers.</t>
  </si>
  <si>
    <t>210 €/pers</t>
  </si>
  <si>
    <t>105 €/pers</t>
  </si>
  <si>
    <t>135 €/pers</t>
  </si>
  <si>
    <t>140 €/pers.</t>
  </si>
  <si>
    <t>220 €/pers.</t>
  </si>
  <si>
    <t>240 €/pers.</t>
  </si>
  <si>
    <t>260 €/pers.</t>
  </si>
  <si>
    <t>280 €/pers.</t>
  </si>
  <si>
    <t>31 €/pers.</t>
  </si>
  <si>
    <t>62 €/pers.</t>
  </si>
  <si>
    <t>212 €/pers.</t>
  </si>
  <si>
    <t>310 €/pers.</t>
  </si>
  <si>
    <t>15 €/pers</t>
  </si>
  <si>
    <t>30 €/pers</t>
  </si>
  <si>
    <t>45 €/pers</t>
  </si>
  <si>
    <t>175 €/pers</t>
  </si>
  <si>
    <t>Cure Thermale</t>
  </si>
  <si>
    <t>100% + 550 €</t>
  </si>
  <si>
    <t>100% + 700 €</t>
  </si>
  <si>
    <t>200% + 200 €</t>
  </si>
  <si>
    <t>170% + 150 €</t>
  </si>
  <si>
    <t>220% + 200 €</t>
  </si>
  <si>
    <t>300% + 300 €</t>
  </si>
  <si>
    <t>400% + 400 €</t>
  </si>
  <si>
    <t>65%</t>
  </si>
  <si>
    <t>65% + 200 €</t>
  </si>
  <si>
    <t>100%+125 €</t>
  </si>
  <si>
    <t>100%+150 €</t>
  </si>
  <si>
    <t>100%+200 €</t>
  </si>
  <si>
    <t>100% + 106 €</t>
  </si>
  <si>
    <t>150% + 158 €</t>
  </si>
  <si>
    <t>200% + 211 €</t>
  </si>
  <si>
    <t>250% + 264 €</t>
  </si>
  <si>
    <t>70% + 327 €</t>
  </si>
  <si>
    <t>70% + 539 €</t>
  </si>
  <si>
    <t>70% + 752 €</t>
  </si>
  <si>
    <t>70% + 964 €</t>
  </si>
  <si>
    <t>70% + 400 €</t>
  </si>
  <si>
    <t>70% + 450 €</t>
  </si>
  <si>
    <t>70% + 500 €</t>
  </si>
  <si>
    <t>70% + 550 €</t>
  </si>
  <si>
    <t>70% + 600 €</t>
  </si>
  <si>
    <t>70% + 650 €</t>
  </si>
  <si>
    <t>70% + 700 €</t>
  </si>
  <si>
    <t>70% + 750 €</t>
  </si>
  <si>
    <t>70% + 800 €</t>
  </si>
  <si>
    <t>70% + 850 €</t>
  </si>
  <si>
    <t>70% + 900 €</t>
  </si>
  <si>
    <t>70% + 950 €</t>
  </si>
  <si>
    <t>50 €</t>
  </si>
  <si>
    <t>100 €</t>
  </si>
  <si>
    <t>150 €</t>
  </si>
  <si>
    <t>75 €</t>
  </si>
  <si>
    <t>225 €</t>
  </si>
  <si>
    <t>300 €</t>
  </si>
  <si>
    <t>375 €</t>
  </si>
  <si>
    <t>70% + 153 €</t>
  </si>
  <si>
    <t>70% + 306 €</t>
  </si>
  <si>
    <t>70% + 456 €</t>
  </si>
  <si>
    <t>70% + 610 €</t>
  </si>
  <si>
    <t>70% + 760 €</t>
  </si>
  <si>
    <t>70% + 212 €</t>
  </si>
  <si>
    <t>70% + 425 €</t>
  </si>
  <si>
    <t>70% + 637 €</t>
  </si>
  <si>
    <t>300% +30 €</t>
  </si>
  <si>
    <t>Auditif</t>
  </si>
  <si>
    <t>100% + 600 €</t>
  </si>
  <si>
    <t>100% + 800 €</t>
  </si>
  <si>
    <t>100% + 900 €</t>
  </si>
  <si>
    <t>100% + 1000 €</t>
  </si>
  <si>
    <t>100% + 1200 €</t>
  </si>
  <si>
    <t>100% + 450 €</t>
  </si>
  <si>
    <t>100% + 750 €</t>
  </si>
  <si>
    <t>100% + 1050 €</t>
  </si>
  <si>
    <t>280%</t>
  </si>
  <si>
    <t>380%</t>
  </si>
  <si>
    <t>125% + 150 €</t>
  </si>
  <si>
    <t>150% + 250 €</t>
  </si>
  <si>
    <t>200% + 300 €</t>
  </si>
  <si>
    <t>300% + 400 €</t>
  </si>
  <si>
    <t>150% + 300 €</t>
  </si>
  <si>
    <t>170% + 300 €</t>
  </si>
  <si>
    <t>100% + 158 €</t>
  </si>
  <si>
    <t>150% + 211 €</t>
  </si>
  <si>
    <t>200% + 264 €</t>
  </si>
  <si>
    <t>250% + 317 €</t>
  </si>
  <si>
    <t>260%</t>
  </si>
  <si>
    <t>360%</t>
  </si>
  <si>
    <t>460%</t>
  </si>
  <si>
    <t>560%</t>
  </si>
  <si>
    <t>Chambre Part.</t>
  </si>
  <si>
    <t>Vignettes</t>
  </si>
  <si>
    <t>FR76 0000 0000 0000 0000 0000 000</t>
  </si>
  <si>
    <t>13/10/2016</t>
  </si>
  <si>
    <t>27</t>
  </si>
  <si>
    <t>25</t>
  </si>
  <si>
    <t>31,61</t>
  </si>
  <si>
    <t>34,3086</t>
  </si>
  <si>
    <t>81100</t>
  </si>
  <si>
    <t>606060606</t>
  </si>
  <si>
    <t>06/02/1992</t>
  </si>
  <si>
    <t>03/10/2016</t>
  </si>
  <si>
    <t>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</si>
</sst>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6" formatCode="#,##0\ &quot;€&quot;;[Red]\-#,##0\ &quot;€&quot;"/>
    <numFmt numFmtId="164" formatCode="#,##0\ &quot;€&quot;"/>
    <numFmt numFmtId="165" formatCode="#,##0.00\ &quot;€&quot;"/>
    <numFmt numFmtId="166" formatCode="0.0%"/>
    <numFmt numFmtId="167" formatCode="#,##0.0\ &quot;€&quot;"/>
    <numFmt numFmtId="168" formatCode="00000"/>
    <numFmt numFmtId="169" formatCode="0#&quot; &quot;##&quot; &quot;##&quot; &quot;##&quot; &quot;##"/>
    <numFmt numFmtId="170" formatCode="[$-40C]mmm\-yy;@"/>
  </numFmts>
  <fonts count="4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"/>
      <color theme="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4"/>
      <color theme="1"/>
      <name val="Arial"/>
      <family val="2"/>
    </font>
    <font>
      <sz val="12"/>
      <color theme="4" tint="-0.499984740745262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1"/>
      <color theme="1"/>
      <name val="Arial"/>
      <family val="2"/>
    </font>
    <font>
      <b/>
      <sz val="8"/>
      <name val="Arial"/>
      <family val="2"/>
    </font>
    <font>
      <b/>
      <sz val="12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ADCF4"/>
        <bgColor indexed="64"/>
      </patternFill>
    </fill>
    <fill>
      <patternFill patternType="solid">
        <fgColor rgb="FFD6BBEB"/>
        <bgColor indexed="64"/>
      </patternFill>
    </fill>
    <fill>
      <patternFill patternType="solid">
        <fgColor rgb="FFFFC165"/>
        <bgColor indexed="64"/>
      </patternFill>
    </fill>
    <fill>
      <patternFill patternType="solid">
        <fgColor rgb="FFFFE0C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9D76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17B7B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E25E5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6BF9A"/>
        <bgColor indexed="64"/>
      </patternFill>
    </fill>
    <fill>
      <patternFill patternType="solid">
        <fgColor rgb="FFA2ECBB"/>
        <bgColor indexed="64"/>
      </patternFill>
    </fill>
    <fill>
      <patternFill patternType="solid">
        <fgColor theme="8" tint="0.59999389629810485"/>
        <bgColor indexed="64"/>
      </patternFill>
    </fill>
  </fills>
  <borders count="7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thin">
        <color theme="0" tint="-0.14999847407452621"/>
      </left>
      <right/>
      <top/>
      <bottom style="thin">
        <color indexed="64"/>
      </bottom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33">
    <xf numFmtId="0" fontId="0" fillId="0" borderId="0" xfId="0"/>
    <xf numFmtId="0" fontId="10" fillId="0" borderId="1" xfId="0" applyFont="1" applyBorder="1" applyAlignment="1">
      <alignment horizontal="center" vertical="center"/>
    </xf>
    <xf numFmtId="170" fontId="10" fillId="0" borderId="1" xfId="0" applyNumberFormat="1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/>
    </xf>
    <xf numFmtId="165" fontId="10" fillId="3" borderId="1" xfId="0" applyNumberFormat="1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14" fontId="10" fillId="2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49" fontId="10" fillId="0" borderId="1" xfId="0" applyNumberFormat="1" applyFont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70" fontId="6" fillId="0" borderId="1" xfId="0" applyNumberFormat="1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165" fontId="10" fillId="5" borderId="1" xfId="0" applyNumberFormat="1" applyFont="1" applyFill="1" applyBorder="1" applyAlignment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164" fontId="0" fillId="0" borderId="0" xfId="0" applyNumberFormat="1" applyFont="1" applyAlignment="1" applyProtection="1">
      <alignment horizontal="center" vertical="center"/>
    </xf>
    <xf numFmtId="1" fontId="0" fillId="0" borderId="0" xfId="0" applyNumberFormat="1" applyFont="1" applyAlignment="1" applyProtection="1">
      <alignment horizontal="center" vertical="center"/>
    </xf>
    <xf numFmtId="165" fontId="0" fillId="0" borderId="0" xfId="0" applyNumberFormat="1" applyFont="1" applyAlignment="1" applyProtection="1">
      <alignment horizontal="center" vertical="center"/>
    </xf>
    <xf numFmtId="0" fontId="0" fillId="0" borderId="0" xfId="0" applyFont="1" applyFill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center" vertical="center"/>
    </xf>
    <xf numFmtId="164" fontId="1" fillId="0" borderId="0" xfId="0" applyNumberFormat="1" applyFont="1" applyAlignment="1" applyProtection="1">
      <alignment horizontal="center" vertical="center"/>
    </xf>
    <xf numFmtId="1" fontId="2" fillId="22" borderId="38" xfId="0" applyNumberFormat="1" applyFont="1" applyFill="1" applyBorder="1" applyAlignment="1" applyProtection="1">
      <alignment horizontal="center" vertical="center"/>
    </xf>
    <xf numFmtId="0" fontId="2" fillId="17" borderId="38" xfId="0" applyFont="1" applyFill="1" applyBorder="1" applyAlignment="1" applyProtection="1">
      <alignment horizontal="center" vertical="center"/>
    </xf>
    <xf numFmtId="0" fontId="2" fillId="20" borderId="38" xfId="0" applyFont="1" applyFill="1" applyBorder="1" applyAlignment="1" applyProtection="1">
      <alignment horizontal="center" vertical="center"/>
    </xf>
    <xf numFmtId="165" fontId="2" fillId="8" borderId="38" xfId="0" applyNumberFormat="1" applyFont="1" applyFill="1" applyBorder="1" applyAlignment="1" applyProtection="1">
      <alignment horizontal="center" vertical="center"/>
    </xf>
    <xf numFmtId="165" fontId="2" fillId="17" borderId="38" xfId="0" applyNumberFormat="1" applyFont="1" applyFill="1" applyBorder="1" applyAlignment="1" applyProtection="1">
      <alignment horizontal="center" vertical="center"/>
    </xf>
    <xf numFmtId="165" fontId="2" fillId="20" borderId="38" xfId="0" applyNumberFormat="1" applyFont="1" applyFill="1" applyBorder="1" applyAlignment="1" applyProtection="1">
      <alignment horizontal="center" vertical="center"/>
    </xf>
    <xf numFmtId="165" fontId="2" fillId="5" borderId="38" xfId="0" applyNumberFormat="1" applyFont="1" applyFill="1" applyBorder="1" applyAlignment="1" applyProtection="1">
      <alignment horizontal="center" vertical="center"/>
    </xf>
    <xf numFmtId="0" fontId="2" fillId="5" borderId="38" xfId="0" applyFont="1" applyFill="1" applyBorder="1" applyAlignment="1" applyProtection="1">
      <alignment horizontal="center" vertical="center"/>
    </xf>
    <xf numFmtId="49" fontId="2" fillId="5" borderId="38" xfId="0" applyNumberFormat="1" applyFont="1" applyFill="1" applyBorder="1" applyAlignment="1" applyProtection="1">
      <alignment horizontal="center" vertical="center"/>
    </xf>
    <xf numFmtId="164" fontId="2" fillId="8" borderId="38" xfId="0" applyNumberFormat="1" applyFont="1" applyFill="1" applyBorder="1" applyAlignment="1" applyProtection="1">
      <alignment horizontal="center" vertical="center"/>
    </xf>
    <xf numFmtId="0" fontId="2" fillId="8" borderId="38" xfId="0" applyFont="1" applyFill="1" applyBorder="1" applyAlignment="1" applyProtection="1">
      <alignment horizontal="center" vertical="center"/>
    </xf>
    <xf numFmtId="0" fontId="3" fillId="17" borderId="38" xfId="0" applyFont="1" applyFill="1" applyBorder="1" applyAlignment="1" applyProtection="1">
      <alignment horizontal="center" vertical="center"/>
    </xf>
    <xf numFmtId="168" fontId="3" fillId="17" borderId="38" xfId="0" applyNumberFormat="1" applyFont="1" applyFill="1" applyBorder="1" applyAlignment="1" applyProtection="1">
      <alignment horizontal="center" vertical="center"/>
    </xf>
    <xf numFmtId="0" fontId="3" fillId="20" borderId="38" xfId="0" applyFont="1" applyFill="1" applyBorder="1" applyAlignment="1" applyProtection="1">
      <alignment horizontal="center" vertical="center"/>
    </xf>
    <xf numFmtId="0" fontId="3" fillId="5" borderId="38" xfId="0" applyFont="1" applyFill="1" applyBorder="1" applyAlignment="1" applyProtection="1">
      <alignment horizontal="center" vertical="center"/>
    </xf>
    <xf numFmtId="0" fontId="3" fillId="5" borderId="38" xfId="0" quotePrefix="1" applyFont="1" applyFill="1" applyBorder="1" applyAlignment="1" applyProtection="1">
      <alignment horizontal="center" vertical="center"/>
    </xf>
    <xf numFmtId="0" fontId="2" fillId="4" borderId="38" xfId="0" applyFont="1" applyFill="1" applyBorder="1" applyAlignment="1" applyProtection="1">
      <alignment horizontal="center" vertical="center"/>
    </xf>
    <xf numFmtId="169" fontId="3" fillId="17" borderId="38" xfId="0" applyNumberFormat="1" applyFont="1" applyFill="1" applyBorder="1" applyAlignment="1" applyProtection="1">
      <alignment horizontal="center" vertical="center"/>
    </xf>
    <xf numFmtId="49" fontId="3" fillId="17" borderId="38" xfId="0" applyNumberFormat="1" applyFont="1" applyFill="1" applyBorder="1" applyAlignment="1" applyProtection="1">
      <alignment horizontal="center" vertical="center"/>
    </xf>
    <xf numFmtId="0" fontId="2" fillId="22" borderId="38" xfId="0" applyFont="1" applyFill="1" applyBorder="1" applyAlignment="1" applyProtection="1">
      <alignment horizontal="center" vertical="center"/>
    </xf>
    <xf numFmtId="1" fontId="2" fillId="17" borderId="38" xfId="0" applyNumberFormat="1" applyFont="1" applyFill="1" applyBorder="1" applyAlignment="1" applyProtection="1">
      <alignment horizontal="center" vertical="center"/>
    </xf>
    <xf numFmtId="1" fontId="2" fillId="20" borderId="38" xfId="0" applyNumberFormat="1" applyFont="1" applyFill="1" applyBorder="1" applyAlignment="1" applyProtection="1">
      <alignment horizontal="center" vertical="center"/>
    </xf>
    <xf numFmtId="49" fontId="3" fillId="11" borderId="38" xfId="0" quotePrefix="1" applyNumberFormat="1" applyFont="1" applyFill="1" applyBorder="1" applyAlignment="1" applyProtection="1">
      <alignment horizontal="center" vertical="center"/>
    </xf>
    <xf numFmtId="164" fontId="16" fillId="5" borderId="38" xfId="0" applyNumberFormat="1" applyFont="1" applyFill="1" applyBorder="1" applyAlignment="1" applyProtection="1">
      <alignment horizontal="center" vertical="center"/>
    </xf>
    <xf numFmtId="0" fontId="13" fillId="21" borderId="38" xfId="0" applyFont="1" applyFill="1" applyBorder="1" applyAlignment="1" applyProtection="1">
      <alignment horizontal="center" vertical="center"/>
    </xf>
    <xf numFmtId="0" fontId="19" fillId="7" borderId="39" xfId="0" applyFont="1" applyFill="1" applyBorder="1" applyAlignment="1" applyProtection="1">
      <alignment horizontal="center" vertical="center"/>
    </xf>
    <xf numFmtId="49" fontId="19" fillId="7" borderId="39" xfId="0" applyNumberFormat="1" applyFont="1" applyFill="1" applyBorder="1" applyAlignment="1" applyProtection="1">
      <alignment horizontal="center" vertical="center"/>
    </xf>
    <xf numFmtId="0" fontId="19" fillId="7" borderId="41" xfId="0" applyFont="1" applyFill="1" applyBorder="1" applyAlignment="1" applyProtection="1">
      <alignment horizontal="center" vertical="center"/>
    </xf>
    <xf numFmtId="14" fontId="19" fillId="7" borderId="41" xfId="0" applyNumberFormat="1" applyFont="1" applyFill="1" applyBorder="1" applyAlignment="1" applyProtection="1">
      <alignment horizontal="center" vertical="center"/>
    </xf>
    <xf numFmtId="164" fontId="19" fillId="7" borderId="41" xfId="0" applyNumberFormat="1" applyFont="1" applyFill="1" applyBorder="1" applyAlignment="1" applyProtection="1">
      <alignment horizontal="center" vertical="center"/>
    </xf>
    <xf numFmtId="0" fontId="19" fillId="7" borderId="40" xfId="0" applyFont="1" applyFill="1" applyBorder="1" applyAlignment="1" applyProtection="1">
      <alignment horizontal="center" vertical="center"/>
    </xf>
    <xf numFmtId="0" fontId="0" fillId="18" borderId="38" xfId="0" applyFont="1" applyFill="1" applyBorder="1" applyAlignment="1" applyProtection="1">
      <alignment horizontal="center" vertical="center"/>
    </xf>
    <xf numFmtId="1" fontId="0" fillId="3" borderId="38" xfId="0" applyNumberFormat="1" applyFont="1" applyFill="1" applyBorder="1" applyAlignment="1" applyProtection="1">
      <alignment horizontal="center" vertical="center"/>
    </xf>
    <xf numFmtId="14" fontId="0" fillId="7" borderId="39" xfId="0" applyNumberFormat="1" applyFont="1" applyFill="1" applyBorder="1" applyAlignment="1" applyProtection="1">
      <alignment horizontal="center" vertical="center"/>
    </xf>
    <xf numFmtId="2" fontId="0" fillId="7" borderId="41" xfId="0" applyNumberFormat="1" applyFont="1" applyFill="1" applyBorder="1" applyAlignment="1" applyProtection="1">
      <alignment horizontal="center" vertical="center"/>
    </xf>
    <xf numFmtId="0" fontId="0" fillId="7" borderId="41" xfId="0" applyFont="1" applyFill="1" applyBorder="1" applyAlignment="1" applyProtection="1">
      <alignment horizontal="center" vertical="center"/>
    </xf>
    <xf numFmtId="0" fontId="19" fillId="7" borderId="0" xfId="0" applyFont="1" applyFill="1" applyBorder="1" applyAlignment="1" applyProtection="1">
      <alignment horizontal="center" vertical="center"/>
    </xf>
    <xf numFmtId="49" fontId="19" fillId="7" borderId="44" xfId="1" applyNumberFormat="1" applyFont="1" applyFill="1" applyBorder="1" applyAlignment="1" applyProtection="1">
      <alignment horizontal="center" vertical="center"/>
    </xf>
    <xf numFmtId="14" fontId="0" fillId="3" borderId="38" xfId="0" applyNumberFormat="1" applyFont="1" applyFill="1" applyBorder="1" applyAlignment="1" applyProtection="1">
      <alignment horizontal="center" vertical="center"/>
    </xf>
    <xf numFmtId="14" fontId="0" fillId="16" borderId="38" xfId="0" applyNumberFormat="1" applyFont="1" applyFill="1" applyBorder="1" applyAlignment="1" applyProtection="1">
      <alignment horizontal="center" vertical="center"/>
    </xf>
    <xf numFmtId="0" fontId="0" fillId="16" borderId="38" xfId="0" applyFont="1" applyFill="1" applyBorder="1" applyAlignment="1" applyProtection="1">
      <alignment horizontal="center" vertical="center"/>
    </xf>
    <xf numFmtId="14" fontId="0" fillId="18" borderId="38" xfId="0" applyNumberFormat="1" applyFont="1" applyFill="1" applyBorder="1" applyAlignment="1" applyProtection="1">
      <alignment horizontal="center" vertical="center"/>
    </xf>
    <xf numFmtId="165" fontId="0" fillId="11" borderId="38" xfId="0" applyNumberFormat="1" applyFont="1" applyFill="1" applyBorder="1" applyAlignment="1" applyProtection="1">
      <alignment horizontal="center" vertical="center"/>
    </xf>
    <xf numFmtId="165" fontId="0" fillId="16" borderId="38" xfId="0" applyNumberFormat="1" applyFont="1" applyFill="1" applyBorder="1" applyAlignment="1" applyProtection="1">
      <alignment horizontal="center" vertical="center"/>
    </xf>
    <xf numFmtId="0" fontId="0" fillId="3" borderId="38" xfId="0" applyNumberFormat="1" applyFont="1" applyFill="1" applyBorder="1" applyAlignment="1" applyProtection="1">
      <alignment horizontal="center" vertical="center"/>
    </xf>
    <xf numFmtId="164" fontId="0" fillId="3" borderId="38" xfId="0" applyNumberFormat="1" applyFont="1" applyFill="1" applyBorder="1" applyAlignment="1" applyProtection="1">
      <alignment horizontal="center" vertical="center"/>
    </xf>
    <xf numFmtId="2" fontId="0" fillId="17" borderId="38" xfId="0" applyNumberFormat="1" applyFont="1" applyFill="1" applyBorder="1" applyAlignment="1" applyProtection="1">
      <alignment horizontal="center" vertical="center"/>
    </xf>
    <xf numFmtId="167" fontId="0" fillId="3" borderId="38" xfId="0" applyNumberFormat="1" applyFont="1" applyFill="1" applyBorder="1" applyAlignment="1" applyProtection="1">
      <alignment horizontal="center" vertical="center"/>
    </xf>
    <xf numFmtId="14" fontId="0" fillId="17" borderId="38" xfId="0" applyNumberFormat="1" applyFont="1" applyFill="1" applyBorder="1" applyAlignment="1" applyProtection="1">
      <alignment horizontal="center" vertical="center"/>
    </xf>
    <xf numFmtId="2" fontId="0" fillId="3" borderId="38" xfId="0" applyNumberFormat="1" applyFont="1" applyFill="1" applyBorder="1" applyAlignment="1" applyProtection="1">
      <alignment horizontal="center" vertical="center"/>
    </xf>
    <xf numFmtId="166" fontId="9" fillId="3" borderId="38" xfId="0" applyNumberFormat="1" applyFont="1" applyFill="1" applyBorder="1" applyAlignment="1" applyProtection="1">
      <alignment horizontal="center" vertical="center"/>
    </xf>
    <xf numFmtId="10" fontId="9" fillId="3" borderId="38" xfId="0" applyNumberFormat="1" applyFont="1" applyFill="1" applyBorder="1" applyAlignment="1" applyProtection="1">
      <alignment horizontal="center" vertical="center"/>
    </xf>
    <xf numFmtId="0" fontId="8" fillId="16" borderId="38" xfId="0" applyFont="1" applyFill="1" applyBorder="1" applyAlignment="1" applyProtection="1">
      <alignment horizontal="center" vertical="center"/>
    </xf>
    <xf numFmtId="168" fontId="0" fillId="16" borderId="38" xfId="0" applyNumberFormat="1" applyFont="1" applyFill="1" applyBorder="1" applyAlignment="1" applyProtection="1">
      <alignment horizontal="center" vertical="center"/>
    </xf>
    <xf numFmtId="169" fontId="0" fillId="16" borderId="38" xfId="0" applyNumberFormat="1" applyFont="1" applyFill="1" applyBorder="1" applyAlignment="1" applyProtection="1">
      <alignment horizontal="center" vertical="center"/>
    </xf>
    <xf numFmtId="2" fontId="0" fillId="18" borderId="38" xfId="0" applyNumberFormat="1" applyFont="1" applyFill="1" applyBorder="1" applyAlignment="1" applyProtection="1">
      <alignment horizontal="center" vertical="center"/>
    </xf>
    <xf numFmtId="0" fontId="0" fillId="21" borderId="38" xfId="0" quotePrefix="1" applyFill="1" applyBorder="1" applyAlignment="1" applyProtection="1">
      <alignment horizontal="center" vertical="center"/>
    </xf>
    <xf numFmtId="14" fontId="0" fillId="23" borderId="38" xfId="0" applyNumberFormat="1" applyFont="1" applyFill="1" applyBorder="1" applyAlignment="1" applyProtection="1">
      <alignment horizontal="center" vertical="center"/>
    </xf>
    <xf numFmtId="1" fontId="19" fillId="7" borderId="41" xfId="0" applyNumberFormat="1" applyFont="1" applyFill="1" applyBorder="1" applyAlignment="1" applyProtection="1">
      <alignment horizontal="center" vertical="center"/>
    </xf>
    <xf numFmtId="167" fontId="17" fillId="3" borderId="38" xfId="0" applyNumberFormat="1" applyFont="1" applyFill="1" applyBorder="1" applyAlignment="1" applyProtection="1">
      <alignment horizontal="center" vertical="center"/>
    </xf>
    <xf numFmtId="167" fontId="1" fillId="17" borderId="38" xfId="0" applyNumberFormat="1" applyFont="1" applyFill="1" applyBorder="1" applyAlignment="1" applyProtection="1">
      <alignment horizontal="center" vertical="center"/>
    </xf>
    <xf numFmtId="0" fontId="0" fillId="7" borderId="38" xfId="0" applyFont="1" applyFill="1" applyBorder="1" applyAlignment="1" applyProtection="1">
      <alignment horizontal="center" vertical="center"/>
    </xf>
    <xf numFmtId="0" fontId="3" fillId="6" borderId="38" xfId="0" applyFont="1" applyFill="1" applyBorder="1" applyAlignment="1" applyProtection="1">
      <alignment horizontal="center" vertical="center"/>
    </xf>
    <xf numFmtId="0" fontId="7" fillId="16" borderId="38" xfId="1" applyFill="1" applyBorder="1" applyAlignment="1" applyProtection="1">
      <alignment horizontal="center" vertical="center"/>
    </xf>
    <xf numFmtId="49" fontId="0" fillId="16" borderId="38" xfId="1" applyNumberFormat="1" applyFont="1" applyFill="1" applyBorder="1" applyAlignment="1" applyProtection="1">
      <alignment horizontal="center" vertical="center"/>
    </xf>
    <xf numFmtId="0" fontId="0" fillId="7" borderId="42" xfId="0" applyFont="1" applyFill="1" applyBorder="1" applyAlignment="1" applyProtection="1">
      <alignment horizontal="center" vertical="center"/>
    </xf>
    <xf numFmtId="0" fontId="12" fillId="6" borderId="1" xfId="0" quotePrefix="1" applyFont="1" applyFill="1" applyBorder="1" applyAlignment="1" applyProtection="1">
      <alignment horizontal="center" vertical="center"/>
    </xf>
    <xf numFmtId="0" fontId="2" fillId="19" borderId="38" xfId="0" applyFont="1" applyFill="1" applyBorder="1" applyAlignment="1" applyProtection="1">
      <alignment horizontal="center" vertical="center"/>
    </xf>
    <xf numFmtId="165" fontId="2" fillId="9" borderId="38" xfId="0" applyNumberFormat="1" applyFont="1" applyFill="1" applyBorder="1" applyAlignment="1" applyProtection="1">
      <alignment horizontal="center" vertical="center"/>
    </xf>
    <xf numFmtId="165" fontId="0" fillId="20" borderId="38" xfId="0" applyNumberFormat="1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18" borderId="45" xfId="0" applyFont="1" applyFill="1" applyBorder="1" applyAlignment="1" applyProtection="1">
      <alignment horizontal="center" vertical="center"/>
    </xf>
    <xf numFmtId="0" fontId="0" fillId="18" borderId="42" xfId="0" applyFont="1" applyFill="1" applyBorder="1" applyAlignment="1" applyProtection="1">
      <alignment horizontal="center" vertical="center"/>
    </xf>
    <xf numFmtId="1" fontId="0" fillId="24" borderId="38" xfId="0" applyNumberFormat="1" applyFont="1" applyFill="1" applyBorder="1" applyAlignment="1" applyProtection="1">
      <alignment horizontal="center" vertical="center"/>
    </xf>
    <xf numFmtId="14" fontId="0" fillId="24" borderId="38" xfId="0" applyNumberFormat="1" applyFont="1" applyFill="1" applyBorder="1" applyAlignment="1" applyProtection="1">
      <alignment horizontal="center" vertical="center"/>
    </xf>
    <xf numFmtId="0" fontId="14" fillId="17" borderId="38" xfId="0" applyFont="1" applyFill="1" applyBorder="1" applyAlignment="1" applyProtection="1">
      <alignment horizontal="center" vertical="center"/>
    </xf>
    <xf numFmtId="167" fontId="1" fillId="17" borderId="1" xfId="0" applyNumberFormat="1" applyFont="1" applyFill="1" applyBorder="1" applyAlignment="1">
      <alignment horizontal="center" vertical="center"/>
    </xf>
    <xf numFmtId="1" fontId="2" fillId="24" borderId="38" xfId="0" applyNumberFormat="1" applyFont="1" applyFill="1" applyBorder="1" applyAlignment="1" applyProtection="1">
      <alignment horizontal="center" vertical="center"/>
    </xf>
    <xf numFmtId="0" fontId="3" fillId="11" borderId="38" xfId="0" applyFont="1" applyFill="1" applyBorder="1" applyAlignment="1" applyProtection="1">
      <alignment horizontal="center" vertical="center"/>
    </xf>
    <xf numFmtId="14" fontId="0" fillId="9" borderId="38" xfId="0" applyNumberFormat="1" applyFont="1" applyFill="1" applyBorder="1" applyAlignment="1" applyProtection="1">
      <alignment horizontal="center" vertical="center"/>
    </xf>
    <xf numFmtId="1" fontId="3" fillId="10" borderId="38" xfId="0" applyNumberFormat="1" applyFont="1" applyFill="1" applyBorder="1" applyAlignment="1" applyProtection="1">
      <alignment horizontal="center" vertical="center"/>
    </xf>
    <xf numFmtId="1" fontId="2" fillId="25" borderId="38" xfId="0" applyNumberFormat="1" applyFont="1" applyFill="1" applyBorder="1" applyAlignment="1" applyProtection="1">
      <alignment horizontal="center" vertical="center"/>
    </xf>
    <xf numFmtId="2" fontId="0" fillId="7" borderId="39" xfId="0" applyNumberFormat="1" applyFont="1" applyFill="1" applyBorder="1" applyAlignment="1" applyProtection="1">
      <alignment horizontal="center" vertical="center"/>
    </xf>
    <xf numFmtId="14" fontId="2" fillId="17" borderId="38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Alignment="1" applyProtection="1">
      <alignment horizontal="center" vertical="center"/>
    </xf>
    <xf numFmtId="0" fontId="0" fillId="26" borderId="1" xfId="0" applyFont="1" applyFill="1" applyBorder="1" applyAlignment="1">
      <alignment horizontal="center" vertical="center"/>
    </xf>
    <xf numFmtId="0" fontId="0" fillId="26" borderId="30" xfId="0" applyFont="1" applyFill="1" applyBorder="1" applyAlignment="1">
      <alignment horizontal="center" vertical="center"/>
    </xf>
    <xf numFmtId="0" fontId="0" fillId="16" borderId="38" xfId="1" applyNumberFormat="1" applyFont="1" applyFill="1" applyBorder="1" applyAlignment="1" applyProtection="1">
      <alignment horizontal="center" vertical="center"/>
    </xf>
    <xf numFmtId="165" fontId="0" fillId="25" borderId="38" xfId="0" applyNumberFormat="1" applyFont="1" applyFill="1" applyBorder="1" applyAlignment="1" applyProtection="1">
      <alignment horizontal="center" vertical="center"/>
    </xf>
    <xf numFmtId="0" fontId="0" fillId="7" borderId="38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28" borderId="16" xfId="0" applyFont="1" applyFill="1" applyBorder="1" applyAlignment="1">
      <alignment horizontal="center" vertical="center"/>
    </xf>
    <xf numFmtId="0" fontId="2" fillId="28" borderId="10" xfId="0" applyFont="1" applyFill="1" applyBorder="1" applyAlignment="1">
      <alignment horizontal="center" vertical="center"/>
    </xf>
    <xf numFmtId="0" fontId="2" fillId="28" borderId="17" xfId="0" applyFont="1" applyFill="1" applyBorder="1" applyAlignment="1">
      <alignment horizontal="center" vertical="center"/>
    </xf>
    <xf numFmtId="0" fontId="2" fillId="28" borderId="11" xfId="0" applyFont="1" applyFill="1" applyBorder="1" applyAlignment="1">
      <alignment horizontal="center" vertical="center"/>
    </xf>
    <xf numFmtId="0" fontId="2" fillId="28" borderId="18" xfId="0" applyFont="1" applyFill="1" applyBorder="1" applyAlignment="1">
      <alignment horizontal="center" vertical="center"/>
    </xf>
    <xf numFmtId="0" fontId="2" fillId="28" borderId="14" xfId="0" applyFont="1" applyFill="1" applyBorder="1" applyAlignment="1">
      <alignment horizontal="center" vertical="center"/>
    </xf>
    <xf numFmtId="0" fontId="2" fillId="28" borderId="34" xfId="0" applyFont="1" applyFill="1" applyBorder="1" applyAlignment="1">
      <alignment horizontal="center" vertical="center"/>
    </xf>
    <xf numFmtId="0" fontId="2" fillId="28" borderId="21" xfId="0" applyFont="1" applyFill="1" applyBorder="1" applyAlignment="1">
      <alignment horizontal="center" vertical="center"/>
    </xf>
    <xf numFmtId="0" fontId="2" fillId="12" borderId="31" xfId="0" applyFont="1" applyFill="1" applyBorder="1" applyAlignment="1">
      <alignment horizontal="center" vertical="center"/>
    </xf>
    <xf numFmtId="0" fontId="2" fillId="12" borderId="32" xfId="0" applyFont="1" applyFill="1" applyBorder="1" applyAlignment="1">
      <alignment horizontal="center" vertical="center"/>
    </xf>
    <xf numFmtId="0" fontId="2" fillId="12" borderId="15" xfId="0" applyFont="1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2" fillId="12" borderId="16" xfId="0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2" fillId="32" borderId="31" xfId="0" applyFont="1" applyFill="1" applyBorder="1" applyAlignment="1">
      <alignment horizontal="center" vertical="center"/>
    </xf>
    <xf numFmtId="0" fontId="2" fillId="32" borderId="32" xfId="0" applyFont="1" applyFill="1" applyBorder="1" applyAlignment="1">
      <alignment horizontal="center" vertical="center"/>
    </xf>
    <xf numFmtId="0" fontId="2" fillId="32" borderId="16" xfId="0" applyFont="1" applyFill="1" applyBorder="1" applyAlignment="1">
      <alignment horizontal="center" vertical="center"/>
    </xf>
    <xf numFmtId="0" fontId="2" fillId="32" borderId="10" xfId="0" applyFont="1" applyFill="1" applyBorder="1" applyAlignment="1">
      <alignment horizontal="center" vertical="center"/>
    </xf>
    <xf numFmtId="0" fontId="2" fillId="32" borderId="17" xfId="0" applyFont="1" applyFill="1" applyBorder="1" applyAlignment="1">
      <alignment horizontal="center" vertical="center"/>
    </xf>
    <xf numFmtId="0" fontId="2" fillId="32" borderId="11" xfId="0" quotePrefix="1" applyFont="1" applyFill="1" applyBorder="1" applyAlignment="1">
      <alignment horizontal="center" vertical="center"/>
    </xf>
    <xf numFmtId="0" fontId="2" fillId="32" borderId="18" xfId="0" applyFont="1" applyFill="1" applyBorder="1" applyAlignment="1">
      <alignment horizontal="center" vertical="center"/>
    </xf>
    <xf numFmtId="0" fontId="2" fillId="32" borderId="14" xfId="0" applyFont="1" applyFill="1" applyBorder="1" applyAlignment="1">
      <alignment horizontal="center" vertical="center"/>
    </xf>
    <xf numFmtId="0" fontId="2" fillId="32" borderId="20" xfId="0" applyFont="1" applyFill="1" applyBorder="1" applyAlignment="1">
      <alignment horizontal="center" vertical="center"/>
    </xf>
    <xf numFmtId="0" fontId="2" fillId="32" borderId="36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12" borderId="17" xfId="0" applyFont="1" applyFill="1" applyBorder="1" applyAlignment="1">
      <alignment vertical="center"/>
    </xf>
    <xf numFmtId="0" fontId="2" fillId="12" borderId="11" xfId="0" applyFont="1" applyFill="1" applyBorder="1" applyAlignment="1">
      <alignment vertical="center"/>
    </xf>
    <xf numFmtId="0" fontId="2" fillId="12" borderId="18" xfId="0" applyFont="1" applyFill="1" applyBorder="1" applyAlignment="1">
      <alignment vertical="center"/>
    </xf>
    <xf numFmtId="0" fontId="2" fillId="12" borderId="14" xfId="0" applyFont="1" applyFill="1" applyBorder="1" applyAlignment="1">
      <alignment vertical="center"/>
    </xf>
    <xf numFmtId="0" fontId="2" fillId="9" borderId="16" xfId="0" applyFont="1" applyFill="1" applyBorder="1" applyAlignment="1">
      <alignment horizontal="center"/>
    </xf>
    <xf numFmtId="0" fontId="2" fillId="9" borderId="10" xfId="0" applyFont="1" applyFill="1" applyBorder="1" applyAlignment="1">
      <alignment horizontal="center"/>
    </xf>
    <xf numFmtId="0" fontId="2" fillId="9" borderId="18" xfId="0" applyFont="1" applyFill="1" applyBorder="1" applyAlignment="1">
      <alignment horizontal="center"/>
    </xf>
    <xf numFmtId="0" fontId="2" fillId="9" borderId="14" xfId="0" applyFont="1" applyFill="1" applyBorder="1" applyAlignment="1">
      <alignment horizontal="center"/>
    </xf>
    <xf numFmtId="0" fontId="2" fillId="30" borderId="16" xfId="0" applyFont="1" applyFill="1" applyBorder="1" applyAlignment="1">
      <alignment horizontal="center"/>
    </xf>
    <xf numFmtId="0" fontId="2" fillId="30" borderId="10" xfId="0" applyFont="1" applyFill="1" applyBorder="1" applyAlignment="1">
      <alignment horizontal="center"/>
    </xf>
    <xf numFmtId="0" fontId="2" fillId="30" borderId="18" xfId="0" applyFont="1" applyFill="1" applyBorder="1" applyAlignment="1">
      <alignment horizontal="center"/>
    </xf>
    <xf numFmtId="0" fontId="2" fillId="30" borderId="14" xfId="0" applyFont="1" applyFill="1" applyBorder="1" applyAlignment="1">
      <alignment horizontal="center"/>
    </xf>
    <xf numFmtId="0" fontId="2" fillId="29" borderId="31" xfId="0" applyFont="1" applyFill="1" applyBorder="1" applyAlignment="1">
      <alignment horizontal="center"/>
    </xf>
    <xf numFmtId="0" fontId="2" fillId="29" borderId="32" xfId="0" applyFont="1" applyFill="1" applyBorder="1" applyAlignment="1">
      <alignment horizontal="center"/>
    </xf>
    <xf numFmtId="0" fontId="2" fillId="29" borderId="20" xfId="0" applyFont="1" applyFill="1" applyBorder="1" applyAlignment="1">
      <alignment horizontal="center"/>
    </xf>
    <xf numFmtId="0" fontId="2" fillId="29" borderId="36" xfId="0" applyFont="1" applyFill="1" applyBorder="1" applyAlignment="1">
      <alignment horizontal="center"/>
    </xf>
    <xf numFmtId="0" fontId="2" fillId="31" borderId="16" xfId="0" applyFont="1" applyFill="1" applyBorder="1" applyAlignment="1">
      <alignment horizontal="center"/>
    </xf>
    <xf numFmtId="0" fontId="2" fillId="31" borderId="10" xfId="0" applyFont="1" applyFill="1" applyBorder="1" applyAlignment="1">
      <alignment horizontal="center"/>
    </xf>
    <xf numFmtId="0" fontId="2" fillId="31" borderId="17" xfId="0" applyFont="1" applyFill="1" applyBorder="1" applyAlignment="1">
      <alignment horizontal="center"/>
    </xf>
    <xf numFmtId="0" fontId="2" fillId="31" borderId="11" xfId="0" applyFont="1" applyFill="1" applyBorder="1" applyAlignment="1">
      <alignment horizontal="center"/>
    </xf>
    <xf numFmtId="0" fontId="2" fillId="31" borderId="18" xfId="0" applyFont="1" applyFill="1" applyBorder="1" applyAlignment="1">
      <alignment horizontal="center"/>
    </xf>
    <xf numFmtId="0" fontId="2" fillId="31" borderId="14" xfId="0" applyFont="1" applyFill="1" applyBorder="1" applyAlignment="1">
      <alignment horizontal="center"/>
    </xf>
    <xf numFmtId="0" fontId="2" fillId="33" borderId="16" xfId="0" applyFont="1" applyFill="1" applyBorder="1" applyAlignment="1">
      <alignment horizontal="center"/>
    </xf>
    <xf numFmtId="0" fontId="2" fillId="33" borderId="10" xfId="0" applyFont="1" applyFill="1" applyBorder="1" applyAlignment="1">
      <alignment horizontal="center"/>
    </xf>
    <xf numFmtId="0" fontId="2" fillId="33" borderId="17" xfId="0" applyFont="1" applyFill="1" applyBorder="1" applyAlignment="1">
      <alignment horizontal="center"/>
    </xf>
    <xf numFmtId="0" fontId="2" fillId="33" borderId="11" xfId="0" applyFont="1" applyFill="1" applyBorder="1" applyAlignment="1">
      <alignment horizontal="center"/>
    </xf>
    <xf numFmtId="0" fontId="2" fillId="33" borderId="18" xfId="0" applyFont="1" applyFill="1" applyBorder="1" applyAlignment="1">
      <alignment horizontal="center"/>
    </xf>
    <xf numFmtId="0" fontId="2" fillId="33" borderId="14" xfId="0" applyFont="1" applyFill="1" applyBorder="1" applyAlignment="1">
      <alignment horizontal="center"/>
    </xf>
    <xf numFmtId="0" fontId="12" fillId="0" borderId="1" xfId="0" quotePrefix="1" applyFont="1" applyFill="1" applyBorder="1" applyAlignment="1" applyProtection="1">
      <alignment horizontal="center" vertical="center"/>
    </xf>
    <xf numFmtId="0" fontId="23" fillId="0" borderId="0" xfId="0" applyFont="1" applyFill="1" applyAlignment="1" applyProtection="1">
      <alignment horizontal="center" vertical="center"/>
    </xf>
    <xf numFmtId="0" fontId="3" fillId="14" borderId="24" xfId="0" applyFont="1" applyFill="1" applyBorder="1" applyAlignment="1">
      <alignment horizontal="center" vertical="center" wrapText="1"/>
    </xf>
    <xf numFmtId="0" fontId="0" fillId="19" borderId="42" xfId="0" applyFont="1" applyFill="1" applyBorder="1" applyAlignment="1" applyProtection="1">
      <alignment horizontal="center" vertical="center"/>
    </xf>
    <xf numFmtId="49" fontId="35" fillId="3" borderId="1" xfId="0" applyNumberFormat="1" applyFont="1" applyFill="1" applyBorder="1" applyAlignment="1" applyProtection="1">
      <alignment horizontal="center" vertical="center"/>
      <protection locked="0"/>
    </xf>
    <xf numFmtId="49" fontId="36" fillId="28" borderId="1" xfId="0" applyNumberFormat="1" applyFont="1" applyFill="1" applyBorder="1" applyAlignment="1" applyProtection="1">
      <alignment horizontal="center" vertical="center" wrapText="1"/>
      <protection locked="0"/>
    </xf>
    <xf numFmtId="49" fontId="36" fillId="28" borderId="24" xfId="0" applyNumberFormat="1" applyFont="1" applyFill="1" applyBorder="1" applyAlignment="1" applyProtection="1">
      <alignment horizontal="center" vertical="center" wrapText="1"/>
      <protection locked="0"/>
    </xf>
    <xf numFmtId="49" fontId="27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5" borderId="24" xfId="0" applyNumberFormat="1" applyFont="1" applyFill="1" applyBorder="1" applyAlignment="1" applyProtection="1">
      <alignment horizontal="center" vertical="center" wrapText="1"/>
      <protection locked="0"/>
    </xf>
    <xf numFmtId="49" fontId="36" fillId="34" borderId="1" xfId="0" applyNumberFormat="1" applyFont="1" applyFill="1" applyBorder="1" applyAlignment="1" applyProtection="1">
      <alignment horizontal="center" vertical="center" wrapText="1"/>
      <protection locked="0"/>
    </xf>
    <xf numFmtId="49" fontId="36" fillId="9" borderId="1" xfId="0" applyNumberFormat="1" applyFont="1" applyFill="1" applyBorder="1" applyAlignment="1" applyProtection="1">
      <alignment horizontal="center" vertical="center" wrapText="1"/>
      <protection locked="0"/>
    </xf>
    <xf numFmtId="49" fontId="36" fillId="35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36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10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37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12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38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39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9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40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41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42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4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49" fontId="36" fillId="34" borderId="24" xfId="0" applyNumberFormat="1" applyFont="1" applyFill="1" applyBorder="1" applyAlignment="1" applyProtection="1">
      <alignment horizontal="center" vertical="center" wrapText="1"/>
      <protection locked="0"/>
    </xf>
    <xf numFmtId="49" fontId="36" fillId="35" borderId="24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0" xfId="0" applyNumberFormat="1" applyAlignment="1">
      <alignment horizontal="center"/>
    </xf>
    <xf numFmtId="165" fontId="37" fillId="11" borderId="1" xfId="0" applyNumberFormat="1" applyFont="1" applyFill="1" applyBorder="1" applyAlignment="1" applyProtection="1">
      <alignment horizontal="center" vertical="center"/>
      <protection locked="0"/>
    </xf>
    <xf numFmtId="165" fontId="25" fillId="11" borderId="1" xfId="0" applyNumberFormat="1" applyFont="1" applyFill="1" applyBorder="1" applyAlignment="1" applyProtection="1">
      <alignment horizontal="center" vertical="center"/>
      <protection locked="0"/>
    </xf>
    <xf numFmtId="9" fontId="2" fillId="44" borderId="1" xfId="0" applyNumberFormat="1" applyFont="1" applyFill="1" applyBorder="1" applyAlignment="1" applyProtection="1">
      <alignment horizontal="center" vertical="center" wrapText="1"/>
      <protection locked="0"/>
    </xf>
    <xf numFmtId="9" fontId="0" fillId="0" borderId="1" xfId="0" applyNumberFormat="1" applyFont="1" applyBorder="1" applyAlignment="1" applyProtection="1">
      <alignment horizontal="center" vertical="center" wrapText="1"/>
      <protection locked="0"/>
    </xf>
    <xf numFmtId="49" fontId="0" fillId="0" borderId="1" xfId="0" applyNumberFormat="1" applyFont="1" applyBorder="1" applyAlignment="1" applyProtection="1">
      <alignment horizontal="center" vertical="center" wrapText="1"/>
      <protection locked="0"/>
    </xf>
    <xf numFmtId="49" fontId="2" fillId="44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0" xfId="0" applyNumberFormat="1"/>
    <xf numFmtId="164" fontId="2" fillId="44" borderId="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" xfId="0" applyNumberFormat="1" applyFont="1" applyBorder="1" applyAlignment="1" applyProtection="1">
      <alignment horizontal="center" vertical="center" wrapText="1"/>
      <protection locked="0"/>
    </xf>
    <xf numFmtId="164" fontId="0" fillId="7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0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7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20" borderId="1" xfId="0" applyNumberFormat="1" applyFont="1" applyFill="1" applyBorder="1" applyAlignment="1" applyProtection="1">
      <alignment horizontal="center" vertical="center" wrapText="1"/>
      <protection locked="0"/>
    </xf>
    <xf numFmtId="6" fontId="0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35" borderId="1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" xfId="0" quotePrefix="1" applyNumberFormat="1" applyFont="1" applyBorder="1" applyAlignment="1" applyProtection="1">
      <alignment horizontal="center" vertical="center" wrapText="1"/>
      <protection locked="0"/>
    </xf>
    <xf numFmtId="164" fontId="0" fillId="0" borderId="0" xfId="0" applyNumberFormat="1"/>
    <xf numFmtId="49" fontId="2" fillId="35" borderId="1" xfId="0" applyNumberFormat="1" applyFont="1" applyFill="1" applyBorder="1" applyAlignment="1" applyProtection="1">
      <alignment horizontal="center" vertical="center" wrapText="1"/>
      <protection locked="0"/>
    </xf>
    <xf numFmtId="9" fontId="2" fillId="45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45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46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47" borderId="1" xfId="0" applyNumberFormat="1" applyFont="1" applyFill="1" applyBorder="1" applyAlignment="1" applyProtection="1">
      <alignment horizontal="center" vertical="center" wrapText="1"/>
      <protection locked="0"/>
    </xf>
    <xf numFmtId="0" fontId="20" fillId="18" borderId="59" xfId="0" applyFont="1" applyFill="1" applyBorder="1" applyAlignment="1" applyProtection="1">
      <alignment horizontal="center" vertical="center" wrapText="1"/>
    </xf>
    <xf numFmtId="0" fontId="30" fillId="18" borderId="15" xfId="0" applyFont="1" applyFill="1" applyBorder="1" applyAlignment="1" applyProtection="1">
      <alignment horizontal="center" vertical="center" wrapText="1"/>
    </xf>
    <xf numFmtId="0" fontId="30" fillId="19" borderId="6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 applyProtection="1">
      <alignment horizontal="center" vertical="center" wrapText="1"/>
    </xf>
    <xf numFmtId="0" fontId="5" fillId="14" borderId="6" xfId="0" applyFont="1" applyFill="1" applyBorder="1" applyAlignment="1" applyProtection="1">
      <alignment horizontal="center" vertical="center" wrapText="1"/>
    </xf>
    <xf numFmtId="0" fontId="10" fillId="7" borderId="0" xfId="0" applyFont="1" applyFill="1" applyAlignment="1">
      <alignment wrapText="1"/>
    </xf>
    <xf numFmtId="164" fontId="4" fillId="5" borderId="15" xfId="0" applyNumberFormat="1" applyFont="1" applyFill="1" applyBorder="1" applyAlignment="1" applyProtection="1">
      <alignment horizontal="center" vertical="center" wrapText="1"/>
    </xf>
    <xf numFmtId="167" fontId="4" fillId="11" borderId="6" xfId="0" applyNumberFormat="1" applyFont="1" applyFill="1" applyBorder="1" applyAlignment="1" applyProtection="1">
      <alignment horizontal="center" vertical="center" wrapText="1"/>
    </xf>
    <xf numFmtId="0" fontId="3" fillId="14" borderId="15" xfId="0" applyFont="1" applyFill="1" applyBorder="1" applyAlignment="1" applyProtection="1">
      <alignment horizontal="center" vertical="center" wrapText="1"/>
    </xf>
    <xf numFmtId="0" fontId="18" fillId="14" borderId="6" xfId="0" applyFont="1" applyFill="1" applyBorder="1" applyAlignment="1" applyProtection="1">
      <alignment horizontal="center" vertical="center" wrapText="1"/>
    </xf>
    <xf numFmtId="0" fontId="5" fillId="3" borderId="51" xfId="0" applyFont="1" applyFill="1" applyBorder="1" applyAlignment="1" applyProtection="1">
      <alignment horizontal="center" vertical="center" wrapText="1"/>
    </xf>
    <xf numFmtId="0" fontId="10" fillId="7" borderId="0" xfId="0" applyFont="1" applyFill="1" applyAlignment="1">
      <alignment horizontal="center" vertical="center" wrapText="1"/>
    </xf>
    <xf numFmtId="0" fontId="3" fillId="14" borderId="16" xfId="0" applyFont="1" applyFill="1" applyBorder="1" applyAlignment="1" applyProtection="1">
      <alignment horizontal="center" vertical="center" wrapText="1"/>
    </xf>
    <xf numFmtId="0" fontId="2" fillId="18" borderId="10" xfId="0" applyFont="1" applyFill="1" applyBorder="1" applyAlignment="1" applyProtection="1">
      <alignment horizontal="center" vertical="center" wrapText="1"/>
    </xf>
    <xf numFmtId="165" fontId="3" fillId="14" borderId="8" xfId="0" applyNumberFormat="1" applyFont="1" applyFill="1" applyBorder="1" applyAlignment="1" applyProtection="1">
      <alignment horizontal="center" vertical="center" wrapText="1"/>
    </xf>
    <xf numFmtId="0" fontId="3" fillId="14" borderId="18" xfId="0" applyFont="1" applyFill="1" applyBorder="1" applyAlignment="1" applyProtection="1">
      <alignment horizontal="center" vertical="center" wrapText="1"/>
    </xf>
    <xf numFmtId="0" fontId="3" fillId="14" borderId="26" xfId="0" applyFont="1" applyFill="1" applyBorder="1" applyAlignment="1" applyProtection="1">
      <alignment horizontal="center" vertical="center" wrapText="1"/>
    </xf>
    <xf numFmtId="0" fontId="5" fillId="18" borderId="27" xfId="0" applyFont="1" applyFill="1" applyBorder="1" applyAlignment="1" applyProtection="1">
      <alignment horizontal="center" vertical="center" wrapText="1"/>
    </xf>
    <xf numFmtId="14" fontId="5" fillId="20" borderId="7" xfId="0" applyNumberFormat="1" applyFont="1" applyFill="1" applyBorder="1" applyAlignment="1" applyProtection="1">
      <alignment horizontal="center" vertical="center" wrapText="1"/>
    </xf>
    <xf numFmtId="0" fontId="3" fillId="14" borderId="17" xfId="0" applyFont="1" applyFill="1" applyBorder="1" applyAlignment="1" applyProtection="1">
      <alignment horizontal="center" vertical="center" wrapText="1"/>
    </xf>
    <xf numFmtId="0" fontId="3" fillId="14" borderId="20" xfId="0" applyFont="1" applyFill="1" applyBorder="1" applyAlignment="1" applyProtection="1">
      <alignment horizontal="center" vertical="center" wrapText="1"/>
    </xf>
    <xf numFmtId="0" fontId="20" fillId="7" borderId="10" xfId="0" applyFont="1" applyFill="1" applyBorder="1" applyAlignment="1" applyProtection="1">
      <alignment horizontal="center" vertical="center" wrapText="1"/>
    </xf>
    <xf numFmtId="0" fontId="3" fillId="14" borderId="65" xfId="0" applyFont="1" applyFill="1" applyBorder="1" applyAlignment="1" applyProtection="1">
      <alignment horizontal="center" vertical="center" wrapText="1"/>
    </xf>
    <xf numFmtId="0" fontId="3" fillId="14" borderId="28" xfId="0" applyFont="1" applyFill="1" applyBorder="1" applyAlignment="1" applyProtection="1">
      <alignment horizontal="center" vertical="center" wrapText="1"/>
    </xf>
    <xf numFmtId="165" fontId="3" fillId="14" borderId="56" xfId="0" applyNumberFormat="1" applyFont="1" applyFill="1" applyBorder="1" applyAlignment="1" applyProtection="1">
      <alignment horizontal="center" vertical="center" wrapText="1"/>
    </xf>
    <xf numFmtId="165" fontId="32" fillId="7" borderId="36" xfId="0" applyNumberFormat="1" applyFont="1" applyFill="1" applyBorder="1" applyAlignment="1" applyProtection="1">
      <alignment horizontal="center" vertical="center" wrapText="1"/>
    </xf>
    <xf numFmtId="0" fontId="3" fillId="25" borderId="43" xfId="0" applyFont="1" applyFill="1" applyBorder="1" applyAlignment="1" applyProtection="1">
      <alignment horizontal="center" vertical="center" wrapText="1"/>
    </xf>
    <xf numFmtId="169" fontId="3" fillId="14" borderId="16" xfId="0" applyNumberFormat="1" applyFont="1" applyFill="1" applyBorder="1" applyAlignment="1" applyProtection="1">
      <alignment horizontal="center" vertical="center" wrapText="1"/>
    </xf>
    <xf numFmtId="165" fontId="3" fillId="14" borderId="33" xfId="0" applyNumberFormat="1" applyFont="1" applyFill="1" applyBorder="1" applyAlignment="1" applyProtection="1">
      <alignment horizontal="center" vertical="center" wrapText="1"/>
    </xf>
    <xf numFmtId="165" fontId="10" fillId="7" borderId="57" xfId="0" applyNumberFormat="1" applyFont="1" applyFill="1" applyBorder="1" applyAlignment="1" applyProtection="1">
      <alignment horizontal="center" vertical="center" wrapText="1"/>
    </xf>
    <xf numFmtId="169" fontId="3" fillId="14" borderId="17" xfId="0" applyNumberFormat="1" applyFont="1" applyFill="1" applyBorder="1" applyAlignment="1" applyProtection="1">
      <alignment horizontal="center" vertical="center" wrapText="1"/>
    </xf>
    <xf numFmtId="165" fontId="3" fillId="14" borderId="3" xfId="0" applyNumberFormat="1" applyFont="1" applyFill="1" applyBorder="1" applyAlignment="1" applyProtection="1">
      <alignment horizontal="center" vertical="center" wrapText="1"/>
    </xf>
    <xf numFmtId="165" fontId="10" fillId="7" borderId="11" xfId="0" applyNumberFormat="1" applyFont="1" applyFill="1" applyBorder="1" applyAlignment="1" applyProtection="1">
      <alignment horizontal="center" vertical="center" wrapText="1"/>
    </xf>
    <xf numFmtId="165" fontId="10" fillId="25" borderId="7" xfId="0" applyNumberFormat="1" applyFont="1" applyFill="1" applyBorder="1" applyAlignment="1" applyProtection="1">
      <alignment horizontal="center" vertical="center" wrapText="1"/>
    </xf>
    <xf numFmtId="1" fontId="3" fillId="14" borderId="17" xfId="0" applyNumberFormat="1" applyFont="1" applyFill="1" applyBorder="1" applyAlignment="1" applyProtection="1">
      <alignment horizontal="center" vertical="center" wrapText="1"/>
    </xf>
    <xf numFmtId="0" fontId="3" fillId="14" borderId="50" xfId="0" applyFont="1" applyFill="1" applyBorder="1" applyAlignment="1" applyProtection="1">
      <alignment horizontal="center" vertical="center" wrapText="1"/>
    </xf>
    <xf numFmtId="164" fontId="10" fillId="7" borderId="27" xfId="0" applyNumberFormat="1" applyFont="1" applyFill="1" applyBorder="1" applyAlignment="1" applyProtection="1">
      <alignment horizontal="center" vertical="center" wrapText="1"/>
    </xf>
    <xf numFmtId="165" fontId="3" fillId="14" borderId="65" xfId="0" applyNumberFormat="1" applyFont="1" applyFill="1" applyBorder="1" applyAlignment="1" applyProtection="1">
      <alignment horizontal="center" vertical="center" wrapText="1"/>
    </xf>
    <xf numFmtId="168" fontId="3" fillId="14" borderId="17" xfId="0" applyNumberFormat="1" applyFont="1" applyFill="1" applyBorder="1" applyAlignment="1" applyProtection="1">
      <alignment horizontal="center" vertical="center" wrapText="1"/>
    </xf>
    <xf numFmtId="165" fontId="3" fillId="25" borderId="61" xfId="0" applyNumberFormat="1" applyFont="1" applyFill="1" applyBorder="1" applyAlignment="1" applyProtection="1">
      <alignment horizontal="center" vertical="center" wrapText="1"/>
    </xf>
    <xf numFmtId="49" fontId="3" fillId="14" borderId="18" xfId="0" applyNumberFormat="1" applyFont="1" applyFill="1" applyBorder="1" applyAlignment="1" applyProtection="1">
      <alignment horizontal="center" vertical="center" wrapText="1"/>
    </xf>
    <xf numFmtId="165" fontId="3" fillId="14" borderId="60" xfId="0" applyNumberFormat="1" applyFont="1" applyFill="1" applyBorder="1" applyAlignment="1" applyProtection="1">
      <alignment horizontal="center" vertical="center" wrapText="1"/>
    </xf>
    <xf numFmtId="49" fontId="3" fillId="14" borderId="34" xfId="0" applyNumberFormat="1" applyFont="1" applyFill="1" applyBorder="1" applyAlignment="1" applyProtection="1">
      <alignment horizontal="center" vertical="center" wrapText="1"/>
    </xf>
    <xf numFmtId="0" fontId="3" fillId="20" borderId="54" xfId="0" applyFont="1" applyFill="1" applyBorder="1" applyAlignment="1" applyProtection="1">
      <alignment horizontal="center" vertical="center" wrapText="1"/>
    </xf>
    <xf numFmtId="14" fontId="3" fillId="20" borderId="10" xfId="0" applyNumberFormat="1" applyFont="1" applyFill="1" applyBorder="1" applyAlignment="1" applyProtection="1">
      <alignment horizontal="center" vertical="center" wrapText="1"/>
    </xf>
    <xf numFmtId="0" fontId="3" fillId="18" borderId="5" xfId="0" applyFont="1" applyFill="1" applyBorder="1" applyAlignment="1" applyProtection="1">
      <alignment horizontal="center" vertical="center" wrapText="1"/>
    </xf>
    <xf numFmtId="14" fontId="24" fillId="7" borderId="10" xfId="0" applyNumberFormat="1" applyFont="1" applyFill="1" applyBorder="1" applyAlignment="1" applyProtection="1">
      <alignment horizontal="center" vertical="center" wrapText="1"/>
    </xf>
    <xf numFmtId="1" fontId="3" fillId="14" borderId="33" xfId="0" applyNumberFormat="1" applyFont="1" applyFill="1" applyBorder="1" applyAlignment="1" applyProtection="1">
      <alignment horizontal="center" vertical="center" wrapText="1"/>
    </xf>
    <xf numFmtId="14" fontId="3" fillId="7" borderId="10" xfId="0" applyNumberFormat="1" applyFont="1" applyFill="1" applyBorder="1" applyAlignment="1" applyProtection="1">
      <alignment horizontal="center" vertical="center" wrapText="1"/>
    </xf>
    <xf numFmtId="0" fontId="10" fillId="18" borderId="55" xfId="0" applyFont="1" applyFill="1" applyBorder="1" applyAlignment="1" applyProtection="1">
      <alignment horizontal="center" vertical="center" wrapText="1"/>
    </xf>
    <xf numFmtId="2" fontId="10" fillId="18" borderId="14" xfId="0" applyNumberFormat="1" applyFont="1" applyFill="1" applyBorder="1" applyAlignment="1" applyProtection="1">
      <alignment horizontal="center" vertical="center" wrapText="1"/>
    </xf>
    <xf numFmtId="14" fontId="29" fillId="7" borderId="5" xfId="0" applyNumberFormat="1" applyFont="1" applyFill="1" applyBorder="1" applyAlignment="1" applyProtection="1">
      <alignment horizontal="center" vertical="center" wrapText="1"/>
    </xf>
    <xf numFmtId="2" fontId="3" fillId="3" borderId="11" xfId="0" applyNumberFormat="1" applyFont="1" applyFill="1" applyBorder="1" applyAlignment="1" applyProtection="1">
      <alignment horizontal="center" vertical="center" wrapText="1"/>
    </xf>
    <xf numFmtId="0" fontId="3" fillId="14" borderId="3" xfId="0" applyFont="1" applyFill="1" applyBorder="1" applyAlignment="1" applyProtection="1">
      <alignment horizontal="center" vertical="center" wrapText="1"/>
    </xf>
    <xf numFmtId="14" fontId="10" fillId="7" borderId="57" xfId="0" applyNumberFormat="1" applyFont="1" applyFill="1" applyBorder="1" applyAlignment="1" applyProtection="1">
      <alignment horizontal="center" vertical="center" wrapText="1"/>
    </xf>
    <xf numFmtId="1" fontId="21" fillId="14" borderId="17" xfId="0" applyNumberFormat="1" applyFont="1" applyFill="1" applyBorder="1" applyAlignment="1" applyProtection="1">
      <alignment horizontal="center" vertical="center" wrapText="1"/>
    </xf>
    <xf numFmtId="1" fontId="8" fillId="7" borderId="11" xfId="0" applyNumberFormat="1" applyFont="1" applyFill="1" applyBorder="1" applyAlignment="1" applyProtection="1">
      <alignment horizontal="center" vertical="center" wrapText="1"/>
    </xf>
    <xf numFmtId="14" fontId="10" fillId="7" borderId="11" xfId="0" applyNumberFormat="1" applyFont="1" applyFill="1" applyBorder="1" applyAlignment="1" applyProtection="1">
      <alignment horizontal="center" vertical="center" wrapText="1"/>
    </xf>
    <xf numFmtId="0" fontId="10" fillId="18" borderId="14" xfId="0" applyNumberFormat="1" applyFont="1" applyFill="1" applyBorder="1" applyAlignment="1" applyProtection="1">
      <alignment horizontal="center" vertical="center" wrapText="1"/>
    </xf>
    <xf numFmtId="1" fontId="21" fillId="14" borderId="18" xfId="0" applyNumberFormat="1" applyFont="1" applyFill="1" applyBorder="1" applyAlignment="1" applyProtection="1">
      <alignment horizontal="center" vertical="center" wrapText="1"/>
    </xf>
    <xf numFmtId="1" fontId="8" fillId="7" borderId="25" xfId="0" applyNumberFormat="1" applyFont="1" applyFill="1" applyBorder="1" applyAlignment="1" applyProtection="1">
      <alignment horizontal="center" vertical="center" wrapText="1"/>
    </xf>
    <xf numFmtId="14" fontId="10" fillId="7" borderId="14" xfId="0" applyNumberFormat="1" applyFont="1" applyFill="1" applyBorder="1" applyAlignment="1" applyProtection="1">
      <alignment horizontal="center" vertical="center" wrapText="1"/>
    </xf>
    <xf numFmtId="1" fontId="3" fillId="14" borderId="29" xfId="0" applyNumberFormat="1" applyFont="1" applyFill="1" applyBorder="1" applyAlignment="1" applyProtection="1">
      <alignment horizontal="center" vertical="center" wrapText="1"/>
    </xf>
    <xf numFmtId="14" fontId="3" fillId="12" borderId="72" xfId="0" applyNumberFormat="1" applyFont="1" applyFill="1" applyBorder="1" applyAlignment="1" applyProtection="1">
      <alignment horizontal="center" vertical="center" wrapText="1"/>
    </xf>
    <xf numFmtId="0" fontId="3" fillId="12" borderId="54" xfId="0" applyFont="1" applyFill="1" applyBorder="1" applyAlignment="1" applyProtection="1">
      <alignment horizontal="center" vertical="center" wrapText="1"/>
    </xf>
    <xf numFmtId="14" fontId="3" fillId="12" borderId="10" xfId="0" applyNumberFormat="1" applyFont="1" applyFill="1" applyBorder="1" applyAlignment="1" applyProtection="1">
      <alignment horizontal="center" vertical="center" wrapText="1"/>
    </xf>
    <xf numFmtId="0" fontId="10" fillId="15" borderId="55" xfId="0" applyFont="1" applyFill="1" applyBorder="1" applyAlignment="1" applyProtection="1">
      <alignment horizontal="center" vertical="center" wrapText="1"/>
    </xf>
    <xf numFmtId="2" fontId="10" fillId="15" borderId="14" xfId="0" applyNumberFormat="1" applyFont="1" applyFill="1" applyBorder="1" applyAlignment="1" applyProtection="1">
      <alignment horizontal="center" vertical="center" wrapText="1"/>
    </xf>
    <xf numFmtId="49" fontId="3" fillId="13" borderId="49" xfId="0" quotePrefix="1" applyNumberFormat="1" applyFont="1" applyFill="1" applyBorder="1" applyAlignment="1" applyProtection="1">
      <alignment horizontal="center" vertical="center" wrapText="1"/>
    </xf>
    <xf numFmtId="49" fontId="3" fillId="13" borderId="8" xfId="0" quotePrefix="1" applyNumberFormat="1" applyFont="1" applyFill="1" applyBorder="1" applyAlignment="1" applyProtection="1">
      <alignment horizontal="center" vertical="center" wrapText="1"/>
    </xf>
    <xf numFmtId="49" fontId="3" fillId="13" borderId="60" xfId="0" quotePrefix="1" applyNumberFormat="1" applyFont="1" applyFill="1" applyBorder="1" applyAlignment="1" applyProtection="1">
      <alignment horizontal="center" vertical="center" wrapText="1"/>
    </xf>
    <xf numFmtId="165" fontId="3" fillId="7" borderId="58" xfId="0" applyNumberFormat="1" applyFont="1" applyFill="1" applyBorder="1" applyAlignment="1" applyProtection="1">
      <alignment horizontal="center" vertical="center" wrapText="1"/>
    </xf>
    <xf numFmtId="165" fontId="3" fillId="7" borderId="59" xfId="0" applyNumberFormat="1" applyFont="1" applyFill="1" applyBorder="1" applyAlignment="1" applyProtection="1">
      <alignment horizontal="center" vertical="center" wrapText="1"/>
    </xf>
    <xf numFmtId="165" fontId="3" fillId="7" borderId="43" xfId="0" applyNumberFormat="1" applyFont="1" applyFill="1" applyBorder="1" applyAlignment="1" applyProtection="1">
      <alignment horizontal="center" vertical="center" wrapText="1"/>
    </xf>
    <xf numFmtId="0" fontId="3" fillId="16" borderId="49" xfId="0" quotePrefix="1" applyFont="1" applyFill="1" applyBorder="1" applyAlignment="1" applyProtection="1">
      <alignment horizontal="center" vertical="center" wrapText="1"/>
    </xf>
    <xf numFmtId="10" fontId="18" fillId="16" borderId="8" xfId="0" applyNumberFormat="1" applyFont="1" applyFill="1" applyBorder="1" applyAlignment="1" applyProtection="1">
      <alignment horizontal="center" vertical="center" wrapText="1"/>
    </xf>
    <xf numFmtId="10" fontId="18" fillId="16" borderId="60" xfId="0" applyNumberFormat="1" applyFont="1" applyFill="1" applyBorder="1" applyAlignment="1" applyProtection="1">
      <alignment horizontal="center" vertical="center" wrapText="1"/>
    </xf>
    <xf numFmtId="0" fontId="3" fillId="8" borderId="13" xfId="0" applyFont="1" applyFill="1" applyBorder="1" applyAlignment="1" applyProtection="1">
      <alignment horizontal="center" vertical="center" wrapText="1"/>
    </xf>
    <xf numFmtId="0" fontId="11" fillId="8" borderId="7" xfId="0" applyFont="1" applyFill="1" applyBorder="1" applyAlignment="1">
      <alignment wrapText="1"/>
    </xf>
    <xf numFmtId="10" fontId="11" fillId="8" borderId="7" xfId="0" applyNumberFormat="1" applyFont="1" applyFill="1" applyBorder="1" applyAlignment="1" applyProtection="1">
      <alignment horizontal="center" vertical="center" wrapText="1"/>
    </xf>
    <xf numFmtId="10" fontId="11" fillId="8" borderId="61" xfId="0" applyNumberFormat="1" applyFont="1" applyFill="1" applyBorder="1" applyAlignment="1" applyProtection="1">
      <alignment horizontal="center" vertical="center" wrapText="1"/>
    </xf>
    <xf numFmtId="0" fontId="3" fillId="12" borderId="16" xfId="0" applyFont="1" applyFill="1" applyBorder="1" applyAlignment="1" applyProtection="1">
      <alignment horizontal="center" vertical="center" wrapText="1"/>
    </xf>
    <xf numFmtId="0" fontId="3" fillId="3" borderId="9" xfId="0" applyFont="1" applyFill="1" applyBorder="1" applyAlignment="1" applyProtection="1">
      <alignment horizontal="center" vertical="center" wrapText="1"/>
    </xf>
    <xf numFmtId="14" fontId="3" fillId="3" borderId="10" xfId="0" applyNumberFormat="1" applyFont="1" applyFill="1" applyBorder="1" applyAlignment="1" applyProtection="1">
      <alignment horizontal="center" vertical="center" wrapText="1"/>
    </xf>
    <xf numFmtId="0" fontId="10" fillId="15" borderId="18" xfId="0" applyFont="1" applyFill="1" applyBorder="1" applyAlignment="1" applyProtection="1">
      <alignment horizontal="center" vertical="center" wrapText="1"/>
    </xf>
    <xf numFmtId="0" fontId="0" fillId="7" borderId="1" xfId="0" applyNumberFormat="1" applyFont="1" applyFill="1" applyBorder="1" applyAlignment="1" applyProtection="1">
      <alignment horizontal="center" vertical="center" wrapText="1"/>
    </xf>
    <xf numFmtId="0" fontId="10" fillId="20" borderId="1" xfId="0" applyFont="1" applyFill="1" applyBorder="1" applyAlignment="1" applyProtection="1">
      <alignment horizontal="center" vertical="center" wrapText="1"/>
    </xf>
    <xf numFmtId="14" fontId="10" fillId="20" borderId="11" xfId="0" applyNumberFormat="1" applyFont="1" applyFill="1" applyBorder="1" applyAlignment="1" applyProtection="1">
      <alignment horizontal="center" vertical="center" wrapText="1"/>
    </xf>
    <xf numFmtId="0" fontId="3" fillId="3" borderId="17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1" xfId="0" applyFont="1" applyFill="1" applyBorder="1" applyAlignment="1" applyProtection="1">
      <alignment horizontal="center" vertical="center" wrapText="1"/>
    </xf>
    <xf numFmtId="0" fontId="10" fillId="18" borderId="18" xfId="0" applyFont="1" applyFill="1" applyBorder="1" applyAlignment="1" applyProtection="1">
      <alignment horizontal="center" vertical="center" wrapText="1"/>
    </xf>
    <xf numFmtId="0" fontId="0" fillId="18" borderId="12" xfId="0" applyFont="1" applyFill="1" applyBorder="1" applyAlignment="1" applyProtection="1">
      <alignment horizontal="center" vertical="center" wrapText="1"/>
    </xf>
    <xf numFmtId="0" fontId="10" fillId="18" borderId="12" xfId="0" applyFont="1" applyFill="1" applyBorder="1" applyAlignment="1" applyProtection="1">
      <alignment horizontal="center" vertical="center" wrapText="1"/>
    </xf>
    <xf numFmtId="0" fontId="0" fillId="7" borderId="12" xfId="0" applyFont="1" applyFill="1" applyBorder="1" applyAlignment="1" applyProtection="1">
      <alignment horizontal="center" vertical="center" wrapText="1"/>
    </xf>
    <xf numFmtId="0" fontId="10" fillId="18" borderId="14" xfId="0" applyFont="1" applyFill="1" applyBorder="1" applyAlignment="1" applyProtection="1">
      <alignment horizontal="center" vertical="center" wrapText="1"/>
    </xf>
    <xf numFmtId="1" fontId="3" fillId="3" borderId="34" xfId="0" applyNumberFormat="1" applyFont="1" applyFill="1" applyBorder="1" applyAlignment="1" applyProtection="1">
      <alignment horizontal="center" vertical="center" wrapText="1"/>
    </xf>
    <xf numFmtId="1" fontId="3" fillId="3" borderId="22" xfId="0" applyNumberFormat="1" applyFont="1" applyFill="1" applyBorder="1" applyAlignment="1" applyProtection="1">
      <alignment horizontal="center" vertical="center" wrapText="1"/>
    </xf>
    <xf numFmtId="1" fontId="3" fillId="3" borderId="21" xfId="0" applyNumberFormat="1" applyFont="1" applyFill="1" applyBorder="1" applyAlignment="1" applyProtection="1">
      <alignment horizontal="center" vertical="center" wrapText="1"/>
    </xf>
    <xf numFmtId="164" fontId="6" fillId="7" borderId="18" xfId="0" applyNumberFormat="1" applyFont="1" applyFill="1" applyBorder="1" applyAlignment="1" applyProtection="1">
      <alignment horizontal="center" vertical="center" wrapText="1"/>
    </xf>
    <xf numFmtId="0" fontId="4" fillId="14" borderId="12" xfId="0" applyFont="1" applyFill="1" applyBorder="1" applyAlignment="1" applyProtection="1">
      <alignment horizontal="center" vertical="center" wrapText="1"/>
    </xf>
    <xf numFmtId="0" fontId="4" fillId="7" borderId="12" xfId="0" applyFont="1" applyFill="1" applyBorder="1" applyAlignment="1" applyProtection="1">
      <alignment horizontal="center" vertical="center" wrapText="1"/>
    </xf>
    <xf numFmtId="164" fontId="4" fillId="14" borderId="12" xfId="0" applyNumberFormat="1" applyFont="1" applyFill="1" applyBorder="1" applyAlignment="1" applyProtection="1">
      <alignment horizontal="center" vertical="center" wrapText="1"/>
    </xf>
    <xf numFmtId="164" fontId="4" fillId="7" borderId="14" xfId="0" applyNumberFormat="1" applyFont="1" applyFill="1" applyBorder="1" applyAlignment="1" applyProtection="1">
      <alignment horizontal="center" vertical="center" wrapText="1"/>
    </xf>
    <xf numFmtId="0" fontId="3" fillId="14" borderId="12" xfId="0" applyFont="1" applyFill="1" applyBorder="1" applyAlignment="1" applyProtection="1">
      <alignment horizontal="center" vertical="center" wrapText="1"/>
    </xf>
    <xf numFmtId="0" fontId="3" fillId="14" borderId="14" xfId="0" applyFont="1" applyFill="1" applyBorder="1" applyAlignment="1" applyProtection="1">
      <alignment horizontal="center" vertical="center" wrapText="1"/>
    </xf>
    <xf numFmtId="0" fontId="3" fillId="3" borderId="15" xfId="0" applyFont="1" applyFill="1" applyBorder="1" applyAlignment="1" applyProtection="1">
      <alignment horizontal="center" vertical="center" wrapText="1"/>
    </xf>
    <xf numFmtId="0" fontId="5" fillId="18" borderId="8" xfId="0" applyFont="1" applyFill="1" applyBorder="1" applyAlignment="1" applyProtection="1">
      <alignment horizontal="center" vertical="center" wrapText="1"/>
    </xf>
    <xf numFmtId="1" fontId="3" fillId="14" borderId="76" xfId="0" applyNumberFormat="1" applyFont="1" applyFill="1" applyBorder="1" applyAlignment="1" applyProtection="1">
      <alignment horizontal="center" vertical="center" wrapText="1"/>
    </xf>
    <xf numFmtId="164" fontId="5" fillId="18" borderId="60" xfId="0" applyNumberFormat="1" applyFont="1" applyFill="1" applyBorder="1" applyAlignment="1" applyProtection="1">
      <alignment horizontal="center" vertical="center" wrapText="1"/>
    </xf>
    <xf numFmtId="165" fontId="5" fillId="18" borderId="70" xfId="0" applyNumberFormat="1" applyFont="1" applyFill="1" applyBorder="1" applyAlignment="1" applyProtection="1">
      <alignment horizontal="center" vertical="center" wrapText="1"/>
    </xf>
    <xf numFmtId="9" fontId="5" fillId="18" borderId="70" xfId="0" applyNumberFormat="1" applyFont="1" applyFill="1" applyBorder="1" applyAlignment="1" applyProtection="1">
      <alignment horizontal="center" vertical="center" wrapText="1"/>
    </xf>
    <xf numFmtId="164" fontId="5" fillId="18" borderId="70" xfId="0" applyNumberFormat="1" applyFont="1" applyFill="1" applyBorder="1" applyAlignment="1" applyProtection="1">
      <alignment horizontal="center" vertical="center" wrapText="1"/>
    </xf>
    <xf numFmtId="0" fontId="10" fillId="7" borderId="10" xfId="0" applyFont="1" applyFill="1" applyBorder="1" applyAlignment="1" applyProtection="1">
      <alignment horizontal="center" vertical="center" wrapText="1"/>
    </xf>
    <xf numFmtId="0" fontId="10" fillId="7" borderId="11" xfId="0" applyFont="1" applyFill="1" applyBorder="1" applyAlignment="1" applyProtection="1">
      <alignment horizontal="center" vertical="center" wrapText="1"/>
    </xf>
    <xf numFmtId="1" fontId="3" fillId="14" borderId="20" xfId="0" applyNumberFormat="1" applyFont="1" applyFill="1" applyBorder="1" applyAlignment="1" applyProtection="1">
      <alignment horizontal="center" vertical="center" wrapText="1"/>
    </xf>
    <xf numFmtId="1" fontId="3" fillId="14" borderId="63" xfId="0" applyNumberFormat="1" applyFont="1" applyFill="1" applyBorder="1" applyAlignment="1" applyProtection="1">
      <alignment horizontal="center" vertical="center" wrapText="1"/>
    </xf>
    <xf numFmtId="14" fontId="38" fillId="20" borderId="46" xfId="0" applyNumberFormat="1" applyFont="1" applyFill="1" applyBorder="1" applyAlignment="1" applyProtection="1">
      <alignment horizontal="center" vertical="center" wrapText="1"/>
    </xf>
    <xf numFmtId="14" fontId="38" fillId="20" borderId="47" xfId="0" applyNumberFormat="1" applyFont="1" applyFill="1" applyBorder="1" applyAlignment="1" applyProtection="1">
      <alignment horizontal="center" vertical="center" wrapText="1"/>
    </xf>
    <xf numFmtId="14" fontId="38" fillId="20" borderId="66" xfId="0" applyNumberFormat="1" applyFont="1" applyFill="1" applyBorder="1" applyAlignment="1" applyProtection="1">
      <alignment horizontal="center" vertical="center" wrapText="1"/>
    </xf>
    <xf numFmtId="14" fontId="38" fillId="20" borderId="64" xfId="0" applyNumberFormat="1" applyFont="1" applyFill="1" applyBorder="1" applyAlignment="1" applyProtection="1">
      <alignment horizontal="center" vertical="center" wrapText="1"/>
    </xf>
    <xf numFmtId="168" fontId="3" fillId="7" borderId="1" xfId="0" applyNumberFormat="1" applyFont="1" applyFill="1" applyBorder="1" applyAlignment="1" applyProtection="1">
      <alignment horizontal="center" vertical="center" wrapText="1"/>
    </xf>
    <xf numFmtId="168" fontId="3" fillId="7" borderId="24" xfId="0" applyNumberFormat="1" applyFont="1" applyFill="1" applyBorder="1" applyAlignment="1" applyProtection="1">
      <alignment horizontal="center" vertical="center" wrapText="1"/>
    </xf>
    <xf numFmtId="49" fontId="31" fillId="7" borderId="1" xfId="1" applyNumberFormat="1" applyFont="1" applyFill="1" applyBorder="1" applyAlignment="1" applyProtection="1">
      <alignment horizontal="center" vertical="center" wrapText="1"/>
    </xf>
    <xf numFmtId="49" fontId="31" fillId="7" borderId="11" xfId="1" applyNumberFormat="1" applyFont="1" applyFill="1" applyBorder="1" applyAlignment="1" applyProtection="1">
      <alignment horizontal="center" vertical="center" wrapText="1"/>
    </xf>
    <xf numFmtId="0" fontId="10" fillId="19" borderId="53" xfId="0" applyFont="1" applyFill="1" applyBorder="1" applyAlignment="1" applyProtection="1">
      <alignment horizontal="center" vertical="center" wrapText="1"/>
    </xf>
    <xf numFmtId="0" fontId="10" fillId="19" borderId="0" xfId="0" applyFont="1" applyFill="1" applyBorder="1" applyAlignment="1" applyProtection="1">
      <alignment horizontal="center" vertical="center" wrapText="1"/>
    </xf>
    <xf numFmtId="0" fontId="10" fillId="19" borderId="56" xfId="0" applyFont="1" applyFill="1" applyBorder="1" applyAlignment="1" applyProtection="1">
      <alignment horizontal="center" vertical="center" wrapText="1"/>
    </xf>
    <xf numFmtId="0" fontId="10" fillId="19" borderId="66" xfId="0" applyFont="1" applyFill="1" applyBorder="1" applyAlignment="1" applyProtection="1">
      <alignment horizontal="center" vertical="center" wrapText="1"/>
    </xf>
    <xf numFmtId="0" fontId="10" fillId="7" borderId="11" xfId="0" applyFont="1" applyFill="1" applyBorder="1" applyAlignment="1" applyProtection="1">
      <alignment horizontal="center" vertical="center" wrapText="1"/>
    </xf>
    <xf numFmtId="0" fontId="10" fillId="7" borderId="14" xfId="0" applyFont="1" applyFill="1" applyBorder="1" applyAlignment="1" applyProtection="1">
      <alignment horizontal="center" vertical="center" wrapText="1"/>
    </xf>
    <xf numFmtId="0" fontId="3" fillId="14" borderId="17" xfId="0" applyFont="1" applyFill="1" applyBorder="1" applyAlignment="1" applyProtection="1">
      <alignment horizontal="center" vertical="center" wrapText="1"/>
    </xf>
    <xf numFmtId="0" fontId="3" fillId="14" borderId="18" xfId="0" applyFont="1" applyFill="1" applyBorder="1" applyAlignment="1" applyProtection="1">
      <alignment horizontal="center" vertical="center" wrapText="1"/>
    </xf>
    <xf numFmtId="0" fontId="3" fillId="19" borderId="5" xfId="0" applyFont="1" applyFill="1" applyBorder="1" applyAlignment="1" applyProtection="1">
      <alignment horizontal="center" vertical="center" wrapText="1"/>
    </xf>
    <xf numFmtId="0" fontId="3" fillId="19" borderId="47" xfId="0" applyFont="1" applyFill="1" applyBorder="1" applyAlignment="1" applyProtection="1">
      <alignment horizontal="center" vertical="center" wrapText="1"/>
    </xf>
    <xf numFmtId="0" fontId="33" fillId="21" borderId="46" xfId="0" quotePrefix="1" applyFont="1" applyFill="1" applyBorder="1" applyAlignment="1" applyProtection="1">
      <alignment horizontal="center" vertical="center" wrapText="1"/>
    </xf>
    <xf numFmtId="0" fontId="33" fillId="21" borderId="47" xfId="0" quotePrefix="1" applyFont="1" applyFill="1" applyBorder="1" applyAlignment="1" applyProtection="1">
      <alignment horizontal="center" vertical="center" wrapText="1"/>
    </xf>
    <xf numFmtId="49" fontId="34" fillId="5" borderId="63" xfId="0" applyNumberFormat="1" applyFont="1" applyFill="1" applyBorder="1" applyAlignment="1">
      <alignment horizontal="center" vertical="center" wrapText="1"/>
    </xf>
    <xf numFmtId="49" fontId="34" fillId="5" borderId="64" xfId="0" applyNumberFormat="1" applyFont="1" applyFill="1" applyBorder="1" applyAlignment="1">
      <alignment horizontal="center" vertical="center" wrapText="1"/>
    </xf>
    <xf numFmtId="0" fontId="10" fillId="19" borderId="17" xfId="0" applyFont="1" applyFill="1" applyBorder="1" applyAlignment="1" applyProtection="1">
      <alignment horizontal="center" vertical="center" wrapText="1"/>
    </xf>
    <xf numFmtId="0" fontId="10" fillId="19" borderId="11" xfId="0" applyFont="1" applyFill="1" applyBorder="1" applyAlignment="1" applyProtection="1">
      <alignment horizontal="center" vertical="center" wrapText="1"/>
    </xf>
    <xf numFmtId="0" fontId="10" fillId="19" borderId="18" xfId="0" applyFont="1" applyFill="1" applyBorder="1" applyAlignment="1" applyProtection="1">
      <alignment horizontal="center" vertical="center" wrapText="1"/>
    </xf>
    <xf numFmtId="0" fontId="10" fillId="19" borderId="14" xfId="0" applyFont="1" applyFill="1" applyBorder="1" applyAlignment="1" applyProtection="1">
      <alignment horizontal="center" vertical="center" wrapText="1"/>
    </xf>
    <xf numFmtId="0" fontId="10" fillId="18" borderId="45" xfId="1" applyNumberFormat="1" applyFont="1" applyFill="1" applyBorder="1" applyAlignment="1" applyProtection="1">
      <alignment horizontal="center" vertical="center" wrapText="1"/>
    </xf>
    <xf numFmtId="0" fontId="10" fillId="18" borderId="75" xfId="1" applyNumberFormat="1" applyFont="1" applyFill="1" applyBorder="1" applyAlignment="1" applyProtection="1">
      <alignment horizontal="center" vertical="center" wrapText="1"/>
    </xf>
    <xf numFmtId="0" fontId="10" fillId="18" borderId="42" xfId="1" applyNumberFormat="1" applyFont="1" applyFill="1" applyBorder="1" applyAlignment="1" applyProtection="1">
      <alignment horizontal="center" vertical="center" wrapText="1"/>
    </xf>
    <xf numFmtId="0" fontId="3" fillId="3" borderId="16" xfId="0" applyFont="1" applyFill="1" applyBorder="1" applyAlignment="1" applyProtection="1">
      <alignment horizontal="center" vertical="center" wrapText="1"/>
    </xf>
    <xf numFmtId="0" fontId="3" fillId="3" borderId="9" xfId="0" applyFont="1" applyFill="1" applyBorder="1" applyAlignment="1" applyProtection="1">
      <alignment horizontal="center" vertical="center" wrapText="1"/>
    </xf>
    <xf numFmtId="0" fontId="39" fillId="18" borderId="76" xfId="0" applyFont="1" applyFill="1" applyBorder="1" applyAlignment="1" applyProtection="1">
      <alignment horizontal="center" vertical="center" wrapText="1"/>
    </xf>
    <xf numFmtId="0" fontId="39" fillId="18" borderId="7" xfId="0" applyFont="1" applyFill="1" applyBorder="1" applyAlignment="1" applyProtection="1">
      <alignment horizontal="center" vertical="center" wrapText="1"/>
    </xf>
    <xf numFmtId="0" fontId="3" fillId="18" borderId="70" xfId="0" applyNumberFormat="1" applyFont="1" applyFill="1" applyBorder="1" applyAlignment="1" applyProtection="1">
      <alignment horizontal="center" vertical="center" wrapText="1"/>
    </xf>
    <xf numFmtId="0" fontId="3" fillId="18" borderId="43" xfId="0" applyNumberFormat="1" applyFont="1" applyFill="1" applyBorder="1" applyAlignment="1" applyProtection="1">
      <alignment horizontal="center" vertical="center" wrapText="1"/>
    </xf>
    <xf numFmtId="0" fontId="10" fillId="18" borderId="45" xfId="1" applyNumberFormat="1" applyFont="1" applyFill="1" applyBorder="1" applyAlignment="1" applyProtection="1">
      <alignment horizontal="left" vertical="center" wrapText="1"/>
    </xf>
    <xf numFmtId="0" fontId="10" fillId="18" borderId="75" xfId="1" applyNumberFormat="1" applyFont="1" applyFill="1" applyBorder="1" applyAlignment="1" applyProtection="1">
      <alignment horizontal="left" vertical="center" wrapText="1"/>
    </xf>
    <xf numFmtId="0" fontId="10" fillId="18" borderId="42" xfId="1" applyNumberFormat="1" applyFont="1" applyFill="1" applyBorder="1" applyAlignment="1" applyProtection="1">
      <alignment horizontal="left" vertical="center" wrapText="1"/>
    </xf>
    <xf numFmtId="14" fontId="4" fillId="7" borderId="9" xfId="0" applyNumberFormat="1" applyFont="1" applyFill="1" applyBorder="1" applyAlignment="1" applyProtection="1">
      <alignment horizontal="center" vertical="center" wrapText="1"/>
    </xf>
    <xf numFmtId="14" fontId="4" fillId="7" borderId="57" xfId="0" applyNumberFormat="1" applyFont="1" applyFill="1" applyBorder="1" applyAlignment="1" applyProtection="1">
      <alignment horizontal="center" vertical="center" wrapText="1"/>
    </xf>
    <xf numFmtId="1" fontId="10" fillId="7" borderId="12" xfId="0" applyNumberFormat="1" applyFont="1" applyFill="1" applyBorder="1" applyAlignment="1" applyProtection="1">
      <alignment horizontal="center" vertical="center" wrapText="1"/>
    </xf>
    <xf numFmtId="1" fontId="10" fillId="7" borderId="25" xfId="0" applyNumberFormat="1" applyFont="1" applyFill="1" applyBorder="1" applyAlignment="1" applyProtection="1">
      <alignment horizontal="center" vertical="center" wrapText="1"/>
    </xf>
    <xf numFmtId="2" fontId="10" fillId="7" borderId="35" xfId="0" applyNumberFormat="1" applyFont="1" applyFill="1" applyBorder="1" applyAlignment="1" applyProtection="1">
      <alignment horizontal="center" vertical="center" wrapText="1"/>
    </xf>
    <xf numFmtId="2" fontId="10" fillId="7" borderId="63" xfId="0" applyNumberFormat="1" applyFont="1" applyFill="1" applyBorder="1" applyAlignment="1" applyProtection="1">
      <alignment horizontal="center" vertical="center" wrapText="1"/>
    </xf>
    <xf numFmtId="0" fontId="0" fillId="7" borderId="52" xfId="0" applyFont="1" applyFill="1" applyBorder="1" applyAlignment="1" applyProtection="1">
      <alignment horizontal="center" vertical="center" wrapText="1"/>
    </xf>
    <xf numFmtId="0" fontId="0" fillId="7" borderId="0" xfId="0" applyFont="1" applyFill="1" applyBorder="1" applyAlignment="1" applyProtection="1">
      <alignment horizontal="center" vertical="center" wrapText="1"/>
    </xf>
    <xf numFmtId="0" fontId="3" fillId="14" borderId="16" xfId="0" applyFont="1" applyFill="1" applyBorder="1" applyAlignment="1" applyProtection="1">
      <alignment horizontal="center" vertical="center" wrapText="1"/>
    </xf>
    <xf numFmtId="0" fontId="3" fillId="14" borderId="10" xfId="0" applyFont="1" applyFill="1" applyBorder="1" applyAlignment="1" applyProtection="1">
      <alignment horizontal="center" vertical="center" wrapText="1"/>
    </xf>
    <xf numFmtId="14" fontId="3" fillId="13" borderId="70" xfId="0" applyNumberFormat="1" applyFont="1" applyFill="1" applyBorder="1" applyAlignment="1" applyProtection="1">
      <alignment horizontal="center" vertical="center" wrapText="1"/>
    </xf>
    <xf numFmtId="14" fontId="3" fillId="13" borderId="61" xfId="0" applyNumberFormat="1" applyFont="1" applyFill="1" applyBorder="1" applyAlignment="1" applyProtection="1">
      <alignment horizontal="center" vertical="center" wrapText="1"/>
    </xf>
    <xf numFmtId="0" fontId="3" fillId="7" borderId="17" xfId="0" applyFont="1" applyFill="1" applyBorder="1" applyAlignment="1" applyProtection="1">
      <alignment horizontal="center" vertical="center" wrapText="1"/>
    </xf>
    <xf numFmtId="0" fontId="3" fillId="7" borderId="1" xfId="0" applyFont="1" applyFill="1" applyBorder="1" applyAlignment="1" applyProtection="1">
      <alignment horizontal="center" vertical="center" wrapText="1"/>
    </xf>
    <xf numFmtId="0" fontId="10" fillId="19" borderId="4" xfId="0" applyFont="1" applyFill="1" applyBorder="1" applyAlignment="1" applyProtection="1">
      <alignment horizontal="center" vertical="center" wrapText="1"/>
    </xf>
    <xf numFmtId="0" fontId="10" fillId="19" borderId="6" xfId="0" applyFont="1" applyFill="1" applyBorder="1" applyAlignment="1" applyProtection="1">
      <alignment horizontal="center" vertical="center" wrapText="1"/>
    </xf>
    <xf numFmtId="169" fontId="32" fillId="7" borderId="9" xfId="0" applyNumberFormat="1" applyFont="1" applyFill="1" applyBorder="1" applyAlignment="1" applyProtection="1">
      <alignment horizontal="center" vertical="center" wrapText="1"/>
    </xf>
    <xf numFmtId="169" fontId="32" fillId="7" borderId="10" xfId="0" applyNumberFormat="1" applyFont="1" applyFill="1" applyBorder="1" applyAlignment="1" applyProtection="1">
      <alignment horizontal="center" vertical="center" wrapText="1"/>
    </xf>
    <xf numFmtId="169" fontId="3" fillId="7" borderId="1" xfId="0" applyNumberFormat="1" applyFont="1" applyFill="1" applyBorder="1" applyAlignment="1" applyProtection="1">
      <alignment horizontal="center" vertical="center" wrapText="1"/>
    </xf>
    <xf numFmtId="169" fontId="3" fillId="7" borderId="11" xfId="0" applyNumberFormat="1" applyFont="1" applyFill="1" applyBorder="1" applyAlignment="1" applyProtection="1">
      <alignment horizontal="center" vertical="center" wrapText="1"/>
    </xf>
    <xf numFmtId="0" fontId="10" fillId="7" borderId="12" xfId="1" applyNumberFormat="1" applyFont="1" applyFill="1" applyBorder="1" applyAlignment="1" applyProtection="1">
      <alignment horizontal="center" vertical="center" wrapText="1"/>
    </xf>
    <xf numFmtId="0" fontId="10" fillId="7" borderId="25" xfId="1" applyNumberFormat="1" applyFont="1" applyFill="1" applyBorder="1" applyAlignment="1" applyProtection="1">
      <alignment horizontal="center" vertical="center" wrapText="1"/>
    </xf>
    <xf numFmtId="0" fontId="10" fillId="7" borderId="22" xfId="1" applyNumberFormat="1" applyFont="1" applyFill="1" applyBorder="1" applyAlignment="1" applyProtection="1">
      <alignment horizontal="center" vertical="center" wrapText="1"/>
    </xf>
    <xf numFmtId="0" fontId="10" fillId="7" borderId="37" xfId="1" applyNumberFormat="1" applyFont="1" applyFill="1" applyBorder="1" applyAlignment="1" applyProtection="1">
      <alignment horizontal="center" vertical="center" wrapText="1"/>
    </xf>
    <xf numFmtId="2" fontId="10" fillId="7" borderId="12" xfId="0" applyNumberFormat="1" applyFont="1" applyFill="1" applyBorder="1" applyAlignment="1" applyProtection="1">
      <alignment horizontal="center" vertical="center" wrapText="1"/>
    </xf>
    <xf numFmtId="2" fontId="10" fillId="7" borderId="25" xfId="0" applyNumberFormat="1" applyFont="1" applyFill="1" applyBorder="1" applyAlignment="1" applyProtection="1">
      <alignment horizontal="center" vertical="center" wrapText="1"/>
    </xf>
    <xf numFmtId="0" fontId="22" fillId="3" borderId="73" xfId="0" applyFont="1" applyFill="1" applyBorder="1" applyAlignment="1" applyProtection="1">
      <alignment horizontal="center" vertical="center"/>
    </xf>
    <xf numFmtId="0" fontId="22" fillId="3" borderId="74" xfId="0" applyFont="1" applyFill="1" applyBorder="1" applyAlignment="1" applyProtection="1">
      <alignment horizontal="center" vertical="center"/>
    </xf>
    <xf numFmtId="0" fontId="4" fillId="27" borderId="2" xfId="0" applyFont="1" applyFill="1" applyBorder="1" applyAlignment="1">
      <alignment horizontal="center" vertical="center"/>
    </xf>
    <xf numFmtId="0" fontId="4" fillId="27" borderId="19" xfId="0" applyFont="1" applyFill="1" applyBorder="1" applyAlignment="1">
      <alignment horizontal="center" vertical="center"/>
    </xf>
    <xf numFmtId="0" fontId="4" fillId="27" borderId="23" xfId="0" applyFont="1" applyFill="1" applyBorder="1" applyAlignment="1">
      <alignment horizontal="center" vertical="center"/>
    </xf>
    <xf numFmtId="0" fontId="4" fillId="27" borderId="46" xfId="0" applyFont="1" applyFill="1" applyBorder="1" applyAlignment="1">
      <alignment horizontal="center" vertical="center"/>
    </xf>
    <xf numFmtId="0" fontId="4" fillId="27" borderId="47" xfId="0" applyFont="1" applyFill="1" applyBorder="1" applyAlignment="1">
      <alignment horizontal="center" vertical="center"/>
    </xf>
    <xf numFmtId="0" fontId="25" fillId="28" borderId="2" xfId="0" applyFont="1" applyFill="1" applyBorder="1" applyAlignment="1">
      <alignment horizontal="center" vertical="center" wrapText="1"/>
    </xf>
    <xf numFmtId="0" fontId="25" fillId="28" borderId="53" xfId="0" applyFont="1" applyFill="1" applyBorder="1" applyAlignment="1">
      <alignment horizontal="center" vertical="center" wrapText="1"/>
    </xf>
    <xf numFmtId="0" fontId="25" fillId="28" borderId="56" xfId="0" applyFont="1" applyFill="1" applyBorder="1" applyAlignment="1">
      <alignment horizontal="center" vertical="center" wrapText="1"/>
    </xf>
    <xf numFmtId="0" fontId="25" fillId="28" borderId="19" xfId="0" applyFont="1" applyFill="1" applyBorder="1" applyAlignment="1">
      <alignment horizontal="center" vertical="center" wrapText="1"/>
    </xf>
    <xf numFmtId="0" fontId="25" fillId="28" borderId="0" xfId="0" applyFont="1" applyFill="1" applyBorder="1" applyAlignment="1">
      <alignment horizontal="center" vertical="center" wrapText="1"/>
    </xf>
    <xf numFmtId="0" fontId="25" fillId="28" borderId="66" xfId="0" applyFont="1" applyFill="1" applyBorder="1" applyAlignment="1">
      <alignment horizontal="center" vertical="center" wrapText="1"/>
    </xf>
    <xf numFmtId="0" fontId="11" fillId="28" borderId="23" xfId="0" applyFont="1" applyFill="1" applyBorder="1" applyAlignment="1">
      <alignment horizontal="center" vertical="center" wrapText="1"/>
    </xf>
    <xf numFmtId="0" fontId="11" fillId="28" borderId="62" xfId="0" applyFont="1" applyFill="1" applyBorder="1" applyAlignment="1">
      <alignment horizontal="center" vertical="center" wrapText="1"/>
    </xf>
    <xf numFmtId="0" fontId="25" fillId="9" borderId="2" xfId="0" applyFont="1" applyFill="1" applyBorder="1" applyAlignment="1">
      <alignment horizontal="center" vertical="center" wrapText="1"/>
    </xf>
    <xf numFmtId="0" fontId="25" fillId="9" borderId="53" xfId="0" applyFont="1" applyFill="1" applyBorder="1" applyAlignment="1">
      <alignment horizontal="center" vertical="center" wrapText="1"/>
    </xf>
    <xf numFmtId="0" fontId="25" fillId="9" borderId="56" xfId="0" applyFont="1" applyFill="1" applyBorder="1" applyAlignment="1">
      <alignment horizontal="center" vertical="center" wrapText="1"/>
    </xf>
    <xf numFmtId="0" fontId="3" fillId="9" borderId="19" xfId="0" applyFont="1" applyFill="1" applyBorder="1" applyAlignment="1">
      <alignment horizontal="center" vertical="center" wrapText="1"/>
    </xf>
    <xf numFmtId="0" fontId="3" fillId="9" borderId="0" xfId="0" applyFont="1" applyFill="1" applyBorder="1" applyAlignment="1">
      <alignment horizontal="center" vertical="center" wrapText="1"/>
    </xf>
    <xf numFmtId="0" fontId="3" fillId="9" borderId="66" xfId="0" applyFont="1" applyFill="1" applyBorder="1" applyAlignment="1">
      <alignment horizontal="center" vertical="center" wrapText="1"/>
    </xf>
    <xf numFmtId="0" fontId="11" fillId="9" borderId="19" xfId="0" applyFont="1" applyFill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 wrapText="1"/>
    </xf>
    <xf numFmtId="0" fontId="11" fillId="9" borderId="66" xfId="0" applyFont="1" applyFill="1" applyBorder="1" applyAlignment="1">
      <alignment horizontal="center" vertical="center" wrapText="1"/>
    </xf>
    <xf numFmtId="0" fontId="25" fillId="29" borderId="2" xfId="0" applyFont="1" applyFill="1" applyBorder="1" applyAlignment="1">
      <alignment horizontal="center" vertical="center" wrapText="1"/>
    </xf>
    <xf numFmtId="0" fontId="25" fillId="29" borderId="53" xfId="0" applyFont="1" applyFill="1" applyBorder="1" applyAlignment="1">
      <alignment horizontal="center" vertical="center" wrapText="1"/>
    </xf>
    <xf numFmtId="0" fontId="25" fillId="29" borderId="56" xfId="0" applyFont="1" applyFill="1" applyBorder="1" applyAlignment="1">
      <alignment horizontal="center" vertical="center" wrapText="1"/>
    </xf>
    <xf numFmtId="0" fontId="3" fillId="29" borderId="19" xfId="0" applyFont="1" applyFill="1" applyBorder="1" applyAlignment="1">
      <alignment horizontal="center" vertical="center" wrapText="1"/>
    </xf>
    <xf numFmtId="0" fontId="3" fillId="29" borderId="0" xfId="0" applyFont="1" applyFill="1" applyBorder="1" applyAlignment="1">
      <alignment horizontal="center" vertical="center" wrapText="1"/>
    </xf>
    <xf numFmtId="0" fontId="3" fillId="29" borderId="66" xfId="0" applyFont="1" applyFill="1" applyBorder="1" applyAlignment="1">
      <alignment horizontal="center" vertical="center" wrapText="1"/>
    </xf>
    <xf numFmtId="0" fontId="11" fillId="29" borderId="19" xfId="0" applyFont="1" applyFill="1" applyBorder="1" applyAlignment="1">
      <alignment horizontal="center" vertical="center" wrapText="1"/>
    </xf>
    <xf numFmtId="0" fontId="11" fillId="29" borderId="0" xfId="0" applyFont="1" applyFill="1" applyBorder="1" applyAlignment="1">
      <alignment horizontal="center" vertical="center" wrapText="1"/>
    </xf>
    <xf numFmtId="0" fontId="11" fillId="29" borderId="66" xfId="0" applyFont="1" applyFill="1" applyBorder="1" applyAlignment="1">
      <alignment horizontal="center" vertical="center" wrapText="1"/>
    </xf>
    <xf numFmtId="0" fontId="11" fillId="28" borderId="62" xfId="0" applyFont="1" applyFill="1" applyBorder="1" applyAlignment="1">
      <alignment horizontal="center" vertical="center"/>
    </xf>
    <xf numFmtId="0" fontId="11" fillId="28" borderId="64" xfId="0" applyFont="1" applyFill="1" applyBorder="1" applyAlignment="1">
      <alignment horizontal="center" vertical="center"/>
    </xf>
    <xf numFmtId="0" fontId="25" fillId="30" borderId="2" xfId="0" applyFont="1" applyFill="1" applyBorder="1" applyAlignment="1">
      <alignment horizontal="center" vertical="center" wrapText="1"/>
    </xf>
    <xf numFmtId="0" fontId="25" fillId="30" borderId="53" xfId="0" applyFont="1" applyFill="1" applyBorder="1" applyAlignment="1">
      <alignment horizontal="center" vertical="center" wrapText="1"/>
    </xf>
    <xf numFmtId="0" fontId="25" fillId="30" borderId="56" xfId="0" applyFont="1" applyFill="1" applyBorder="1" applyAlignment="1">
      <alignment horizontal="center" vertical="center" wrapText="1"/>
    </xf>
    <xf numFmtId="0" fontId="4" fillId="30" borderId="19" xfId="0" applyFont="1" applyFill="1" applyBorder="1" applyAlignment="1">
      <alignment horizontal="center" vertical="center" wrapText="1"/>
    </xf>
    <xf numFmtId="0" fontId="4" fillId="30" borderId="0" xfId="0" applyFont="1" applyFill="1" applyBorder="1" applyAlignment="1">
      <alignment horizontal="center" vertical="center" wrapText="1"/>
    </xf>
    <xf numFmtId="0" fontId="4" fillId="30" borderId="66" xfId="0" applyFont="1" applyFill="1" applyBorder="1" applyAlignment="1">
      <alignment horizontal="center" vertical="center" wrapText="1"/>
    </xf>
    <xf numFmtId="0" fontId="11" fillId="30" borderId="19" xfId="0" applyFont="1" applyFill="1" applyBorder="1" applyAlignment="1">
      <alignment horizontal="center" vertical="center" wrapText="1"/>
    </xf>
    <xf numFmtId="0" fontId="11" fillId="30" borderId="0" xfId="0" applyFont="1" applyFill="1" applyBorder="1" applyAlignment="1">
      <alignment horizontal="center" vertical="center" wrapText="1"/>
    </xf>
    <xf numFmtId="0" fontId="11" fillId="30" borderId="66" xfId="0" applyFont="1" applyFill="1" applyBorder="1" applyAlignment="1">
      <alignment horizontal="center" vertical="center" wrapText="1"/>
    </xf>
    <xf numFmtId="0" fontId="25" fillId="12" borderId="2" xfId="0" applyFont="1" applyFill="1" applyBorder="1" applyAlignment="1">
      <alignment horizontal="center" vertical="center" wrapText="1"/>
    </xf>
    <xf numFmtId="0" fontId="25" fillId="12" borderId="53" xfId="0" applyFont="1" applyFill="1" applyBorder="1" applyAlignment="1">
      <alignment horizontal="center" vertical="center"/>
    </xf>
    <xf numFmtId="0" fontId="25" fillId="12" borderId="56" xfId="0" applyFont="1" applyFill="1" applyBorder="1" applyAlignment="1">
      <alignment horizontal="center" vertical="center"/>
    </xf>
    <xf numFmtId="0" fontId="11" fillId="33" borderId="19" xfId="0" applyFont="1" applyFill="1" applyBorder="1" applyAlignment="1">
      <alignment horizontal="center" vertical="center" wrapText="1"/>
    </xf>
    <xf numFmtId="0" fontId="11" fillId="33" borderId="0" xfId="0" applyFont="1" applyFill="1" applyBorder="1" applyAlignment="1">
      <alignment horizontal="center" vertical="center" wrapText="1"/>
    </xf>
    <xf numFmtId="0" fontId="11" fillId="33" borderId="66" xfId="0" applyFont="1" applyFill="1" applyBorder="1" applyAlignment="1">
      <alignment horizontal="center" vertical="center" wrapText="1"/>
    </xf>
    <xf numFmtId="0" fontId="27" fillId="27" borderId="2" xfId="0" applyFont="1" applyFill="1" applyBorder="1" applyAlignment="1">
      <alignment horizontal="center" vertical="center"/>
    </xf>
    <xf numFmtId="0" fontId="27" fillId="27" borderId="19" xfId="0" applyFont="1" applyFill="1" applyBorder="1" applyAlignment="1">
      <alignment horizontal="center" vertical="center"/>
    </xf>
    <xf numFmtId="0" fontId="27" fillId="27" borderId="23" xfId="0" applyFont="1" applyFill="1" applyBorder="1" applyAlignment="1">
      <alignment horizontal="center" vertical="center"/>
    </xf>
    <xf numFmtId="0" fontId="25" fillId="32" borderId="2" xfId="0" applyFont="1" applyFill="1" applyBorder="1" applyAlignment="1">
      <alignment horizontal="center" vertical="center" wrapText="1"/>
    </xf>
    <xf numFmtId="0" fontId="25" fillId="32" borderId="53" xfId="0" applyFont="1" applyFill="1" applyBorder="1" applyAlignment="1">
      <alignment horizontal="center" vertical="center" wrapText="1"/>
    </xf>
    <xf numFmtId="0" fontId="25" fillId="32" borderId="56" xfId="0" applyFont="1" applyFill="1" applyBorder="1" applyAlignment="1">
      <alignment horizontal="center" vertical="center" wrapText="1"/>
    </xf>
    <xf numFmtId="0" fontId="3" fillId="32" borderId="19" xfId="0" applyFont="1" applyFill="1" applyBorder="1" applyAlignment="1">
      <alignment horizontal="center" vertical="center" wrapText="1"/>
    </xf>
    <xf numFmtId="0" fontId="3" fillId="32" borderId="0" xfId="0" applyFont="1" applyFill="1" applyBorder="1" applyAlignment="1">
      <alignment horizontal="center" vertical="center" wrapText="1"/>
    </xf>
    <xf numFmtId="0" fontId="3" fillId="32" borderId="66" xfId="0" applyFont="1" applyFill="1" applyBorder="1" applyAlignment="1">
      <alignment horizontal="center" vertical="center" wrapText="1"/>
    </xf>
    <xf numFmtId="0" fontId="11" fillId="32" borderId="19" xfId="0" applyFont="1" applyFill="1" applyBorder="1" applyAlignment="1">
      <alignment horizontal="center" vertical="center" wrapText="1"/>
    </xf>
    <xf numFmtId="0" fontId="11" fillId="32" borderId="0" xfId="0" applyFont="1" applyFill="1" applyBorder="1" applyAlignment="1">
      <alignment horizontal="center" vertical="center" wrapText="1"/>
    </xf>
    <xf numFmtId="0" fontId="11" fillId="32" borderId="66" xfId="0" applyFont="1" applyFill="1" applyBorder="1" applyAlignment="1">
      <alignment horizontal="center" vertical="center" wrapText="1"/>
    </xf>
    <xf numFmtId="0" fontId="25" fillId="33" borderId="2" xfId="0" applyFont="1" applyFill="1" applyBorder="1" applyAlignment="1">
      <alignment horizontal="center" vertical="center" wrapText="1"/>
    </xf>
    <xf numFmtId="0" fontId="25" fillId="33" borderId="53" xfId="0" applyFont="1" applyFill="1" applyBorder="1" applyAlignment="1">
      <alignment horizontal="center" vertical="center" wrapText="1"/>
    </xf>
    <xf numFmtId="0" fontId="25" fillId="33" borderId="56" xfId="0" applyFont="1" applyFill="1" applyBorder="1" applyAlignment="1">
      <alignment horizontal="center" vertical="center" wrapText="1"/>
    </xf>
    <xf numFmtId="0" fontId="11" fillId="31" borderId="19" xfId="0" applyFont="1" applyFill="1" applyBorder="1" applyAlignment="1">
      <alignment horizontal="center" vertical="center" wrapText="1"/>
    </xf>
    <xf numFmtId="0" fontId="11" fillId="31" borderId="0" xfId="0" applyFont="1" applyFill="1" applyBorder="1" applyAlignment="1">
      <alignment horizontal="center" vertical="center" wrapText="1"/>
    </xf>
    <xf numFmtId="0" fontId="11" fillId="31" borderId="66" xfId="0" applyFont="1" applyFill="1" applyBorder="1" applyAlignment="1">
      <alignment horizontal="center" vertical="center" wrapText="1"/>
    </xf>
    <xf numFmtId="0" fontId="3" fillId="12" borderId="19" xfId="0" applyFont="1" applyFill="1" applyBorder="1" applyAlignment="1">
      <alignment horizontal="center" vertical="center" wrapText="1"/>
    </xf>
    <xf numFmtId="0" fontId="3" fillId="12" borderId="0" xfId="0" applyFont="1" applyFill="1" applyBorder="1" applyAlignment="1">
      <alignment horizontal="center" vertical="center"/>
    </xf>
    <xf numFmtId="0" fontId="3" fillId="12" borderId="66" xfId="0" applyFont="1" applyFill="1" applyBorder="1" applyAlignment="1">
      <alignment horizontal="center" vertical="center"/>
    </xf>
    <xf numFmtId="0" fontId="11" fillId="12" borderId="19" xfId="0" applyFont="1" applyFill="1" applyBorder="1" applyAlignment="1">
      <alignment horizontal="center" vertical="center" wrapText="1"/>
    </xf>
    <xf numFmtId="0" fontId="11" fillId="12" borderId="0" xfId="0" applyFont="1" applyFill="1" applyBorder="1" applyAlignment="1">
      <alignment horizontal="center" vertical="center"/>
    </xf>
    <xf numFmtId="0" fontId="11" fillId="12" borderId="66" xfId="0" applyFont="1" applyFill="1" applyBorder="1" applyAlignment="1">
      <alignment horizontal="center" vertical="center"/>
    </xf>
    <xf numFmtId="0" fontId="25" fillId="31" borderId="2" xfId="0" applyFont="1" applyFill="1" applyBorder="1" applyAlignment="1">
      <alignment horizontal="center" vertical="center" wrapText="1"/>
    </xf>
    <xf numFmtId="0" fontId="25" fillId="31" borderId="53" xfId="0" applyFont="1" applyFill="1" applyBorder="1" applyAlignment="1">
      <alignment horizontal="center" vertical="center" wrapText="1"/>
    </xf>
    <xf numFmtId="0" fontId="25" fillId="31" borderId="56" xfId="0" applyFont="1" applyFill="1" applyBorder="1" applyAlignment="1">
      <alignment horizontal="center" vertical="center" wrapText="1"/>
    </xf>
    <xf numFmtId="0" fontId="27" fillId="31" borderId="19" xfId="0" applyFont="1" applyFill="1" applyBorder="1" applyAlignment="1">
      <alignment horizontal="center" vertical="center" wrapText="1"/>
    </xf>
    <xf numFmtId="0" fontId="3" fillId="31" borderId="0" xfId="0" applyFont="1" applyFill="1" applyBorder="1" applyAlignment="1">
      <alignment horizontal="center" vertical="center" wrapText="1"/>
    </xf>
    <xf numFmtId="0" fontId="3" fillId="31" borderId="66" xfId="0" applyFont="1" applyFill="1" applyBorder="1" applyAlignment="1">
      <alignment horizontal="center" vertical="center" wrapText="1"/>
    </xf>
    <xf numFmtId="0" fontId="27" fillId="33" borderId="19" xfId="0" applyFont="1" applyFill="1" applyBorder="1" applyAlignment="1">
      <alignment horizontal="center" vertical="center" wrapText="1"/>
    </xf>
    <xf numFmtId="0" fontId="3" fillId="33" borderId="0" xfId="0" applyFont="1" applyFill="1" applyBorder="1" applyAlignment="1">
      <alignment horizontal="center" vertical="center" wrapText="1"/>
    </xf>
    <xf numFmtId="0" fontId="3" fillId="33" borderId="66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/>
    </xf>
    <xf numFmtId="0" fontId="2" fillId="5" borderId="33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49" xfId="0" applyFont="1" applyFill="1" applyBorder="1" applyAlignment="1">
      <alignment horizontal="center" vertical="center"/>
    </xf>
    <xf numFmtId="0" fontId="0" fillId="7" borderId="57" xfId="0" applyFont="1" applyFill="1" applyBorder="1" applyAlignment="1">
      <alignment horizontal="center" vertical="center"/>
    </xf>
    <xf numFmtId="0" fontId="0" fillId="7" borderId="67" xfId="0" applyFont="1" applyFill="1" applyBorder="1" applyAlignment="1">
      <alignment horizontal="center" vertical="center"/>
    </xf>
    <xf numFmtId="0" fontId="0" fillId="7" borderId="60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68" xfId="0" applyFont="1" applyFill="1" applyBorder="1" applyAlignment="1">
      <alignment horizontal="center" vertical="center"/>
    </xf>
    <xf numFmtId="0" fontId="0" fillId="7" borderId="24" xfId="0" applyFont="1" applyFill="1" applyBorder="1" applyAlignment="1">
      <alignment horizontal="center" vertical="center"/>
    </xf>
    <xf numFmtId="0" fontId="0" fillId="7" borderId="69" xfId="0" applyFont="1" applyFill="1" applyBorder="1" applyAlignment="1">
      <alignment horizontal="center" vertical="center"/>
    </xf>
    <xf numFmtId="0" fontId="0" fillId="7" borderId="70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29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34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2" fillId="5" borderId="46" xfId="0" applyFont="1" applyFill="1" applyBorder="1" applyAlignment="1">
      <alignment horizontal="center" vertical="center"/>
    </xf>
    <xf numFmtId="0" fontId="2" fillId="5" borderId="51" xfId="0" applyFon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47" xfId="0" applyFill="1" applyBorder="1" applyAlignment="1">
      <alignment horizontal="center" vertical="center"/>
    </xf>
    <xf numFmtId="0" fontId="0" fillId="7" borderId="48" xfId="0" applyFill="1" applyBorder="1" applyAlignment="1">
      <alignment horizontal="center" vertical="center"/>
    </xf>
    <xf numFmtId="6" fontId="0" fillId="7" borderId="5" xfId="0" applyNumberFormat="1" applyFill="1" applyBorder="1" applyAlignment="1">
      <alignment horizontal="center" vertical="center"/>
    </xf>
    <xf numFmtId="6" fontId="0" fillId="7" borderId="47" xfId="0" applyNumberFormat="1" applyFill="1" applyBorder="1" applyAlignment="1">
      <alignment horizontal="center" vertical="center"/>
    </xf>
    <xf numFmtId="6" fontId="0" fillId="7" borderId="48" xfId="0" applyNumberForma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0" fillId="7" borderId="25" xfId="0" applyFont="1" applyFill="1" applyBorder="1" applyAlignment="1">
      <alignment horizontal="center" vertical="center"/>
    </xf>
    <xf numFmtId="0" fontId="0" fillId="7" borderId="71" xfId="0" applyFont="1" applyFill="1" applyBorder="1" applyAlignment="1">
      <alignment horizontal="center" vertical="center"/>
    </xf>
    <xf numFmtId="0" fontId="0" fillId="7" borderId="61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7" fillId="27" borderId="56" xfId="0" applyFont="1" applyFill="1" applyBorder="1" applyAlignment="1">
      <alignment horizontal="center" vertical="center"/>
    </xf>
    <xf numFmtId="0" fontId="27" fillId="27" borderId="66" xfId="0" applyFont="1" applyFill="1" applyBorder="1" applyAlignment="1">
      <alignment horizontal="center" vertical="center"/>
    </xf>
    <xf numFmtId="0" fontId="27" fillId="27" borderId="6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17"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rgb="FFFABE8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rgb="FFFF9999"/>
      </font>
      <fill>
        <patternFill>
          <bgColor rgb="FFFF999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rgb="FFFF9999"/>
      </font>
      <fill>
        <patternFill>
          <bgColor rgb="FFFF9999"/>
        </patternFill>
      </fill>
    </dxf>
    <dxf>
      <font>
        <b val="0"/>
        <i val="0"/>
        <color rgb="FFFFB265"/>
      </font>
      <fill>
        <patternFill>
          <bgColor rgb="FFF4BA6C"/>
        </patternFill>
      </fill>
    </dxf>
    <dxf>
      <font>
        <b val="0"/>
        <i val="0"/>
        <color theme="9" tint="0.59996337778862885"/>
      </font>
      <fill>
        <patternFill>
          <bgColor theme="9" tint="0.59996337778862885"/>
        </patternFill>
      </fill>
    </dxf>
    <dxf>
      <font>
        <b val="0"/>
        <i val="0"/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9" tint="0.39994506668294322"/>
        </patternFill>
      </fill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34998626667073579"/>
        </patternFill>
      </fill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C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5BCF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B2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DBFF7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999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999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5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b val="0"/>
        <i val="0"/>
        <color theme="9" tint="-0.499984740745262"/>
      </font>
      <fill>
        <patternFill patternType="solid">
          <bgColor theme="0" tint="-0.14996795556505021"/>
        </patternFill>
      </fill>
    </dxf>
    <dxf>
      <font>
        <b val="0"/>
        <i val="0"/>
        <color rgb="FFFF0000"/>
      </font>
      <fill>
        <patternFill patternType="solid">
          <fgColor indexed="64"/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auto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ill>
        <patternFill>
          <bgColor rgb="FFFDCF91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9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rgb="FFFFC5C5"/>
      </font>
      <fill>
        <patternFill>
          <bgColor rgb="FFFFC5C5"/>
        </patternFill>
      </fill>
    </dxf>
    <dxf>
      <font>
        <color rgb="FFFFC5C5"/>
      </font>
      <fill>
        <patternFill>
          <bgColor rgb="FFFFC5C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rgb="FFFFC489"/>
        </patternFill>
      </fill>
    </dxf>
    <dxf>
      <font>
        <color theme="1"/>
      </font>
      <fill>
        <patternFill>
          <bgColor theme="9" tint="0.59996337778862885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</dxf>
    <dxf>
      <border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B089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 style="thin">
          <color auto="1"/>
        </right>
        <top/>
        <bottom/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9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/>
      </font>
    </dxf>
    <dxf>
      <font>
        <b/>
        <i val="0"/>
      </font>
    </dxf>
    <dxf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F4BA6C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0" tint="-0.34998626667073579"/>
        </patternFill>
      </fill>
    </dxf>
    <dxf>
      <font>
        <color theme="1"/>
      </font>
      <fill>
        <patternFill>
          <bgColor rgb="FFF0E1FF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9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color theme="0" tint="-0.34998626667073579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0"/>
      </font>
      <fill>
        <patternFill>
          <bgColor theme="1"/>
        </patternFill>
      </fill>
    </dxf>
    <dxf>
      <font>
        <b val="0"/>
        <i val="0"/>
        <color theme="1"/>
      </font>
      <fill>
        <patternFill>
          <bgColor rgb="FFFF9966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rgb="FFFF9999"/>
        </patternFill>
      </fill>
    </dxf>
    <dxf>
      <font>
        <b val="0"/>
        <i val="0"/>
        <color theme="1"/>
      </font>
      <fill>
        <patternFill>
          <bgColor rgb="FFCBA9E5"/>
        </patternFill>
      </fill>
    </dxf>
    <dxf>
      <font>
        <b val="0"/>
        <i val="0"/>
        <color theme="1"/>
      </font>
      <fill>
        <patternFill>
          <bgColor theme="4" tint="0.59996337778862885"/>
        </patternFill>
      </fill>
    </dxf>
    <dxf>
      <font>
        <b val="0"/>
        <i val="0"/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b val="0"/>
        <i val="0"/>
        <color theme="1"/>
      </font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1"/>
      </font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59996337778862885"/>
        </patternFill>
      </fill>
    </dxf>
    <dxf>
      <fill>
        <patternFill>
          <bgColor rgb="FFFFB7B9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E1BC79"/>
        </patternFill>
      </fill>
    </dxf>
    <dxf>
      <fill>
        <patternFill>
          <bgColor rgb="FFD0C0EC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C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auto="1"/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solid">
          <fgColor auto="1"/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 patternType="solid">
          <fgColor theme="1" tint="4.9989318521683403E-2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color theme="1"/>
      </font>
      <fill>
        <patternFill>
          <fgColor theme="1"/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rgb="FFFF9999"/>
        </patternFill>
      </fill>
    </dxf>
    <dxf>
      <font>
        <color theme="1"/>
      </font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theme="0" tint="-0.34998626667073579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theme="5" tint="0.59996337778862885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0"/>
        </left>
        <right style="thin">
          <color theme="1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1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1"/>
      </font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 val="0"/>
        <i val="0"/>
        <color theme="1"/>
      </font>
      <fill>
        <patternFill>
          <bgColor theme="4" tint="0.79998168889431442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ill>
        <patternFill>
          <bgColor rgb="FFDEEBF6"/>
        </patternFill>
      </fill>
    </dxf>
    <dxf>
      <fill>
        <patternFill>
          <bgColor rgb="FFFFE5E6"/>
        </patternFill>
      </fill>
    </dxf>
    <dxf>
      <fill>
        <patternFill>
          <bgColor rgb="FFFEF2EC"/>
        </patternFill>
      </fill>
    </dxf>
    <dxf>
      <fill>
        <patternFill>
          <bgColor rgb="FFEFF6EA"/>
        </patternFill>
      </fill>
    </dxf>
    <dxf>
      <fill>
        <patternFill>
          <bgColor rgb="FFFFF5D5"/>
        </patternFill>
      </fill>
    </dxf>
    <dxf>
      <fill>
        <patternFill>
          <bgColor rgb="FFEDD8B1"/>
        </patternFill>
      </fill>
    </dxf>
    <dxf>
      <fill>
        <patternFill>
          <bgColor rgb="FFE9E2F6"/>
        </patternFill>
      </fill>
    </dxf>
    <dxf>
      <fill>
        <patternFill>
          <bgColor rgb="FFF8CFB6"/>
        </patternFill>
      </fill>
    </dxf>
    <dxf>
      <fill>
        <patternFill>
          <bgColor theme="4" tint="0.59996337778862885"/>
        </patternFill>
      </fill>
    </dxf>
    <dxf>
      <fill>
        <patternFill>
          <bgColor rgb="FFFFB7B9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E1BC79"/>
        </patternFill>
      </fill>
    </dxf>
    <dxf>
      <fill>
        <patternFill>
          <bgColor rgb="FFD0C0EC"/>
        </patternFill>
      </fill>
    </dxf>
    <dxf>
      <fill>
        <patternFill>
          <bgColor theme="5" tint="0.39994506668294322"/>
        </patternFill>
      </fill>
    </dxf>
    <dxf>
      <fill>
        <patternFill>
          <bgColor rgb="FFFFCCCC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ill>
        <patternFill>
          <bgColor rgb="FFFFCCCC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vertical/>
        <horizontal/>
      </border>
    </dxf>
    <dxf>
      <border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ill>
        <patternFill>
          <bgColor rgb="FFFFCCCC"/>
        </patternFill>
      </fill>
    </dxf>
    <dxf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9999"/>
        </patternFill>
      </fill>
    </dxf>
    <dxf>
      <fill>
        <patternFill>
          <bgColor theme="7" tint="0.39994506668294322"/>
        </patternFill>
      </fill>
    </dxf>
    <dxf>
      <fill>
        <patternFill>
          <bgColor rgb="FFFF9999"/>
        </patternFill>
      </fill>
    </dxf>
    <dxf>
      <fill>
        <patternFill>
          <bgColor rgb="FFFFCC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999"/>
        </patternFill>
      </fill>
    </dxf>
    <dxf>
      <fill>
        <patternFill>
          <bgColor theme="4" tint="0.59996337778862885"/>
        </patternFill>
      </fill>
    </dxf>
    <dxf>
      <fill>
        <patternFill>
          <bgColor rgb="FFFFB7B9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E1BC79"/>
        </patternFill>
      </fill>
    </dxf>
    <dxf>
      <fill>
        <patternFill>
          <bgColor rgb="FFD0C0EC"/>
        </patternFill>
      </fill>
    </dxf>
    <dxf>
      <fill>
        <patternFill>
          <bgColor theme="5" tint="0.3999450666829432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  <border>
        <left style="thin">
          <color theme="0" tint="-0.14996795556505021"/>
        </left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CC"/>
        </patternFill>
      </fill>
    </dxf>
    <dxf>
      <fill>
        <patternFill>
          <bgColor theme="7" tint="0.79998168889431442"/>
        </patternFill>
      </fill>
    </dxf>
    <dxf>
      <font>
        <b val="0"/>
        <i val="0"/>
      </font>
      <fill>
        <patternFill>
          <bgColor theme="7" tint="0.79998168889431442"/>
        </patternFill>
      </fill>
    </dxf>
    <dxf>
      <fill>
        <patternFill>
          <bgColor rgb="FFFFCCCC"/>
        </patternFill>
      </fill>
    </dxf>
    <dxf>
      <font>
        <b/>
        <i val="0"/>
      </font>
      <fill>
        <patternFill>
          <bgColor rgb="FFFFCCCC"/>
        </patternFill>
      </fill>
    </dxf>
    <dxf>
      <font>
        <b/>
        <i val="0"/>
        <color theme="1"/>
      </font>
      <fill>
        <patternFill>
          <bgColor rgb="FFFF999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79998168889431442"/>
        </patternFill>
      </fill>
    </dxf>
    <dxf>
      <fill>
        <patternFill>
          <bgColor rgb="FFFFCCCC"/>
        </patternFill>
      </fill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5BCF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B2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DBFF7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5BCF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B2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DBFF7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>
          <bgColor rgb="FFFF9999"/>
        </patternFill>
      </fill>
    </dxf>
    <dxf>
      <fill>
        <patternFill>
          <bgColor rgb="FFFFCC66"/>
        </patternFill>
      </fill>
    </dxf>
    <dxf>
      <fill>
        <patternFill>
          <bgColor theme="9" tint="0.59996337778862885"/>
        </patternFill>
      </fill>
    </dxf>
    <dxf>
      <border>
        <left style="thin">
          <color theme="0" tint="-0.14996795556505021"/>
        </left>
        <right style="thin">
          <color theme="0" tint="-0.14996795556505021"/>
        </right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  <border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font>
        <color theme="0"/>
      </font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9999"/>
        </patternFill>
      </fill>
    </dxf>
    <dxf>
      <fill>
        <patternFill>
          <bgColor rgb="FFFDCF91"/>
        </patternFill>
      </fill>
    </dxf>
    <dxf>
      <fill>
        <patternFill>
          <bgColor theme="9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</border>
    </dxf>
    <dxf>
      <fill>
        <patternFill>
          <bgColor theme="4" tint="0.59996337778862885"/>
        </patternFill>
      </fill>
    </dxf>
    <dxf>
      <fill>
        <patternFill>
          <bgColor rgb="FFFFB7B9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E1BC79"/>
        </patternFill>
      </fill>
    </dxf>
    <dxf>
      <fill>
        <patternFill>
          <bgColor rgb="FFD0C0EC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rgb="FFFF9999"/>
        </patternFill>
      </fill>
    </dxf>
    <dxf>
      <font>
        <b/>
        <i val="0"/>
        <color theme="1"/>
      </font>
      <fill>
        <patternFill>
          <bgColor rgb="FFCBA9E5"/>
        </patternFill>
      </fill>
    </dxf>
    <dxf>
      <font>
        <b/>
        <i val="0"/>
        <color theme="1"/>
      </font>
      <fill>
        <patternFill>
          <bgColor theme="4" tint="0.59996337778862885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>
          <bgColor theme="7" tint="0.59996337778862885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rgb="FFFF9999"/>
        </patternFill>
      </fill>
    </dxf>
    <dxf>
      <font>
        <b/>
        <i val="0"/>
        <color theme="1"/>
      </font>
      <fill>
        <patternFill>
          <bgColor rgb="FFFFB089"/>
        </patternFill>
      </fill>
    </dxf>
    <dxf>
      <font>
        <b/>
        <i val="0"/>
        <color theme="1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DEEBF6"/>
      <color rgb="FFFFE5E6"/>
      <color rgb="FFFEF2EC"/>
      <color rgb="FFEFF6EA"/>
      <color rgb="FFFFF5D5"/>
      <color rgb="FFEDD8B1"/>
      <color rgb="FFF8CFB6"/>
      <color rgb="FFE9E2F6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153216</xdr:colOff>
      <xdr:row>0</xdr:row>
      <xdr:rowOff>47625</xdr:rowOff>
    </xdr:from>
    <xdr:to>
      <xdr:col>9</xdr:col>
      <xdr:colOff>876301</xdr:colOff>
      <xdr:row>0</xdr:row>
      <xdr:rowOff>240506</xdr:rowOff>
    </xdr:to>
    <xdr:sp macro="[0]!Lancer_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468791" y="47625"/>
          <a:ext cx="1647010" cy="192881"/>
        </a:xfrm>
        <a:prstGeom prst="roundRect">
          <a:avLst/>
        </a:prstGeom>
        <a:ln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5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Lancer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1252537</xdr:colOff>
      <xdr:row>0</xdr:row>
      <xdr:rowOff>34290</xdr:rowOff>
    </xdr:from>
    <xdr:to>
      <xdr:col>2</xdr:col>
      <xdr:colOff>1474470</xdr:colOff>
      <xdr:row>0</xdr:row>
      <xdr:rowOff>186690</xdr:rowOff>
    </xdr:to>
    <xdr:sp macro="[0]!Lancer_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523047" y="34290"/>
          <a:ext cx="221933" cy="152400"/>
        </a:xfrm>
        <a:prstGeom prst="roundRect">
          <a:avLst/>
        </a:prstGeom>
        <a:ln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V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99647</xdr:colOff>
      <xdr:row>4</xdr:row>
      <xdr:rowOff>159724</xdr:rowOff>
    </xdr:from>
    <xdr:ext cx="536334" cy="536334"/>
    <xdr:pic>
      <xdr:nvPicPr>
        <xdr:cNvPr id="2" name="Image 1" descr="Résultat de recherche d'images pour &quot;april santé png&quot;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397" y="1045549"/>
          <a:ext cx="536334" cy="536334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97448</xdr:colOff>
      <xdr:row>12</xdr:row>
      <xdr:rowOff>136279</xdr:rowOff>
    </xdr:from>
    <xdr:to>
      <xdr:col>1</xdr:col>
      <xdr:colOff>608379</xdr:colOff>
      <xdr:row>14</xdr:row>
      <xdr:rowOff>73268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198" y="2546104"/>
          <a:ext cx="529981" cy="317989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112836</xdr:colOff>
      <xdr:row>17</xdr:row>
      <xdr:rowOff>80979</xdr:rowOff>
    </xdr:from>
    <xdr:ext cx="544849" cy="402598"/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0586" y="3443304"/>
          <a:ext cx="544849" cy="402598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</xdr:spPr>
    </xdr:pic>
    <xdr:clientData/>
  </xdr:oneCellAnchor>
  <xdr:oneCellAnchor>
    <xdr:from>
      <xdr:col>6</xdr:col>
      <xdr:colOff>103311</xdr:colOff>
      <xdr:row>14</xdr:row>
      <xdr:rowOff>7326</xdr:rowOff>
    </xdr:from>
    <xdr:ext cx="543658" cy="388327"/>
    <xdr:pic>
      <xdr:nvPicPr>
        <xdr:cNvPr id="5" name="Image 4" descr="Image associée">
          <a:extLst>
            <a:ext uri="{FF2B5EF4-FFF2-40B4-BE49-F238E27FC236}">
              <a16:creationId xmlns:a16="http://schemas.microsoft.com/office/drawing/2014/main" id="{00000000-0008-0000-1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761" y="2798151"/>
          <a:ext cx="543658" cy="388327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135550</xdr:colOff>
      <xdr:row>17</xdr:row>
      <xdr:rowOff>124558</xdr:rowOff>
    </xdr:from>
    <xdr:ext cx="509220" cy="518078"/>
    <xdr:pic>
      <xdr:nvPicPr>
        <xdr:cNvPr id="6" name="Image 5" descr="Image associée">
          <a:extLst>
            <a:ext uri="{FF2B5EF4-FFF2-40B4-BE49-F238E27FC236}">
              <a16:creationId xmlns:a16="http://schemas.microsoft.com/office/drawing/2014/main" id="{00000000-0008-0000-1300-000006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1256" t="7639" r="23188" b="11111"/>
        <a:stretch/>
      </xdr:blipFill>
      <xdr:spPr bwMode="auto">
        <a:xfrm>
          <a:off x="6022000" y="3486883"/>
          <a:ext cx="509220" cy="518078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112833</xdr:colOff>
      <xdr:row>1</xdr:row>
      <xdr:rowOff>134815</xdr:rowOff>
    </xdr:from>
    <xdr:ext cx="502628" cy="502628"/>
    <xdr:pic>
      <xdr:nvPicPr>
        <xdr:cNvPr id="7" name="Image 6" descr="Image associée">
          <a:extLst>
            <a:ext uri="{FF2B5EF4-FFF2-40B4-BE49-F238E27FC236}">
              <a16:creationId xmlns:a16="http://schemas.microsoft.com/office/drawing/2014/main" id="{00000000-0008-0000-1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9283" y="449140"/>
          <a:ext cx="502628" cy="502628"/>
        </a:xfrm>
        <a:prstGeom prst="rect">
          <a:avLst/>
        </a:prstGeom>
        <a:noFill/>
        <a:ln w="28575">
          <a:solidFill>
            <a:schemeClr val="tx1"/>
          </a:solidFill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137014</xdr:colOff>
      <xdr:row>9</xdr:row>
      <xdr:rowOff>122713</xdr:rowOff>
    </xdr:from>
    <xdr:ext cx="456468" cy="538057"/>
    <xdr:pic>
      <xdr:nvPicPr>
        <xdr:cNvPr id="8" name="Image 7" descr="Résultat de recherche d'images pour &quot;cipres santé&quot;">
          <a:extLst>
            <a:ext uri="{FF2B5EF4-FFF2-40B4-BE49-F238E27FC236}">
              <a16:creationId xmlns:a16="http://schemas.microsoft.com/office/drawing/2014/main" id="{00000000-0008-0000-1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3464" y="1961038"/>
          <a:ext cx="456468" cy="538057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125290</xdr:colOff>
      <xdr:row>5</xdr:row>
      <xdr:rowOff>160460</xdr:rowOff>
    </xdr:from>
    <xdr:ext cx="469655" cy="469655"/>
    <xdr:pic>
      <xdr:nvPicPr>
        <xdr:cNvPr id="9" name="Image 8" descr="Image associée">
          <a:extLst>
            <a:ext uri="{FF2B5EF4-FFF2-40B4-BE49-F238E27FC236}">
              <a16:creationId xmlns:a16="http://schemas.microsoft.com/office/drawing/2014/main" id="{00000000-0008-0000-1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1740" y="1236785"/>
          <a:ext cx="469655" cy="469655"/>
        </a:xfrm>
        <a:prstGeom prst="rect">
          <a:avLst/>
        </a:prstGeom>
        <a:ln w="28575" cap="sq">
          <a:solidFill>
            <a:srgbClr val="000000"/>
          </a:solidFill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ameliesam01@gmail.com" TargetMode="External"/><Relationship Id="rId1" Type="http://schemas.openxmlformats.org/officeDocument/2006/relationships/hyperlink" Target="mailto:quent1.a@hotmail.fr" TargetMode="Externa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L308"/>
  <sheetViews>
    <sheetView zoomScaleNormal="100" workbookViewId="0">
      <pane ySplit="1" topLeftCell="A2" activePane="bottomLeft" state="frozen"/>
      <selection activeCell="C1" sqref="C1"/>
      <selection pane="bottomLeft" activeCell="B7" sqref="B7:C7"/>
    </sheetView>
  </sheetViews>
  <sheetFormatPr baseColWidth="10" defaultColWidth="11.42578125" defaultRowHeight="15.75" x14ac:dyDescent="0.25"/>
  <cols>
    <col min="1" max="6" width="20.7109375" style="237" customWidth="1"/>
    <col min="7" max="7" width="13.85546875" style="237" customWidth="1"/>
    <col min="8" max="8" width="16.5703125" style="237" bestFit="1" customWidth="1"/>
    <col min="9" max="10" width="13.85546875" style="237" customWidth="1"/>
    <col min="11" max="16384" width="11.42578125" style="237"/>
  </cols>
  <sheetData>
    <row r="1" spans="1:10" ht="21.75" thickBot="1" x14ac:dyDescent="0.3">
      <c r="A1" s="369"/>
      <c r="B1" s="370"/>
      <c r="C1" s="367" t="e">
        <f>IF(VLOOKUP(A1,Complet!A1:DS45,118,0)="AJ","A Jour - Étude Envoyée",IF(VLOOKUP(A1,Complet!A1:DS45,118,0)="OK","Fiche Complète",IF(VLOOKUP(A1,Complet!A1:DS45,118,0)="Mini","Fiche Minimum",IF(VLOOKUP(A1,Complet!A1:DS45,118,0)="KO","Fiche Imcomplète"))))</f>
        <v>#N/A</v>
      </c>
      <c r="D1" s="368"/>
      <c r="E1" s="233" t="e">
        <f>VLOOKUP(A1,Complet!A1:DS45,11,0)</f>
        <v>#N/A</v>
      </c>
      <c r="F1" s="234" t="e">
        <f>IF(E6="NEOLIANE",'Matrice Tel'!E12,IF(E6="NEOLIANE Prev",'Matrice Tel'!E12,IF(E6="SWISSLIFE",'Matrice Tel'!E18,IF(E6="ALPTIS",'Matrice Tel'!J2,IF(E6="AVIVA",'Matrice Tel'!J6,IF(E6="CIPRES",'Matrice Tel'!J11,IF(E6="CEGEMA",'Matrice Tel'!J14,IF(E6="ASAF",'Matrice Tel'!J18,IF(E6="APRIL",IF(E5="Prev. Pro",'Matrice Tel'!E5,IF(E5="Autre",'Matrice Tel'!E3,'Matrice Tel'!E2)),"A Trouver")))))))))</f>
        <v>#N/A</v>
      </c>
      <c r="G1" s="235" t="s">
        <v>1045</v>
      </c>
      <c r="H1" s="236" t="e">
        <f>VLOOKUP(A1,Complet!A1:DS45,60,0)</f>
        <v>#N/A</v>
      </c>
    </row>
    <row r="2" spans="1:10" ht="21.75" thickBot="1" x14ac:dyDescent="0.3">
      <c r="A2" s="238" t="s">
        <v>99</v>
      </c>
      <c r="B2" s="239" t="e">
        <f>VLOOKUP(A1,Complet!A1:DS45,24,0)+VLOOKUP(A1,Complet!A1:DS45,25,0)</f>
        <v>#N/A</v>
      </c>
      <c r="C2" s="365" t="e">
        <f>CONCATENATE("Commission : ",(VLOOKUP(A1,Complet!A1:DS45,19,0))," à ",VLOOKUP(A1,Complet!A1:DS45,20,0),"%")</f>
        <v>#N/A</v>
      </c>
      <c r="D2" s="366"/>
      <c r="E2" s="240" t="s">
        <v>117</v>
      </c>
      <c r="F2" s="241" t="e">
        <f>IF(VLOOKUP(A1,Complet!A1:DS45,52,0)=0,"",VLOOKUP(A1,Complet!A1:DS45,52,0))</f>
        <v>#N/A</v>
      </c>
      <c r="G2" s="242" t="s">
        <v>1046</v>
      </c>
      <c r="H2" s="236" t="e">
        <f>VLOOKUP(A1,Complet!A1:DS45,61,0)</f>
        <v>#N/A</v>
      </c>
    </row>
    <row r="3" spans="1:10" ht="29.25" thickBot="1" x14ac:dyDescent="0.3">
      <c r="A3" s="349" t="e">
        <f>CONCATENATE(VLOOKUP(A1,Complet!A1:DS45,6,0)," ",VLOOKUP(A1,Complet!A1:DS45,4,0)," ",VLOOKUP(A1,Complet!A1:DS45,3,0))</f>
        <v>#N/A</v>
      </c>
      <c r="B3" s="350"/>
      <c r="C3" s="350"/>
      <c r="D3" s="350"/>
      <c r="E3" s="351"/>
      <c r="F3" s="352"/>
      <c r="H3" s="243"/>
      <c r="I3" s="243"/>
      <c r="J3" s="339" t="e">
        <f>E6</f>
        <v>#N/A</v>
      </c>
    </row>
    <row r="4" spans="1:10" ht="21.75" customHeight="1" thickBot="1" x14ac:dyDescent="0.3">
      <c r="H4" s="243"/>
      <c r="I4" s="243"/>
      <c r="J4" s="232" t="e">
        <f>E7</f>
        <v>#N/A</v>
      </c>
    </row>
    <row r="5" spans="1:10" ht="21" x14ac:dyDescent="0.25">
      <c r="A5" s="244" t="s">
        <v>1041</v>
      </c>
      <c r="B5" s="387" t="e">
        <f>IF(VLOOKUP(A1,Complet!A1:DS45,62,0)=0,"",VLOOKUP(A1,Complet!A1:DS45,62,0))</f>
        <v>#N/A</v>
      </c>
      <c r="C5" s="388"/>
      <c r="D5" s="244" t="s">
        <v>1</v>
      </c>
      <c r="E5" s="245" t="e">
        <f>VLOOKUP(A1,Complet!A1:DS45,10,0)</f>
        <v>#N/A</v>
      </c>
      <c r="F5" s="246" t="s">
        <v>1072</v>
      </c>
      <c r="H5" s="244" t="s">
        <v>206</v>
      </c>
      <c r="I5" s="345" t="e">
        <f>VLOOKUP(A1,Complet!A1:DS45,89,0)</f>
        <v>#N/A</v>
      </c>
      <c r="J5" s="341">
        <f>IFERROR(HLOOKUP(E7,Mutuelles!$1:$22,13,FALSE),0)</f>
        <v>0</v>
      </c>
    </row>
    <row r="6" spans="1:10" ht="21.75" thickBot="1" x14ac:dyDescent="0.3">
      <c r="A6" s="247" t="s">
        <v>237</v>
      </c>
      <c r="B6" s="389" t="e">
        <f>CONCATENATE(VLOOKUP(A1,Complet!A1:DS45,64,0)," ","ans")</f>
        <v>#N/A</v>
      </c>
      <c r="C6" s="390"/>
      <c r="D6" s="248" t="s">
        <v>2</v>
      </c>
      <c r="E6" s="249" t="e">
        <f>VLOOKUP(A1,Complet!A1:DS45,11,0)</f>
        <v>#N/A</v>
      </c>
      <c r="F6" s="250" t="e">
        <f>VLOOKUP(A1,Complet!A1:DS45,16,0)</f>
        <v>#N/A</v>
      </c>
      <c r="H6" s="251" t="s">
        <v>207</v>
      </c>
      <c r="I6" s="346" t="e">
        <f>VLOOKUP(A1,Complet!A1:DS45,90,0)</f>
        <v>#N/A</v>
      </c>
      <c r="J6" s="342">
        <f>IFERROR(HLOOKUP(E7,Mutuelles!$1:$22,9,FALSE),0)</f>
        <v>0</v>
      </c>
    </row>
    <row r="7" spans="1:10" ht="21.75" thickBot="1" x14ac:dyDescent="0.3">
      <c r="A7" s="252" t="s">
        <v>133</v>
      </c>
      <c r="B7" s="391" t="e">
        <f>IF(UPPER(VLOOKUP(A1,Complet!A1:DS45,63,0))=0,"",UPPER(VLOOKUP(A1,Complet!A1:DS45,63,0)))</f>
        <v>#N/A</v>
      </c>
      <c r="C7" s="392"/>
      <c r="D7" s="244" t="s">
        <v>30</v>
      </c>
      <c r="E7" s="253" t="e">
        <f>IF(VLOOKUP(A1,Complet!A1:DS45,12,0)=0,"",VLOOKUP(A1,Complet!A1:DS45,12,0))</f>
        <v>#N/A</v>
      </c>
      <c r="F7" s="254" t="s">
        <v>1073</v>
      </c>
      <c r="H7" s="251" t="s">
        <v>210</v>
      </c>
      <c r="I7" s="346" t="e">
        <f>VLOOKUP(A1,Complet!A1:DS45,92,0)</f>
        <v>#N/A</v>
      </c>
      <c r="J7" s="343">
        <f>IFERROR(HLOOKUP(E7,Mutuelles!$1:$22,4,FALSE),0)</f>
        <v>0</v>
      </c>
    </row>
    <row r="8" spans="1:10" ht="21.75" thickBot="1" x14ac:dyDescent="0.3">
      <c r="A8" s="255" t="s">
        <v>195</v>
      </c>
      <c r="B8" s="393" t="e">
        <f>VLOOKUP(A1,Complet!A1:DS45,51,0)</f>
        <v>#N/A</v>
      </c>
      <c r="C8" s="394"/>
      <c r="D8" s="256" t="s">
        <v>3</v>
      </c>
      <c r="E8" s="257" t="e">
        <f>IF(VLOOKUP(A1,Complet!A1:DS45,13,0)=0,"",VLOOKUP(A1,Complet!A1:DS45,13,0))</f>
        <v>#N/A</v>
      </c>
      <c r="F8" s="258" t="e">
        <f>IF(VLOOKUP(A1,Complet!A1:DS45,28,0)="X","Aucune",VLOOKUP(A1,Complet!A1:DS45,28,0))</f>
        <v>#N/A</v>
      </c>
      <c r="H8" s="251" t="s">
        <v>1672</v>
      </c>
      <c r="I8" s="346" t="e">
        <f>VLOOKUP(A1,Complet!A1:DS45,92,0)</f>
        <v>#N/A</v>
      </c>
      <c r="J8" s="344">
        <f>IFERROR(HLOOKUP(E7,Mutuelles!$1:$22,8,FALSE),0)</f>
        <v>0</v>
      </c>
    </row>
    <row r="9" spans="1:10" ht="21" x14ac:dyDescent="0.25">
      <c r="A9" s="259" t="s">
        <v>1035</v>
      </c>
      <c r="B9" s="403" t="e">
        <f>IF(VLOOKUP(A1,Complet!A1:DS45,55,0)=0,"",VLOOKUP(A1,Complet!A1:DS45,55,0))</f>
        <v>#N/A</v>
      </c>
      <c r="C9" s="404"/>
      <c r="D9" s="260" t="s">
        <v>22</v>
      </c>
      <c r="E9" s="261" t="e">
        <f>VLOOKUP(A1,Complet!A1:DS45,14,0)</f>
        <v>#N/A</v>
      </c>
      <c r="F9" s="246" t="s">
        <v>1074</v>
      </c>
      <c r="H9" s="266" t="s">
        <v>238</v>
      </c>
      <c r="I9" s="346" t="e">
        <f>VLOOKUP(A1,Complet!A1:DS45,93,0)</f>
        <v>#N/A</v>
      </c>
      <c r="J9" s="343">
        <f>IFERROR(HLOOKUP(E7,Mutuelles!$1:$22,16,FALSE),0)</f>
        <v>0</v>
      </c>
    </row>
    <row r="10" spans="1:10" ht="16.5" thickBot="1" x14ac:dyDescent="0.3">
      <c r="A10" s="262" t="s">
        <v>1036</v>
      </c>
      <c r="B10" s="405" t="e">
        <f>IF(VLOOKUP(A1,Complet!A1:DS45,56,0)=0,"",VLOOKUP(A1,Complet!A1:DS45,56,0))</f>
        <v>#N/A</v>
      </c>
      <c r="C10" s="406"/>
      <c r="D10" s="263" t="s">
        <v>87</v>
      </c>
      <c r="E10" s="264" t="e">
        <f>VLOOKUP(A1,Complet!A1:DS45,15,0)</f>
        <v>#N/A</v>
      </c>
      <c r="F10" s="265" t="e">
        <f>VLOOKUP(A1,Complet!A1:DS45,29,0)</f>
        <v>#N/A</v>
      </c>
      <c r="H10" s="363" t="s">
        <v>208</v>
      </c>
      <c r="I10" s="361" t="e">
        <f>VLOOKUP(A1,Complet!A1:DS45,91,0)</f>
        <v>#N/A</v>
      </c>
      <c r="J10" s="382">
        <f>IFERROR(HLOOKUP(E7,Mutuelles!$1:$22,20,FALSE),0)</f>
        <v>0</v>
      </c>
    </row>
    <row r="11" spans="1:10" ht="16.5" customHeight="1" thickBot="1" x14ac:dyDescent="0.3">
      <c r="A11" s="251" t="s">
        <v>120</v>
      </c>
      <c r="B11" s="355" t="e">
        <f>IF(VLOOKUP(A1,Complet!A1:DS45,54,0)=0,"",VLOOKUP(A1,Complet!A1:DS45,54,0))</f>
        <v>#N/A</v>
      </c>
      <c r="C11" s="356"/>
      <c r="D11" s="267" t="s">
        <v>4</v>
      </c>
      <c r="E11" s="268" t="e">
        <f>IF(VLOOKUP(A1,Complet!A1:DS45,18,0)=0,"",VLOOKUP(A1,Complet!A1:DS45,18,0))</f>
        <v>#N/A</v>
      </c>
      <c r="F11" s="269" t="s">
        <v>29</v>
      </c>
      <c r="H11" s="364"/>
      <c r="I11" s="362"/>
      <c r="J11" s="383"/>
    </row>
    <row r="12" spans="1:10" ht="16.5" customHeight="1" thickBot="1" x14ac:dyDescent="0.3">
      <c r="A12" s="270" t="s">
        <v>118</v>
      </c>
      <c r="B12" s="353" t="e">
        <f>IF(VLOOKUP(A1,Complet!A1:DS45,53,0)=0,"",VLOOKUP(A1,Complet!A1:DS45,53,0))</f>
        <v>#N/A</v>
      </c>
      <c r="C12" s="354"/>
      <c r="D12" s="395" t="s">
        <v>7</v>
      </c>
      <c r="E12" s="396"/>
      <c r="F12" s="271" t="e">
        <f>VLOOKUP(A1,Complet!A1:DS45,30,0)</f>
        <v>#N/A</v>
      </c>
      <c r="H12" s="347" t="s">
        <v>275</v>
      </c>
      <c r="I12" s="348"/>
      <c r="J12" s="340" t="s">
        <v>1673</v>
      </c>
    </row>
    <row r="13" spans="1:10" ht="16.5" customHeight="1" thickBot="1" x14ac:dyDescent="0.3">
      <c r="A13" s="272" t="s">
        <v>121</v>
      </c>
      <c r="B13" s="407" t="e">
        <f>IF(VLOOKUP(A1,Complet!A1:DS45,57,0)=0,"",VLOOKUP(A1,Complet!A1:DS45,57,0))</f>
        <v>#N/A</v>
      </c>
      <c r="C13" s="408"/>
      <c r="D13" s="371" t="e">
        <f>IF(VLOOKUP(A1,Complet!A1:DS45,32,0)=0,"",VLOOKUP(A1,Complet!A1:DS45,32,0))</f>
        <v>#N/A</v>
      </c>
      <c r="E13" s="372"/>
      <c r="F13" s="273" t="s">
        <v>74</v>
      </c>
      <c r="H13" s="357" t="e">
        <f>IF(VLOOKUP(A1,Complet!A1:DS45,95,0)=0,"",VLOOKUP(A1,Complet!A1:DS45,95,0))</f>
        <v>#N/A</v>
      </c>
      <c r="I13" s="358"/>
      <c r="J13" s="380">
        <f>IFERROR(HLOOKUP(E7,Mutuelles!$1:$22,18,FALSE),0)</f>
        <v>0</v>
      </c>
    </row>
    <row r="14" spans="1:10" ht="16.5" customHeight="1" thickBot="1" x14ac:dyDescent="0.3">
      <c r="A14" s="274" t="s">
        <v>122</v>
      </c>
      <c r="B14" s="409" t="e">
        <f>IF(VLOOKUP(A1,Complet!A1:DS45,58,0)=0,"",VLOOKUP(A1,Complet!A1:DS45,58,0))</f>
        <v>#N/A</v>
      </c>
      <c r="C14" s="410"/>
      <c r="D14" s="371"/>
      <c r="E14" s="372"/>
      <c r="F14" s="397" t="e">
        <f>VLOOKUP(A1,Complet!A1:DS45,31,0)</f>
        <v>#N/A</v>
      </c>
      <c r="H14" s="359"/>
      <c r="I14" s="360"/>
      <c r="J14" s="381"/>
    </row>
    <row r="15" spans="1:10" ht="16.5" thickBot="1" x14ac:dyDescent="0.3">
      <c r="A15" s="272" t="s">
        <v>123</v>
      </c>
      <c r="B15" s="411" t="e">
        <f>IF(VLOOKUP(A1,Complet!A1:DS45,59,0)=0,"",VLOOKUP(A1,Complet!A1:DS45,59,0))</f>
        <v>#N/A</v>
      </c>
      <c r="C15" s="412"/>
      <c r="D15" s="373"/>
      <c r="E15" s="374"/>
      <c r="F15" s="398"/>
    </row>
    <row r="16" spans="1:10" ht="16.5" thickBot="1" x14ac:dyDescent="0.3">
      <c r="H16" s="275" t="s">
        <v>1052</v>
      </c>
      <c r="I16" s="276" t="e">
        <f>IF(VLOOKUP(A1,Complet!A1:DS45,62,0)=0,"",VLOOKUP(A1,Complet!A1:DS45,62,0))</f>
        <v>#N/A</v>
      </c>
    </row>
    <row r="17" spans="1:9" ht="16.5" thickBot="1" x14ac:dyDescent="0.3">
      <c r="A17" s="240" t="s">
        <v>102</v>
      </c>
      <c r="B17" s="277" t="e">
        <f>VLOOKUP(A1,Complet!A1:DS45,7,0)</f>
        <v>#N/A</v>
      </c>
      <c r="C17" s="244" t="s">
        <v>5</v>
      </c>
      <c r="D17" s="278" t="e">
        <f>VLOOKUP(A1,Complet!A1:DS45,26,0)</f>
        <v>#N/A</v>
      </c>
      <c r="E17" s="279" t="s">
        <v>1043</v>
      </c>
      <c r="F17" s="280" t="e">
        <f>VLOOKUP(A1,Complet!A1:DS45,35,0)</f>
        <v>#N/A</v>
      </c>
      <c r="H17" s="281" t="s">
        <v>1054</v>
      </c>
      <c r="I17" s="282" t="e">
        <f>UPPER(VLOOKUP(A1,Complet!A1:DS45,63,0))</f>
        <v>#N/A</v>
      </c>
    </row>
    <row r="18" spans="1:9" ht="16.5" thickBot="1" x14ac:dyDescent="0.3">
      <c r="A18" s="240" t="s">
        <v>1040</v>
      </c>
      <c r="B18" s="283" t="e">
        <f>VLOOKUP(A1,Complet!A1:DS45,5,0)</f>
        <v>#N/A</v>
      </c>
      <c r="C18" s="251" t="s">
        <v>1042</v>
      </c>
      <c r="D18" s="284" t="e">
        <f>VLOOKUP(A1,Complet!A1:DS45,34,0)</f>
        <v>#N/A</v>
      </c>
      <c r="E18" s="285" t="s">
        <v>1014</v>
      </c>
      <c r="F18" s="284" t="e">
        <f>VLOOKUP(A1,Complet!A1:DS45,38,0)</f>
        <v>#N/A</v>
      </c>
      <c r="H18" s="275" t="s">
        <v>1053</v>
      </c>
      <c r="I18" s="276" t="e">
        <f>IF(VLOOKUP(A1,Complet!A1:DS45,65,0)=0,"",VLOOKUP(A1,Complet!A1:DS45,65,0))</f>
        <v>#N/A</v>
      </c>
    </row>
    <row r="19" spans="1:9" ht="16.5" thickBot="1" x14ac:dyDescent="0.3">
      <c r="A19" s="244" t="s">
        <v>101</v>
      </c>
      <c r="B19" s="286" t="e">
        <f>VLOOKUP(A1,Complet!A1:DS45,8,0)</f>
        <v>#N/A</v>
      </c>
      <c r="C19" s="287" t="s">
        <v>1039</v>
      </c>
      <c r="D19" s="288" t="e">
        <f>VLOOKUP(A1,Complet!A1:DS45,27,0)</f>
        <v>#N/A</v>
      </c>
      <c r="E19" s="285" t="s">
        <v>1010</v>
      </c>
      <c r="F19" s="289" t="e">
        <f>VLOOKUP(A1,Complet!A1:DS45,37,0)</f>
        <v>#N/A</v>
      </c>
      <c r="H19" s="281" t="s">
        <v>1067</v>
      </c>
      <c r="I19" s="290" t="e">
        <f>UPPER(VLOOKUP(A1,Complet!A1:DS45,66,0))</f>
        <v>#N/A</v>
      </c>
    </row>
    <row r="20" spans="1:9" ht="16.5" thickBot="1" x14ac:dyDescent="0.3">
      <c r="A20" s="291" t="s">
        <v>1039</v>
      </c>
      <c r="B20" s="292" t="e">
        <f>VLOOKUP(A1,Complet!A1:DS45,9,0)</f>
        <v>#N/A</v>
      </c>
      <c r="C20" s="247" t="s">
        <v>414</v>
      </c>
      <c r="D20" s="293" t="e">
        <f>VLOOKUP(A1,Complet!A1:DS45,33,0)</f>
        <v>#N/A</v>
      </c>
      <c r="E20" s="294" t="s">
        <v>1044</v>
      </c>
      <c r="F20" s="295" t="e">
        <f>VLOOKUP(A1,Complet!A1:DS45,36,0)</f>
        <v>#N/A</v>
      </c>
      <c r="H20" s="296" t="s">
        <v>1055</v>
      </c>
      <c r="I20" s="297" t="e">
        <f>IF(VLOOKUP(A1,Complet!A1:DS45,68,0)=0,"",VLOOKUP(A1,Complet!A1:DS45,68,0))</f>
        <v>#N/A</v>
      </c>
    </row>
    <row r="21" spans="1:9" ht="16.5" thickBot="1" x14ac:dyDescent="0.3">
      <c r="H21" s="298" t="s">
        <v>1058</v>
      </c>
      <c r="I21" s="299" t="e">
        <f>UPPER(VLOOKUP(A1,Complet!A1:DS45,69,0))</f>
        <v>#N/A</v>
      </c>
    </row>
    <row r="22" spans="1:9" x14ac:dyDescent="0.25">
      <c r="A22" s="300" t="s">
        <v>1047</v>
      </c>
      <c r="B22" s="301" t="s">
        <v>1048</v>
      </c>
      <c r="C22" s="301" t="s">
        <v>1049</v>
      </c>
      <c r="D22" s="301" t="s">
        <v>1050</v>
      </c>
      <c r="E22" s="302" t="s">
        <v>1051</v>
      </c>
      <c r="H22" s="296" t="s">
        <v>1056</v>
      </c>
      <c r="I22" s="297" t="e">
        <f>IF(VLOOKUP(A1,Complet!A1:DS45,71,0)=0,"",VLOOKUP(A1,Complet!A1:DS45,71,0))</f>
        <v>#N/A</v>
      </c>
    </row>
    <row r="23" spans="1:9" ht="16.5" thickBot="1" x14ac:dyDescent="0.3">
      <c r="A23" s="303" t="e">
        <f>VLOOKUP(A1,Complet!A1:DS45,39,0)</f>
        <v>#N/A</v>
      </c>
      <c r="B23" s="304" t="e">
        <f>VLOOKUP(A1,Complet!A1:DS45,40,0)</f>
        <v>#N/A</v>
      </c>
      <c r="C23" s="304" t="e">
        <f>VLOOKUP(A1,Complet!A1:DS45,42,0)</f>
        <v>#N/A</v>
      </c>
      <c r="D23" s="304" t="e">
        <f>VLOOKUP(A1,Complet!A1:DS45,45,0)</f>
        <v>#N/A</v>
      </c>
      <c r="E23" s="305" t="e">
        <f>VLOOKUP(A1,Complet!A1:DS45,48,0)</f>
        <v>#N/A</v>
      </c>
      <c r="H23" s="298" t="s">
        <v>1059</v>
      </c>
      <c r="I23" s="299" t="e">
        <f>UPPER(VLOOKUP(A1,Complet!A1:DS45,72,0))</f>
        <v>#N/A</v>
      </c>
    </row>
    <row r="24" spans="1:9" x14ac:dyDescent="0.25">
      <c r="A24" s="306" t="s">
        <v>1070</v>
      </c>
      <c r="B24" s="307" t="e">
        <f>IF(IF(VLOOKUP(A1,Complet!A1:DS45,41,0)=(-1),0,VLOOKUP(A1,Complet!A1:DS45,41,0))=0,"",IF(VLOOKUP(A1,Complet!A1:DS45,41,0)=(-1),0,VLOOKUP(A1,Complet!A1:DS45,41,0)))</f>
        <v>#N/A</v>
      </c>
      <c r="C24" s="307" t="e">
        <f>IF(IF(VLOOKUP(A1,Complet!A1:DS45,43,0)=(-1),0,VLOOKUP(A1,Complet!A1:DS45,43,0))=0,"",IF(VLOOKUP(A1,Complet!A1:DS45,43,0)=(-1),0,VLOOKUP(A1,Complet!A1:DS45,43,0)))</f>
        <v>#N/A</v>
      </c>
      <c r="D24" s="307" t="e">
        <f>IF(IF(VLOOKUP(A1,Complet!A1:DS45,46,0)=(-1),0,VLOOKUP(A1,Complet!A1:DS45,46,0))=0,"",IF(VLOOKUP(A1,Complet!A1:DS45,46,0)=(-1),0,VLOOKUP(A1,Complet!A1:DS45,46,0)))</f>
        <v>#N/A</v>
      </c>
      <c r="E24" s="308" t="e">
        <f>IF(IF(VLOOKUP(A1,Complet!A1:DS45,49,0)=(-1),0,VLOOKUP(A1,Complet!A1:DS45,49,0))=0,"",IF(VLOOKUP(A1,Complet!A1:DS45,49,0)=(-1),0,VLOOKUP(A1,Complet!A1:DS45,49,0)))</f>
        <v>#N/A</v>
      </c>
      <c r="H24" s="296" t="s">
        <v>1057</v>
      </c>
      <c r="I24" s="297" t="e">
        <f>IF(VLOOKUP(A1,Complet!A1:DS45,74,0)=0,"",VLOOKUP(A1,Complet!A1:DS45,74,0))</f>
        <v>#N/A</v>
      </c>
    </row>
    <row r="25" spans="1:9" ht="16.5" thickBot="1" x14ac:dyDescent="0.3">
      <c r="A25" s="309" t="s">
        <v>1071</v>
      </c>
      <c r="B25" s="310"/>
      <c r="C25" s="311" t="e">
        <f>IF(IF(VLOOKUP(A1,Complet!A1:DS45,44,0)=(-1),0,VLOOKUP(A1,Complet!A1:DS45,44,0))=0,"",IF(VLOOKUP(A1,Complet!A1:DS45,44,0)=(-1),0,VLOOKUP(A1,Complet!A1:DS45,44,0)))</f>
        <v>#N/A</v>
      </c>
      <c r="D25" s="311" t="e">
        <f>IF(IF(VLOOKUP(A1,Complet!A1:DS45,47,0)=(-1),0,VLOOKUP(A1,Complet!A1:DS45,47,0))=0,"",IF(VLOOKUP(A1,Complet!A1:DS45,47,0)=(-1),0,VLOOKUP(A1,Complet!A1:DS45,47,0)))</f>
        <v>#N/A</v>
      </c>
      <c r="E25" s="312" t="e">
        <f>IF(IF(VLOOKUP(A1,Complet!A1:DS45,50,0)=(-1),0,VLOOKUP(A1,Complet!A1:DS45,50,0))=0,"",IF(VLOOKUP(A1,Complet!A1:DS45,50,0)=(-1),0,VLOOKUP(A1,Complet!A1:DS45,50,0)))</f>
        <v>#N/A</v>
      </c>
      <c r="H25" s="298" t="s">
        <v>1060</v>
      </c>
      <c r="I25" s="299" t="e">
        <f>UPPER(VLOOKUP(A1,Complet!A1:DS45,75,0))</f>
        <v>#N/A</v>
      </c>
    </row>
    <row r="26" spans="1:9" ht="16.5" thickBot="1" x14ac:dyDescent="0.3">
      <c r="H26" s="313" t="s">
        <v>1061</v>
      </c>
      <c r="I26" s="297" t="e">
        <f>IF(VLOOKUP(A1,Complet!A1:DS45,77,0)=0,"",VLOOKUP(A1,Complet!A1:DS45,77,0))</f>
        <v>#N/A</v>
      </c>
    </row>
    <row r="27" spans="1:9" ht="17.25" customHeight="1" thickBot="1" x14ac:dyDescent="0.3">
      <c r="A27" s="378" t="s">
        <v>236</v>
      </c>
      <c r="B27" s="379"/>
      <c r="C27" s="314" t="s">
        <v>304</v>
      </c>
      <c r="D27" s="314" t="s">
        <v>239</v>
      </c>
      <c r="E27" s="315" t="s">
        <v>264</v>
      </c>
      <c r="H27" s="316" t="s">
        <v>1062</v>
      </c>
      <c r="I27" s="299" t="e">
        <f>UPPER(VLOOKUP(A1,Complet!A1:DS45,78,0))</f>
        <v>#N/A</v>
      </c>
    </row>
    <row r="28" spans="1:9" x14ac:dyDescent="0.25">
      <c r="A28" s="399" t="e">
        <f>VLOOKUP(A1,Complet!A1:DS45,96,0)</f>
        <v>#N/A</v>
      </c>
      <c r="B28" s="400"/>
      <c r="C28" s="317" t="e">
        <f>VLOOKUP(A1,Complet!A1:DS45,97,0)</f>
        <v>#N/A</v>
      </c>
      <c r="D28" s="318" t="e">
        <f>VLOOKUP(A1,Complet!A1:DS45,99,0)</f>
        <v>#N/A</v>
      </c>
      <c r="E28" s="319" t="e">
        <f>VLOOKUP(A1,Complet!A1:DS45,100,0)</f>
        <v>#N/A</v>
      </c>
      <c r="H28" s="296" t="s">
        <v>1063</v>
      </c>
      <c r="I28" s="297" t="e">
        <f>IF(VLOOKUP(A1,Complet!A1:DS45,80,0)=0,"",VLOOKUP(A1,Complet!A1:DS45,80,0))</f>
        <v>#N/A</v>
      </c>
    </row>
    <row r="29" spans="1:9" ht="16.5" thickBot="1" x14ac:dyDescent="0.3">
      <c r="A29" s="320" t="s">
        <v>267</v>
      </c>
      <c r="B29" s="321" t="s">
        <v>268</v>
      </c>
      <c r="C29" s="321" t="s">
        <v>96</v>
      </c>
      <c r="D29" s="321" t="s">
        <v>278</v>
      </c>
      <c r="E29" s="322" t="s">
        <v>308</v>
      </c>
      <c r="H29" s="298" t="s">
        <v>1064</v>
      </c>
      <c r="I29" s="299" t="e">
        <f>UPPER(VLOOKUP(A1,Complet!A1:DS45,81,0))</f>
        <v>#N/A</v>
      </c>
    </row>
    <row r="30" spans="1:9" ht="16.5" thickBot="1" x14ac:dyDescent="0.3">
      <c r="A30" s="323" t="e">
        <f>VLOOKUP(A1,Complet!A1:DS45,101,0)</f>
        <v>#N/A</v>
      </c>
      <c r="B30" s="324" t="e">
        <f>VLOOKUP(A1,Complet!A1:DS45,102,0)</f>
        <v>#N/A</v>
      </c>
      <c r="C30" s="325" t="e">
        <f>VLOOKUP(A1,Complet!A1:DS45,103,0)</f>
        <v>#N/A</v>
      </c>
      <c r="D30" s="326" t="e">
        <f>VLOOKUP(A1,Complet!A1:DS45,104,0)</f>
        <v>#N/A</v>
      </c>
      <c r="E30" s="327" t="e">
        <f>VLOOKUP(A1,Complet!A1:DS45,105,0)</f>
        <v>#N/A</v>
      </c>
      <c r="H30" s="296" t="s">
        <v>1065</v>
      </c>
      <c r="I30" s="297" t="e">
        <f>IF(VLOOKUP(A1,Complet!A1:DS45,83,0)=0,"",VLOOKUP(A1,Complet!A1:DS45,83,0))</f>
        <v>#N/A</v>
      </c>
    </row>
    <row r="31" spans="1:9" ht="16.5" thickBot="1" x14ac:dyDescent="0.3">
      <c r="A31" s="328" t="s">
        <v>265</v>
      </c>
      <c r="B31" s="329" t="s">
        <v>270</v>
      </c>
      <c r="C31" s="329" t="s">
        <v>229</v>
      </c>
      <c r="D31" s="329" t="s">
        <v>315</v>
      </c>
      <c r="E31" s="330" t="s">
        <v>266</v>
      </c>
      <c r="H31" s="298" t="s">
        <v>1066</v>
      </c>
      <c r="I31" s="299" t="e">
        <f>UPPER(VLOOKUP(A1,Complet!A1:DS45,84,0))</f>
        <v>#N/A</v>
      </c>
    </row>
    <row r="32" spans="1:9" ht="21.75" thickBot="1" x14ac:dyDescent="0.3">
      <c r="A32" s="331" t="e">
        <f>VLOOKUP(A1,Complet!A1:DS45,106,0)</f>
        <v>#N/A</v>
      </c>
      <c r="B32" s="332" t="e">
        <f>VLOOKUP(A1,Complet!A1:DS45,107,0)</f>
        <v>#N/A</v>
      </c>
      <c r="C32" s="333" t="e">
        <f>VLOOKUP(A1,Complet!A1:DS45,108,0)</f>
        <v>#N/A</v>
      </c>
      <c r="D32" s="334" t="e">
        <f>VLOOKUP(A1,Complet!A1:DS45,109,0)</f>
        <v>#N/A</v>
      </c>
      <c r="E32" s="335" t="e">
        <f>VLOOKUP(A1,Complet!A1:DS45,110,0)</f>
        <v>#N/A</v>
      </c>
    </row>
    <row r="33" spans="1:7" x14ac:dyDescent="0.25">
      <c r="A33" s="328" t="s">
        <v>292</v>
      </c>
      <c r="B33" s="329" t="s">
        <v>271</v>
      </c>
      <c r="C33" s="329" t="s">
        <v>272</v>
      </c>
      <c r="D33" s="329" t="s">
        <v>273</v>
      </c>
      <c r="E33" s="330" t="s">
        <v>274</v>
      </c>
    </row>
    <row r="34" spans="1:7" ht="19.5" thickBot="1" x14ac:dyDescent="0.3">
      <c r="A34" s="247" t="e">
        <f>VLOOKUP(A1,Complet!A1:DS45,111,0)</f>
        <v>#N/A</v>
      </c>
      <c r="B34" s="334" t="e">
        <f>VLOOKUP(A1,Complet!A1:DS45,112,0)</f>
        <v>#N/A</v>
      </c>
      <c r="C34" s="334" t="e">
        <f>VLOOKUP(A1,Complet!A1:DS45,113,0)</f>
        <v>#N/A</v>
      </c>
      <c r="D34" s="336" t="e">
        <f>VLOOKUP(A1,Complet!A1:DS45,114,0)</f>
        <v>#N/A</v>
      </c>
      <c r="E34" s="337" t="e">
        <f>VLOOKUP(A1,Complet!A1:DS45,115,0)</f>
        <v>#N/A</v>
      </c>
    </row>
    <row r="35" spans="1:7" ht="31.5" customHeight="1" thickBot="1" x14ac:dyDescent="0.3">
      <c r="A35" s="338" t="s">
        <v>275</v>
      </c>
      <c r="B35" s="401" t="e">
        <f>IF(VLOOKUP(A1,Complet!A1:DS45,116,0)=0,"",VLOOKUP(A1,Complet!A1:DS45,116,0))</f>
        <v>#N/A</v>
      </c>
      <c r="C35" s="401"/>
      <c r="D35" s="401"/>
      <c r="E35" s="402"/>
    </row>
    <row r="37" spans="1:7" ht="31.5" x14ac:dyDescent="0.25">
      <c r="A37" s="185" t="s">
        <v>1068</v>
      </c>
      <c r="B37" s="375" t="e">
        <f>VLOOKUP(A1,Complet!A1:DS45,121,0)</f>
        <v>#N/A</v>
      </c>
      <c r="C37" s="376"/>
      <c r="D37" s="376"/>
      <c r="E37" s="376"/>
      <c r="F37" s="376"/>
      <c r="G37" s="377"/>
    </row>
    <row r="38" spans="1:7" ht="192.75" customHeight="1" x14ac:dyDescent="0.25">
      <c r="A38" s="185" t="s">
        <v>1069</v>
      </c>
      <c r="B38" s="384" t="e">
        <f>VLOOKUP(A1,Complet!A1:DS45,122,0)</f>
        <v>#N/A</v>
      </c>
      <c r="C38" s="385"/>
      <c r="D38" s="385"/>
      <c r="E38" s="385"/>
      <c r="F38" s="385"/>
      <c r="G38" s="386"/>
    </row>
    <row r="308" spans="1:116" x14ac:dyDescent="0.25">
      <c r="A308" s="237" t="s">
        <v>1012</v>
      </c>
      <c r="C308" s="237" t="s">
        <v>1164</v>
      </c>
      <c r="D308" s="237" t="s">
        <v>1165</v>
      </c>
      <c r="E308" s="237" t="s">
        <v>1166</v>
      </c>
      <c r="H308" s="237" t="s">
        <v>1167</v>
      </c>
      <c r="J308" s="237" t="s">
        <v>1012</v>
      </c>
      <c r="K308" s="237" t="s">
        <v>1012</v>
      </c>
      <c r="L308" s="237" t="s">
        <v>1012</v>
      </c>
      <c r="M308" s="237" t="s">
        <v>1012</v>
      </c>
      <c r="N308" s="237" t="s">
        <v>1168</v>
      </c>
      <c r="O308" s="237" t="s">
        <v>1012</v>
      </c>
      <c r="P308" s="237" t="s">
        <v>1012</v>
      </c>
      <c r="S308" s="237" t="s">
        <v>36</v>
      </c>
      <c r="T308" s="237" t="s">
        <v>1012</v>
      </c>
      <c r="Z308" s="237" t="s">
        <v>1012</v>
      </c>
      <c r="AB308" s="237" t="s">
        <v>1012</v>
      </c>
      <c r="AC308" s="237" t="s">
        <v>1012</v>
      </c>
      <c r="AD308" s="237" t="s">
        <v>1012</v>
      </c>
      <c r="AE308" s="237" t="s">
        <v>1012</v>
      </c>
      <c r="AF308" s="237" t="s">
        <v>1012</v>
      </c>
      <c r="AM308" s="237" t="s">
        <v>1012</v>
      </c>
      <c r="AN308" s="237" t="s">
        <v>1012</v>
      </c>
      <c r="AP308" s="237" t="s">
        <v>1012</v>
      </c>
      <c r="AS308" s="237" t="s">
        <v>1012</v>
      </c>
      <c r="AV308" s="237" t="s">
        <v>1012</v>
      </c>
      <c r="AY308" s="237" t="s">
        <v>1012</v>
      </c>
      <c r="AZ308" s="237" t="s">
        <v>1012</v>
      </c>
      <c r="BA308" s="237" t="s">
        <v>1012</v>
      </c>
      <c r="BB308" s="237" t="s">
        <v>1012</v>
      </c>
      <c r="BC308" s="237" t="s">
        <v>1012</v>
      </c>
      <c r="BD308" s="237" t="s">
        <v>1012</v>
      </c>
      <c r="BE308" s="237" t="s">
        <v>1012</v>
      </c>
      <c r="BF308" s="237" t="s">
        <v>1012</v>
      </c>
      <c r="BG308" s="237" t="s">
        <v>1012</v>
      </c>
      <c r="BH308" s="237" t="s">
        <v>1169</v>
      </c>
      <c r="BI308" s="237" t="s">
        <v>1170</v>
      </c>
      <c r="BJ308" s="237" t="s">
        <v>1012</v>
      </c>
      <c r="BK308" s="237" t="s">
        <v>1012</v>
      </c>
      <c r="BM308" s="237" t="s">
        <v>1012</v>
      </c>
      <c r="BN308" s="237" t="s">
        <v>1012</v>
      </c>
      <c r="BP308" s="237" t="s">
        <v>1012</v>
      </c>
      <c r="BQ308" s="237" t="s">
        <v>1012</v>
      </c>
      <c r="BS308" s="237" t="s">
        <v>1012</v>
      </c>
      <c r="BT308" s="237" t="s">
        <v>1012</v>
      </c>
      <c r="BV308" s="237" t="s">
        <v>1012</v>
      </c>
      <c r="BW308" s="237" t="s">
        <v>1012</v>
      </c>
      <c r="BY308" s="237" t="s">
        <v>1012</v>
      </c>
      <c r="BZ308" s="237" t="s">
        <v>1012</v>
      </c>
      <c r="CB308" s="237" t="s">
        <v>1012</v>
      </c>
      <c r="CC308" s="237" t="s">
        <v>1012</v>
      </c>
      <c r="CE308" s="237" t="s">
        <v>1012</v>
      </c>
      <c r="CF308" s="237" t="s">
        <v>1012</v>
      </c>
      <c r="CH308" s="237" t="s">
        <v>1012</v>
      </c>
      <c r="CI308" s="237" t="s">
        <v>1012</v>
      </c>
      <c r="CK308" s="237" t="s">
        <v>1012</v>
      </c>
      <c r="CL308" s="237" t="s">
        <v>1012</v>
      </c>
      <c r="CM308" s="237" t="s">
        <v>1012</v>
      </c>
      <c r="CN308" s="237" t="s">
        <v>1012</v>
      </c>
      <c r="CO308" s="237" t="s">
        <v>1012</v>
      </c>
      <c r="CP308" s="237" t="s">
        <v>1012</v>
      </c>
      <c r="CQ308" s="237" t="s">
        <v>1012</v>
      </c>
      <c r="CR308" s="237" t="s">
        <v>1012</v>
      </c>
      <c r="CS308" s="237" t="s">
        <v>1012</v>
      </c>
      <c r="CU308" s="237" t="s">
        <v>1012</v>
      </c>
      <c r="CV308" s="237" t="s">
        <v>1012</v>
      </c>
      <c r="CW308" s="237" t="s">
        <v>1012</v>
      </c>
      <c r="CX308" s="237" t="s">
        <v>1012</v>
      </c>
      <c r="CY308" s="237" t="s">
        <v>1012</v>
      </c>
      <c r="CZ308" s="237" t="s">
        <v>1012</v>
      </c>
      <c r="DA308" s="237" t="s">
        <v>1012</v>
      </c>
      <c r="DB308" s="237" t="s">
        <v>1012</v>
      </c>
      <c r="DC308" s="237" t="s">
        <v>1012</v>
      </c>
      <c r="DD308" s="237" t="s">
        <v>1012</v>
      </c>
      <c r="DE308" s="237" t="s">
        <v>1012</v>
      </c>
      <c r="DF308" s="237" t="s">
        <v>1012</v>
      </c>
      <c r="DG308" s="237" t="s">
        <v>1012</v>
      </c>
      <c r="DH308" s="237" t="s">
        <v>1012</v>
      </c>
      <c r="DI308" s="237" t="s">
        <v>1012</v>
      </c>
      <c r="DJ308" s="237" t="s">
        <v>1012</v>
      </c>
      <c r="DK308" s="237" t="s">
        <v>1012</v>
      </c>
      <c r="DL308" s="237" t="s">
        <v>1012</v>
      </c>
    </row>
  </sheetData>
  <mergeCells count="29">
    <mergeCell ref="J13:J14"/>
    <mergeCell ref="J10:J11"/>
    <mergeCell ref="B38:G38"/>
    <mergeCell ref="B5:C5"/>
    <mergeCell ref="B6:C6"/>
    <mergeCell ref="B7:C7"/>
    <mergeCell ref="B8:C8"/>
    <mergeCell ref="D12:E12"/>
    <mergeCell ref="F14:F15"/>
    <mergeCell ref="A28:B28"/>
    <mergeCell ref="B35:E35"/>
    <mergeCell ref="B9:C9"/>
    <mergeCell ref="B10:C10"/>
    <mergeCell ref="B13:C13"/>
    <mergeCell ref="B14:C14"/>
    <mergeCell ref="B15:C15"/>
    <mergeCell ref="C2:D2"/>
    <mergeCell ref="C1:D1"/>
    <mergeCell ref="A1:B1"/>
    <mergeCell ref="D13:E15"/>
    <mergeCell ref="B37:G37"/>
    <mergeCell ref="A27:B27"/>
    <mergeCell ref="H12:I12"/>
    <mergeCell ref="A3:F3"/>
    <mergeCell ref="B12:C12"/>
    <mergeCell ref="B11:C11"/>
    <mergeCell ref="H13:I14"/>
    <mergeCell ref="I10:I11"/>
    <mergeCell ref="H10:H11"/>
  </mergeCells>
  <conditionalFormatting sqref="C1">
    <cfRule type="containsText" dxfId="416" priority="276" operator="containsText" text="Fiche Complète">
      <formula>NOT(ISERROR(SEARCH("Fiche Complète",C1)))</formula>
    </cfRule>
  </conditionalFormatting>
  <conditionalFormatting sqref="C1">
    <cfRule type="containsText" dxfId="415" priority="275" operator="containsText" text="Mini">
      <formula>NOT(ISERROR(SEARCH("Mini",C1)))</formula>
    </cfRule>
  </conditionalFormatting>
  <conditionalFormatting sqref="C1">
    <cfRule type="containsText" dxfId="414" priority="274" operator="containsText" text="Fiche Imcomplète">
      <formula>NOT(ISERROR(SEARCH("Fiche Imcomplète",C1)))</formula>
    </cfRule>
  </conditionalFormatting>
  <conditionalFormatting sqref="C1">
    <cfRule type="containsText" dxfId="413" priority="273" operator="containsText" text="A Jour - Étude Envoyée">
      <formula>NOT(ISERROR(SEARCH("A Jour - Étude Envoyée",C1)))</formula>
    </cfRule>
  </conditionalFormatting>
  <conditionalFormatting sqref="E5">
    <cfRule type="containsText" dxfId="412" priority="245" operator="containsText" text="Autre">
      <formula>NOT(ISERROR(SEARCH("Autre",E5)))</formula>
    </cfRule>
    <cfRule type="containsText" dxfId="411" priority="246" operator="containsText" text="Prev. Part">
      <formula>NOT(ISERROR(SEARCH("Prev. Part",E5)))</formula>
    </cfRule>
    <cfRule type="containsText" dxfId="410" priority="247" operator="containsText" text="Santé Collective">
      <formula>NOT(ISERROR(SEARCH("Santé Collective",E5)))</formula>
    </cfRule>
    <cfRule type="containsText" dxfId="409" priority="248" operator="containsText" text="Santé Individuelle">
      <formula>NOT(ISERROR(SEARCH("Santé Individuelle",E5)))</formula>
    </cfRule>
    <cfRule type="containsText" dxfId="408" priority="249" operator="containsText" text="Prev. Pro">
      <formula>NOT(ISERROR(SEARCH("Prev. Pro",E5)))</formula>
    </cfRule>
  </conditionalFormatting>
  <conditionalFormatting sqref="B8">
    <cfRule type="containsText" dxfId="407" priority="235" operator="containsText" text="Sympathie">
      <formula>NOT(ISERROR(SEARCH("Sympathie",B8)))</formula>
    </cfRule>
  </conditionalFormatting>
  <conditionalFormatting sqref="B8">
    <cfRule type="containsText" dxfId="406" priority="236" operator="containsText" text="Argent">
      <formula>NOT(ISERROR(SEARCH("Argent",B8)))</formula>
    </cfRule>
    <cfRule type="containsText" dxfId="405" priority="237" operator="containsText" text="Confort">
      <formula>NOT(ISERROR(SEARCH("Confort",B8)))</formula>
    </cfRule>
    <cfRule type="containsText" dxfId="404" priority="238" operator="containsText" text="Nouveauté">
      <formula>NOT(ISERROR(SEARCH("Nouveauté",B8)))</formula>
    </cfRule>
    <cfRule type="containsText" dxfId="403" priority="239" operator="containsText" text="Orgueil">
      <formula>NOT(ISERROR(SEARCH("Orgueil",B8)))</formula>
    </cfRule>
    <cfRule type="containsText" dxfId="402" priority="240" operator="containsText" text="Sécurité">
      <formula>NOT(ISERROR(SEARCH("Sécurité",B8)))</formula>
    </cfRule>
  </conditionalFormatting>
  <conditionalFormatting sqref="E6">
    <cfRule type="containsText" dxfId="401" priority="225" operator="containsText" text="CEGEMA">
      <formula>NOT(ISERROR(SEARCH("CEGEMA",E6)))</formula>
    </cfRule>
    <cfRule type="containsText" dxfId="400" priority="226" operator="containsText" text="ASAF">
      <formula>NOT(ISERROR(SEARCH("ASAF",E6)))</formula>
    </cfRule>
    <cfRule type="containsText" dxfId="399" priority="227" operator="containsText" text="AVIVA">
      <formula>NOT(ISERROR(SEARCH("AVIVA",E6)))</formula>
    </cfRule>
    <cfRule type="containsText" dxfId="398" priority="228" operator="containsText" text="CIPRES">
      <formula>NOT(ISERROR(SEARCH("CIPRES",E6)))</formula>
    </cfRule>
    <cfRule type="containsText" dxfId="397" priority="229" operator="containsText" text="ALPTIS">
      <formula>NOT(ISERROR(SEARCH("ALPTIS",E6)))</formula>
    </cfRule>
    <cfRule type="containsText" dxfId="396" priority="230" operator="containsText" text="NEOLIANE">
      <formula>NOT(ISERROR(SEARCH("NEOLIANE",E6)))</formula>
    </cfRule>
    <cfRule type="containsText" dxfId="395" priority="231" operator="containsText" text="SWISSLIFE">
      <formula>NOT(ISERROR(SEARCH("SWISSLIFE",E6)))</formula>
    </cfRule>
    <cfRule type="containsText" dxfId="394" priority="232" operator="containsText" text="APRIL">
      <formula>NOT(ISERROR(SEARCH("APRIL",E6)))</formula>
    </cfRule>
  </conditionalFormatting>
  <conditionalFormatting sqref="A8:B8">
    <cfRule type="expression" dxfId="393" priority="210">
      <formula>$B8=0</formula>
    </cfRule>
  </conditionalFormatting>
  <conditionalFormatting sqref="B17">
    <cfRule type="containsText" dxfId="392" priority="207" operator="containsText" text="Pré 2018 OK">
      <formula>NOT(ISERROR(SEARCH("Pré 2018 OK",B17)))</formula>
    </cfRule>
    <cfRule type="containsText" dxfId="391" priority="208" operator="containsText" text="Pré 2018 à Voir">
      <formula>NOT(ISERROR(SEARCH("Pré 2018 à Voir",B17)))</formula>
    </cfRule>
    <cfRule type="containsText" dxfId="390" priority="209" operator="containsText" text="Pré 2018 KO">
      <formula>NOT(ISERROR(SEARCH("Pré 2018 KO",B17)))</formula>
    </cfRule>
  </conditionalFormatting>
  <conditionalFormatting sqref="A20">
    <cfRule type="expression" dxfId="389" priority="198">
      <formula>$B19=0</formula>
    </cfRule>
  </conditionalFormatting>
  <conditionalFormatting sqref="B19">
    <cfRule type="expression" dxfId="388" priority="197">
      <formula>$B19=0</formula>
    </cfRule>
  </conditionalFormatting>
  <conditionalFormatting sqref="B20">
    <cfRule type="expression" dxfId="387" priority="196">
      <formula>$B19=0</formula>
    </cfRule>
  </conditionalFormatting>
  <conditionalFormatting sqref="A19">
    <cfRule type="expression" dxfId="386" priority="195">
      <formula>$B19=0</formula>
    </cfRule>
  </conditionalFormatting>
  <conditionalFormatting sqref="A23:E23">
    <cfRule type="cellIs" dxfId="385" priority="192" operator="equal">
      <formula>0</formula>
    </cfRule>
  </conditionalFormatting>
  <conditionalFormatting sqref="F12">
    <cfRule type="containsText" dxfId="384" priority="173" operator="containsText" text="OK">
      <formula>NOT(ISERROR(SEARCH("OK",F12)))</formula>
    </cfRule>
    <cfRule type="containsText" dxfId="383" priority="185" operator="containsText" text="Programmée">
      <formula>NOT(ISERROR(SEARCH("Programmée",F12)))</formula>
    </cfRule>
    <cfRule type="expression" dxfId="382" priority="188">
      <formula>$F8="Aucune"</formula>
    </cfRule>
  </conditionalFormatting>
  <conditionalFormatting sqref="F14">
    <cfRule type="containsText" dxfId="381" priority="182" operator="containsText" text="OK">
      <formula>NOT(ISERROR(SEARCH("OK",F14)))</formula>
    </cfRule>
  </conditionalFormatting>
  <conditionalFormatting sqref="F8">
    <cfRule type="expression" dxfId="380" priority="8464">
      <formula>$F12="Programmée"</formula>
    </cfRule>
    <cfRule type="expression" dxfId="379" priority="8465">
      <formula>$F12="OK"</formula>
    </cfRule>
    <cfRule type="containsText" dxfId="378" priority="8466" operator="containsText" text="Aucune">
      <formula>NOT(ISERROR(SEARCH("Aucune",F8)))</formula>
    </cfRule>
  </conditionalFormatting>
  <conditionalFormatting sqref="F10">
    <cfRule type="expression" dxfId="377" priority="175">
      <formula>$F8="Aucune"</formula>
    </cfRule>
    <cfRule type="expression" dxfId="376" priority="8467">
      <formula>$F12="OK"</formula>
    </cfRule>
    <cfRule type="expression" dxfId="375" priority="8468">
      <formula>$F12="Programmée"</formula>
    </cfRule>
  </conditionalFormatting>
  <conditionalFormatting sqref="F11">
    <cfRule type="expression" dxfId="374" priority="174">
      <formula>$F8="Aucune"</formula>
    </cfRule>
  </conditionalFormatting>
  <conditionalFormatting sqref="F13">
    <cfRule type="expression" dxfId="373" priority="172">
      <formula>$F12&lt;&gt;"Programmée"</formula>
    </cfRule>
  </conditionalFormatting>
  <conditionalFormatting sqref="F14:F15">
    <cfRule type="expression" dxfId="372" priority="171">
      <formula>$F12&lt;&gt;"Programmée"</formula>
    </cfRule>
  </conditionalFormatting>
  <conditionalFormatting sqref="A8">
    <cfRule type="expression" dxfId="371" priority="170">
      <formula>$B8=0</formula>
    </cfRule>
  </conditionalFormatting>
  <conditionalFormatting sqref="F18">
    <cfRule type="cellIs" dxfId="370" priority="159" operator="greaterThanOrEqual">
      <formula>2</formula>
    </cfRule>
    <cfRule type="cellIs" dxfId="369" priority="160" operator="between">
      <formula>1</formula>
      <formula>1.99999999999999</formula>
    </cfRule>
    <cfRule type="cellIs" dxfId="368" priority="161" operator="lessThan">
      <formula>1</formula>
    </cfRule>
  </conditionalFormatting>
  <conditionalFormatting sqref="A28">
    <cfRule type="expression" dxfId="367" priority="155">
      <formula>OR($C28="4321A",$C28="4322A",$C28="4332A")</formula>
    </cfRule>
  </conditionalFormatting>
  <conditionalFormatting sqref="A28">
    <cfRule type="expression" dxfId="366" priority="146">
      <formula>$C28="8690E"</formula>
    </cfRule>
    <cfRule type="expression" dxfId="365" priority="147">
      <formula>$C28="8690D"</formula>
    </cfRule>
    <cfRule type="expression" dxfId="364" priority="148">
      <formula>OR($C28="7112B",$C28="7120B",$C28="7410Z")</formula>
    </cfRule>
    <cfRule type="expression" dxfId="363" priority="149">
      <formula>OR($C28="7022Z",$C28="7021Z")</formula>
    </cfRule>
    <cfRule type="expression" dxfId="362" priority="150">
      <formula>$C28="6831Z"</formula>
    </cfRule>
    <cfRule type="expression" dxfId="361" priority="151">
      <formula>$C28="8690F"</formula>
    </cfRule>
    <cfRule type="expression" dxfId="360" priority="153">
      <formula>$C28="6202A"</formula>
    </cfRule>
  </conditionalFormatting>
  <conditionalFormatting sqref="C28">
    <cfRule type="expression" dxfId="359" priority="145">
      <formula>OR($C28="4321A",$C28="4322A",$C28="4332A")</formula>
    </cfRule>
  </conditionalFormatting>
  <conditionalFormatting sqref="C28">
    <cfRule type="expression" dxfId="358" priority="136">
      <formula>$C28="8690E"</formula>
    </cfRule>
    <cfRule type="expression" dxfId="357" priority="137">
      <formula>$C28="8690D"</formula>
    </cfRule>
    <cfRule type="expression" dxfId="356" priority="138">
      <formula>OR($C28="7112B",$C28="7120B",$C28="7410Z")</formula>
    </cfRule>
    <cfRule type="expression" dxfId="355" priority="139">
      <formula>OR($C28="7022Z",$C28="7021Z")</formula>
    </cfRule>
    <cfRule type="expression" dxfId="354" priority="140">
      <formula>$C28="6831Z"</formula>
    </cfRule>
    <cfRule type="expression" dxfId="353" priority="141">
      <formula>$C28="8690F"</formula>
    </cfRule>
    <cfRule type="expression" dxfId="352" priority="143">
      <formula>$C28="6202A"</formula>
    </cfRule>
  </conditionalFormatting>
  <conditionalFormatting sqref="B30">
    <cfRule type="containsText" dxfId="351" priority="135" operator="containsText" text="Oui">
      <formula>NOT(ISERROR(SEARCH("Oui",B30)))</formula>
    </cfRule>
  </conditionalFormatting>
  <conditionalFormatting sqref="D30">
    <cfRule type="containsText" dxfId="350" priority="122" operator="containsText" text="Plus Tard">
      <formula>NOT(ISERROR(SEARCH("Plus Tard",D30)))</formula>
    </cfRule>
    <cfRule type="containsText" dxfId="349" priority="123" operator="containsText" text="Étude à Faire">
      <formula>NOT(ISERROR(SEARCH("Étude à Faire",D30)))</formula>
    </cfRule>
    <cfRule type="containsText" dxfId="348" priority="124" operator="containsText" text="Étude KO">
      <formula>NOT(ISERROR(SEARCH("Étude KO",D30)))</formula>
    </cfRule>
    <cfRule type="containsText" dxfId="347" priority="132" operator="containsText" text="OK - Couplé">
      <formula>NOT(ISERROR(SEARCH("OK - Couplé",D30)))</formula>
    </cfRule>
  </conditionalFormatting>
  <conditionalFormatting sqref="A32">
    <cfRule type="cellIs" dxfId="346" priority="121" operator="greaterThan">
      <formula>0</formula>
    </cfRule>
  </conditionalFormatting>
  <conditionalFormatting sqref="D32">
    <cfRule type="cellIs" dxfId="345" priority="119" operator="greaterThan">
      <formula>0</formula>
    </cfRule>
  </conditionalFormatting>
  <conditionalFormatting sqref="E32">
    <cfRule type="cellIs" dxfId="344" priority="118" operator="greaterThan">
      <formula>0</formula>
    </cfRule>
  </conditionalFormatting>
  <conditionalFormatting sqref="B32">
    <cfRule type="containsText" dxfId="343" priority="117" operator="containsText" text="Sans">
      <formula>NOT(ISERROR(SEARCH("Sans",B32)))</formula>
    </cfRule>
  </conditionalFormatting>
  <conditionalFormatting sqref="A34">
    <cfRule type="containsText" dxfId="342" priority="116" operator="containsText" text="Barème">
      <formula>NOT(ISERROR(SEARCH("Barème",A34)))</formula>
    </cfRule>
  </conditionalFormatting>
  <conditionalFormatting sqref="B34:C34">
    <cfRule type="cellIs" dxfId="341" priority="115" operator="greaterThan">
      <formula>0</formula>
    </cfRule>
  </conditionalFormatting>
  <conditionalFormatting sqref="D34:E34">
    <cfRule type="containsText" dxfId="340" priority="114" operator="containsText" text="oui">
      <formula>NOT(ISERROR(SEARCH("oui",D34)))</formula>
    </cfRule>
  </conditionalFormatting>
  <conditionalFormatting sqref="A30">
    <cfRule type="containsText" dxfId="339" priority="113" operator="containsText" text="oui">
      <formula>NOT(ISERROR(SEARCH("oui",A30)))</formula>
    </cfRule>
  </conditionalFormatting>
  <conditionalFormatting sqref="C30">
    <cfRule type="containsText" dxfId="338" priority="112" operator="containsText" text="oui">
      <formula>NOT(ISERROR(SEARCH("oui",C30)))</formula>
    </cfRule>
  </conditionalFormatting>
  <conditionalFormatting sqref="E30">
    <cfRule type="containsText" dxfId="337" priority="111" operator="containsText" text="oui">
      <formula>NOT(ISERROR(SEARCH("oui",E30)))</formula>
    </cfRule>
  </conditionalFormatting>
  <conditionalFormatting sqref="F9">
    <cfRule type="expression" dxfId="336" priority="110">
      <formula>$F8="Aucune"</formula>
    </cfRule>
  </conditionalFormatting>
  <conditionalFormatting sqref="A27:E35">
    <cfRule type="expression" dxfId="335" priority="102">
      <formula>$E$5&lt;&gt;"Prev. Pro"</formula>
    </cfRule>
  </conditionalFormatting>
  <conditionalFormatting sqref="H16:I31 H13 J13 H5:I7 J3:J10 H12:I12 H9:I10">
    <cfRule type="expression" dxfId="334" priority="23">
      <formula>$E$5&lt;&gt;"Santé Individuelle"</formula>
    </cfRule>
  </conditionalFormatting>
  <conditionalFormatting sqref="A14:C15">
    <cfRule type="expression" dxfId="333" priority="100">
      <formula>$E$5&lt;&gt;"Santé Individuelle"</formula>
    </cfRule>
  </conditionalFormatting>
  <conditionalFormatting sqref="A10:C10">
    <cfRule type="expression" dxfId="332" priority="99">
      <formula>$B$10=""</formula>
    </cfRule>
  </conditionalFormatting>
  <conditionalFormatting sqref="E1">
    <cfRule type="containsText" dxfId="331" priority="91" operator="containsText" text="CEGEMA">
      <formula>NOT(ISERROR(SEARCH("CEGEMA",E1)))</formula>
    </cfRule>
    <cfRule type="containsText" dxfId="330" priority="92" operator="containsText" text="ASAF">
      <formula>NOT(ISERROR(SEARCH("ASAF",E1)))</formula>
    </cfRule>
    <cfRule type="containsText" dxfId="329" priority="93" operator="containsText" text="AVIVA">
      <formula>NOT(ISERROR(SEARCH("AVIVA",E1)))</formula>
    </cfRule>
    <cfRule type="containsText" dxfId="328" priority="94" operator="containsText" text="CIPRES">
      <formula>NOT(ISERROR(SEARCH("CIPRES",E1)))</formula>
    </cfRule>
    <cfRule type="containsText" dxfId="327" priority="95" operator="containsText" text="ALPTIS">
      <formula>NOT(ISERROR(SEARCH("ALPTIS",E1)))</formula>
    </cfRule>
    <cfRule type="containsText" dxfId="326" priority="96" operator="containsText" text="NEOLIANE">
      <formula>NOT(ISERROR(SEARCH("NEOLIANE",E1)))</formula>
    </cfRule>
    <cfRule type="containsText" dxfId="325" priority="97" operator="containsText" text="SWISSLIFE">
      <formula>NOT(ISERROR(SEARCH("SWISSLIFE",E1)))</formula>
    </cfRule>
    <cfRule type="containsText" dxfId="324" priority="98" operator="containsText" text="APRIL">
      <formula>NOT(ISERROR(SEARCH("APRIL",E1)))</formula>
    </cfRule>
  </conditionalFormatting>
  <conditionalFormatting sqref="F20">
    <cfRule type="expression" dxfId="323" priority="88">
      <formula>$F20-TODAY()&lt;30</formula>
    </cfRule>
  </conditionalFormatting>
  <conditionalFormatting sqref="F20">
    <cfRule type="expression" dxfId="322" priority="90">
      <formula>$F20-TODAY()&gt;90</formula>
    </cfRule>
  </conditionalFormatting>
  <conditionalFormatting sqref="D18">
    <cfRule type="cellIs" dxfId="321" priority="81" operator="greaterThanOrEqual">
      <formula>2</formula>
    </cfRule>
    <cfRule type="cellIs" dxfId="320" priority="82" operator="between">
      <formula>1</formula>
      <formula>1.99999999999999</formula>
    </cfRule>
    <cfRule type="cellIs" dxfId="319" priority="83" operator="lessThan">
      <formula>1</formula>
    </cfRule>
  </conditionalFormatting>
  <conditionalFormatting sqref="A3">
    <cfRule type="expression" dxfId="318" priority="51">
      <formula>OR($F6="A Trouver",$F6="Pas Trouvé",)</formula>
    </cfRule>
    <cfRule type="expression" dxfId="317" priority="52">
      <formula>OR($F6="Annulé",$F6="Résilié",$F6="Résilié - Groupe",$F6="Résilié - ACS",$F6="Impayé",$F6="Radié")</formula>
    </cfRule>
    <cfRule type="expression" dxfId="316" priority="53">
      <formula>OR($F6="Refus",$F6="Refus Médical",$F6="Sans Suite",$F6="Déjà Signé")</formula>
    </cfRule>
    <cfRule type="expression" dxfId="315" priority="77">
      <formula>$F12="Retour"</formula>
    </cfRule>
    <cfRule type="expression" dxfId="314" priority="78">
      <formula>$F12="OK"</formula>
    </cfRule>
    <cfRule type="expression" dxfId="313" priority="79">
      <formula>$F12="Programmée"</formula>
    </cfRule>
    <cfRule type="expression" dxfId="312" priority="80">
      <formula>AND($F6="V",$F8="Aucune")</formula>
    </cfRule>
  </conditionalFormatting>
  <conditionalFormatting sqref="F6">
    <cfRule type="expression" dxfId="311" priority="44">
      <formula>OR($F6="A Trouver",$F6="Pas Trouvé",)</formula>
    </cfRule>
    <cfRule type="expression" dxfId="310" priority="45">
      <formula>OR($F6="Annulé",$F6="Résilié",$F6="Résilié - Groupe",$F6="Résilié - ACS",$F6="Impayé",$F6="Radié")</formula>
    </cfRule>
    <cfRule type="expression" dxfId="309" priority="46">
      <formula>OR($F6="Refus",$F6="Refus Médical",$F6="Sans Suite",$F6="Déjà Signé")</formula>
    </cfRule>
  </conditionalFormatting>
  <conditionalFormatting sqref="C32">
    <cfRule type="containsText" dxfId="308" priority="38" operator="containsText" text="Longues">
      <formula>NOT(ISERROR(SEARCH("Longues",C32)))</formula>
    </cfRule>
    <cfRule type="containsText" dxfId="307" priority="39" operator="containsText" text="Normales">
      <formula>NOT(ISERROR(SEARCH("Normales",C32)))</formula>
    </cfRule>
    <cfRule type="containsText" dxfId="306" priority="40" operator="containsText" text="Très Courtes">
      <formula>NOT(ISERROR(SEARCH("Très Courtes",C32)))</formula>
    </cfRule>
    <cfRule type="containsText" dxfId="305" priority="41" operator="containsText" text="Courtes">
      <formula>NOT(ISERROR(SEARCH("Courtes",C32)))</formula>
    </cfRule>
  </conditionalFormatting>
  <conditionalFormatting sqref="H18:I18">
    <cfRule type="expression" dxfId="304" priority="9361">
      <formula>$H$1&lt;2</formula>
    </cfRule>
  </conditionalFormatting>
  <conditionalFormatting sqref="H19:I19">
    <cfRule type="expression" dxfId="303" priority="9362">
      <formula>$H$1&lt;2</formula>
    </cfRule>
    <cfRule type="expression" dxfId="302" priority="9363">
      <formula>$H$1&lt;2</formula>
    </cfRule>
  </conditionalFormatting>
  <conditionalFormatting sqref="B38:G38">
    <cfRule type="expression" dxfId="301" priority="9373">
      <formula>OR($E$8="",$D$23="",$D$25="",$E$6="")</formula>
    </cfRule>
  </conditionalFormatting>
  <conditionalFormatting sqref="G1:H2">
    <cfRule type="expression" dxfId="300" priority="21">
      <formula>$E$5&lt;&gt;"Santé Individuelle"</formula>
    </cfRule>
  </conditionalFormatting>
  <conditionalFormatting sqref="H20:I25">
    <cfRule type="expression" dxfId="299" priority="9374">
      <formula>$H$2&lt;1</formula>
    </cfRule>
  </conditionalFormatting>
  <conditionalFormatting sqref="H26:I31">
    <cfRule type="expression" dxfId="298" priority="9375">
      <formula>$H$2&lt;4</formula>
    </cfRule>
  </conditionalFormatting>
  <conditionalFormatting sqref="H20:I20">
    <cfRule type="expression" dxfId="297" priority="9376">
      <formula>$H$2&gt;1</formula>
    </cfRule>
  </conditionalFormatting>
  <conditionalFormatting sqref="B37:G37">
    <cfRule type="expression" dxfId="296" priority="9377">
      <formula>OR($E$6="",$H$1="",$H$2="",$B$11="",)</formula>
    </cfRule>
  </conditionalFormatting>
  <conditionalFormatting sqref="J3">
    <cfRule type="containsText" dxfId="295" priority="13" operator="containsText" text="CEGEMA">
      <formula>NOT(ISERROR(SEARCH("CEGEMA",J3)))</formula>
    </cfRule>
    <cfRule type="containsText" dxfId="294" priority="14" operator="containsText" text="ASAF">
      <formula>NOT(ISERROR(SEARCH("ASAF",J3)))</formula>
    </cfRule>
    <cfRule type="containsText" dxfId="293" priority="15" operator="containsText" text="AVIVA">
      <formula>NOT(ISERROR(SEARCH("AVIVA",J3)))</formula>
    </cfRule>
    <cfRule type="containsText" dxfId="292" priority="16" operator="containsText" text="CIPRES">
      <formula>NOT(ISERROR(SEARCH("CIPRES",J3)))</formula>
    </cfRule>
    <cfRule type="containsText" dxfId="291" priority="17" operator="containsText" text="ALPTIS">
      <formula>NOT(ISERROR(SEARCH("ALPTIS",J3)))</formula>
    </cfRule>
    <cfRule type="containsText" dxfId="290" priority="18" operator="containsText" text="NEOLIANE">
      <formula>NOT(ISERROR(SEARCH("NEOLIANE",J3)))</formula>
    </cfRule>
    <cfRule type="containsText" dxfId="289" priority="19" operator="containsText" text="SWISSLIFE">
      <formula>NOT(ISERROR(SEARCH("SWISSLIFE",J3)))</formula>
    </cfRule>
    <cfRule type="containsText" dxfId="288" priority="20" operator="containsText" text="APRIL">
      <formula>NOT(ISERROR(SEARCH("APRIL",J3)))</formula>
    </cfRule>
  </conditionalFormatting>
  <conditionalFormatting sqref="J13 J4:J10">
    <cfRule type="expression" dxfId="287" priority="5">
      <formula>$J$3="CEGEMA"</formula>
    </cfRule>
    <cfRule type="expression" dxfId="286" priority="6">
      <formula>$J$3="ASAF"</formula>
    </cfRule>
    <cfRule type="expression" dxfId="285" priority="7">
      <formula>$J$3="AVIVA"</formula>
    </cfRule>
    <cfRule type="expression" dxfId="284" priority="8">
      <formula>$J$3="CIPRES"</formula>
    </cfRule>
    <cfRule type="expression" dxfId="283" priority="9">
      <formula>$J$3="ALPTIS"</formula>
    </cfRule>
    <cfRule type="expression" dxfId="282" priority="10">
      <formula>$J$3="NEOLIANE"</formula>
    </cfRule>
    <cfRule type="expression" dxfId="281" priority="11">
      <formula>$J$3="SWISSLIFE"</formula>
    </cfRule>
    <cfRule type="expression" dxfId="280" priority="12">
      <formula>$J$3="APRIL"</formula>
    </cfRule>
  </conditionalFormatting>
  <conditionalFormatting sqref="H8:I8">
    <cfRule type="expression" dxfId="279" priority="4">
      <formula>$E$5&lt;&gt;"Santé Individuelle"</formula>
    </cfRule>
  </conditionalFormatting>
  <conditionalFormatting sqref="J12">
    <cfRule type="expression" dxfId="278" priority="1">
      <formula>$E$5&lt;&gt;"Santé Individuelle"</formula>
    </cfRule>
  </conditionalFormatting>
  <dataValidations count="1">
    <dataValidation type="list" allowBlank="1" showInputMessage="1" sqref="A1:B1">
      <formula1>IF(A1&lt;&gt;"",OFFSET(nompren,MATCH(A1,LEFT(nompren,LEN(A1)),0)-1,,SUM((LEFT(nompren,LEN(A1))=A1)*1)),)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DR45"/>
  <sheetViews>
    <sheetView tabSelected="1" zoomScale="80" zoomScaleNormal="8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M5" sqref="M5"/>
    </sheetView>
  </sheetViews>
  <sheetFormatPr baseColWidth="10" defaultColWidth="9.140625" defaultRowHeight="15" x14ac:dyDescent="0.25"/>
  <cols>
    <col min="1" max="1" width="2.42578125" style="184" customWidth="1"/>
    <col min="2" max="2" width="1.5703125" style="23" customWidth="1"/>
    <col min="3" max="3" width="23.7109375" style="21" bestFit="1" customWidth="1"/>
    <col min="4" max="4" width="19.140625" style="21" bestFit="1" customWidth="1"/>
    <col min="5" max="5" width="12.28515625" style="21" customWidth="1"/>
    <col min="6" max="6" width="10.5703125" style="21" bestFit="1" customWidth="1"/>
    <col min="7" max="7" width="15.28515625" style="21" bestFit="1" customWidth="1"/>
    <col min="8" max="8" width="11.5703125" style="27" customWidth="1"/>
    <col min="9" max="9" width="4.42578125" style="102" customWidth="1"/>
    <col min="10" max="10" width="19.42578125" style="21" bestFit="1" customWidth="1"/>
    <col min="11" max="11" width="15" style="21" bestFit="1" customWidth="1"/>
    <col min="12" max="12" width="17" style="28" bestFit="1" customWidth="1"/>
    <col min="13" max="13" width="10.28515625" style="28" bestFit="1" customWidth="1"/>
    <col min="14" max="14" width="10.85546875" style="28" customWidth="1"/>
    <col min="15" max="15" width="7.7109375" style="28" customWidth="1"/>
    <col min="16" max="16" width="17.140625" style="29" bestFit="1" customWidth="1"/>
    <col min="17" max="17" width="2.42578125" style="28" customWidth="1"/>
    <col min="18" max="18" width="8.140625" style="21" customWidth="1"/>
    <col min="19" max="19" width="15" style="28" customWidth="1"/>
    <col min="20" max="20" width="7.42578125" style="30" customWidth="1"/>
    <col min="21" max="21" width="8.140625" style="26" customWidth="1"/>
    <col min="22" max="22" width="10" style="31" customWidth="1"/>
    <col min="23" max="23" width="8.85546875" style="26" customWidth="1"/>
    <col min="24" max="24" width="9.28515625" style="26" customWidth="1"/>
    <col min="25" max="25" width="8" style="26" customWidth="1"/>
    <col min="26" max="26" width="12" style="26" bestFit="1" customWidth="1"/>
    <col min="27" max="27" width="5.140625" style="28" customWidth="1"/>
    <col min="28" max="28" width="19.85546875" style="21" customWidth="1"/>
    <col min="29" max="29" width="13.5703125" style="21" customWidth="1"/>
    <col min="30" max="30" width="13.42578125" style="21" customWidth="1"/>
    <col min="31" max="31" width="15.5703125" style="21" customWidth="1"/>
    <col min="32" max="32" width="53.7109375" style="21" customWidth="1"/>
    <col min="33" max="33" width="11.5703125" style="21" customWidth="1"/>
    <col min="34" max="34" width="8.5703125" style="21" customWidth="1"/>
    <col min="35" max="35" width="11.5703125" style="21" customWidth="1"/>
    <col min="36" max="36" width="12" style="21" customWidth="1"/>
    <col min="37" max="37" width="12.28515625" style="21" customWidth="1"/>
    <col min="38" max="38" width="7.85546875" style="21" customWidth="1"/>
    <col min="39" max="40" width="8.7109375" style="21" customWidth="1"/>
    <col min="41" max="41" width="8.42578125" style="21" customWidth="1"/>
    <col min="42" max="42" width="8.7109375" style="21" customWidth="1"/>
    <col min="43" max="43" width="8.42578125" style="21" customWidth="1"/>
    <col min="44" max="44" width="12.42578125" style="24" customWidth="1"/>
    <col min="45" max="45" width="8.7109375" style="21" customWidth="1"/>
    <col min="46" max="46" width="8.42578125" style="21" bestFit="1" customWidth="1"/>
    <col min="47" max="47" width="12.42578125" style="24" bestFit="1" customWidth="1"/>
    <col min="48" max="48" width="8.5703125" style="21" customWidth="1"/>
    <col min="49" max="49" width="8.42578125" style="21" customWidth="1"/>
    <col min="50" max="50" width="12.42578125" style="24" customWidth="1"/>
    <col min="51" max="51" width="11.42578125" style="21" customWidth="1"/>
    <col min="52" max="52" width="23.5703125" style="21" customWidth="1"/>
    <col min="53" max="53" width="6.5703125" style="21" customWidth="1"/>
    <col min="54" max="54" width="40.5703125" style="21" customWidth="1"/>
    <col min="55" max="56" width="14.140625" style="21" customWidth="1"/>
    <col min="57" max="57" width="35.140625" style="21" customWidth="1"/>
    <col min="58" max="58" width="20.7109375" style="21" customWidth="1"/>
    <col min="59" max="59" width="18" style="21" bestFit="1" customWidth="1"/>
    <col min="60" max="60" width="2.7109375" style="21" customWidth="1"/>
    <col min="61" max="61" width="2.28515625" style="21" customWidth="1"/>
    <col min="62" max="62" width="11.5703125" style="21" customWidth="1"/>
    <col min="63" max="63" width="6.42578125" style="21" bestFit="1" customWidth="1"/>
    <col min="64" max="64" width="5.85546875" style="21" customWidth="1"/>
    <col min="65" max="65" width="11.5703125" style="21" customWidth="1"/>
    <col min="66" max="66" width="8.42578125" style="21" customWidth="1"/>
    <col min="67" max="67" width="5.85546875" style="21" customWidth="1"/>
    <col min="68" max="68" width="11.5703125" style="21" customWidth="1"/>
    <col min="69" max="69" width="7" style="21" customWidth="1"/>
    <col min="70" max="70" width="7.140625" style="21" customWidth="1"/>
    <col min="71" max="71" width="11.5703125" style="21" customWidth="1"/>
    <col min="72" max="72" width="7" style="21" customWidth="1"/>
    <col min="73" max="73" width="7.140625" style="21" customWidth="1"/>
    <col min="74" max="74" width="11.5703125" style="21" customWidth="1"/>
    <col min="75" max="75" width="7" style="21" customWidth="1"/>
    <col min="76" max="76" width="7.140625" style="21" customWidth="1"/>
    <col min="77" max="77" width="11.5703125" style="21" customWidth="1"/>
    <col min="78" max="78" width="7" style="21" customWidth="1"/>
    <col min="79" max="79" width="7.140625" style="21" customWidth="1"/>
    <col min="80" max="80" width="7.42578125" style="21" customWidth="1"/>
    <col min="81" max="81" width="7" style="21" customWidth="1"/>
    <col min="82" max="82" width="7.140625" style="21" customWidth="1"/>
    <col min="83" max="83" width="7.42578125" style="21" customWidth="1"/>
    <col min="84" max="84" width="7" style="21" customWidth="1"/>
    <col min="85" max="85" width="7.140625" style="21" customWidth="1"/>
    <col min="86" max="86" width="7.42578125" style="21" customWidth="1"/>
    <col min="87" max="87" width="7" style="21" customWidth="1"/>
    <col min="88" max="88" width="7.140625" style="21" customWidth="1"/>
    <col min="89" max="89" width="8.28515625" style="21" customWidth="1"/>
    <col min="90" max="90" width="8.85546875" style="21" customWidth="1"/>
    <col min="91" max="91" width="10" style="21" customWidth="1"/>
    <col min="92" max="92" width="6.28515625" style="21" customWidth="1"/>
    <col min="93" max="93" width="8.140625" style="21" customWidth="1"/>
    <col min="94" max="94" width="7.7109375" style="21" customWidth="1"/>
    <col min="95" max="95" width="25.28515625" style="21" customWidth="1"/>
    <col min="96" max="96" width="32.85546875" style="21" customWidth="1"/>
    <col min="97" max="97" width="7" style="21" bestFit="1" customWidth="1"/>
    <col min="98" max="98" width="4.5703125" style="21" customWidth="1"/>
    <col min="99" max="99" width="10.85546875" style="21" customWidth="1"/>
    <col min="100" max="100" width="12.85546875" style="116" bestFit="1" customWidth="1"/>
    <col min="101" max="101" width="8" style="21" customWidth="1"/>
    <col min="102" max="102" width="20.7109375" style="21" customWidth="1"/>
    <col min="103" max="103" width="7.85546875" style="21" customWidth="1"/>
    <col min="104" max="104" width="14.140625" style="21" customWidth="1"/>
    <col min="105" max="105" width="26.28515625" style="21" customWidth="1"/>
    <col min="106" max="106" width="7.7109375" style="21" customWidth="1"/>
    <col min="107" max="107" width="8.7109375" style="21" customWidth="1"/>
    <col min="108" max="108" width="13.140625" style="21" customWidth="1"/>
    <col min="109" max="109" width="8.85546875" style="21" customWidth="1"/>
    <col min="110" max="110" width="9.85546875" style="21" customWidth="1"/>
    <col min="111" max="111" width="27.42578125" style="21" customWidth="1"/>
    <col min="112" max="112" width="11.28515625" style="21" customWidth="1"/>
    <col min="113" max="113" width="9.5703125" style="21" customWidth="1"/>
    <col min="114" max="115" width="5.140625" style="21" customWidth="1"/>
    <col min="116" max="116" width="28.5703125" style="25" customWidth="1"/>
    <col min="117" max="117" width="6.42578125" style="21" customWidth="1"/>
    <col min="118" max="118" width="5.7109375" style="21" customWidth="1"/>
    <col min="119" max="119" width="24.28515625" style="21" customWidth="1"/>
    <col min="120" max="120" width="40.5703125" style="21" customWidth="1"/>
    <col min="121" max="121" width="117.28515625" style="21" customWidth="1"/>
    <col min="122" max="122" width="255.7109375" style="21" customWidth="1"/>
    <col min="123" max="123" width="6.140625" style="21" customWidth="1"/>
    <col min="124" max="124" width="10.85546875" style="21" customWidth="1"/>
    <col min="125" max="142" width="9.140625" style="21" customWidth="1"/>
    <col min="143" max="16384" width="9.140625" style="21"/>
  </cols>
  <sheetData>
    <row r="1" spans="1:122" s="22" customFormat="1" ht="15.75" x14ac:dyDescent="0.25">
      <c r="A1" s="413"/>
      <c r="B1" s="414"/>
      <c r="C1" s="33" t="s">
        <v>115</v>
      </c>
      <c r="D1" s="33" t="s">
        <v>116</v>
      </c>
      <c r="E1" s="33" t="s">
        <v>0</v>
      </c>
      <c r="F1" s="34" t="s">
        <v>1019</v>
      </c>
      <c r="G1" s="34" t="s">
        <v>102</v>
      </c>
      <c r="H1" s="33" t="s">
        <v>101</v>
      </c>
      <c r="I1" s="109" t="str">
        <f>IF(COUNT(I2:I45)=0,"+J",SUM(I2:I45)/COUNT(I2:I45))</f>
        <v>+J</v>
      </c>
      <c r="J1" s="34" t="s">
        <v>1</v>
      </c>
      <c r="K1" s="34" t="s">
        <v>2</v>
      </c>
      <c r="L1" s="33" t="s">
        <v>30</v>
      </c>
      <c r="M1" s="35" t="s">
        <v>3</v>
      </c>
      <c r="N1" s="36" t="s">
        <v>22</v>
      </c>
      <c r="O1" s="36" t="s">
        <v>87</v>
      </c>
      <c r="P1" s="37" t="s">
        <v>28</v>
      </c>
      <c r="Q1" s="38" t="s">
        <v>36</v>
      </c>
      <c r="R1" s="39" t="s">
        <v>4</v>
      </c>
      <c r="S1" s="34" t="s">
        <v>8</v>
      </c>
      <c r="T1" s="35" t="s">
        <v>84</v>
      </c>
      <c r="U1" s="40" t="s">
        <v>23</v>
      </c>
      <c r="V1" s="55" t="s">
        <v>76</v>
      </c>
      <c r="W1" s="55" t="s">
        <v>77</v>
      </c>
      <c r="X1" s="41" t="s">
        <v>83</v>
      </c>
      <c r="Y1" s="41" t="s">
        <v>88</v>
      </c>
      <c r="Z1" s="42" t="s">
        <v>5</v>
      </c>
      <c r="AA1" s="113">
        <f>IF(COUNT(AA2:AA45)=0,"+J",SUM(AA2:AA45)/COUNT(AA2:AA45))</f>
        <v>35.25</v>
      </c>
      <c r="AB1" s="34" t="s">
        <v>24</v>
      </c>
      <c r="AC1" s="33" t="s">
        <v>6</v>
      </c>
      <c r="AD1" s="100" t="s">
        <v>29</v>
      </c>
      <c r="AE1" s="42" t="s">
        <v>74</v>
      </c>
      <c r="AF1" s="99" t="s">
        <v>7</v>
      </c>
      <c r="AG1" s="46" t="s">
        <v>414</v>
      </c>
      <c r="AH1" s="46" t="s">
        <v>119</v>
      </c>
      <c r="AI1" s="112">
        <v>2018</v>
      </c>
      <c r="AJ1" s="110" t="s">
        <v>1013</v>
      </c>
      <c r="AK1" s="94" t="s">
        <v>1010</v>
      </c>
      <c r="AL1" s="46" t="s">
        <v>1014</v>
      </c>
      <c r="AM1" s="54" t="s">
        <v>161</v>
      </c>
      <c r="AN1" s="54" t="s">
        <v>162</v>
      </c>
      <c r="AO1" s="47" t="s">
        <v>142</v>
      </c>
      <c r="AP1" s="54" t="s">
        <v>160</v>
      </c>
      <c r="AQ1" s="47" t="s">
        <v>143</v>
      </c>
      <c r="AR1" s="48" t="s">
        <v>157</v>
      </c>
      <c r="AS1" s="54" t="s">
        <v>159</v>
      </c>
      <c r="AT1" s="47" t="s">
        <v>144</v>
      </c>
      <c r="AU1" s="48" t="s">
        <v>155</v>
      </c>
      <c r="AV1" s="54" t="s">
        <v>158</v>
      </c>
      <c r="AW1" s="47" t="s">
        <v>145</v>
      </c>
      <c r="AX1" s="48" t="s">
        <v>156</v>
      </c>
      <c r="AY1" s="34" t="s">
        <v>195</v>
      </c>
      <c r="AZ1" s="43" t="s">
        <v>117</v>
      </c>
      <c r="BA1" s="44" t="s">
        <v>118</v>
      </c>
      <c r="BB1" s="43" t="s">
        <v>120</v>
      </c>
      <c r="BC1" s="49" t="s">
        <v>1035</v>
      </c>
      <c r="BD1" s="49" t="s">
        <v>1036</v>
      </c>
      <c r="BE1" s="50" t="s">
        <v>121</v>
      </c>
      <c r="BF1" s="50" t="s">
        <v>122</v>
      </c>
      <c r="BG1" s="50" t="s">
        <v>123</v>
      </c>
      <c r="BH1" s="45" t="s">
        <v>184</v>
      </c>
      <c r="BI1" s="45" t="s">
        <v>185</v>
      </c>
      <c r="BJ1" s="43" t="s">
        <v>124</v>
      </c>
      <c r="BK1" s="45" t="s">
        <v>146</v>
      </c>
      <c r="BL1" s="46" t="s">
        <v>163</v>
      </c>
      <c r="BM1" s="43" t="s">
        <v>125</v>
      </c>
      <c r="BN1" s="45" t="s">
        <v>147</v>
      </c>
      <c r="BO1" s="46" t="s">
        <v>164</v>
      </c>
      <c r="BP1" s="43" t="s">
        <v>126</v>
      </c>
      <c r="BQ1" s="45" t="s">
        <v>148</v>
      </c>
      <c r="BR1" s="46" t="s">
        <v>165</v>
      </c>
      <c r="BS1" s="43" t="s">
        <v>127</v>
      </c>
      <c r="BT1" s="45" t="s">
        <v>149</v>
      </c>
      <c r="BU1" s="46" t="s">
        <v>166</v>
      </c>
      <c r="BV1" s="43" t="s">
        <v>128</v>
      </c>
      <c r="BW1" s="45" t="s">
        <v>150</v>
      </c>
      <c r="BX1" s="46" t="s">
        <v>167</v>
      </c>
      <c r="BY1" s="43" t="s">
        <v>129</v>
      </c>
      <c r="BZ1" s="45" t="s">
        <v>151</v>
      </c>
      <c r="CA1" s="46" t="s">
        <v>168</v>
      </c>
      <c r="CB1" s="43" t="s">
        <v>130</v>
      </c>
      <c r="CC1" s="45" t="s">
        <v>152</v>
      </c>
      <c r="CD1" s="46" t="s">
        <v>169</v>
      </c>
      <c r="CE1" s="43" t="s">
        <v>131</v>
      </c>
      <c r="CF1" s="45" t="s">
        <v>153</v>
      </c>
      <c r="CG1" s="46" t="s">
        <v>1009</v>
      </c>
      <c r="CH1" s="43" t="s">
        <v>132</v>
      </c>
      <c r="CI1" s="45" t="s">
        <v>154</v>
      </c>
      <c r="CJ1" s="46" t="s">
        <v>1008</v>
      </c>
      <c r="CK1" s="51" t="s">
        <v>206</v>
      </c>
      <c r="CL1" s="51" t="s">
        <v>207</v>
      </c>
      <c r="CM1" s="51" t="s">
        <v>208</v>
      </c>
      <c r="CN1" s="51" t="s">
        <v>210</v>
      </c>
      <c r="CO1" s="32" t="s">
        <v>238</v>
      </c>
      <c r="CP1" s="32" t="s">
        <v>209</v>
      </c>
      <c r="CQ1" s="32" t="s">
        <v>275</v>
      </c>
      <c r="CR1" s="33" t="s">
        <v>236</v>
      </c>
      <c r="CS1" s="33" t="s">
        <v>304</v>
      </c>
      <c r="CT1" s="39" t="s">
        <v>237</v>
      </c>
      <c r="CU1" s="34" t="s">
        <v>239</v>
      </c>
      <c r="CV1" s="115" t="s">
        <v>1025</v>
      </c>
      <c r="CW1" s="34" t="s">
        <v>267</v>
      </c>
      <c r="CX1" s="34" t="s">
        <v>268</v>
      </c>
      <c r="CY1" s="42" t="s">
        <v>96</v>
      </c>
      <c r="CZ1" s="34" t="s">
        <v>278</v>
      </c>
      <c r="DA1" s="34" t="s">
        <v>308</v>
      </c>
      <c r="DB1" s="52" t="s">
        <v>265</v>
      </c>
      <c r="DC1" s="53" t="s">
        <v>270</v>
      </c>
      <c r="DD1" s="53" t="s">
        <v>229</v>
      </c>
      <c r="DE1" s="52" t="s">
        <v>315</v>
      </c>
      <c r="DF1" s="52" t="s">
        <v>266</v>
      </c>
      <c r="DG1" s="53" t="s">
        <v>292</v>
      </c>
      <c r="DH1" s="52" t="s">
        <v>271</v>
      </c>
      <c r="DI1" s="52" t="s">
        <v>272</v>
      </c>
      <c r="DJ1" s="53" t="s">
        <v>273</v>
      </c>
      <c r="DK1" s="53" t="s">
        <v>274</v>
      </c>
      <c r="DL1" s="33" t="s">
        <v>275</v>
      </c>
      <c r="DM1" s="107" t="s">
        <v>412</v>
      </c>
      <c r="DN1" s="33" t="s">
        <v>36</v>
      </c>
      <c r="DO1" s="118" t="s">
        <v>115</v>
      </c>
      <c r="DP1" s="117" t="s">
        <v>120</v>
      </c>
      <c r="DQ1" s="117" t="s">
        <v>1020</v>
      </c>
      <c r="DR1" s="117" t="s">
        <v>1021</v>
      </c>
    </row>
    <row r="2" spans="1:122" x14ac:dyDescent="0.25">
      <c r="A2" s="183" t="str">
        <f t="shared" ref="A2" si="0">CONCATENATE(C2," ",D2," - ",K2," - ",J2)</f>
        <v>ALBA Philippe - APRIL - Santé Individuelle</v>
      </c>
      <c r="B2" s="98"/>
      <c r="C2" s="186" t="s">
        <v>1007</v>
      </c>
      <c r="D2" s="93" t="s">
        <v>1022</v>
      </c>
      <c r="E2" s="71">
        <v>43101</v>
      </c>
      <c r="F2" s="73" t="s">
        <v>438</v>
      </c>
      <c r="G2" s="103" t="s">
        <v>188</v>
      </c>
      <c r="H2" s="71"/>
      <c r="I2" s="105" t="str">
        <f t="shared" ref="I2:I5" si="1">IF(G2="Annulation","",IF(H2=0,"",E2-H2))</f>
        <v/>
      </c>
      <c r="J2" s="104" t="s">
        <v>17</v>
      </c>
      <c r="K2" s="63" t="s">
        <v>25</v>
      </c>
      <c r="L2" s="72" t="s">
        <v>449</v>
      </c>
      <c r="M2" s="74">
        <v>160.16999999999999</v>
      </c>
      <c r="N2" s="75">
        <v>160.16999999999999</v>
      </c>
      <c r="O2" s="75"/>
      <c r="P2" s="120" t="s">
        <v>36</v>
      </c>
      <c r="Q2" s="76" t="str">
        <f t="shared" ref="Q2:Q5" si="2">IF(COUNT(AD2)=0,"",AD2)</f>
        <v/>
      </c>
      <c r="R2" s="77">
        <f t="shared" ref="R2:R5" si="3">SUM(M2*12)</f>
        <v>1922.04</v>
      </c>
      <c r="S2" s="63" t="s">
        <v>16</v>
      </c>
      <c r="T2" s="78">
        <f t="shared" ref="T2:T5" si="4">IF(G2="Annulation","",IF(assurance="ALPTIS",IF(L2="SO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25</v>
      </c>
      <c r="U2" s="79" t="e">
        <f>IF(M2=0,0,IF(G2="Annulation","",IF(assurance="ALPTIS",M2*12*T2/100*#REF!,IF(assurance="APRIL",M2*12*T2/100*#REF!,IF(assurance="ASAF",M2*12*T2/100*#REF!,IF(assurance="NEOLIANE",(#REF!+M2*12*#REF!)*T2/100,IF(assurance="NEOLIANE Prev",(#REF!+M2*12*#REF!)*T2/100,IF(assurance="SWISSLIFE",M2*12*T2/100*#REF!,IF(assurance="AVIVA",M2*12*T2/100*#REF!,IF(assurance="CIPRES",M2*12*T2/100*#REF!,IF(assurance="CEGEMA",M2*12*T2/100*#REF!,IF(assurance=0,0))))))))))))</f>
        <v>#REF!</v>
      </c>
      <c r="V2" s="91">
        <f t="shared" ref="V2:V5" si="5">IF(M2="","",IF(G2="Annulation","",IF(typecomm="Précompte",SUM((M2-O2)*T2/100*12)+O2*12*0.15,IF(typecomm="Précompte 1",SUM((M2-O2)*T2/100*12)+O2*12*0.15,IF(typecomm="Linéaire",0,IF(typecomm=0,0))))))</f>
        <v>480.51</v>
      </c>
      <c r="W2" s="91">
        <f t="shared" ref="W2:W5" si="6">IF(M2="","",IF(G2="Annulation","",IF(typecomm="Linéaire",SUM((M2-O2)*T2/100)+O2*0.15,IF(typecomm="Précompte 1",0,IF(typecomm="Précompte",0,IF(typecomm=0,0))))))</f>
        <v>0</v>
      </c>
      <c r="X2" s="92" t="e">
        <f t="shared" ref="X2:X5" si="7">IF(G2="Annulation",0,IF(typecomm="Linéaire",0,IF(typecomm="Précompte 1",V2-U2,IF(mens=0,0,IF(typecomm="Précompte",V2-U2,IF(typecomm=0,0))))))</f>
        <v>#REF!</v>
      </c>
      <c r="Y2" s="108">
        <f t="shared" ref="Y2:Y5" si="8">IF(G2="Annulation",0,IF(M2="",0,IF(typecomm="Linéaire",SUM(W2-U2/12),IF(typecomm="Précompte 1",0,IF(typecomm="Précompte",0,IF(typecomm=0,0))))))</f>
        <v>0</v>
      </c>
      <c r="Z2" s="106">
        <v>43101</v>
      </c>
      <c r="AA2" s="105">
        <f t="shared" ref="AA2:AA5" si="9">IF(Z2="","",IF(G2="Annulation","",IF(E2="",0,Z2-E2)))</f>
        <v>0</v>
      </c>
      <c r="AB2" s="63" t="s">
        <v>12</v>
      </c>
      <c r="AC2" s="72"/>
      <c r="AD2" s="101" t="str">
        <f t="shared" ref="AD2:AD5" si="10">IF(Z2=43466,"Programmée","")</f>
        <v/>
      </c>
      <c r="AE2" s="80" t="str">
        <f t="shared" ref="AE2:AE5" si="11">IF(Z2=43466,43404,"")</f>
        <v/>
      </c>
      <c r="AF2" s="72"/>
      <c r="AG2" s="70">
        <f t="shared" ref="AG2:AG5" si="12">(IF(COUNT(Z2)=0,"",IF(G2="Annulation","",IF(K2="SWISSLIFE",Z2+365,IF(K2="AVIVA",Z2+365,IF(K2="NEOLIANE Prev",Z2+365,IF(Z2&lt;42370,42370,IF(Z2&lt;42736,42736,IF(Z2&lt;43101,43101,IF(Z2&lt;43466,43466,IF(Z2&lt;43831,43831,IF(Z2&lt;44197,44197,IF(Z2&lt;44562,44562,IF(Z2&lt;44927,44927))))))))))))))</f>
        <v>43466</v>
      </c>
      <c r="AH2" s="81">
        <f t="shared" ref="AH2:AH5" ca="1" si="13">(IF(COUNT(Z2)=0,"",IF(G2="Annulation","",IF(Z2&gt;0,(Z2-TODAY())/(-365),0))))</f>
        <v>0.43287671232876712</v>
      </c>
      <c r="AI2" s="111">
        <f t="shared" ref="AI2:AI5" ca="1" si="14">(IF(COUNT(Z2)=0,"",IF(G2="Annulation","",IF(K2="SWISSLIFE",Z2+365+IF(Z2&gt;TODAY(),0,365*(DATEDIF(Z2,TODAY(),"Y"))),IF(K2="AVIVA",Z2+365+IF(Z2&gt;TODAY(),0,365*(DATEDIF(Z2,TODAY(),"Y"))),IF(K2="NEOLIANE Prev",Z2+365+IF(Z2&gt;TODAY(),0,365*(DATEDIF(Z2,TODAY(),"Y"))),IF(Z2&lt;=43252,43466,43831))))+365*(année-2018)+IF(année&gt;=2020,1)+IF(((IF(K2="SWISSLIFE",Z2+365+IF(Z2&gt;TODAY(),0,365*(DATEDIF(Z2,TODAY(),"Y"))),IF(K2="AVIVA",Z2+365+IF(Z2&gt;TODAY(),0,365*(DATEDIF(Z2,TODAY(),"Y"))),IF(K2="NEOLIANE Prev",Z2+365+IF(Z2&gt;TODAY(),0,365*(DATEDIF(Z2,TODAY(),"Y"))),IF(Z2&lt;=43252,43466,43831))))+365*(année-2018)+IF(année&gt;=2020,1))-62)&lt;TODAY(),365))))</f>
        <v>43466</v>
      </c>
      <c r="AJ2" s="89">
        <f t="shared" ref="AJ2:AJ5" ca="1" si="15">IF(G2="Annulation","",IF(Z2="","",AI2-62))</f>
        <v>43404</v>
      </c>
      <c r="AK2" s="89">
        <f t="shared" ref="AK2:AK5" ca="1" si="16">IF(G2="Annulation","",IF(Z2="","",AI2-92))</f>
        <v>43374</v>
      </c>
      <c r="AL2" s="81">
        <f t="shared" ref="AL2:AL5" ca="1" si="17">(IF(COUNT(Z2)=0,"",IF(G2="Annulation","",IF(Z2&gt;0,(Z2-AI2)/(-365),0))))</f>
        <v>1</v>
      </c>
      <c r="AM2" s="74">
        <f t="shared" ref="AM2:AM5" si="18">IF(G2="Annulation","",IF(Z2&lt;42736,M2,0))</f>
        <v>0</v>
      </c>
      <c r="AN2" s="74">
        <f t="shared" ref="AN2:AN5" si="19">IF(G2="Annulation","",IF(Z2&gt;=42736,IF(Z2&lt;43101,M2,0),0))</f>
        <v>0</v>
      </c>
      <c r="AO2" s="82">
        <f t="shared" ref="AO2:AO5" si="20">IF(G2="Annulation","",IF(AM2&gt;0,IF(AM2&gt;0,(AM2-AN2)/AM2*(-1),),0))</f>
        <v>0</v>
      </c>
      <c r="AP2" s="74">
        <v>165.77</v>
      </c>
      <c r="AQ2" s="82">
        <f t="shared" ref="AQ2:AQ5" si="21">IF(G2="Annulation","",IF(AN2&gt;0,(AN2-AP2)/AN2*(-1),))</f>
        <v>0</v>
      </c>
      <c r="AR2" s="83">
        <f t="shared" ref="AR2:AR5" si="22">IF(G2="Annulation","",IF(AND(AM2&lt;=0,AN2&lt;=0,AO2&lt;=0),0,IF(AND(AM2&lt;=0,AN2&lt;=0,AO2&gt;0),(AP2-AO2)/AO2,0+IF(AND(AM2&lt;=0,AN2&gt;0,AO2&lt;=0),(AP2-AN2)/AN2,0+IF(AND(AM2&gt;0,AN2&lt;=0,AO2&lt;=0),(AP2-AM2)/AM2,0+IF(AND(AM2&lt;=0,AN2&gt;0,AO2&gt;0),(AP2-AN2)/AN2,0+IF(AND(AM2&gt;0,AN2&lt;=0,AO2&gt;0),(AP2-AM2)/AM2,0+IF(AND(AM2&lt;=0,AN2&gt;0,AO2&gt;0),(AP2-AN2)/AN2,0+IF(AND(AM2&gt;0,AN2&gt;0,AO2&lt;=0),(AP2-AM2)/AM2,0+IF(AND(AM2&gt;0,AN2&gt;0,AO2&gt;0),(AP2-AM2)/AM2,0))))))))))</f>
        <v>0</v>
      </c>
      <c r="AS2" s="74">
        <f>IF(G2="Annulation","",IF(Z2&gt;=43466,IF(Z2&lt;43831,M2,0),0))</f>
        <v>0</v>
      </c>
      <c r="AT2" s="82">
        <f t="shared" ref="AT2:AT5" si="23">IF(G2="Annulation","",IF(AP2&gt;0,(AP2-AS2)/AP2*(-1),0))</f>
        <v>-1</v>
      </c>
      <c r="AU2" s="83">
        <f t="shared" ref="AU2:AU5" si="24">IF(G2="Annulation","",IF(AS2&gt;0,IF(AM2&gt;0,(AM2-AS2)/(-AM2),IF(AN2&gt;0,(AN2-AS2)/(-AN2),IF(AP2&gt;0,(AP2-AS2)/(-AP2),0))),0))</f>
        <v>0</v>
      </c>
      <c r="AV2" s="74">
        <f t="shared" ref="AV2:AV5" si="25">IF(G2="Annulation","",IF(Z2&gt;=43831,IF(Z2&lt;44197,M2,0),0))</f>
        <v>0</v>
      </c>
      <c r="AW2" s="82">
        <f t="shared" ref="AW2:AW5" si="26">IF(G2="Annulation","",IF(AS2&gt;0,(AS2-AV2)/AS2*(-1),0))</f>
        <v>0</v>
      </c>
      <c r="AX2" s="83">
        <f t="shared" ref="AX2:AX5" si="27">IF(G2="Annulation","",(IF(AM2&gt;0,(AM2-AV2)/(-AM2),IF(AN2&gt;0,(AN2-AV2)/(-AN2),IF(AP2&gt;0,(AP2-AV2)/(-AP2),IF(AS2&gt;0,(AS2-AV2)/(-AS2),0))))))</f>
        <v>-1</v>
      </c>
      <c r="AY2" s="63"/>
      <c r="AZ2" s="84">
        <v>670252200</v>
      </c>
      <c r="BA2" s="85">
        <v>33700</v>
      </c>
      <c r="BB2" s="95" t="s">
        <v>1026</v>
      </c>
      <c r="BC2" s="86">
        <v>606060606</v>
      </c>
      <c r="BD2" s="86">
        <v>556776908</v>
      </c>
      <c r="BE2" s="96" t="s">
        <v>1674</v>
      </c>
      <c r="BF2" s="69" t="s">
        <v>1027</v>
      </c>
      <c r="BG2" s="114" t="s">
        <v>1027</v>
      </c>
      <c r="BH2" s="63">
        <v>2</v>
      </c>
      <c r="BI2" s="68">
        <v>0</v>
      </c>
      <c r="BJ2" s="71">
        <v>17594</v>
      </c>
      <c r="BK2" s="87" t="s">
        <v>134</v>
      </c>
      <c r="BL2" s="64">
        <f t="shared" ref="BL2:BL5" ca="1" si="28">IF(DATEDIF(BJ2,TODAY(),"Y")=118,"",DATEDIF(BJ2,TODAY(),"Y"))</f>
        <v>70</v>
      </c>
      <c r="BM2" s="65">
        <v>20138</v>
      </c>
      <c r="BN2" s="66" t="s">
        <v>134</v>
      </c>
      <c r="BO2" s="67">
        <f t="shared" ref="BO2:BO5" ca="1" si="29">IF(DATEDIF(BM2,TODAY(),"Y")=118,"",DATEDIF(BM2,TODAY(),"Y"))</f>
        <v>63</v>
      </c>
      <c r="BP2" s="65"/>
      <c r="BQ2" s="66"/>
      <c r="BR2" s="67" t="str">
        <f t="shared" ref="BR2:BR5" ca="1" si="30">IF(DATEDIF(BP2,TODAY(),"Y")=118,"",DATEDIF(BP2,TODAY(),"Y"))</f>
        <v/>
      </c>
      <c r="BS2" s="65"/>
      <c r="BT2" s="66"/>
      <c r="BU2" s="67" t="str">
        <f t="shared" ref="BU2:BU5" ca="1" si="31">IF(DATEDIF(BS2,TODAY(),"Y")=118,"",DATEDIF(BS2,TODAY(),"Y"))</f>
        <v/>
      </c>
      <c r="BV2" s="65"/>
      <c r="BW2" s="66"/>
      <c r="BX2" s="67" t="str">
        <f t="shared" ref="BX2:BX5" ca="1" si="32">IF(DATEDIF(BV2,TODAY(),"Y")=118,"",DATEDIF(BV2,TODAY(),"Y"))</f>
        <v/>
      </c>
      <c r="BY2" s="65"/>
      <c r="BZ2" s="66"/>
      <c r="CA2" s="67" t="str">
        <f t="shared" ref="CA2:CA5" ca="1" si="33">IF(DATEDIF(BY2,TODAY(),"Y")=118,"",DATEDIF(BY2,TODAY(),"Y"))</f>
        <v/>
      </c>
      <c r="CB2" s="65"/>
      <c r="CC2" s="66"/>
      <c r="CD2" s="67" t="str">
        <f t="shared" ref="CD2:CD5" ca="1" si="34">IF(DATEDIF(CB2,TODAY(),"Y")=118,"",DATEDIF(CB2,TODAY(),"Y"))</f>
        <v/>
      </c>
      <c r="CE2" s="65"/>
      <c r="CF2" s="66"/>
      <c r="CG2" s="67" t="str">
        <f t="shared" ref="CG2:CG5" ca="1" si="35">IF(DATEDIF(CE2,TODAY(),"Y")=118,"",DATEDIF(CE2,TODAY(),"Y"))</f>
        <v/>
      </c>
      <c r="CH2" s="65"/>
      <c r="CI2" s="66"/>
      <c r="CJ2" s="67" t="str">
        <f t="shared" ref="CJ2:CJ5" ca="1" si="36">IF(DATEDIF(CH2,TODAY(),"Y")=118,"",DATEDIF(CH2,TODAY(),"Y"))</f>
        <v/>
      </c>
      <c r="CK2" s="57"/>
      <c r="CL2" s="59"/>
      <c r="CM2" s="59"/>
      <c r="CN2" s="59"/>
      <c r="CO2" s="59"/>
      <c r="CP2" s="59"/>
      <c r="CQ2" s="59"/>
      <c r="CR2" s="57"/>
      <c r="CS2" s="58"/>
      <c r="CT2" s="90" t="str">
        <f t="shared" ref="CT2:CT5" si="37">IF(J2="Prev. Pro",IF(BL2=118,"",BL2),"")</f>
        <v/>
      </c>
      <c r="CU2" s="59"/>
      <c r="CV2" s="60"/>
      <c r="CW2" s="59"/>
      <c r="CX2" s="59"/>
      <c r="CY2" s="59" t="str">
        <f t="shared" ref="CY2:CY5" si="38">IF(J2&lt;&gt;"Prev. Pro","",IF(AC2="","Non",IF(J2="Prev. Pro","Oui","Non")))</f>
        <v/>
      </c>
      <c r="CZ2" s="59"/>
      <c r="DA2" s="59"/>
      <c r="DB2" s="61"/>
      <c r="DC2" s="59"/>
      <c r="DD2" s="59"/>
      <c r="DE2" s="61"/>
      <c r="DF2" s="61"/>
      <c r="DG2" s="59"/>
      <c r="DH2" s="61"/>
      <c r="DI2" s="61"/>
      <c r="DJ2" s="59"/>
      <c r="DK2" s="59"/>
      <c r="DL2" s="62"/>
      <c r="DM2" s="56">
        <f t="shared" ref="DM2:DM5" si="39">Infoman</f>
        <v>0</v>
      </c>
      <c r="DN2" s="88" t="str">
        <f t="shared" ref="DN2:DN5" si="40">IF(C2=0,"",IF((IF(C2=0,"",IF(BJ2=0,"KO",IF(J2="Santé Individuelle",IF(COUNTBLANK(C2)+COUNTBLANK(K2)+COUNTBLANK(N2)+COUNTBLANK(L2)+COUNTBLANK(AZ2)+COUNTBLANK(BB2)+COUNTBLANK(BE2)+COUNTBLANK(BF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OK",IF(COUNTBLANK(L2)+COUNTBLANK(AZ2)+COUNTBLANK(BB2)+COUNTBLANK(BE2)+COUNTBLANK(J2)+COUNTBLANK(C2)+COUNTBLANK(K2)+COUNTBLANK(N2)+COUNTBLANK(Z2)+COUNTBLANK(BC2)+COUNTBLANK(BA2)+COUNTBLANK(BJ2)+COUNTBLANK(BK2)=4,"Mini",IF(COUNTBLANK(C2)+COUNTBLANK(K2)+COUNTBLANK(N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Mini","KO"))),IF(COUNTBLANK(L2)+COUNTBLANK(AZ2)+COUNTBLANK(BB2)+COUNTBLANK(BE2)+COUNTBLANK(J2)+COUNTBLANK(C2)+COUNTBLANK(K2)+COUNTBLANK(N2)+COUNTBLANK(Z2)+COUNTBLANK(BC2)+COUNTBLANK(BA2)+COUNTBLANK(BJ2)+COUNTBLANK(BK2)=0,"OK",IF(COUNTBLANK(J2)+COUNTBLANK(C2)+COUNTBLANK(K2)+COUNTBLANK(N2)+COUNTBLANK(Z2)+COUNTBLANK(BC2)+COUNTBLANK(BA2)+COUNTBLANK(BJ2)+COUNTBLANK(BK2)=0,"Mini","KO"))))))="OK",IF(G2="Pré 2018 OK","AJ",(IF(C2=0,"",IF(BJ2=0,"KO",IF(J2="Santé Individuelle",IF(COUNTBLANK(C2)+COUNTBLANK(K2)+COUNTBLANK(N2)+COUNTBLANK(L2)+COUNTBLANK(AZ2)+COUNTBLANK(BB2)+COUNTBLANK(BE2)+COUNTBLANK(BF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OK",IF(COUNTBLANK(L2)+COUNTBLANK(AZ2)+COUNTBLANK(BB2)+COUNTBLANK(BE2)+COUNTBLANK(J2)+COUNTBLANK(C2)+COUNTBLANK(K2)+COUNTBLANK(N2)+COUNTBLANK(Z2)+COUNTBLANK(BC2)+COUNTBLANK(BA2)+COUNTBLANK(BJ2)+COUNTBLANK(BK2)=4,"Mini",IF(COUNTBLANK(C2)+COUNTBLANK(K2)+COUNTBLANK(N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Mini","KO"))),IF(COUNTBLANK(L2)+COUNTBLANK(AZ2)+COUNTBLANK(BB2)+COUNTBLANK(BE2)+COUNTBLANK(J2)+COUNTBLANK(C2)+COUNTBLANK(K2)+COUNTBLANK(N2)+COUNTBLANK(Z2)+COUNTBLANK(BC2)+COUNTBLANK(BA2)+COUNTBLANK(BJ2)+COUNTBLANK(BK2)=0,"OK",IF(COUNTBLANK(J2)+COUNTBLANK(C2)+COUNTBLANK(K2)+COUNTBLANK(N2)+COUNTBLANK(Z2)+COUNTBLANK(BC2)+COUNTBLANK(BA2)+COUNTBLANK(BJ2)+COUNTBLANK(BK2)=0,"Mini","KO"))))))),(IF(C2=0,"",IF(BJ2=0,"KO",IF(J2="Santé Individuelle",IF(COUNTBLANK(C2)+COUNTBLANK(K2)+COUNTBLANK(N2)+COUNTBLANK(L2)+COUNTBLANK(AZ2)+COUNTBLANK(BB2)+COUNTBLANK(BE2)+COUNTBLANK(BF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OK",IF(COUNTBLANK(L2)+COUNTBLANK(AZ2)+COUNTBLANK(BB2)+COUNTBLANK(BE2)+COUNTBLANK(J2)+COUNTBLANK(C2)+COUNTBLANK(K2)+COUNTBLANK(N2)+COUNTBLANK(Z2)+COUNTBLANK(BC2)+COUNTBLANK(BA2)+COUNTBLANK(BJ2)+COUNTBLANK(BK2)=4,"Mini",IF(COUNTBLANK(C2)+COUNTBLANK(K2)+COUNTBLANK(N2)+COUNTBLANK(Z2)+COUNTBLANK(BA2)+COUNTBLANK(BC2)+COUNTBLANK(BJ2)+COUNTBLANK(BK2)+COUNTBLANK(BM2)+COUNTBLANK(BN2)+COUNTBLANK(BP2)+COUNTBLANK(BQ2)+COUNTBLANK(BS2)+COUNTBLANK(BT2)+COUNTBLANK(BV2)+COUNTBLANK(BW2)+COUNTBLANK(BY2)+COUNTBLANK(BZ2)+COUNTBLANK(CB2)+COUNTBLANK(CC2)+COUNTBLANK(CE2)+COUNTBLANK(CF2)+COUNTBLANK(CH2)+COUNTBLANK(CI2)=18-2*(BH2+BI2),"Mini","KO"))),IF(COUNTBLANK(L2)+COUNTBLANK(AZ2)+COUNTBLANK(BB2)+COUNTBLANK(BE2)+COUNTBLANK(J2)+COUNTBLANK(C2)+COUNTBLANK(K2)+COUNTBLANK(N2)+COUNTBLANK(Z2)+COUNTBLANK(BC2)+COUNTBLANK(BA2)+COUNTBLANK(BJ2)+COUNTBLANK(BK2)=0,"OK",IF(COUNTBLANK(J2)+COUNTBLANK(C2)+COUNTBLANK(K2)+COUNTBLANK(N2)+COUNTBLANK(Z2)+COUNTBLANK(BC2)+COUNTBLANK(BA2)+COUNTBLANK(BJ2)+COUNTBLANK(BK2)=0,"Mini","KO"))))))))</f>
        <v>OK</v>
      </c>
      <c r="DO2" s="119" t="str">
        <f t="shared" ref="DO2:DO5" si="41">IF(C2="","",C2)</f>
        <v>ALBA</v>
      </c>
      <c r="DP2" s="119" t="str">
        <f t="shared" ref="DP2:DP5" si="42">IF(BB2="","",BB2)</f>
        <v>philippe-alba@orange.fr</v>
      </c>
      <c r="DQ2" s="121" t="str">
        <f t="shared" ref="DQ2:DQ5" si="43">IF(C2="","",IF(J2="Santé Individuelle",CONCATENATE((IF(BH2=1,CONCATENATE("Étude Mutuelles 2019 pour ",F2," ",C2),IF(BH2=2,CONCATENATE("Étude Mutuelles 2019 pour Monsieur et Madame ",C2)))),(IF(BI2=0," [ Mathieu CEDELLE - ASSURE DIRECT ]",IF(BI2=1," + 1 Enfant [ Mathieu CEDELLE - ASSURE DIRECT ]",IF(BI2&gt;1,CONCATENATE(" + ",BI2," Enfants [ Mathieu CEDELLE - ASSURE DIRECT ]")))))),IF(J2="Prev. Pro",CONCATENATE((IF(BH2=1,CONCATENATE("Étude Prévoyance Pro 2019 pour ",F2," ",C2),IF(BH2=2,CONCATENATE("Étude Prévoyance Pro 2019 pour Monsieur et Madame ",C2)))),(IF(BI2=0," [ Mathieu CEDELLE - ASSURE DIRECT ]",IF(BI2=1," + 1 Enfant [ Mathieu CEDELLE - ASSURE DIRECT ]",IF(BI2&gt;1,CONCATENATE(" + ",BI2," Enfants [ Mathieu CEDELLE - ASSURE DIRECT ]")))))),CONCATENATE((IF(BH2=1,CONCATENATE("Étude Assurances 2019 pour ",F2," ",C2),IF(BH2=2,CONCATENATE("Étude Assurances 2019 pour Monsieur et Madame ",C2)))),(IF(BI2=0," [ Mathieu CEDELLE - ASSURE DIRECT ]",IF(BI2=1," + 1 Enfant [ Mathieu CEDELLE - ASSURE DIRECT ]",IF(BI2&gt;1,CONCATENATE(" + ",BI2," Enfants [ Mathieu CEDELLE - ASSURE DIRECT ]")))))))))</f>
        <v>Étude Mutuelles 2019 pour Monsieur et Madame ALBA [ Mathieu CEDELLE - ASSURE DIRECT ]</v>
      </c>
      <c r="DR2" s="121" t="str">
        <f t="shared" ref="DR2:DR5" si="44">IF(M2="","",CONCATENATE("Bonjour ",F2," ",C2,",
Tout d'abord, constatant que vous êtes toujours client chez la mutuelle ",K2," (mutuelle que nous avions choisie ensemble), je tiens à vous remercier de votre fidélité. 
Ensuite, plutôt que de vous faire attendre votre futur échéancier, je tiens à vous informer que ",K2," a depuis peu annoncé ses augmentations pour janvier 2019. Dans votre cas, votre tarif passera à ",AS2,"€/mois. 
Sachant que nous avions initialement souscrit au tarif de ",M2,"€/mois cela fera une augmentation totale de ",ROUND(AU2*100,1)," % ce qui me semble un peu trop élevé en si peu de temps. C'est donc pourquoi je prends les devants pour éviter de devoir changer dans la précipitation."))</f>
        <v>Bonjour Monsieur ALBA,
Tout d'abord, constatant que vous êtes toujours client chez la mutuelle APRIL (mutuelle que nous avions choisie ensemble), je tiens à vous remercier de votre fidélité. 
Ensuite, plutôt que de vous faire attendre votre futur échéancier, je tiens à vous informer que APRIL a depuis peu annoncé ses augmentations pour janvier 2019. Dans votre cas, votre tarif passera à 0€/mois. 
Sachant que nous avions initialement souscrit au tarif de 160,17€/mois cela fera une augmentation totale de 0 % ce qui me semble un peu trop élevé en si peu de temps. C'est donc pourquoi je prends les devants pour éviter de devoir changer dans la précipitation.</v>
      </c>
    </row>
    <row r="3" spans="1:122" x14ac:dyDescent="0.25">
      <c r="A3" s="183" t="str">
        <f t="shared" ref="A3:A5" si="45">CONCATENATE(C3," ",D3," - ",K3," - ",J3)</f>
        <v>Aloulou Ali - APRIL - Santé Individuelle</v>
      </c>
      <c r="B3" s="98"/>
      <c r="C3" s="186" t="s">
        <v>1011</v>
      </c>
      <c r="D3" s="93" t="s">
        <v>424</v>
      </c>
      <c r="E3" s="71">
        <v>42439</v>
      </c>
      <c r="F3" s="73" t="s">
        <v>438</v>
      </c>
      <c r="G3" s="103" t="s">
        <v>186</v>
      </c>
      <c r="H3" s="71"/>
      <c r="I3" s="105" t="str">
        <f t="shared" si="1"/>
        <v/>
      </c>
      <c r="J3" s="104" t="s">
        <v>17</v>
      </c>
      <c r="K3" s="63" t="s">
        <v>25</v>
      </c>
      <c r="L3" s="72" t="s">
        <v>425</v>
      </c>
      <c r="M3" s="74">
        <v>154.41999999999999</v>
      </c>
      <c r="N3" s="75">
        <v>154.41999999999999</v>
      </c>
      <c r="O3" s="75"/>
      <c r="P3" s="120" t="s">
        <v>36</v>
      </c>
      <c r="Q3" s="76" t="str">
        <f t="shared" si="2"/>
        <v/>
      </c>
      <c r="R3" s="77">
        <f t="shared" si="3"/>
        <v>1853.04</v>
      </c>
      <c r="S3" s="63" t="s">
        <v>16</v>
      </c>
      <c r="T3" s="78">
        <f t="shared" si="4"/>
        <v>25</v>
      </c>
      <c r="U3" s="79" t="e">
        <f>IF(M3=0,0,IF(G3="Annulation","",IF(assurance="ALPTIS",M3*12*T3/100*#REF!,IF(assurance="APRIL",M3*12*T3/100*#REF!,IF(assurance="ASAF",M3*12*T3/100*#REF!,IF(assurance="NEOLIANE",(#REF!+M3*12*#REF!)*T3/100,IF(assurance="NEOLIANE Prev",(#REF!+M3*12*#REF!)*T3/100,IF(assurance="SWISSLIFE",M3*12*T3/100*#REF!,IF(assurance="AVIVA",M3*12*T3/100*#REF!,IF(assurance="CIPRES",M3*12*T3/100*#REF!,IF(assurance="CEGEMA",M3*12*T3/100*#REF!,IF(assurance=0,0))))))))))))</f>
        <v>#REF!</v>
      </c>
      <c r="V3" s="91">
        <f t="shared" si="5"/>
        <v>463.26</v>
      </c>
      <c r="W3" s="91">
        <f t="shared" si="6"/>
        <v>0</v>
      </c>
      <c r="X3" s="92" t="e">
        <f t="shared" si="7"/>
        <v>#REF!</v>
      </c>
      <c r="Y3" s="108">
        <f t="shared" si="8"/>
        <v>0</v>
      </c>
      <c r="Z3" s="106">
        <v>42439</v>
      </c>
      <c r="AA3" s="105">
        <f t="shared" si="9"/>
        <v>0</v>
      </c>
      <c r="AB3" s="63" t="s">
        <v>12</v>
      </c>
      <c r="AC3" s="72"/>
      <c r="AD3" s="101" t="str">
        <f t="shared" si="10"/>
        <v/>
      </c>
      <c r="AE3" s="80" t="str">
        <f t="shared" si="11"/>
        <v/>
      </c>
      <c r="AF3" s="72"/>
      <c r="AG3" s="70">
        <f t="shared" si="12"/>
        <v>42736</v>
      </c>
      <c r="AH3" s="81">
        <f t="shared" ca="1" si="13"/>
        <v>2.2465753424657535</v>
      </c>
      <c r="AI3" s="111">
        <f t="shared" ca="1" si="14"/>
        <v>43466</v>
      </c>
      <c r="AJ3" s="89">
        <f t="shared" ca="1" si="15"/>
        <v>43404</v>
      </c>
      <c r="AK3" s="89">
        <f t="shared" ca="1" si="16"/>
        <v>43374</v>
      </c>
      <c r="AL3" s="81">
        <f t="shared" ca="1" si="17"/>
        <v>2.8136986301369862</v>
      </c>
      <c r="AM3" s="74">
        <f t="shared" si="18"/>
        <v>154.41999999999999</v>
      </c>
      <c r="AN3" s="74">
        <f t="shared" si="19"/>
        <v>0</v>
      </c>
      <c r="AO3" s="82">
        <f t="shared" si="20"/>
        <v>-1</v>
      </c>
      <c r="AP3" s="74">
        <v>135.11000000000001</v>
      </c>
      <c r="AQ3" s="82">
        <f t="shared" si="21"/>
        <v>0</v>
      </c>
      <c r="AR3" s="83">
        <f t="shared" si="22"/>
        <v>-0.12504856883823323</v>
      </c>
      <c r="AS3" s="74">
        <v>152.87</v>
      </c>
      <c r="AT3" s="82">
        <f t="shared" si="23"/>
        <v>0.13144844941159048</v>
      </c>
      <c r="AU3" s="83">
        <f t="shared" si="24"/>
        <v>-1.0037559901567045E-2</v>
      </c>
      <c r="AV3" s="74">
        <f t="shared" si="25"/>
        <v>0</v>
      </c>
      <c r="AW3" s="82">
        <f t="shared" si="26"/>
        <v>-1</v>
      </c>
      <c r="AX3" s="83">
        <f t="shared" si="27"/>
        <v>-1</v>
      </c>
      <c r="AY3" s="63"/>
      <c r="AZ3" s="84">
        <v>662084500</v>
      </c>
      <c r="BA3" s="85">
        <v>73000</v>
      </c>
      <c r="BB3" s="95" t="s">
        <v>426</v>
      </c>
      <c r="BC3" s="86">
        <v>606060606</v>
      </c>
      <c r="BD3" s="86">
        <v>556776908</v>
      </c>
      <c r="BE3" s="96" t="s">
        <v>1674</v>
      </c>
      <c r="BF3" s="69" t="s">
        <v>1028</v>
      </c>
      <c r="BG3" s="114" t="s">
        <v>1028</v>
      </c>
      <c r="BH3" s="63">
        <v>2</v>
      </c>
      <c r="BI3" s="68">
        <v>0</v>
      </c>
      <c r="BJ3" s="71">
        <v>17899</v>
      </c>
      <c r="BK3" s="87" t="s">
        <v>134</v>
      </c>
      <c r="BL3" s="64">
        <f t="shared" ca="1" si="28"/>
        <v>69</v>
      </c>
      <c r="BM3" s="65">
        <v>20821</v>
      </c>
      <c r="BN3" s="66" t="s">
        <v>134</v>
      </c>
      <c r="BO3" s="67">
        <f t="shared" ca="1" si="29"/>
        <v>61</v>
      </c>
      <c r="BP3" s="65"/>
      <c r="BQ3" s="66"/>
      <c r="BR3" s="67" t="str">
        <f t="shared" ca="1" si="30"/>
        <v/>
      </c>
      <c r="BS3" s="65"/>
      <c r="BT3" s="66"/>
      <c r="BU3" s="67" t="str">
        <f t="shared" ca="1" si="31"/>
        <v/>
      </c>
      <c r="BV3" s="65"/>
      <c r="BW3" s="66"/>
      <c r="BX3" s="67" t="str">
        <f t="shared" ca="1" si="32"/>
        <v/>
      </c>
      <c r="BY3" s="65"/>
      <c r="BZ3" s="66"/>
      <c r="CA3" s="67" t="str">
        <f t="shared" ca="1" si="33"/>
        <v/>
      </c>
      <c r="CB3" s="65"/>
      <c r="CC3" s="66"/>
      <c r="CD3" s="67" t="str">
        <f t="shared" ca="1" si="34"/>
        <v/>
      </c>
      <c r="CE3" s="65"/>
      <c r="CF3" s="66"/>
      <c r="CG3" s="67" t="str">
        <f t="shared" ca="1" si="35"/>
        <v/>
      </c>
      <c r="CH3" s="65"/>
      <c r="CI3" s="66"/>
      <c r="CJ3" s="67" t="str">
        <f t="shared" ca="1" si="36"/>
        <v/>
      </c>
      <c r="CK3" s="57"/>
      <c r="CL3" s="59"/>
      <c r="CM3" s="59"/>
      <c r="CN3" s="59"/>
      <c r="CO3" s="59"/>
      <c r="CP3" s="59"/>
      <c r="CQ3" s="59"/>
      <c r="CR3" s="57"/>
      <c r="CS3" s="58"/>
      <c r="CT3" s="90" t="str">
        <f t="shared" si="37"/>
        <v/>
      </c>
      <c r="CU3" s="59"/>
      <c r="CV3" s="60"/>
      <c r="CW3" s="59"/>
      <c r="CX3" s="59"/>
      <c r="CY3" s="59" t="str">
        <f t="shared" si="38"/>
        <v/>
      </c>
      <c r="CZ3" s="59"/>
      <c r="DA3" s="59"/>
      <c r="DB3" s="61"/>
      <c r="DC3" s="59"/>
      <c r="DD3" s="59"/>
      <c r="DE3" s="61"/>
      <c r="DF3" s="61"/>
      <c r="DG3" s="59"/>
      <c r="DH3" s="61"/>
      <c r="DI3" s="61"/>
      <c r="DJ3" s="59"/>
      <c r="DK3" s="59"/>
      <c r="DL3" s="62"/>
      <c r="DM3" s="56">
        <f t="shared" si="39"/>
        <v>0</v>
      </c>
      <c r="DN3" s="88" t="str">
        <f t="shared" si="40"/>
        <v>AJ</v>
      </c>
      <c r="DO3" s="119" t="str">
        <f t="shared" si="41"/>
        <v>Aloulou</v>
      </c>
      <c r="DP3" s="119" t="str">
        <f t="shared" si="42"/>
        <v>fatghareb@yahoo.fr</v>
      </c>
      <c r="DQ3" s="121" t="str">
        <f t="shared" si="43"/>
        <v>Étude Mutuelles 2019 pour Monsieur et Madame Aloulou [ Mathieu CEDELLE - ASSURE DIRECT ]</v>
      </c>
      <c r="DR3" s="121" t="str">
        <f t="shared" si="44"/>
        <v>Bonjour Monsieur Aloulou,
Tout d'abord, constatant que vous êtes toujours client chez la mutuelle APRIL (mutuelle que nous avions choisie ensemble), je tiens à vous remercier de votre fidélité. 
Ensuite, plutôt que de vous faire attendre votre futur échéancier, je tiens à vous informer que APRIL a depuis peu annoncé ses augmentations pour janvier 2019. Dans votre cas, votre tarif passera à 152,87€/mois. 
Sachant que nous avions initialement souscrit au tarif de 154,42€/mois cela fera une augmentation totale de -1 % ce qui me semble un peu trop élevé en si peu de temps. C'est donc pourquoi je prends les devants pour éviter de devoir changer dans la précipitation.</v>
      </c>
    </row>
    <row r="4" spans="1:122" x14ac:dyDescent="0.25">
      <c r="A4" s="183" t="str">
        <f t="shared" si="45"/>
        <v>ANDRE Samuel - ASAF - Santé Individuelle</v>
      </c>
      <c r="B4" s="98"/>
      <c r="C4" s="186" t="s">
        <v>183</v>
      </c>
      <c r="D4" s="93" t="s">
        <v>1031</v>
      </c>
      <c r="E4" s="71">
        <v>42952</v>
      </c>
      <c r="F4" s="73" t="s">
        <v>438</v>
      </c>
      <c r="G4" s="103" t="s">
        <v>188</v>
      </c>
      <c r="H4" s="71"/>
      <c r="I4" s="105" t="str">
        <f t="shared" si="1"/>
        <v/>
      </c>
      <c r="J4" s="104" t="s">
        <v>17</v>
      </c>
      <c r="K4" s="63" t="s">
        <v>33</v>
      </c>
      <c r="L4" s="72" t="s">
        <v>432</v>
      </c>
      <c r="M4" s="74">
        <v>98.87</v>
      </c>
      <c r="N4" s="75">
        <v>98.87</v>
      </c>
      <c r="O4" s="75"/>
      <c r="P4" s="120" t="s">
        <v>36</v>
      </c>
      <c r="Q4" s="76" t="str">
        <f t="shared" si="2"/>
        <v/>
      </c>
      <c r="R4" s="77">
        <f t="shared" si="3"/>
        <v>1186.44</v>
      </c>
      <c r="S4" s="63" t="s">
        <v>16</v>
      </c>
      <c r="T4" s="78">
        <f t="shared" si="4"/>
        <v>17.5</v>
      </c>
      <c r="U4" s="79" t="e">
        <f>IF(M4=0,0,IF(G4="Annulation","",IF(assurance="ALPTIS",M4*12*T4/100*#REF!,IF(assurance="APRIL",M4*12*T4/100*#REF!,IF(assurance="ASAF",M4*12*T4/100*#REF!,IF(assurance="NEOLIANE",(#REF!+M4*12*#REF!)*T4/100,IF(assurance="NEOLIANE Prev",(#REF!+M4*12*#REF!)*T4/100,IF(assurance="SWISSLIFE",M4*12*T4/100*#REF!,IF(assurance="AVIVA",M4*12*T4/100*#REF!,IF(assurance="CIPRES",M4*12*T4/100*#REF!,IF(assurance="CEGEMA",M4*12*T4/100*#REF!,IF(assurance=0,0))))))))))))</f>
        <v>#REF!</v>
      </c>
      <c r="V4" s="91">
        <f t="shared" si="5"/>
        <v>207.62700000000001</v>
      </c>
      <c r="W4" s="91">
        <f t="shared" si="6"/>
        <v>0</v>
      </c>
      <c r="X4" s="92" t="e">
        <f t="shared" si="7"/>
        <v>#REF!</v>
      </c>
      <c r="Y4" s="108">
        <f t="shared" si="8"/>
        <v>0</v>
      </c>
      <c r="Z4" s="106">
        <v>43093</v>
      </c>
      <c r="AA4" s="105">
        <f t="shared" si="9"/>
        <v>141</v>
      </c>
      <c r="AB4" s="63" t="s">
        <v>12</v>
      </c>
      <c r="AC4" s="72"/>
      <c r="AD4" s="101" t="str">
        <f t="shared" si="10"/>
        <v/>
      </c>
      <c r="AE4" s="80" t="str">
        <f t="shared" si="11"/>
        <v/>
      </c>
      <c r="AF4" s="72"/>
      <c r="AG4" s="70">
        <f t="shared" si="12"/>
        <v>43101</v>
      </c>
      <c r="AH4" s="81">
        <f t="shared" ca="1" si="13"/>
        <v>0.45479452054794522</v>
      </c>
      <c r="AI4" s="111">
        <f t="shared" ca="1" si="14"/>
        <v>43466</v>
      </c>
      <c r="AJ4" s="89">
        <f t="shared" ca="1" si="15"/>
        <v>43404</v>
      </c>
      <c r="AK4" s="89">
        <f t="shared" ca="1" si="16"/>
        <v>43374</v>
      </c>
      <c r="AL4" s="81">
        <f t="shared" ca="1" si="17"/>
        <v>1.021917808219178</v>
      </c>
      <c r="AM4" s="74">
        <f t="shared" si="18"/>
        <v>0</v>
      </c>
      <c r="AN4" s="74">
        <f t="shared" si="19"/>
        <v>98.87</v>
      </c>
      <c r="AO4" s="82">
        <f t="shared" si="20"/>
        <v>0</v>
      </c>
      <c r="AP4" s="74">
        <v>0</v>
      </c>
      <c r="AQ4" s="82">
        <f t="shared" si="21"/>
        <v>-1</v>
      </c>
      <c r="AR4" s="83">
        <f t="shared" si="22"/>
        <v>-1</v>
      </c>
      <c r="AS4" s="74">
        <v>0</v>
      </c>
      <c r="AT4" s="82">
        <f t="shared" si="23"/>
        <v>0</v>
      </c>
      <c r="AU4" s="83">
        <f t="shared" si="24"/>
        <v>0</v>
      </c>
      <c r="AV4" s="74">
        <f t="shared" si="25"/>
        <v>0</v>
      </c>
      <c r="AW4" s="82">
        <f t="shared" si="26"/>
        <v>0</v>
      </c>
      <c r="AX4" s="83">
        <f t="shared" si="27"/>
        <v>-1</v>
      </c>
      <c r="AY4" s="63"/>
      <c r="AZ4" s="84" t="s">
        <v>1032</v>
      </c>
      <c r="BA4" s="85">
        <v>35000</v>
      </c>
      <c r="BB4" s="95" t="s">
        <v>1033</v>
      </c>
      <c r="BC4" s="86">
        <v>606060606</v>
      </c>
      <c r="BD4" s="86"/>
      <c r="BE4" s="96" t="s">
        <v>1674</v>
      </c>
      <c r="BF4" s="69" t="s">
        <v>1034</v>
      </c>
      <c r="BG4" s="114"/>
      <c r="BH4" s="63">
        <v>1</v>
      </c>
      <c r="BI4" s="68">
        <v>2</v>
      </c>
      <c r="BJ4" s="71">
        <v>28668</v>
      </c>
      <c r="BK4" s="87" t="s">
        <v>136</v>
      </c>
      <c r="BL4" s="64">
        <f t="shared" ca="1" si="28"/>
        <v>39</v>
      </c>
      <c r="BM4" s="65"/>
      <c r="BN4" s="66"/>
      <c r="BO4" s="67" t="str">
        <f t="shared" ca="1" si="29"/>
        <v/>
      </c>
      <c r="BP4" s="65">
        <v>39488</v>
      </c>
      <c r="BQ4" s="66" t="s">
        <v>136</v>
      </c>
      <c r="BR4" s="67">
        <f t="shared" ca="1" si="30"/>
        <v>10</v>
      </c>
      <c r="BS4" s="65">
        <v>40778</v>
      </c>
      <c r="BT4" s="66" t="s">
        <v>136</v>
      </c>
      <c r="BU4" s="67">
        <f t="shared" ca="1" si="31"/>
        <v>6</v>
      </c>
      <c r="BV4" s="65"/>
      <c r="BW4" s="66"/>
      <c r="BX4" s="67" t="str">
        <f t="shared" ca="1" si="32"/>
        <v/>
      </c>
      <c r="BY4" s="65"/>
      <c r="BZ4" s="66"/>
      <c r="CA4" s="67" t="str">
        <f t="shared" ca="1" si="33"/>
        <v/>
      </c>
      <c r="CB4" s="65"/>
      <c r="CC4" s="66"/>
      <c r="CD4" s="67" t="str">
        <f t="shared" ca="1" si="34"/>
        <v/>
      </c>
      <c r="CE4" s="65"/>
      <c r="CF4" s="66"/>
      <c r="CG4" s="67" t="str">
        <f t="shared" ca="1" si="35"/>
        <v/>
      </c>
      <c r="CH4" s="65"/>
      <c r="CI4" s="66"/>
      <c r="CJ4" s="67" t="str">
        <f t="shared" ca="1" si="36"/>
        <v/>
      </c>
      <c r="CK4" s="57"/>
      <c r="CL4" s="59"/>
      <c r="CM4" s="59"/>
      <c r="CN4" s="59"/>
      <c r="CO4" s="59"/>
      <c r="CP4" s="59"/>
      <c r="CQ4" s="59"/>
      <c r="CR4" s="57"/>
      <c r="CS4" s="58"/>
      <c r="CT4" s="90" t="str">
        <f t="shared" si="37"/>
        <v/>
      </c>
      <c r="CU4" s="59"/>
      <c r="CV4" s="60"/>
      <c r="CW4" s="59"/>
      <c r="CX4" s="59"/>
      <c r="CY4" s="59" t="str">
        <f t="shared" si="38"/>
        <v/>
      </c>
      <c r="CZ4" s="59"/>
      <c r="DA4" s="59"/>
      <c r="DB4" s="61"/>
      <c r="DC4" s="59"/>
      <c r="DD4" s="59"/>
      <c r="DE4" s="61"/>
      <c r="DF4" s="61"/>
      <c r="DG4" s="59"/>
      <c r="DH4" s="61"/>
      <c r="DI4" s="61"/>
      <c r="DJ4" s="59"/>
      <c r="DK4" s="59"/>
      <c r="DL4" s="62"/>
      <c r="DM4" s="56">
        <f t="shared" si="39"/>
        <v>0</v>
      </c>
      <c r="DN4" s="88" t="str">
        <f t="shared" si="40"/>
        <v>OK</v>
      </c>
      <c r="DO4" s="119" t="str">
        <f t="shared" si="41"/>
        <v>ANDRE</v>
      </c>
      <c r="DP4" s="119" t="str">
        <f t="shared" si="42"/>
        <v>ameliesam01@gmail.com</v>
      </c>
      <c r="DQ4" s="121" t="str">
        <f t="shared" si="43"/>
        <v>Étude Mutuelles 2019 pour Monsieur ANDRE + 2 Enfants [ Mathieu CEDELLE - ASSURE DIRECT ]</v>
      </c>
      <c r="DR4" s="121" t="str">
        <f t="shared" si="44"/>
        <v>Bonjour Monsieur ANDRE,
Tout d'abord, constatant que vous êtes toujours client chez la mutuelle ASAF (mutuelle que nous avions choisie ensemble), je tiens à vous remercier de votre fidélité. 
Ensuite, plutôt que de vous faire attendre votre futur échéancier, je tiens à vous informer que ASAF a depuis peu annoncé ses augmentations pour janvier 2019. Dans votre cas, votre tarif passera à 0€/mois. 
Sachant que nous avions initialement souscrit au tarif de 98,87€/mois cela fera une augmentation totale de 0 % ce qui me semble un peu trop élevé en si peu de temps. C'est donc pourquoi je prends les devants pour éviter de devoir changer dans la précipitation.</v>
      </c>
    </row>
    <row r="5" spans="1:122" x14ac:dyDescent="0.25">
      <c r="A5" s="183" t="str">
        <f t="shared" si="45"/>
        <v>AUDIERNE  Quentin - SWISSLIFE - Prev. Pro</v>
      </c>
      <c r="B5" s="98"/>
      <c r="C5" s="186" t="s">
        <v>1006</v>
      </c>
      <c r="D5" s="93" t="s">
        <v>1018</v>
      </c>
      <c r="E5" s="71" t="s">
        <v>1675</v>
      </c>
      <c r="F5" s="73" t="s">
        <v>438</v>
      </c>
      <c r="G5" s="103" t="s">
        <v>188</v>
      </c>
      <c r="H5" s="71" t="s">
        <v>1012</v>
      </c>
      <c r="I5" s="105" t="e">
        <f t="shared" si="1"/>
        <v>#VALUE!</v>
      </c>
      <c r="J5" s="104" t="s">
        <v>14</v>
      </c>
      <c r="K5" s="63" t="s">
        <v>11</v>
      </c>
      <c r="L5" s="72" t="s">
        <v>21</v>
      </c>
      <c r="M5" s="74">
        <v>39</v>
      </c>
      <c r="N5" s="75">
        <v>27</v>
      </c>
      <c r="O5" s="75" t="s">
        <v>1012</v>
      </c>
      <c r="P5" s="120" t="s">
        <v>36</v>
      </c>
      <c r="Q5" s="76" t="str">
        <f t="shared" si="2"/>
        <v/>
      </c>
      <c r="R5" s="77">
        <f t="shared" si="3"/>
        <v>468</v>
      </c>
      <c r="S5" s="63" t="s">
        <v>16</v>
      </c>
      <c r="T5" s="78" t="s">
        <v>1677</v>
      </c>
      <c r="U5" s="79" t="e">
        <f>IF(M5=0,0,IF(G5="Annulation","",IF(assurance="ALPTIS",M5*12*T5/100*#REF!,IF(assurance="APRIL",M5*12*T5/100*#REF!,IF(assurance="ASAF",M5*12*T5/100*#REF!,IF(assurance="NEOLIANE",(#REF!+M5*12*#REF!)*T5/100,IF(assurance="NEOLIANE Prev",(#REF!+M5*12*#REF!)*T5/100,IF(assurance="SWISSLIFE",M5*12*T5/100*#REF!,IF(assurance="AVIVA",M5*12*T5/100*#REF!,IF(assurance="CIPRES",M5*12*T5/100*#REF!,IF(assurance="CEGEMA",M5*12*T5/100*#REF!,IF(assurance=0,0))))))))))))</f>
        <v>#REF!</v>
      </c>
      <c r="V5" s="91" t="e">
        <f t="shared" si="5"/>
        <v>#VALUE!</v>
      </c>
      <c r="W5" s="91">
        <f t="shared" si="6"/>
        <v>0</v>
      </c>
      <c r="X5" s="92" t="e">
        <f t="shared" si="7"/>
        <v>#VALUE!</v>
      </c>
      <c r="Y5" s="108">
        <f t="shared" si="8"/>
        <v>0</v>
      </c>
      <c r="Z5" s="106" t="s">
        <v>1675</v>
      </c>
      <c r="AA5" s="105">
        <f t="shared" si="9"/>
        <v>0</v>
      </c>
      <c r="AB5" s="63" t="s">
        <v>12</v>
      </c>
      <c r="AC5" s="72" t="s">
        <v>1012</v>
      </c>
      <c r="AD5" s="101" t="s">
        <v>1012</v>
      </c>
      <c r="AE5" s="80" t="s">
        <v>1012</v>
      </c>
      <c r="AF5" s="72" t="s">
        <v>1012</v>
      </c>
      <c r="AG5" s="70" t="str">
        <f t="shared" si="12"/>
        <v/>
      </c>
      <c r="AH5" s="81" t="str">
        <f t="shared" ca="1" si="13"/>
        <v/>
      </c>
      <c r="AI5" s="111" t="str">
        <f t="shared" ca="1" si="14"/>
        <v/>
      </c>
      <c r="AJ5" s="89" t="e">
        <f t="shared" ca="1" si="15"/>
        <v>#VALUE!</v>
      </c>
      <c r="AK5" s="89" t="e">
        <f t="shared" ca="1" si="16"/>
        <v>#VALUE!</v>
      </c>
      <c r="AL5" s="81" t="str">
        <f t="shared" si="17"/>
        <v/>
      </c>
      <c r="AM5" s="74" t="s">
        <v>1676</v>
      </c>
      <c r="AN5" s="74" t="s">
        <v>1455</v>
      </c>
      <c r="AO5" s="82">
        <f t="shared" si="20"/>
        <v>-1</v>
      </c>
      <c r="AP5" s="74" t="s">
        <v>1678</v>
      </c>
      <c r="AQ5" s="82" t="e">
        <f t="shared" si="21"/>
        <v>#DIV/0!</v>
      </c>
      <c r="AR5" s="83">
        <f t="shared" si="22"/>
        <v>0.17074074074074072</v>
      </c>
      <c r="AS5" s="120" t="s">
        <v>1679</v>
      </c>
      <c r="AT5" s="82">
        <f t="shared" si="23"/>
        <v>8.5371717810819328E-2</v>
      </c>
      <c r="AU5" s="83">
        <f t="shared" si="24"/>
        <v>0.27068888888888881</v>
      </c>
      <c r="AV5" s="74" t="s">
        <v>1455</v>
      </c>
      <c r="AW5" s="82">
        <f t="shared" si="26"/>
        <v>-1</v>
      </c>
      <c r="AX5" s="83">
        <f t="shared" si="27"/>
        <v>-1</v>
      </c>
      <c r="AY5" s="63" t="s">
        <v>1012</v>
      </c>
      <c r="AZ5" s="84" t="s">
        <v>1015</v>
      </c>
      <c r="BA5" s="85" t="s">
        <v>1680</v>
      </c>
      <c r="BB5" s="95" t="s">
        <v>1016</v>
      </c>
      <c r="BC5" s="86" t="s">
        <v>1681</v>
      </c>
      <c r="BD5" s="86" t="s">
        <v>1012</v>
      </c>
      <c r="BE5" s="96" t="s">
        <v>1674</v>
      </c>
      <c r="BF5" s="69" t="s">
        <v>1012</v>
      </c>
      <c r="BG5" s="114" t="s">
        <v>1012</v>
      </c>
      <c r="BH5" s="63" t="s">
        <v>1170</v>
      </c>
      <c r="BI5" s="68" t="s">
        <v>1012</v>
      </c>
      <c r="BJ5" s="71" t="s">
        <v>1682</v>
      </c>
      <c r="BK5" s="87" t="s">
        <v>137</v>
      </c>
      <c r="BL5" s="64">
        <f t="shared" ca="1" si="28"/>
        <v>26</v>
      </c>
      <c r="BM5" s="65" t="s">
        <v>1012</v>
      </c>
      <c r="BN5" s="66" t="s">
        <v>1012</v>
      </c>
      <c r="BO5" s="67" t="e">
        <f t="shared" ca="1" si="29"/>
        <v>#VALUE!</v>
      </c>
      <c r="BP5" s="65" t="s">
        <v>1012</v>
      </c>
      <c r="BQ5" s="66" t="s">
        <v>1012</v>
      </c>
      <c r="BR5" s="67" t="e">
        <f t="shared" ca="1" si="30"/>
        <v>#VALUE!</v>
      </c>
      <c r="BS5" s="65" t="s">
        <v>1012</v>
      </c>
      <c r="BT5" s="66" t="s">
        <v>1012</v>
      </c>
      <c r="BU5" s="67" t="e">
        <f t="shared" ca="1" si="31"/>
        <v>#VALUE!</v>
      </c>
      <c r="BV5" s="65" t="s">
        <v>1012</v>
      </c>
      <c r="BW5" s="66" t="s">
        <v>1012</v>
      </c>
      <c r="BX5" s="67" t="e">
        <f t="shared" ca="1" si="32"/>
        <v>#VALUE!</v>
      </c>
      <c r="BY5" s="65" t="s">
        <v>1012</v>
      </c>
      <c r="BZ5" s="66" t="s">
        <v>1012</v>
      </c>
      <c r="CA5" s="67" t="e">
        <f t="shared" ca="1" si="33"/>
        <v>#VALUE!</v>
      </c>
      <c r="CB5" s="65" t="s">
        <v>1012</v>
      </c>
      <c r="CC5" s="66" t="s">
        <v>1012</v>
      </c>
      <c r="CD5" s="67" t="e">
        <f t="shared" ca="1" si="34"/>
        <v>#VALUE!</v>
      </c>
      <c r="CE5" s="65" t="s">
        <v>1012</v>
      </c>
      <c r="CF5" s="66" t="s">
        <v>1012</v>
      </c>
      <c r="CG5" s="67" t="e">
        <f t="shared" ca="1" si="35"/>
        <v>#VALUE!</v>
      </c>
      <c r="CH5" s="65" t="s">
        <v>1012</v>
      </c>
      <c r="CI5" s="66" t="s">
        <v>1012</v>
      </c>
      <c r="CJ5" s="67" t="e">
        <f t="shared" ca="1" si="36"/>
        <v>#VALUE!</v>
      </c>
      <c r="CK5" s="57" t="s">
        <v>1012</v>
      </c>
      <c r="CL5" s="59" t="s">
        <v>1012</v>
      </c>
      <c r="CM5" s="59" t="s">
        <v>1012</v>
      </c>
      <c r="CN5" s="59" t="s">
        <v>1012</v>
      </c>
      <c r="CO5" s="59" t="s">
        <v>1012</v>
      </c>
      <c r="CP5" s="59" t="s">
        <v>1012</v>
      </c>
      <c r="CQ5" s="59" t="s">
        <v>1012</v>
      </c>
      <c r="CR5" s="57" t="s">
        <v>1017</v>
      </c>
      <c r="CS5" s="58" t="s">
        <v>421</v>
      </c>
      <c r="CT5" s="90">
        <f t="shared" ca="1" si="37"/>
        <v>26</v>
      </c>
      <c r="CU5" s="59" t="s">
        <v>240</v>
      </c>
      <c r="CV5" s="60" t="s">
        <v>1683</v>
      </c>
      <c r="CW5" s="59" t="s">
        <v>277</v>
      </c>
      <c r="CX5" s="59" t="s">
        <v>409</v>
      </c>
      <c r="CY5" s="59" t="s">
        <v>277</v>
      </c>
      <c r="CZ5" s="59" t="s">
        <v>279</v>
      </c>
      <c r="DA5" s="59" t="s">
        <v>310</v>
      </c>
      <c r="DB5" s="61" t="s">
        <v>1684</v>
      </c>
      <c r="DC5" s="59" t="s">
        <v>269</v>
      </c>
      <c r="DD5" s="59" t="s">
        <v>287</v>
      </c>
      <c r="DE5" s="61" t="s">
        <v>1455</v>
      </c>
      <c r="DF5" s="61" t="s">
        <v>1455</v>
      </c>
      <c r="DG5" s="59" t="s">
        <v>27</v>
      </c>
      <c r="DH5" s="61" t="s">
        <v>1455</v>
      </c>
      <c r="DI5" s="61" t="s">
        <v>1455</v>
      </c>
      <c r="DJ5" s="59" t="s">
        <v>277</v>
      </c>
      <c r="DK5" s="59" t="s">
        <v>277</v>
      </c>
      <c r="DL5" s="62" t="s">
        <v>1455</v>
      </c>
      <c r="DM5" s="56">
        <f t="shared" si="39"/>
        <v>0</v>
      </c>
      <c r="DN5" s="88" t="str">
        <f t="shared" si="40"/>
        <v>OK</v>
      </c>
      <c r="DO5" s="119" t="str">
        <f t="shared" si="41"/>
        <v xml:space="preserve">AUDIERNE </v>
      </c>
      <c r="DP5" s="119" t="str">
        <f t="shared" si="42"/>
        <v>quent1.a@hotmail.fr</v>
      </c>
      <c r="DQ5" s="121" t="str">
        <f t="shared" si="43"/>
        <v>FAUX +  Enfants [ Mathieu CEDELLE - ASSURE DIRECT ]</v>
      </c>
      <c r="DR5" s="121" t="str">
        <f t="shared" si="44"/>
        <v>Bonjour Monsieur AUDIERNE ,
Tout d'abord, constatant que vous êtes toujours client chez la mutuelle SWISSLIFE (mutuelle que nous avions choisie ensemble), je tiens à vous remercier de votre fidélité. 
Ensuite, plutôt que de vous faire attendre votre futur échéancier, je tiens à vous informer que SWISSLIFE a depuis peu annoncé ses augmentations pour janvier 2019. Dans votre cas, votre tarif passera à 34,3086€/mois. 
Sachant que nous avions initialement souscrit au tarif de 39€/mois cela fera une augmentation totale de 27,1 % ce qui me semble un peu trop élevé en si peu de temps. C'est donc pourquoi je prends les devants pour éviter de devoir changer dans la précipitation.</v>
      </c>
    </row>
    <row r="6" spans="1:122" x14ac:dyDescent="0.25">
      <c r="A6" s="183" t="str">
        <f t="shared" ref="A6:A43" si="46">CONCATENATE(C6," ",D6," - ",K6," - ",J6)</f>
        <v xml:space="preserve">  -  - </v>
      </c>
      <c r="B6" s="98"/>
      <c r="C6" s="97"/>
      <c r="D6" s="93"/>
      <c r="E6" s="71"/>
      <c r="F6" s="73"/>
      <c r="G6" s="103"/>
      <c r="H6" s="71"/>
      <c r="I6" s="105" t="str">
        <f t="shared" ref="I6:I45" si="47">IF(G6="Annulation","",IF(H6=0,"",E6-H6))</f>
        <v/>
      </c>
      <c r="J6" s="104"/>
      <c r="K6" s="63"/>
      <c r="L6" s="72"/>
      <c r="M6" s="74"/>
      <c r="N6" s="75"/>
      <c r="O6" s="75"/>
      <c r="P6" s="120"/>
      <c r="Q6" s="76" t="str">
        <f t="shared" ref="Q6:Q45" si="48">IF(COUNT(AD6)=0,"",AD6)</f>
        <v/>
      </c>
      <c r="R6" s="77">
        <f t="shared" ref="R6:R45" si="49">SUM(M6*12)</f>
        <v>0</v>
      </c>
      <c r="S6" s="63"/>
      <c r="T6" s="78">
        <f t="shared" ref="T6:T25" si="50">IF(G6="Annulation","",IF(assurance="ALPTIS",IF(L6="SO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0</v>
      </c>
      <c r="U6" s="79">
        <f>IF(M6=0,0,IF(G6="Annulation","",IF(assurance="ALPTIS",M6*12*T6/100*#REF!,IF(assurance="APRIL",M6*12*T6/100*#REF!,IF(assurance="ASAF",M6*12*T6/100*#REF!,IF(assurance="NEOLIANE",(#REF!+M6*12*#REF!)*T6/100,IF(assurance="NEOLIANE Prev",(#REF!+M6*12*#REF!)*T6/100,IF(assurance="SWISSLIFE",M6*12*T6/100*#REF!,IF(assurance="AVIVA",M6*12*T6/100*#REF!,IF(assurance="CIPRES",M6*12*T6/100*#REF!,IF(assurance="CEGEMA",M6*12*T6/100*#REF!,IF(assurance=0,0))))))))))))</f>
        <v>0</v>
      </c>
      <c r="V6" s="91" t="str">
        <f t="shared" ref="V6:V45" si="51">IF(M6="","",IF(G6="Annulation","",IF(typecomm="Précompte",SUM((M6-O6)*T6/100*12)+O6*12*0.15,IF(typecomm="Précompte 1",SUM((M6-O6)*T6/100*12)+O6*12*0.15,IF(typecomm="Linéaire",0,IF(typecomm=0,0))))))</f>
        <v/>
      </c>
      <c r="W6" s="91" t="str">
        <f t="shared" ref="W6:W45" si="52">IF(M6="","",IF(G6="Annulation","",IF(typecomm="Linéaire",SUM((M6-O6)*T6/100)+O6*0.15,IF(typecomm="Précompte 1",0,IF(typecomm="Précompte",0,IF(typecomm=0,0))))))</f>
        <v/>
      </c>
      <c r="X6" s="92">
        <f t="shared" ref="X6:X45" si="53">IF(G6="Annulation",0,IF(typecomm="Linéaire",0,IF(typecomm="Précompte 1",V6-U6,IF(mens=0,0,IF(typecomm="Précompte",V6-U6,IF(typecomm=0,0))))))</f>
        <v>0</v>
      </c>
      <c r="Y6" s="108">
        <f t="shared" ref="Y6:Y45" si="54">IF(G6="Annulation",0,IF(M6="",0,IF(typecomm="Linéaire",SUM(W6-U6/12),IF(typecomm="Précompte 1",0,IF(typecomm="Précompte",0,IF(typecomm=0,0))))))</f>
        <v>0</v>
      </c>
      <c r="Z6" s="106"/>
      <c r="AA6" s="105" t="str">
        <f t="shared" ref="AA6:AA45" si="55">IF(Z6="","",IF(G6="Annulation","",IF(E6="",0,Z6-E6)))</f>
        <v/>
      </c>
      <c r="AB6" s="63" t="s">
        <v>12</v>
      </c>
      <c r="AC6" s="72"/>
      <c r="AD6" s="101" t="str">
        <f t="shared" ref="AD6:AD25" si="56">IF(Z6=43466,"Programmée","")</f>
        <v/>
      </c>
      <c r="AE6" s="80" t="str">
        <f t="shared" ref="AE6:AE19" si="57">IF(Z6=43466,43404,"")</f>
        <v/>
      </c>
      <c r="AF6" s="72"/>
      <c r="AG6" s="70" t="str">
        <f t="shared" ref="AG6:AG45" si="58">(IF(COUNT(Z6)=0,"",IF(G6="Annulation","",IF(K6="SWISSLIFE",Z6+365,IF(K6="AVIVA",Z6+365,IF(K6="NEOLIANE Prev",Z6+365,IF(Z6&lt;42370,42370,IF(Z6&lt;42736,42736,IF(Z6&lt;43101,43101,IF(Z6&lt;43466,43466,IF(Z6&lt;43831,43831,IF(Z6&lt;44197,44197,IF(Z6&lt;44562,44562,IF(Z6&lt;44927,44927))))))))))))))</f>
        <v/>
      </c>
      <c r="AH6" s="81" t="str">
        <f t="shared" ref="AH6:AH45" ca="1" si="59">(IF(COUNT(Z6)=0,"",IF(G6="Annulation","",IF(Z6&gt;0,(Z6-TODAY())/(-365),0))))</f>
        <v/>
      </c>
      <c r="AI6" s="111" t="str">
        <f t="shared" ref="AI6:AI45" ca="1" si="60">(IF(COUNT(Z6)=0,"",IF(G6="Annulation","",IF(K6="SWISSLIFE",Z6+365+IF(Z6&gt;TODAY(),0,365*(DATEDIF(Z6,TODAY(),"Y"))),IF(K6="AVIVA",Z6+365+IF(Z6&gt;TODAY(),0,365*(DATEDIF(Z6,TODAY(),"Y"))),IF(K6="NEOLIANE Prev",Z6+365+IF(Z6&gt;TODAY(),0,365*(DATEDIF(Z6,TODAY(),"Y"))),IF(Z6&lt;=43252,43466,43831))))+365*(année-2018)+IF(année&gt;=2020,1)+IF(((IF(K6="SWISSLIFE",Z6+365+IF(Z6&gt;TODAY(),0,365*(DATEDIF(Z6,TODAY(),"Y"))),IF(K6="AVIVA",Z6+365+IF(Z6&gt;TODAY(),0,365*(DATEDIF(Z6,TODAY(),"Y"))),IF(K6="NEOLIANE Prev",Z6+365+IF(Z6&gt;TODAY(),0,365*(DATEDIF(Z6,TODAY(),"Y"))),IF(Z6&lt;=43252,43466,43831))))+365*(année-2018)+IF(année&gt;=2020,1))-62)&lt;TODAY(),365))))</f>
        <v/>
      </c>
      <c r="AJ6" s="89" t="str">
        <f t="shared" ref="AJ6:AJ45" si="61">IF(G6="Annulation","",IF(Z6="","",AI6-62))</f>
        <v/>
      </c>
      <c r="AK6" s="89" t="str">
        <f t="shared" ref="AK6:AK45" si="62">IF(G6="Annulation","",IF(Z6="","",AI6-92))</f>
        <v/>
      </c>
      <c r="AL6" s="81" t="str">
        <f t="shared" ref="AL6:AL45" si="63">(IF(COUNT(Z6)=0,"",IF(G6="Annulation","",IF(Z6&gt;0,(Z6-AI6)/(-365),0))))</f>
        <v/>
      </c>
      <c r="AM6" s="74">
        <f t="shared" ref="AM6:AM45" si="64">IF(G6="Annulation","",IF(Z6&lt;42736,M6,0))</f>
        <v>0</v>
      </c>
      <c r="AN6" s="74">
        <f t="shared" ref="AN6:AN15" si="65">IF(G6="Annulation","",IF(Z6&gt;=42736,IF(Z6&lt;43101,M6,0),0))</f>
        <v>0</v>
      </c>
      <c r="AO6" s="82">
        <f t="shared" ref="AO6:AO45" si="66">IF(G6="Annulation","",IF(AM6&gt;0,IF(AM6&gt;0,(AM6-AN6)/AM6*(-1),),0))</f>
        <v>0</v>
      </c>
      <c r="AP6" s="74">
        <f t="shared" ref="AP6:AP17" si="67">IF(G6="Annulation","",IF(Z6&gt;=43101,IF(Z6&lt;43466,M6,0),0))</f>
        <v>0</v>
      </c>
      <c r="AQ6" s="82">
        <f t="shared" ref="AQ6:AQ45" si="68">IF(G6="Annulation","",IF(AN6&gt;0,(AN6-AP6)/AN6*(-1),))</f>
        <v>0</v>
      </c>
      <c r="AR6" s="83">
        <f t="shared" ref="AR6:AR45" si="69">IF(G6="Annulation","",IF(AND(AM6&lt;=0,AN6&lt;=0,AO6&lt;=0),0,IF(AND(AM6&lt;=0,AN6&lt;=0,AO6&gt;0),(AP6-AO6)/AO6,0+IF(AND(AM6&lt;=0,AN6&gt;0,AO6&lt;=0),(AP6-AN6)/AN6,0+IF(AND(AM6&gt;0,AN6&lt;=0,AO6&lt;=0),(AP6-AM6)/AM6,0+IF(AND(AM6&lt;=0,AN6&gt;0,AO6&gt;0),(AP6-AN6)/AN6,0+IF(AND(AM6&gt;0,AN6&lt;=0,AO6&gt;0),(AP6-AM6)/AM6,0+IF(AND(AM6&lt;=0,AN6&gt;0,AO6&gt;0),(AP6-AN6)/AN6,0+IF(AND(AM6&gt;0,AN6&gt;0,AO6&lt;=0),(AP6-AM6)/AM6,0+IF(AND(AM6&gt;0,AN6&gt;0,AO6&gt;0),(AP6-AM6)/AM6,0))))))))))</f>
        <v>0</v>
      </c>
      <c r="AS6" s="74">
        <f t="shared" ref="AS6:AS17" si="70">IF(G6="Annulation","",IF(Z6&gt;=43466,IF(Z6&lt;43831,M6,0),0))</f>
        <v>0</v>
      </c>
      <c r="AT6" s="82">
        <f t="shared" ref="AT6:AT45" si="71">IF(G6="Annulation","",IF(AP6&gt;0,(AP6-AS6)/AP6*(-1),0))</f>
        <v>0</v>
      </c>
      <c r="AU6" s="83">
        <f t="shared" ref="AU6:AU45" si="72">IF(G6="Annulation","",IF(AS6&gt;0,IF(AM6&gt;0,(AM6-AS6)/(-AM6),IF(AN6&gt;0,(AN6-AS6)/(-AN6),IF(AP6&gt;0,(AP6-AS6)/(-AP6),0))),0))</f>
        <v>0</v>
      </c>
      <c r="AV6" s="74">
        <f t="shared" ref="AV6:AV45" si="73">IF(G6="Annulation","",IF(Z6&gt;=43831,IF(Z6&lt;44197,M6,0),0))</f>
        <v>0</v>
      </c>
      <c r="AW6" s="82">
        <f t="shared" ref="AW6:AW45" si="74">IF(G6="Annulation","",IF(AS6&gt;0,(AS6-AV6)/AS6*(-1),0))</f>
        <v>0</v>
      </c>
      <c r="AX6" s="83">
        <f t="shared" ref="AX6:AX45" si="75">IF(G6="Annulation","",(IF(AM6&gt;0,(AM6-AV6)/(-AM6),IF(AN6&gt;0,(AN6-AV6)/(-AN6),IF(AP6&gt;0,(AP6-AV6)/(-AP6),IF(AS6&gt;0,(AS6-AV6)/(-AS6),0))))))</f>
        <v>0</v>
      </c>
      <c r="AY6" s="63"/>
      <c r="AZ6" s="84"/>
      <c r="BA6" s="85"/>
      <c r="BB6" s="95"/>
      <c r="BC6" s="86"/>
      <c r="BD6" s="86"/>
      <c r="BE6" s="96"/>
      <c r="BF6" s="69"/>
      <c r="BG6" s="114"/>
      <c r="BH6" s="63">
        <v>1</v>
      </c>
      <c r="BI6" s="68">
        <v>0</v>
      </c>
      <c r="BJ6" s="71"/>
      <c r="BK6" s="87"/>
      <c r="BL6" s="64" t="str">
        <f t="shared" ref="BL6:BL45" ca="1" si="76">IF(DATEDIF(BJ6,TODAY(),"Y")=118,"",DATEDIF(BJ6,TODAY(),"Y"))</f>
        <v/>
      </c>
      <c r="BM6" s="65"/>
      <c r="BN6" s="66"/>
      <c r="BO6" s="67" t="str">
        <f t="shared" ref="BO6:BO45" ca="1" si="77">IF(DATEDIF(BM6,TODAY(),"Y")=118,"",DATEDIF(BM6,TODAY(),"Y"))</f>
        <v/>
      </c>
      <c r="BP6" s="65"/>
      <c r="BQ6" s="66"/>
      <c r="BR6" s="67" t="str">
        <f t="shared" ref="BR6:BR45" ca="1" si="78">IF(DATEDIF(BP6,TODAY(),"Y")=118,"",DATEDIF(BP6,TODAY(),"Y"))</f>
        <v/>
      </c>
      <c r="BS6" s="65"/>
      <c r="BT6" s="66"/>
      <c r="BU6" s="67" t="str">
        <f t="shared" ref="BU6:BU45" ca="1" si="79">IF(DATEDIF(BS6,TODAY(),"Y")=118,"",DATEDIF(BS6,TODAY(),"Y"))</f>
        <v/>
      </c>
      <c r="BV6" s="65"/>
      <c r="BW6" s="66"/>
      <c r="BX6" s="67" t="str">
        <f t="shared" ref="BX6:BX45" ca="1" si="80">IF(DATEDIF(BV6,TODAY(),"Y")=118,"",DATEDIF(BV6,TODAY(),"Y"))</f>
        <v/>
      </c>
      <c r="BY6" s="65"/>
      <c r="BZ6" s="66"/>
      <c r="CA6" s="67" t="str">
        <f t="shared" ref="CA6:CA45" ca="1" si="81">IF(DATEDIF(BY6,TODAY(),"Y")=118,"",DATEDIF(BY6,TODAY(),"Y"))</f>
        <v/>
      </c>
      <c r="CB6" s="65"/>
      <c r="CC6" s="66"/>
      <c r="CD6" s="67" t="str">
        <f t="shared" ref="CD6:CD45" ca="1" si="82">IF(DATEDIF(CB6,TODAY(),"Y")=118,"",DATEDIF(CB6,TODAY(),"Y"))</f>
        <v/>
      </c>
      <c r="CE6" s="65"/>
      <c r="CF6" s="66"/>
      <c r="CG6" s="67" t="str">
        <f t="shared" ref="CG6:CG45" ca="1" si="83">IF(DATEDIF(CE6,TODAY(),"Y")=118,"",DATEDIF(CE6,TODAY(),"Y"))</f>
        <v/>
      </c>
      <c r="CH6" s="65"/>
      <c r="CI6" s="66"/>
      <c r="CJ6" s="67" t="str">
        <f t="shared" ref="CJ6:CJ45" ca="1" si="84">IF(DATEDIF(CH6,TODAY(),"Y")=118,"",DATEDIF(CH6,TODAY(),"Y"))</f>
        <v/>
      </c>
      <c r="CK6" s="57"/>
      <c r="CL6" s="59"/>
      <c r="CM6" s="59"/>
      <c r="CN6" s="59"/>
      <c r="CO6" s="59"/>
      <c r="CP6" s="59"/>
      <c r="CQ6" s="59"/>
      <c r="CR6" s="57"/>
      <c r="CS6" s="58"/>
      <c r="CT6" s="90" t="str">
        <f t="shared" ref="CT6:CT21" si="85">IF(J6="Prev. Pro",IF(BL6=118,"",BL6),"")</f>
        <v/>
      </c>
      <c r="CU6" s="59"/>
      <c r="CV6" s="60"/>
      <c r="CW6" s="59"/>
      <c r="CX6" s="59"/>
      <c r="CY6" s="59" t="str">
        <f t="shared" ref="CY6:CY26" si="86">IF(J6&lt;&gt;"Prev. Pro","",IF(AC6="","Non",IF(J6="Prev. Pro","Oui","Non")))</f>
        <v/>
      </c>
      <c r="CZ6" s="59"/>
      <c r="DA6" s="59"/>
      <c r="DB6" s="61"/>
      <c r="DC6" s="59"/>
      <c r="DD6" s="59"/>
      <c r="DE6" s="61"/>
      <c r="DF6" s="61"/>
      <c r="DG6" s="59"/>
      <c r="DH6" s="61"/>
      <c r="DI6" s="61"/>
      <c r="DJ6" s="59"/>
      <c r="DK6" s="59"/>
      <c r="DL6" s="62"/>
      <c r="DM6" s="56">
        <f t="shared" ref="DM6:DM45" si="87">Infoman</f>
        <v>0</v>
      </c>
      <c r="DN6" s="88" t="str">
        <f t="shared" ref="DN6:DN45" si="88">IF(C6=0,"",IF((IF(C6=0,"",IF(BJ6=0,"KO",IF(J6="Santé Individuelle",IF(COUNTBLANK(C6)+COUNTBLANK(K6)+COUNTBLANK(N6)+COUNTBLANK(L6)+COUNTBLANK(AZ6)+COUNTBLANK(BB6)+COUNTBLANK(BE6)+COUNTBLANK(BF6)+COUNTBLANK(Z6)+COUNTBLANK(BA6)+COUNTBLANK(BC6)+COUNTBLANK(BJ6)+COUNTBLANK(BK6)+COUNTBLANK(BM6)+COUNTBLANK(BN6)+COUNTBLANK(BP6)+COUNTBLANK(BQ6)+COUNTBLANK(BS6)+COUNTBLANK(BT6)+COUNTBLANK(BV6)+COUNTBLANK(BW6)+COUNTBLANK(BY6)+COUNTBLANK(BZ6)+COUNTBLANK(CB6)+COUNTBLANK(CC6)+COUNTBLANK(CE6)+COUNTBLANK(CF6)+COUNTBLANK(CH6)+COUNTBLANK(CI6)=18-2*(BH6+BI6),"OK",IF(COUNTBLANK(L6)+COUNTBLANK(AZ6)+COUNTBLANK(BB6)+COUNTBLANK(BE6)+COUNTBLANK(J6)+COUNTBLANK(C6)+COUNTBLANK(K6)+COUNTBLANK(N6)+COUNTBLANK(Z6)+COUNTBLANK(BC6)+COUNTBLANK(BA6)+COUNTBLANK(BJ6)+COUNTBLANK(BK6)=4,"Mini",IF(COUNTBLANK(C6)+COUNTBLANK(K6)+COUNTBLANK(N6)+COUNTBLANK(Z6)+COUNTBLANK(BA6)+COUNTBLANK(BC6)+COUNTBLANK(BJ6)+COUNTBLANK(BK6)+COUNTBLANK(BM6)+COUNTBLANK(BN6)+COUNTBLANK(BP6)+COUNTBLANK(BQ6)+COUNTBLANK(BS6)+COUNTBLANK(BT6)+COUNTBLANK(BV6)+COUNTBLANK(BW6)+COUNTBLANK(BY6)+COUNTBLANK(BZ6)+COUNTBLANK(CB6)+COUNTBLANK(CC6)+COUNTBLANK(CE6)+COUNTBLANK(CF6)+COUNTBLANK(CH6)+COUNTBLANK(CI6)=18-2*(BH6+BI6),"Mini","KO"))),IF(COUNTBLANK(L6)+COUNTBLANK(AZ6)+COUNTBLANK(BB6)+COUNTBLANK(BE6)+COUNTBLANK(J6)+COUNTBLANK(C6)+COUNTBLANK(K6)+COUNTBLANK(N6)+COUNTBLANK(Z6)+COUNTBLANK(BC6)+COUNTBLANK(BA6)+COUNTBLANK(BJ6)+COUNTBLANK(BK6)=0,"OK",IF(COUNTBLANK(J6)+COUNTBLANK(C6)+COUNTBLANK(K6)+COUNTBLANK(N6)+COUNTBLANK(Z6)+COUNTBLANK(BC6)+COUNTBLANK(BA6)+COUNTBLANK(BJ6)+COUNTBLANK(BK6)=0,"Mini","KO"))))))="OK",IF(G6="Pré 2018 OK","AJ",(IF(C6=0,"",IF(BJ6=0,"KO",IF(J6="Santé Individuelle",IF(COUNTBLANK(C6)+COUNTBLANK(K6)+COUNTBLANK(N6)+COUNTBLANK(L6)+COUNTBLANK(AZ6)+COUNTBLANK(BB6)+COUNTBLANK(BE6)+COUNTBLANK(BF6)+COUNTBLANK(Z6)+COUNTBLANK(BA6)+COUNTBLANK(BC6)+COUNTBLANK(BJ6)+COUNTBLANK(BK6)+COUNTBLANK(BM6)+COUNTBLANK(BN6)+COUNTBLANK(BP6)+COUNTBLANK(BQ6)+COUNTBLANK(BS6)+COUNTBLANK(BT6)+COUNTBLANK(BV6)+COUNTBLANK(BW6)+COUNTBLANK(BY6)+COUNTBLANK(BZ6)+COUNTBLANK(CB6)+COUNTBLANK(CC6)+COUNTBLANK(CE6)+COUNTBLANK(CF6)+COUNTBLANK(CH6)+COUNTBLANK(CI6)=18-2*(BH6+BI6),"OK",IF(COUNTBLANK(L6)+COUNTBLANK(AZ6)+COUNTBLANK(BB6)+COUNTBLANK(BE6)+COUNTBLANK(J6)+COUNTBLANK(C6)+COUNTBLANK(K6)+COUNTBLANK(N6)+COUNTBLANK(Z6)+COUNTBLANK(BC6)+COUNTBLANK(BA6)+COUNTBLANK(BJ6)+COUNTBLANK(BK6)=4,"Mini",IF(COUNTBLANK(C6)+COUNTBLANK(K6)+COUNTBLANK(N6)+COUNTBLANK(Z6)+COUNTBLANK(BA6)+COUNTBLANK(BC6)+COUNTBLANK(BJ6)+COUNTBLANK(BK6)+COUNTBLANK(BM6)+COUNTBLANK(BN6)+COUNTBLANK(BP6)+COUNTBLANK(BQ6)+COUNTBLANK(BS6)+COUNTBLANK(BT6)+COUNTBLANK(BV6)+COUNTBLANK(BW6)+COUNTBLANK(BY6)+COUNTBLANK(BZ6)+COUNTBLANK(CB6)+COUNTBLANK(CC6)+COUNTBLANK(CE6)+COUNTBLANK(CF6)+COUNTBLANK(CH6)+COUNTBLANK(CI6)=18-2*(BH6+BI6),"Mini","KO"))),IF(COUNTBLANK(L6)+COUNTBLANK(AZ6)+COUNTBLANK(BB6)+COUNTBLANK(BE6)+COUNTBLANK(J6)+COUNTBLANK(C6)+COUNTBLANK(K6)+COUNTBLANK(N6)+COUNTBLANK(Z6)+COUNTBLANK(BC6)+COUNTBLANK(BA6)+COUNTBLANK(BJ6)+COUNTBLANK(BK6)=0,"OK",IF(COUNTBLANK(J6)+COUNTBLANK(C6)+COUNTBLANK(K6)+COUNTBLANK(N6)+COUNTBLANK(Z6)+COUNTBLANK(BC6)+COUNTBLANK(BA6)+COUNTBLANK(BJ6)+COUNTBLANK(BK6)=0,"Mini","KO"))))))),(IF(C6=0,"",IF(BJ6=0,"KO",IF(J6="Santé Individuelle",IF(COUNTBLANK(C6)+COUNTBLANK(K6)+COUNTBLANK(N6)+COUNTBLANK(L6)+COUNTBLANK(AZ6)+COUNTBLANK(BB6)+COUNTBLANK(BE6)+COUNTBLANK(BF6)+COUNTBLANK(Z6)+COUNTBLANK(BA6)+COUNTBLANK(BC6)+COUNTBLANK(BJ6)+COUNTBLANK(BK6)+COUNTBLANK(BM6)+COUNTBLANK(BN6)+COUNTBLANK(BP6)+COUNTBLANK(BQ6)+COUNTBLANK(BS6)+COUNTBLANK(BT6)+COUNTBLANK(BV6)+COUNTBLANK(BW6)+COUNTBLANK(BY6)+COUNTBLANK(BZ6)+COUNTBLANK(CB6)+COUNTBLANK(CC6)+COUNTBLANK(CE6)+COUNTBLANK(CF6)+COUNTBLANK(CH6)+COUNTBLANK(CI6)=18-2*(BH6+BI6),"OK",IF(COUNTBLANK(L6)+COUNTBLANK(AZ6)+COUNTBLANK(BB6)+COUNTBLANK(BE6)+COUNTBLANK(J6)+COUNTBLANK(C6)+COUNTBLANK(K6)+COUNTBLANK(N6)+COUNTBLANK(Z6)+COUNTBLANK(BC6)+COUNTBLANK(BA6)+COUNTBLANK(BJ6)+COUNTBLANK(BK6)=4,"Mini",IF(COUNTBLANK(C6)+COUNTBLANK(K6)+COUNTBLANK(N6)+COUNTBLANK(Z6)+COUNTBLANK(BA6)+COUNTBLANK(BC6)+COUNTBLANK(BJ6)+COUNTBLANK(BK6)+COUNTBLANK(BM6)+COUNTBLANK(BN6)+COUNTBLANK(BP6)+COUNTBLANK(BQ6)+COUNTBLANK(BS6)+COUNTBLANK(BT6)+COUNTBLANK(BV6)+COUNTBLANK(BW6)+COUNTBLANK(BY6)+COUNTBLANK(BZ6)+COUNTBLANK(CB6)+COUNTBLANK(CC6)+COUNTBLANK(CE6)+COUNTBLANK(CF6)+COUNTBLANK(CH6)+COUNTBLANK(CI6)=18-2*(BH6+BI6),"Mini","KO"))),IF(COUNTBLANK(L6)+COUNTBLANK(AZ6)+COUNTBLANK(BB6)+COUNTBLANK(BE6)+COUNTBLANK(J6)+COUNTBLANK(C6)+COUNTBLANK(K6)+COUNTBLANK(N6)+COUNTBLANK(Z6)+COUNTBLANK(BC6)+COUNTBLANK(BA6)+COUNTBLANK(BJ6)+COUNTBLANK(BK6)=0,"OK",IF(COUNTBLANK(J6)+COUNTBLANK(C6)+COUNTBLANK(K6)+COUNTBLANK(N6)+COUNTBLANK(Z6)+COUNTBLANK(BC6)+COUNTBLANK(BA6)+COUNTBLANK(BJ6)+COUNTBLANK(BK6)=0,"Mini","KO"))))))))</f>
        <v/>
      </c>
      <c r="DO6" s="119" t="str">
        <f t="shared" ref="DO6:DO45" si="89">IF(C6="","",C6)</f>
        <v/>
      </c>
      <c r="DP6" s="119" t="str">
        <f t="shared" ref="DP6:DP45" si="90">IF(BB6="","",BB6)</f>
        <v/>
      </c>
      <c r="DQ6" s="121" t="str">
        <f t="shared" ref="DQ6:DQ45" si="91">IF(C6="","",IF(J6="Santé Individuelle",CONCATENATE((IF(BH6=1,CONCATENATE("Étude Mutuelles 2019 pour ",F6," ",C6),IF(BH6=2,CONCATENATE("Étude Mutuelles 2019 pour Monsieur et Madame ",C6)))),(IF(BI6=0," [ Mathieu CEDELLE - ASSURE DIRECT ]",IF(BI6=1," + 1 Enfant [ Mathieu CEDELLE - ASSURE DIRECT ]",IF(BI6&gt;1,CONCATENATE(" + ",BI6," Enfants [ Mathieu CEDELLE - ASSURE DIRECT ]")))))),IF(J6="Prev. Pro",CONCATENATE((IF(BH6=1,CONCATENATE("Étude Prévoyance Pro 2019 pour ",F6," ",C6),IF(BH6=2,CONCATENATE("Étude Prévoyance Pro 2019 pour Monsieur et Madame ",C6)))),(IF(BI6=0," [ Mathieu CEDELLE - ASSURE DIRECT ]",IF(BI6=1," + 1 Enfant [ Mathieu CEDELLE - ASSURE DIRECT ]",IF(BI6&gt;1,CONCATENATE(" + ",BI6," Enfants [ Mathieu CEDELLE - ASSURE DIRECT ]")))))),CONCATENATE((IF(BH6=1,CONCATENATE("Étude Assurances 2019 pour ",F6," ",C6),IF(BH6=2,CONCATENATE("Étude Assurances 2019 pour Monsieur et Madame ",C6)))),(IF(BI6=0," [ Mathieu CEDELLE - ASSURE DIRECT ]",IF(BI6=1," + 1 Enfant [ Mathieu CEDELLE - ASSURE DIRECT ]",IF(BI6&gt;1,CONCATENATE(" + ",BI6," Enfants [ Mathieu CEDELLE - ASSURE DIRECT ]")))))))))</f>
        <v/>
      </c>
      <c r="DR6" s="121" t="str">
        <f t="shared" ref="DR6:DR45" si="92">IF(M6="","",CONCATENATE("Bonjour ",F6," ",C6,",
Tout d'abord, constatant que vous êtes toujours client chez la mutuelle ",K6," (mutuelle que nous avions choisie ensemble), je tiens à vous remercier de votre fidélité. 
Ensuite, plutôt que de vous faire attendre votre futur échéancier, je tiens à vous informer que ",K6," a depuis peu annoncé ses augmentations pour janvier 2019. Dans votre cas, votre tarif passera à ",AS6,"€/mois. 
Sachant que nous avions initialement souscrit au tarif de ",M6,"€/mois cela fera une augmentation totale de ",ROUND(AU6*100,1)," % ce qui me semble un peu trop élevé en si peu de temps. C'est donc pourquoi je prends les devants pour éviter de devoir changer dans la précipitation."))</f>
        <v/>
      </c>
    </row>
    <row r="7" spans="1:122" x14ac:dyDescent="0.25">
      <c r="A7" s="183" t="str">
        <f t="shared" si="46"/>
        <v xml:space="preserve">  -  - </v>
      </c>
      <c r="B7" s="98"/>
      <c r="C7" s="97"/>
      <c r="D7" s="93"/>
      <c r="E7" s="71"/>
      <c r="F7" s="73"/>
      <c r="G7" s="103"/>
      <c r="H7" s="71"/>
      <c r="I7" s="105" t="str">
        <f t="shared" si="47"/>
        <v/>
      </c>
      <c r="J7" s="104"/>
      <c r="K7" s="63"/>
      <c r="L7" s="72"/>
      <c r="M7" s="74"/>
      <c r="N7" s="75"/>
      <c r="O7" s="75"/>
      <c r="P7" s="120"/>
      <c r="Q7" s="76" t="str">
        <f t="shared" si="48"/>
        <v/>
      </c>
      <c r="R7" s="77">
        <f t="shared" si="49"/>
        <v>0</v>
      </c>
      <c r="S7" s="63"/>
      <c r="T7" s="78">
        <f t="shared" si="50"/>
        <v>0</v>
      </c>
      <c r="U7" s="79">
        <f>IF(M7=0,0,IF(G7="Annulation","",IF(assurance="ALPTIS",M7*12*T7/100*#REF!,IF(assurance="APRIL",M7*12*T7/100*#REF!,IF(assurance="ASAF",M7*12*T7/100*#REF!,IF(assurance="NEOLIANE",(#REF!+M7*12*#REF!)*T7/100,IF(assurance="NEOLIANE Prev",(#REF!+M7*12*#REF!)*T7/100,IF(assurance="SWISSLIFE",M7*12*T7/100*#REF!,IF(assurance="AVIVA",M7*12*T7/100*#REF!,IF(assurance="CIPRES",M7*12*T7/100*#REF!,IF(assurance="CEGEMA",M7*12*T7/100*#REF!,IF(assurance=0,0))))))))))))</f>
        <v>0</v>
      </c>
      <c r="V7" s="91" t="str">
        <f t="shared" si="51"/>
        <v/>
      </c>
      <c r="W7" s="91" t="str">
        <f t="shared" si="52"/>
        <v/>
      </c>
      <c r="X7" s="92">
        <f t="shared" si="53"/>
        <v>0</v>
      </c>
      <c r="Y7" s="108">
        <f t="shared" si="54"/>
        <v>0</v>
      </c>
      <c r="Z7" s="106"/>
      <c r="AA7" s="105" t="str">
        <f t="shared" si="55"/>
        <v/>
      </c>
      <c r="AB7" s="63" t="s">
        <v>12</v>
      </c>
      <c r="AC7" s="72"/>
      <c r="AD7" s="101" t="str">
        <f t="shared" si="56"/>
        <v/>
      </c>
      <c r="AE7" s="80" t="str">
        <f t="shared" si="57"/>
        <v/>
      </c>
      <c r="AF7" s="72"/>
      <c r="AG7" s="70" t="str">
        <f t="shared" si="58"/>
        <v/>
      </c>
      <c r="AH7" s="81" t="str">
        <f t="shared" ca="1" si="59"/>
        <v/>
      </c>
      <c r="AI7" s="111" t="str">
        <f t="shared" ca="1" si="60"/>
        <v/>
      </c>
      <c r="AJ7" s="89" t="str">
        <f t="shared" si="61"/>
        <v/>
      </c>
      <c r="AK7" s="89" t="str">
        <f t="shared" si="62"/>
        <v/>
      </c>
      <c r="AL7" s="81" t="str">
        <f t="shared" si="63"/>
        <v/>
      </c>
      <c r="AM7" s="74">
        <f t="shared" si="64"/>
        <v>0</v>
      </c>
      <c r="AN7" s="74">
        <f t="shared" si="65"/>
        <v>0</v>
      </c>
      <c r="AO7" s="82">
        <f t="shared" si="66"/>
        <v>0</v>
      </c>
      <c r="AP7" s="74">
        <f t="shared" si="67"/>
        <v>0</v>
      </c>
      <c r="AQ7" s="82">
        <f t="shared" si="68"/>
        <v>0</v>
      </c>
      <c r="AR7" s="83">
        <f t="shared" si="69"/>
        <v>0</v>
      </c>
      <c r="AS7" s="74">
        <f t="shared" si="70"/>
        <v>0</v>
      </c>
      <c r="AT7" s="82">
        <f t="shared" si="71"/>
        <v>0</v>
      </c>
      <c r="AU7" s="83">
        <f t="shared" si="72"/>
        <v>0</v>
      </c>
      <c r="AV7" s="74">
        <f t="shared" si="73"/>
        <v>0</v>
      </c>
      <c r="AW7" s="82">
        <f t="shared" si="74"/>
        <v>0</v>
      </c>
      <c r="AX7" s="83">
        <f t="shared" si="75"/>
        <v>0</v>
      </c>
      <c r="AY7" s="63"/>
      <c r="AZ7" s="84"/>
      <c r="BA7" s="85"/>
      <c r="BB7" s="95"/>
      <c r="BC7" s="86"/>
      <c r="BD7" s="86"/>
      <c r="BE7" s="96"/>
      <c r="BF7" s="69"/>
      <c r="BG7" s="114"/>
      <c r="BH7" s="63">
        <v>1</v>
      </c>
      <c r="BI7" s="68">
        <v>0</v>
      </c>
      <c r="BJ7" s="71"/>
      <c r="BK7" s="87"/>
      <c r="BL7" s="64" t="str">
        <f t="shared" ca="1" si="76"/>
        <v/>
      </c>
      <c r="BM7" s="65"/>
      <c r="BN7" s="66"/>
      <c r="BO7" s="67" t="str">
        <f t="shared" ca="1" si="77"/>
        <v/>
      </c>
      <c r="BP7" s="65"/>
      <c r="BQ7" s="66"/>
      <c r="BR7" s="67" t="str">
        <f t="shared" ca="1" si="78"/>
        <v/>
      </c>
      <c r="BS7" s="65"/>
      <c r="BT7" s="66"/>
      <c r="BU7" s="67" t="str">
        <f t="shared" ca="1" si="79"/>
        <v/>
      </c>
      <c r="BV7" s="65"/>
      <c r="BW7" s="66"/>
      <c r="BX7" s="67" t="str">
        <f t="shared" ca="1" si="80"/>
        <v/>
      </c>
      <c r="BY7" s="65"/>
      <c r="BZ7" s="66"/>
      <c r="CA7" s="67" t="str">
        <f t="shared" ca="1" si="81"/>
        <v/>
      </c>
      <c r="CB7" s="65"/>
      <c r="CC7" s="66"/>
      <c r="CD7" s="67" t="str">
        <f t="shared" ca="1" si="82"/>
        <v/>
      </c>
      <c r="CE7" s="65"/>
      <c r="CF7" s="66"/>
      <c r="CG7" s="67" t="str">
        <f t="shared" ca="1" si="83"/>
        <v/>
      </c>
      <c r="CH7" s="65"/>
      <c r="CI7" s="66"/>
      <c r="CJ7" s="67" t="str">
        <f t="shared" ca="1" si="84"/>
        <v/>
      </c>
      <c r="CK7" s="57"/>
      <c r="CL7" s="59"/>
      <c r="CM7" s="59"/>
      <c r="CN7" s="59"/>
      <c r="CO7" s="59"/>
      <c r="CP7" s="59"/>
      <c r="CQ7" s="59"/>
      <c r="CR7" s="57"/>
      <c r="CS7" s="58"/>
      <c r="CT7" s="90" t="str">
        <f t="shared" si="85"/>
        <v/>
      </c>
      <c r="CU7" s="59"/>
      <c r="CV7" s="60"/>
      <c r="CW7" s="59"/>
      <c r="CX7" s="59"/>
      <c r="CY7" s="59" t="str">
        <f t="shared" si="86"/>
        <v/>
      </c>
      <c r="CZ7" s="59"/>
      <c r="DA7" s="59"/>
      <c r="DB7" s="61"/>
      <c r="DC7" s="59"/>
      <c r="DD7" s="59"/>
      <c r="DE7" s="61"/>
      <c r="DF7" s="61"/>
      <c r="DG7" s="59"/>
      <c r="DH7" s="61"/>
      <c r="DI7" s="61"/>
      <c r="DJ7" s="59"/>
      <c r="DK7" s="59"/>
      <c r="DL7" s="62"/>
      <c r="DM7" s="56">
        <f t="shared" si="87"/>
        <v>0</v>
      </c>
      <c r="DN7" s="88" t="str">
        <f t="shared" si="88"/>
        <v/>
      </c>
      <c r="DO7" s="119" t="str">
        <f t="shared" si="89"/>
        <v/>
      </c>
      <c r="DP7" s="119" t="str">
        <f t="shared" si="90"/>
        <v/>
      </c>
      <c r="DQ7" s="121" t="str">
        <f t="shared" si="91"/>
        <v/>
      </c>
      <c r="DR7" s="121" t="str">
        <f t="shared" si="92"/>
        <v/>
      </c>
    </row>
    <row r="8" spans="1:122" x14ac:dyDescent="0.25">
      <c r="A8" s="183" t="str">
        <f t="shared" si="46"/>
        <v xml:space="preserve">  -  - </v>
      </c>
      <c r="B8" s="98"/>
      <c r="C8" s="97"/>
      <c r="D8" s="93"/>
      <c r="E8" s="71"/>
      <c r="F8" s="73"/>
      <c r="G8" s="103"/>
      <c r="H8" s="71"/>
      <c r="I8" s="105" t="str">
        <f t="shared" si="47"/>
        <v/>
      </c>
      <c r="J8" s="104"/>
      <c r="K8" s="63"/>
      <c r="L8" s="72"/>
      <c r="M8" s="74"/>
      <c r="N8" s="75"/>
      <c r="O8" s="75"/>
      <c r="P8" s="120"/>
      <c r="Q8" s="76" t="str">
        <f t="shared" si="48"/>
        <v/>
      </c>
      <c r="R8" s="77">
        <f t="shared" si="49"/>
        <v>0</v>
      </c>
      <c r="S8" s="63"/>
      <c r="T8" s="78">
        <f t="shared" si="50"/>
        <v>0</v>
      </c>
      <c r="U8" s="79">
        <f>IF(M8=0,0,IF(G8="Annulation","",IF(assurance="ALPTIS",M8*12*T8/100*#REF!,IF(assurance="APRIL",M8*12*T8/100*#REF!,IF(assurance="ASAF",M8*12*T8/100*#REF!,IF(assurance="NEOLIANE",(#REF!+M8*12*#REF!)*T8/100,IF(assurance="NEOLIANE Prev",(#REF!+M8*12*#REF!)*T8/100,IF(assurance="SWISSLIFE",M8*12*T8/100*#REF!,IF(assurance="AVIVA",M8*12*T8/100*#REF!,IF(assurance="CIPRES",M8*12*T8/100*#REF!,IF(assurance="CEGEMA",M8*12*T8/100*#REF!,IF(assurance=0,0))))))))))))</f>
        <v>0</v>
      </c>
      <c r="V8" s="91" t="str">
        <f t="shared" si="51"/>
        <v/>
      </c>
      <c r="W8" s="91" t="str">
        <f t="shared" si="52"/>
        <v/>
      </c>
      <c r="X8" s="92">
        <f t="shared" si="53"/>
        <v>0</v>
      </c>
      <c r="Y8" s="108">
        <f t="shared" si="54"/>
        <v>0</v>
      </c>
      <c r="Z8" s="106"/>
      <c r="AA8" s="105" t="str">
        <f t="shared" si="55"/>
        <v/>
      </c>
      <c r="AB8" s="63" t="s">
        <v>12</v>
      </c>
      <c r="AC8" s="72"/>
      <c r="AD8" s="101" t="str">
        <f t="shared" si="56"/>
        <v/>
      </c>
      <c r="AE8" s="80" t="str">
        <f t="shared" si="57"/>
        <v/>
      </c>
      <c r="AF8" s="72"/>
      <c r="AG8" s="70" t="str">
        <f t="shared" si="58"/>
        <v/>
      </c>
      <c r="AH8" s="81" t="str">
        <f t="shared" ca="1" si="59"/>
        <v/>
      </c>
      <c r="AI8" s="111" t="str">
        <f t="shared" ca="1" si="60"/>
        <v/>
      </c>
      <c r="AJ8" s="89" t="str">
        <f t="shared" si="61"/>
        <v/>
      </c>
      <c r="AK8" s="89" t="str">
        <f t="shared" si="62"/>
        <v/>
      </c>
      <c r="AL8" s="81" t="str">
        <f t="shared" si="63"/>
        <v/>
      </c>
      <c r="AM8" s="74">
        <f t="shared" si="64"/>
        <v>0</v>
      </c>
      <c r="AN8" s="74">
        <f t="shared" si="65"/>
        <v>0</v>
      </c>
      <c r="AO8" s="82">
        <f t="shared" si="66"/>
        <v>0</v>
      </c>
      <c r="AP8" s="74">
        <f t="shared" si="67"/>
        <v>0</v>
      </c>
      <c r="AQ8" s="82">
        <f t="shared" si="68"/>
        <v>0</v>
      </c>
      <c r="AR8" s="83">
        <f t="shared" si="69"/>
        <v>0</v>
      </c>
      <c r="AS8" s="74">
        <f t="shared" si="70"/>
        <v>0</v>
      </c>
      <c r="AT8" s="82">
        <f t="shared" si="71"/>
        <v>0</v>
      </c>
      <c r="AU8" s="83">
        <f t="shared" si="72"/>
        <v>0</v>
      </c>
      <c r="AV8" s="74">
        <f t="shared" si="73"/>
        <v>0</v>
      </c>
      <c r="AW8" s="82">
        <f t="shared" si="74"/>
        <v>0</v>
      </c>
      <c r="AX8" s="83">
        <f t="shared" si="75"/>
        <v>0</v>
      </c>
      <c r="AY8" s="63"/>
      <c r="AZ8" s="84"/>
      <c r="BA8" s="85"/>
      <c r="BB8" s="95"/>
      <c r="BC8" s="86"/>
      <c r="BD8" s="86"/>
      <c r="BE8" s="96"/>
      <c r="BF8" s="69"/>
      <c r="BG8" s="114"/>
      <c r="BH8" s="63">
        <v>1</v>
      </c>
      <c r="BI8" s="68">
        <v>0</v>
      </c>
      <c r="BJ8" s="71"/>
      <c r="BK8" s="87"/>
      <c r="BL8" s="64" t="str">
        <f t="shared" ca="1" si="76"/>
        <v/>
      </c>
      <c r="BM8" s="65"/>
      <c r="BN8" s="66"/>
      <c r="BO8" s="67" t="str">
        <f t="shared" ca="1" si="77"/>
        <v/>
      </c>
      <c r="BP8" s="65"/>
      <c r="BQ8" s="66"/>
      <c r="BR8" s="67" t="str">
        <f t="shared" ca="1" si="78"/>
        <v/>
      </c>
      <c r="BS8" s="65"/>
      <c r="BT8" s="66"/>
      <c r="BU8" s="67" t="str">
        <f t="shared" ca="1" si="79"/>
        <v/>
      </c>
      <c r="BV8" s="65"/>
      <c r="BW8" s="66"/>
      <c r="BX8" s="67" t="str">
        <f t="shared" ca="1" si="80"/>
        <v/>
      </c>
      <c r="BY8" s="65"/>
      <c r="BZ8" s="66"/>
      <c r="CA8" s="67" t="str">
        <f t="shared" ca="1" si="81"/>
        <v/>
      </c>
      <c r="CB8" s="65"/>
      <c r="CC8" s="66"/>
      <c r="CD8" s="67" t="str">
        <f t="shared" ca="1" si="82"/>
        <v/>
      </c>
      <c r="CE8" s="65"/>
      <c r="CF8" s="66"/>
      <c r="CG8" s="67" t="str">
        <f t="shared" ca="1" si="83"/>
        <v/>
      </c>
      <c r="CH8" s="65"/>
      <c r="CI8" s="66"/>
      <c r="CJ8" s="67" t="str">
        <f t="shared" ca="1" si="84"/>
        <v/>
      </c>
      <c r="CK8" s="57"/>
      <c r="CL8" s="59"/>
      <c r="CM8" s="59"/>
      <c r="CN8" s="59"/>
      <c r="CO8" s="59"/>
      <c r="CP8" s="59"/>
      <c r="CQ8" s="59"/>
      <c r="CR8" s="57"/>
      <c r="CS8" s="58"/>
      <c r="CT8" s="90" t="str">
        <f t="shared" si="85"/>
        <v/>
      </c>
      <c r="CU8" s="59"/>
      <c r="CV8" s="60"/>
      <c r="CW8" s="59"/>
      <c r="CX8" s="59"/>
      <c r="CY8" s="59" t="str">
        <f t="shared" si="86"/>
        <v/>
      </c>
      <c r="CZ8" s="59"/>
      <c r="DA8" s="59"/>
      <c r="DB8" s="61"/>
      <c r="DC8" s="59"/>
      <c r="DD8" s="59"/>
      <c r="DE8" s="61"/>
      <c r="DF8" s="61"/>
      <c r="DG8" s="59"/>
      <c r="DH8" s="61"/>
      <c r="DI8" s="61"/>
      <c r="DJ8" s="59"/>
      <c r="DK8" s="59"/>
      <c r="DL8" s="62"/>
      <c r="DM8" s="56">
        <f t="shared" si="87"/>
        <v>0</v>
      </c>
      <c r="DN8" s="88" t="str">
        <f t="shared" si="88"/>
        <v/>
      </c>
      <c r="DO8" s="119" t="str">
        <f t="shared" si="89"/>
        <v/>
      </c>
      <c r="DP8" s="119" t="str">
        <f t="shared" si="90"/>
        <v/>
      </c>
      <c r="DQ8" s="121" t="str">
        <f t="shared" si="91"/>
        <v/>
      </c>
      <c r="DR8" s="121" t="str">
        <f t="shared" si="92"/>
        <v/>
      </c>
    </row>
    <row r="9" spans="1:122" x14ac:dyDescent="0.25">
      <c r="A9" s="183" t="str">
        <f t="shared" si="46"/>
        <v xml:space="preserve">  -  - </v>
      </c>
      <c r="B9" s="98"/>
      <c r="C9" s="97"/>
      <c r="D9" s="93"/>
      <c r="E9" s="71"/>
      <c r="F9" s="73"/>
      <c r="G9" s="103"/>
      <c r="H9" s="71"/>
      <c r="I9" s="105" t="str">
        <f t="shared" si="47"/>
        <v/>
      </c>
      <c r="J9" s="104"/>
      <c r="K9" s="63"/>
      <c r="L9" s="72"/>
      <c r="M9" s="74"/>
      <c r="N9" s="75"/>
      <c r="O9" s="75"/>
      <c r="P9" s="120"/>
      <c r="Q9" s="76" t="str">
        <f t="shared" si="48"/>
        <v/>
      </c>
      <c r="R9" s="77">
        <f t="shared" si="49"/>
        <v>0</v>
      </c>
      <c r="S9" s="63"/>
      <c r="T9" s="78">
        <f t="shared" si="50"/>
        <v>0</v>
      </c>
      <c r="U9" s="79">
        <f>IF(M9=0,0,IF(G9="Annulation","",IF(assurance="ALPTIS",M9*12*T9/100*#REF!,IF(assurance="APRIL",M9*12*T9/100*#REF!,IF(assurance="ASAF",M9*12*T9/100*#REF!,IF(assurance="NEOLIANE",(#REF!+M9*12*#REF!)*T9/100,IF(assurance="NEOLIANE Prev",(#REF!+M9*12*#REF!)*T9/100,IF(assurance="SWISSLIFE",M9*12*T9/100*#REF!,IF(assurance="AVIVA",M9*12*T9/100*#REF!,IF(assurance="CIPRES",M9*12*T9/100*#REF!,IF(assurance="CEGEMA",M9*12*T9/100*#REF!,IF(assurance=0,0))))))))))))</f>
        <v>0</v>
      </c>
      <c r="V9" s="91" t="str">
        <f t="shared" si="51"/>
        <v/>
      </c>
      <c r="W9" s="91" t="str">
        <f t="shared" si="52"/>
        <v/>
      </c>
      <c r="X9" s="92">
        <f t="shared" si="53"/>
        <v>0</v>
      </c>
      <c r="Y9" s="108">
        <f t="shared" si="54"/>
        <v>0</v>
      </c>
      <c r="Z9" s="106"/>
      <c r="AA9" s="105" t="str">
        <f t="shared" si="55"/>
        <v/>
      </c>
      <c r="AB9" s="63" t="s">
        <v>12</v>
      </c>
      <c r="AC9" s="72"/>
      <c r="AD9" s="101" t="str">
        <f t="shared" si="56"/>
        <v/>
      </c>
      <c r="AE9" s="80" t="str">
        <f t="shared" si="57"/>
        <v/>
      </c>
      <c r="AF9" s="72"/>
      <c r="AG9" s="70" t="str">
        <f t="shared" si="58"/>
        <v/>
      </c>
      <c r="AH9" s="81" t="str">
        <f t="shared" ca="1" si="59"/>
        <v/>
      </c>
      <c r="AI9" s="111" t="str">
        <f t="shared" ca="1" si="60"/>
        <v/>
      </c>
      <c r="AJ9" s="89" t="str">
        <f t="shared" si="61"/>
        <v/>
      </c>
      <c r="AK9" s="89" t="str">
        <f t="shared" si="62"/>
        <v/>
      </c>
      <c r="AL9" s="81" t="str">
        <f t="shared" si="63"/>
        <v/>
      </c>
      <c r="AM9" s="74">
        <f t="shared" si="64"/>
        <v>0</v>
      </c>
      <c r="AN9" s="74">
        <f t="shared" si="65"/>
        <v>0</v>
      </c>
      <c r="AO9" s="82">
        <f t="shared" si="66"/>
        <v>0</v>
      </c>
      <c r="AP9" s="74">
        <f t="shared" si="67"/>
        <v>0</v>
      </c>
      <c r="AQ9" s="82">
        <f t="shared" si="68"/>
        <v>0</v>
      </c>
      <c r="AR9" s="83">
        <f t="shared" si="69"/>
        <v>0</v>
      </c>
      <c r="AS9" s="74">
        <f t="shared" si="70"/>
        <v>0</v>
      </c>
      <c r="AT9" s="82">
        <f t="shared" si="71"/>
        <v>0</v>
      </c>
      <c r="AU9" s="83">
        <f t="shared" si="72"/>
        <v>0</v>
      </c>
      <c r="AV9" s="74">
        <f t="shared" si="73"/>
        <v>0</v>
      </c>
      <c r="AW9" s="82">
        <f t="shared" si="74"/>
        <v>0</v>
      </c>
      <c r="AX9" s="83">
        <f t="shared" si="75"/>
        <v>0</v>
      </c>
      <c r="AY9" s="63"/>
      <c r="AZ9" s="84"/>
      <c r="BA9" s="85"/>
      <c r="BB9" s="95"/>
      <c r="BC9" s="86"/>
      <c r="BD9" s="86"/>
      <c r="BE9" s="96"/>
      <c r="BF9" s="69"/>
      <c r="BG9" s="114"/>
      <c r="BH9" s="63">
        <v>1</v>
      </c>
      <c r="BI9" s="68">
        <v>0</v>
      </c>
      <c r="BJ9" s="71"/>
      <c r="BK9" s="87"/>
      <c r="BL9" s="64" t="str">
        <f t="shared" ca="1" si="76"/>
        <v/>
      </c>
      <c r="BM9" s="65"/>
      <c r="BN9" s="66"/>
      <c r="BO9" s="67" t="str">
        <f t="shared" ca="1" si="77"/>
        <v/>
      </c>
      <c r="BP9" s="65"/>
      <c r="BQ9" s="66"/>
      <c r="BR9" s="67" t="str">
        <f t="shared" ca="1" si="78"/>
        <v/>
      </c>
      <c r="BS9" s="65"/>
      <c r="BT9" s="66"/>
      <c r="BU9" s="67" t="str">
        <f t="shared" ca="1" si="79"/>
        <v/>
      </c>
      <c r="BV9" s="65"/>
      <c r="BW9" s="66"/>
      <c r="BX9" s="67" t="str">
        <f t="shared" ca="1" si="80"/>
        <v/>
      </c>
      <c r="BY9" s="65"/>
      <c r="BZ9" s="66"/>
      <c r="CA9" s="67" t="str">
        <f t="shared" ca="1" si="81"/>
        <v/>
      </c>
      <c r="CB9" s="65"/>
      <c r="CC9" s="66"/>
      <c r="CD9" s="67" t="str">
        <f t="shared" ca="1" si="82"/>
        <v/>
      </c>
      <c r="CE9" s="65"/>
      <c r="CF9" s="66"/>
      <c r="CG9" s="67" t="str">
        <f t="shared" ca="1" si="83"/>
        <v/>
      </c>
      <c r="CH9" s="65"/>
      <c r="CI9" s="66"/>
      <c r="CJ9" s="67" t="str">
        <f t="shared" ca="1" si="84"/>
        <v/>
      </c>
      <c r="CK9" s="57"/>
      <c r="CL9" s="59"/>
      <c r="CM9" s="59"/>
      <c r="CN9" s="59"/>
      <c r="CO9" s="59"/>
      <c r="CP9" s="59"/>
      <c r="CQ9" s="59"/>
      <c r="CR9" s="57"/>
      <c r="CS9" s="58"/>
      <c r="CT9" s="90" t="str">
        <f t="shared" si="85"/>
        <v/>
      </c>
      <c r="CU9" s="59"/>
      <c r="CV9" s="60"/>
      <c r="CW9" s="59"/>
      <c r="CX9" s="59"/>
      <c r="CY9" s="59" t="str">
        <f t="shared" si="86"/>
        <v/>
      </c>
      <c r="CZ9" s="59"/>
      <c r="DA9" s="59"/>
      <c r="DB9" s="61"/>
      <c r="DC9" s="59"/>
      <c r="DD9" s="59"/>
      <c r="DE9" s="61"/>
      <c r="DF9" s="61"/>
      <c r="DG9" s="59"/>
      <c r="DH9" s="61"/>
      <c r="DI9" s="61"/>
      <c r="DJ9" s="59"/>
      <c r="DK9" s="59"/>
      <c r="DL9" s="62"/>
      <c r="DM9" s="56">
        <f t="shared" si="87"/>
        <v>0</v>
      </c>
      <c r="DN9" s="88" t="str">
        <f t="shared" si="88"/>
        <v/>
      </c>
      <c r="DO9" s="119" t="str">
        <f t="shared" si="89"/>
        <v/>
      </c>
      <c r="DP9" s="119" t="str">
        <f t="shared" si="90"/>
        <v/>
      </c>
      <c r="DQ9" s="121" t="str">
        <f t="shared" si="91"/>
        <v/>
      </c>
      <c r="DR9" s="121" t="str">
        <f t="shared" si="92"/>
        <v/>
      </c>
    </row>
    <row r="10" spans="1:122" x14ac:dyDescent="0.25">
      <c r="A10" s="183" t="str">
        <f t="shared" si="46"/>
        <v xml:space="preserve">  -  - </v>
      </c>
      <c r="B10" s="98"/>
      <c r="C10" s="97"/>
      <c r="D10" s="93"/>
      <c r="E10" s="71"/>
      <c r="F10" s="73"/>
      <c r="G10" s="103"/>
      <c r="H10" s="71"/>
      <c r="I10" s="105" t="str">
        <f t="shared" si="47"/>
        <v/>
      </c>
      <c r="J10" s="104"/>
      <c r="K10" s="63"/>
      <c r="L10" s="72"/>
      <c r="M10" s="74"/>
      <c r="N10" s="75"/>
      <c r="O10" s="75"/>
      <c r="P10" s="120"/>
      <c r="Q10" s="76" t="str">
        <f t="shared" si="48"/>
        <v/>
      </c>
      <c r="R10" s="77">
        <f t="shared" si="49"/>
        <v>0</v>
      </c>
      <c r="S10" s="63"/>
      <c r="T10" s="78">
        <f t="shared" si="50"/>
        <v>0</v>
      </c>
      <c r="U10" s="79">
        <f>IF(M10=0,0,IF(G10="Annulation","",IF(assurance="ALPTIS",M10*12*T10/100*#REF!,IF(assurance="APRIL",M10*12*T10/100*#REF!,IF(assurance="ASAF",M10*12*T10/100*#REF!,IF(assurance="NEOLIANE",(#REF!+M10*12*#REF!)*T10/100,IF(assurance="NEOLIANE Prev",(#REF!+M10*12*#REF!)*T10/100,IF(assurance="SWISSLIFE",M10*12*T10/100*#REF!,IF(assurance="AVIVA",M10*12*T10/100*#REF!,IF(assurance="CIPRES",M10*12*T10/100*#REF!,IF(assurance="CEGEMA",M10*12*T10/100*#REF!,IF(assurance=0,0))))))))))))</f>
        <v>0</v>
      </c>
      <c r="V10" s="91" t="str">
        <f t="shared" si="51"/>
        <v/>
      </c>
      <c r="W10" s="91" t="str">
        <f t="shared" si="52"/>
        <v/>
      </c>
      <c r="X10" s="92">
        <f t="shared" si="53"/>
        <v>0</v>
      </c>
      <c r="Y10" s="108">
        <f t="shared" si="54"/>
        <v>0</v>
      </c>
      <c r="Z10" s="106"/>
      <c r="AA10" s="105" t="str">
        <f t="shared" si="55"/>
        <v/>
      </c>
      <c r="AB10" s="63" t="s">
        <v>12</v>
      </c>
      <c r="AC10" s="72"/>
      <c r="AD10" s="101" t="str">
        <f t="shared" si="56"/>
        <v/>
      </c>
      <c r="AE10" s="80" t="str">
        <f t="shared" si="57"/>
        <v/>
      </c>
      <c r="AF10" s="72"/>
      <c r="AG10" s="70" t="str">
        <f t="shared" si="58"/>
        <v/>
      </c>
      <c r="AH10" s="81" t="str">
        <f t="shared" ca="1" si="59"/>
        <v/>
      </c>
      <c r="AI10" s="111" t="str">
        <f t="shared" ca="1" si="60"/>
        <v/>
      </c>
      <c r="AJ10" s="89" t="str">
        <f t="shared" si="61"/>
        <v/>
      </c>
      <c r="AK10" s="89" t="str">
        <f t="shared" si="62"/>
        <v/>
      </c>
      <c r="AL10" s="81" t="str">
        <f t="shared" si="63"/>
        <v/>
      </c>
      <c r="AM10" s="74">
        <f t="shared" si="64"/>
        <v>0</v>
      </c>
      <c r="AN10" s="74">
        <f t="shared" si="65"/>
        <v>0</v>
      </c>
      <c r="AO10" s="82">
        <f t="shared" si="66"/>
        <v>0</v>
      </c>
      <c r="AP10" s="74">
        <f t="shared" si="67"/>
        <v>0</v>
      </c>
      <c r="AQ10" s="82">
        <f t="shared" si="68"/>
        <v>0</v>
      </c>
      <c r="AR10" s="83">
        <f t="shared" si="69"/>
        <v>0</v>
      </c>
      <c r="AS10" s="74">
        <f t="shared" si="70"/>
        <v>0</v>
      </c>
      <c r="AT10" s="82">
        <f t="shared" si="71"/>
        <v>0</v>
      </c>
      <c r="AU10" s="83">
        <f t="shared" si="72"/>
        <v>0</v>
      </c>
      <c r="AV10" s="74">
        <f t="shared" si="73"/>
        <v>0</v>
      </c>
      <c r="AW10" s="82">
        <f t="shared" si="74"/>
        <v>0</v>
      </c>
      <c r="AX10" s="83">
        <f t="shared" si="75"/>
        <v>0</v>
      </c>
      <c r="AY10" s="63"/>
      <c r="AZ10" s="84"/>
      <c r="BA10" s="85"/>
      <c r="BB10" s="95"/>
      <c r="BC10" s="86"/>
      <c r="BD10" s="86"/>
      <c r="BE10" s="96"/>
      <c r="BF10" s="69"/>
      <c r="BG10" s="114"/>
      <c r="BH10" s="63">
        <v>1</v>
      </c>
      <c r="BI10" s="68">
        <v>0</v>
      </c>
      <c r="BJ10" s="71"/>
      <c r="BK10" s="87"/>
      <c r="BL10" s="64" t="str">
        <f t="shared" ca="1" si="76"/>
        <v/>
      </c>
      <c r="BM10" s="65"/>
      <c r="BN10" s="66"/>
      <c r="BO10" s="67" t="str">
        <f t="shared" ca="1" si="77"/>
        <v/>
      </c>
      <c r="BP10" s="65"/>
      <c r="BQ10" s="66"/>
      <c r="BR10" s="67" t="str">
        <f t="shared" ca="1" si="78"/>
        <v/>
      </c>
      <c r="BS10" s="65"/>
      <c r="BT10" s="66"/>
      <c r="BU10" s="67" t="str">
        <f t="shared" ca="1" si="79"/>
        <v/>
      </c>
      <c r="BV10" s="65"/>
      <c r="BW10" s="66"/>
      <c r="BX10" s="67" t="str">
        <f t="shared" ca="1" si="80"/>
        <v/>
      </c>
      <c r="BY10" s="65"/>
      <c r="BZ10" s="66"/>
      <c r="CA10" s="67" t="str">
        <f t="shared" ca="1" si="81"/>
        <v/>
      </c>
      <c r="CB10" s="65"/>
      <c r="CC10" s="66"/>
      <c r="CD10" s="67" t="str">
        <f t="shared" ca="1" si="82"/>
        <v/>
      </c>
      <c r="CE10" s="65"/>
      <c r="CF10" s="66"/>
      <c r="CG10" s="67" t="str">
        <f t="shared" ca="1" si="83"/>
        <v/>
      </c>
      <c r="CH10" s="65"/>
      <c r="CI10" s="66"/>
      <c r="CJ10" s="67" t="str">
        <f t="shared" ca="1" si="84"/>
        <v/>
      </c>
      <c r="CK10" s="57"/>
      <c r="CL10" s="59"/>
      <c r="CM10" s="59"/>
      <c r="CN10" s="59"/>
      <c r="CO10" s="59"/>
      <c r="CP10" s="59"/>
      <c r="CQ10" s="59"/>
      <c r="CR10" s="57"/>
      <c r="CS10" s="58"/>
      <c r="CT10" s="90" t="str">
        <f t="shared" si="85"/>
        <v/>
      </c>
      <c r="CU10" s="59"/>
      <c r="CV10" s="60"/>
      <c r="CW10" s="59"/>
      <c r="CX10" s="59"/>
      <c r="CY10" s="59" t="str">
        <f t="shared" si="86"/>
        <v/>
      </c>
      <c r="CZ10" s="59"/>
      <c r="DA10" s="59"/>
      <c r="DB10" s="61"/>
      <c r="DC10" s="59"/>
      <c r="DD10" s="59"/>
      <c r="DE10" s="61"/>
      <c r="DF10" s="61"/>
      <c r="DG10" s="59"/>
      <c r="DH10" s="61"/>
      <c r="DI10" s="61"/>
      <c r="DJ10" s="59"/>
      <c r="DK10" s="59"/>
      <c r="DL10" s="62"/>
      <c r="DM10" s="56">
        <f t="shared" si="87"/>
        <v>0</v>
      </c>
      <c r="DN10" s="88" t="str">
        <f t="shared" si="88"/>
        <v/>
      </c>
      <c r="DO10" s="119" t="str">
        <f t="shared" si="89"/>
        <v/>
      </c>
      <c r="DP10" s="119" t="str">
        <f t="shared" si="90"/>
        <v/>
      </c>
      <c r="DQ10" s="121" t="str">
        <f t="shared" si="91"/>
        <v/>
      </c>
      <c r="DR10" s="121" t="str">
        <f t="shared" si="92"/>
        <v/>
      </c>
    </row>
    <row r="11" spans="1:122" x14ac:dyDescent="0.25">
      <c r="A11" s="183" t="str">
        <f t="shared" si="46"/>
        <v xml:space="preserve">  -  - </v>
      </c>
      <c r="B11" s="98"/>
      <c r="C11" s="97"/>
      <c r="D11" s="93"/>
      <c r="E11" s="71"/>
      <c r="F11" s="73"/>
      <c r="G11" s="103"/>
      <c r="H11" s="71"/>
      <c r="I11" s="105" t="str">
        <f t="shared" si="47"/>
        <v/>
      </c>
      <c r="J11" s="104"/>
      <c r="K11" s="63"/>
      <c r="L11" s="72"/>
      <c r="M11" s="74"/>
      <c r="N11" s="75"/>
      <c r="O11" s="75"/>
      <c r="P11" s="120"/>
      <c r="Q11" s="76" t="str">
        <f t="shared" si="48"/>
        <v/>
      </c>
      <c r="R11" s="77">
        <f t="shared" si="49"/>
        <v>0</v>
      </c>
      <c r="S11" s="63"/>
      <c r="T11" s="78">
        <f t="shared" si="50"/>
        <v>0</v>
      </c>
      <c r="U11" s="79">
        <f>IF(M11=0,0,IF(G11="Annulation","",IF(assurance="ALPTIS",M11*12*T11/100*#REF!,IF(assurance="APRIL",M11*12*T11/100*#REF!,IF(assurance="ASAF",M11*12*T11/100*#REF!,IF(assurance="NEOLIANE",(#REF!+M11*12*#REF!)*T11/100,IF(assurance="NEOLIANE Prev",(#REF!+M11*12*#REF!)*T11/100,IF(assurance="SWISSLIFE",M11*12*T11/100*#REF!,IF(assurance="AVIVA",M11*12*T11/100*#REF!,IF(assurance="CIPRES",M11*12*T11/100*#REF!,IF(assurance="CEGEMA",M11*12*T11/100*#REF!,IF(assurance=0,0))))))))))))</f>
        <v>0</v>
      </c>
      <c r="V11" s="91" t="str">
        <f t="shared" si="51"/>
        <v/>
      </c>
      <c r="W11" s="91" t="str">
        <f t="shared" si="52"/>
        <v/>
      </c>
      <c r="X11" s="92">
        <f t="shared" si="53"/>
        <v>0</v>
      </c>
      <c r="Y11" s="108">
        <f t="shared" si="54"/>
        <v>0</v>
      </c>
      <c r="Z11" s="106"/>
      <c r="AA11" s="105" t="str">
        <f t="shared" si="55"/>
        <v/>
      </c>
      <c r="AB11" s="63" t="s">
        <v>12</v>
      </c>
      <c r="AC11" s="72"/>
      <c r="AD11" s="101" t="str">
        <f t="shared" si="56"/>
        <v/>
      </c>
      <c r="AE11" s="80" t="str">
        <f t="shared" si="57"/>
        <v/>
      </c>
      <c r="AF11" s="72"/>
      <c r="AG11" s="70" t="str">
        <f t="shared" si="58"/>
        <v/>
      </c>
      <c r="AH11" s="81" t="str">
        <f t="shared" ca="1" si="59"/>
        <v/>
      </c>
      <c r="AI11" s="111" t="str">
        <f t="shared" ca="1" si="60"/>
        <v/>
      </c>
      <c r="AJ11" s="89" t="str">
        <f t="shared" si="61"/>
        <v/>
      </c>
      <c r="AK11" s="89" t="str">
        <f t="shared" si="62"/>
        <v/>
      </c>
      <c r="AL11" s="81" t="str">
        <f t="shared" si="63"/>
        <v/>
      </c>
      <c r="AM11" s="74">
        <f t="shared" si="64"/>
        <v>0</v>
      </c>
      <c r="AN11" s="74">
        <f t="shared" si="65"/>
        <v>0</v>
      </c>
      <c r="AO11" s="82">
        <f t="shared" si="66"/>
        <v>0</v>
      </c>
      <c r="AP11" s="74">
        <f t="shared" si="67"/>
        <v>0</v>
      </c>
      <c r="AQ11" s="82">
        <f t="shared" si="68"/>
        <v>0</v>
      </c>
      <c r="AR11" s="83">
        <f t="shared" si="69"/>
        <v>0</v>
      </c>
      <c r="AS11" s="74">
        <f t="shared" si="70"/>
        <v>0</v>
      </c>
      <c r="AT11" s="82">
        <f t="shared" si="71"/>
        <v>0</v>
      </c>
      <c r="AU11" s="83">
        <f t="shared" si="72"/>
        <v>0</v>
      </c>
      <c r="AV11" s="74">
        <f t="shared" si="73"/>
        <v>0</v>
      </c>
      <c r="AW11" s="82">
        <f t="shared" si="74"/>
        <v>0</v>
      </c>
      <c r="AX11" s="83">
        <f t="shared" si="75"/>
        <v>0</v>
      </c>
      <c r="AY11" s="63"/>
      <c r="AZ11" s="84"/>
      <c r="BA11" s="85"/>
      <c r="BB11" s="95"/>
      <c r="BC11" s="86"/>
      <c r="BD11" s="86"/>
      <c r="BE11" s="96"/>
      <c r="BF11" s="69"/>
      <c r="BG11" s="114"/>
      <c r="BH11" s="63">
        <v>1</v>
      </c>
      <c r="BI11" s="68">
        <v>0</v>
      </c>
      <c r="BJ11" s="71"/>
      <c r="BK11" s="87"/>
      <c r="BL11" s="64" t="str">
        <f t="shared" ca="1" si="76"/>
        <v/>
      </c>
      <c r="BM11" s="65"/>
      <c r="BN11" s="66"/>
      <c r="BO11" s="67" t="str">
        <f t="shared" ca="1" si="77"/>
        <v/>
      </c>
      <c r="BP11" s="65"/>
      <c r="BQ11" s="66"/>
      <c r="BR11" s="67" t="str">
        <f t="shared" ca="1" si="78"/>
        <v/>
      </c>
      <c r="BS11" s="65"/>
      <c r="BT11" s="66"/>
      <c r="BU11" s="67" t="str">
        <f t="shared" ca="1" si="79"/>
        <v/>
      </c>
      <c r="BV11" s="65"/>
      <c r="BW11" s="66"/>
      <c r="BX11" s="67" t="str">
        <f t="shared" ca="1" si="80"/>
        <v/>
      </c>
      <c r="BY11" s="65"/>
      <c r="BZ11" s="66"/>
      <c r="CA11" s="67" t="str">
        <f t="shared" ca="1" si="81"/>
        <v/>
      </c>
      <c r="CB11" s="65"/>
      <c r="CC11" s="66"/>
      <c r="CD11" s="67" t="str">
        <f t="shared" ca="1" si="82"/>
        <v/>
      </c>
      <c r="CE11" s="65"/>
      <c r="CF11" s="66"/>
      <c r="CG11" s="67" t="str">
        <f t="shared" ca="1" si="83"/>
        <v/>
      </c>
      <c r="CH11" s="65"/>
      <c r="CI11" s="66"/>
      <c r="CJ11" s="67" t="str">
        <f t="shared" ca="1" si="84"/>
        <v/>
      </c>
      <c r="CK11" s="57"/>
      <c r="CL11" s="59"/>
      <c r="CM11" s="59"/>
      <c r="CN11" s="59"/>
      <c r="CO11" s="59"/>
      <c r="CP11" s="59"/>
      <c r="CQ11" s="59"/>
      <c r="CR11" s="57"/>
      <c r="CS11" s="58"/>
      <c r="CT11" s="90" t="str">
        <f t="shared" si="85"/>
        <v/>
      </c>
      <c r="CU11" s="59"/>
      <c r="CV11" s="60"/>
      <c r="CW11" s="59"/>
      <c r="CX11" s="59"/>
      <c r="CY11" s="59" t="str">
        <f t="shared" si="86"/>
        <v/>
      </c>
      <c r="CZ11" s="59"/>
      <c r="DA11" s="59"/>
      <c r="DB11" s="61"/>
      <c r="DC11" s="59"/>
      <c r="DD11" s="59"/>
      <c r="DE11" s="61"/>
      <c r="DF11" s="61"/>
      <c r="DG11" s="59"/>
      <c r="DH11" s="61"/>
      <c r="DI11" s="61"/>
      <c r="DJ11" s="59"/>
      <c r="DK11" s="59"/>
      <c r="DL11" s="62"/>
      <c r="DM11" s="56">
        <f t="shared" si="87"/>
        <v>0</v>
      </c>
      <c r="DN11" s="88" t="str">
        <f t="shared" si="88"/>
        <v/>
      </c>
      <c r="DO11" s="119" t="str">
        <f t="shared" si="89"/>
        <v/>
      </c>
      <c r="DP11" s="119" t="str">
        <f t="shared" si="90"/>
        <v/>
      </c>
      <c r="DQ11" s="121" t="str">
        <f t="shared" si="91"/>
        <v/>
      </c>
      <c r="DR11" s="121" t="str">
        <f t="shared" si="92"/>
        <v/>
      </c>
    </row>
    <row r="12" spans="1:122" x14ac:dyDescent="0.25">
      <c r="A12" s="183" t="str">
        <f t="shared" si="46"/>
        <v xml:space="preserve">  -  - </v>
      </c>
      <c r="B12" s="98"/>
      <c r="C12" s="97"/>
      <c r="D12" s="93"/>
      <c r="E12" s="71"/>
      <c r="F12" s="73"/>
      <c r="G12" s="103"/>
      <c r="H12" s="71"/>
      <c r="I12" s="105" t="str">
        <f t="shared" si="47"/>
        <v/>
      </c>
      <c r="J12" s="104"/>
      <c r="K12" s="63"/>
      <c r="L12" s="72"/>
      <c r="M12" s="74"/>
      <c r="N12" s="75"/>
      <c r="O12" s="75"/>
      <c r="P12" s="120"/>
      <c r="Q12" s="76" t="str">
        <f t="shared" si="48"/>
        <v/>
      </c>
      <c r="R12" s="77">
        <f t="shared" si="49"/>
        <v>0</v>
      </c>
      <c r="S12" s="63"/>
      <c r="T12" s="78">
        <f t="shared" si="50"/>
        <v>0</v>
      </c>
      <c r="U12" s="79">
        <f>IF(M12=0,0,IF(G12="Annulation","",IF(assurance="ALPTIS",M12*12*T12/100*#REF!,IF(assurance="APRIL",M12*12*T12/100*#REF!,IF(assurance="ASAF",M12*12*T12/100*#REF!,IF(assurance="NEOLIANE",(#REF!+M12*12*#REF!)*T12/100,IF(assurance="NEOLIANE Prev",(#REF!+M12*12*#REF!)*T12/100,IF(assurance="SWISSLIFE",M12*12*T12/100*#REF!,IF(assurance="AVIVA",M12*12*T12/100*#REF!,IF(assurance="CIPRES",M12*12*T12/100*#REF!,IF(assurance="CEGEMA",M12*12*T12/100*#REF!,IF(assurance=0,0))))))))))))</f>
        <v>0</v>
      </c>
      <c r="V12" s="91" t="str">
        <f t="shared" si="51"/>
        <v/>
      </c>
      <c r="W12" s="91" t="str">
        <f t="shared" si="52"/>
        <v/>
      </c>
      <c r="X12" s="92">
        <f t="shared" si="53"/>
        <v>0</v>
      </c>
      <c r="Y12" s="108">
        <f t="shared" si="54"/>
        <v>0</v>
      </c>
      <c r="Z12" s="106"/>
      <c r="AA12" s="105" t="str">
        <f t="shared" si="55"/>
        <v/>
      </c>
      <c r="AB12" s="63" t="s">
        <v>12</v>
      </c>
      <c r="AC12" s="72"/>
      <c r="AD12" s="101" t="str">
        <f t="shared" si="56"/>
        <v/>
      </c>
      <c r="AE12" s="80" t="str">
        <f t="shared" si="57"/>
        <v/>
      </c>
      <c r="AF12" s="72"/>
      <c r="AG12" s="70" t="str">
        <f t="shared" si="58"/>
        <v/>
      </c>
      <c r="AH12" s="81" t="str">
        <f t="shared" ca="1" si="59"/>
        <v/>
      </c>
      <c r="AI12" s="111" t="str">
        <f t="shared" ca="1" si="60"/>
        <v/>
      </c>
      <c r="AJ12" s="89" t="str">
        <f t="shared" si="61"/>
        <v/>
      </c>
      <c r="AK12" s="89" t="str">
        <f t="shared" si="62"/>
        <v/>
      </c>
      <c r="AL12" s="81" t="str">
        <f t="shared" si="63"/>
        <v/>
      </c>
      <c r="AM12" s="74">
        <f t="shared" si="64"/>
        <v>0</v>
      </c>
      <c r="AN12" s="74">
        <f t="shared" si="65"/>
        <v>0</v>
      </c>
      <c r="AO12" s="82">
        <f t="shared" si="66"/>
        <v>0</v>
      </c>
      <c r="AP12" s="74">
        <f t="shared" si="67"/>
        <v>0</v>
      </c>
      <c r="AQ12" s="82">
        <f t="shared" si="68"/>
        <v>0</v>
      </c>
      <c r="AR12" s="83">
        <f t="shared" si="69"/>
        <v>0</v>
      </c>
      <c r="AS12" s="74">
        <f t="shared" si="70"/>
        <v>0</v>
      </c>
      <c r="AT12" s="82">
        <f t="shared" si="71"/>
        <v>0</v>
      </c>
      <c r="AU12" s="83">
        <f t="shared" si="72"/>
        <v>0</v>
      </c>
      <c r="AV12" s="74">
        <f t="shared" si="73"/>
        <v>0</v>
      </c>
      <c r="AW12" s="82">
        <f t="shared" si="74"/>
        <v>0</v>
      </c>
      <c r="AX12" s="83">
        <f t="shared" si="75"/>
        <v>0</v>
      </c>
      <c r="AY12" s="63"/>
      <c r="AZ12" s="84"/>
      <c r="BA12" s="85"/>
      <c r="BB12" s="95"/>
      <c r="BC12" s="86"/>
      <c r="BD12" s="86"/>
      <c r="BE12" s="96"/>
      <c r="BF12" s="69"/>
      <c r="BG12" s="114"/>
      <c r="BH12" s="63">
        <v>1</v>
      </c>
      <c r="BI12" s="68">
        <v>0</v>
      </c>
      <c r="BJ12" s="71"/>
      <c r="BK12" s="87"/>
      <c r="BL12" s="64" t="str">
        <f t="shared" ca="1" si="76"/>
        <v/>
      </c>
      <c r="BM12" s="65"/>
      <c r="BN12" s="66"/>
      <c r="BO12" s="67" t="str">
        <f t="shared" ca="1" si="77"/>
        <v/>
      </c>
      <c r="BP12" s="65"/>
      <c r="BQ12" s="66"/>
      <c r="BR12" s="67" t="str">
        <f t="shared" ca="1" si="78"/>
        <v/>
      </c>
      <c r="BS12" s="65"/>
      <c r="BT12" s="66"/>
      <c r="BU12" s="67" t="str">
        <f t="shared" ca="1" si="79"/>
        <v/>
      </c>
      <c r="BV12" s="65"/>
      <c r="BW12" s="66"/>
      <c r="BX12" s="67" t="str">
        <f t="shared" ca="1" si="80"/>
        <v/>
      </c>
      <c r="BY12" s="65"/>
      <c r="BZ12" s="66"/>
      <c r="CA12" s="67" t="str">
        <f t="shared" ca="1" si="81"/>
        <v/>
      </c>
      <c r="CB12" s="65"/>
      <c r="CC12" s="66"/>
      <c r="CD12" s="67" t="str">
        <f t="shared" ca="1" si="82"/>
        <v/>
      </c>
      <c r="CE12" s="65"/>
      <c r="CF12" s="66"/>
      <c r="CG12" s="67" t="str">
        <f t="shared" ca="1" si="83"/>
        <v/>
      </c>
      <c r="CH12" s="65"/>
      <c r="CI12" s="66"/>
      <c r="CJ12" s="67" t="str">
        <f t="shared" ca="1" si="84"/>
        <v/>
      </c>
      <c r="CK12" s="57"/>
      <c r="CL12" s="59"/>
      <c r="CM12" s="59"/>
      <c r="CN12" s="59"/>
      <c r="CO12" s="59"/>
      <c r="CP12" s="59"/>
      <c r="CQ12" s="59"/>
      <c r="CR12" s="57"/>
      <c r="CS12" s="58"/>
      <c r="CT12" s="90" t="str">
        <f t="shared" si="85"/>
        <v/>
      </c>
      <c r="CU12" s="59"/>
      <c r="CV12" s="60"/>
      <c r="CW12" s="59"/>
      <c r="CX12" s="59"/>
      <c r="CY12" s="59" t="str">
        <f t="shared" si="86"/>
        <v/>
      </c>
      <c r="CZ12" s="59"/>
      <c r="DA12" s="59"/>
      <c r="DB12" s="61"/>
      <c r="DC12" s="59"/>
      <c r="DD12" s="59"/>
      <c r="DE12" s="61"/>
      <c r="DF12" s="61"/>
      <c r="DG12" s="59"/>
      <c r="DH12" s="61"/>
      <c r="DI12" s="61"/>
      <c r="DJ12" s="59"/>
      <c r="DK12" s="59"/>
      <c r="DL12" s="62"/>
      <c r="DM12" s="56">
        <f t="shared" si="87"/>
        <v>0</v>
      </c>
      <c r="DN12" s="88" t="str">
        <f t="shared" si="88"/>
        <v/>
      </c>
      <c r="DO12" s="119" t="str">
        <f t="shared" si="89"/>
        <v/>
      </c>
      <c r="DP12" s="119" t="str">
        <f t="shared" si="90"/>
        <v/>
      </c>
      <c r="DQ12" s="121" t="str">
        <f t="shared" si="91"/>
        <v/>
      </c>
      <c r="DR12" s="121" t="str">
        <f t="shared" si="92"/>
        <v/>
      </c>
    </row>
    <row r="13" spans="1:122" x14ac:dyDescent="0.25">
      <c r="A13" s="183" t="str">
        <f t="shared" si="46"/>
        <v xml:space="preserve">  -  - </v>
      </c>
      <c r="B13" s="98"/>
      <c r="C13" s="97"/>
      <c r="D13" s="93"/>
      <c r="E13" s="71"/>
      <c r="F13" s="73"/>
      <c r="G13" s="103"/>
      <c r="H13" s="71"/>
      <c r="I13" s="105" t="str">
        <f t="shared" si="47"/>
        <v/>
      </c>
      <c r="J13" s="104"/>
      <c r="K13" s="63"/>
      <c r="L13" s="72"/>
      <c r="M13" s="74"/>
      <c r="N13" s="75"/>
      <c r="O13" s="75"/>
      <c r="P13" s="120"/>
      <c r="Q13" s="76" t="str">
        <f t="shared" si="48"/>
        <v/>
      </c>
      <c r="R13" s="77">
        <f t="shared" si="49"/>
        <v>0</v>
      </c>
      <c r="S13" s="63"/>
      <c r="T13" s="78">
        <f t="shared" si="50"/>
        <v>0</v>
      </c>
      <c r="U13" s="79">
        <f>IF(M13=0,0,IF(G13="Annulation","",IF(assurance="ALPTIS",M13*12*T13/100*#REF!,IF(assurance="APRIL",M13*12*T13/100*#REF!,IF(assurance="ASAF",M13*12*T13/100*#REF!,IF(assurance="NEOLIANE",(#REF!+M13*12*#REF!)*T13/100,IF(assurance="NEOLIANE Prev",(#REF!+M13*12*#REF!)*T13/100,IF(assurance="SWISSLIFE",M13*12*T13/100*#REF!,IF(assurance="AVIVA",M13*12*T13/100*#REF!,IF(assurance="CIPRES",M13*12*T13/100*#REF!,IF(assurance="CEGEMA",M13*12*T13/100*#REF!,IF(assurance=0,0))))))))))))</f>
        <v>0</v>
      </c>
      <c r="V13" s="91" t="str">
        <f t="shared" si="51"/>
        <v/>
      </c>
      <c r="W13" s="91" t="str">
        <f t="shared" si="52"/>
        <v/>
      </c>
      <c r="X13" s="92">
        <f t="shared" si="53"/>
        <v>0</v>
      </c>
      <c r="Y13" s="108">
        <f t="shared" si="54"/>
        <v>0</v>
      </c>
      <c r="Z13" s="106"/>
      <c r="AA13" s="105" t="str">
        <f t="shared" si="55"/>
        <v/>
      </c>
      <c r="AB13" s="63" t="s">
        <v>12</v>
      </c>
      <c r="AC13" s="72"/>
      <c r="AD13" s="101" t="str">
        <f t="shared" si="56"/>
        <v/>
      </c>
      <c r="AE13" s="80" t="str">
        <f t="shared" si="57"/>
        <v/>
      </c>
      <c r="AF13" s="72"/>
      <c r="AG13" s="70" t="str">
        <f t="shared" si="58"/>
        <v/>
      </c>
      <c r="AH13" s="81" t="str">
        <f t="shared" ca="1" si="59"/>
        <v/>
      </c>
      <c r="AI13" s="111" t="str">
        <f t="shared" ca="1" si="60"/>
        <v/>
      </c>
      <c r="AJ13" s="89" t="str">
        <f t="shared" si="61"/>
        <v/>
      </c>
      <c r="AK13" s="89" t="str">
        <f t="shared" si="62"/>
        <v/>
      </c>
      <c r="AL13" s="81" t="str">
        <f t="shared" si="63"/>
        <v/>
      </c>
      <c r="AM13" s="74">
        <f t="shared" si="64"/>
        <v>0</v>
      </c>
      <c r="AN13" s="74">
        <f t="shared" si="65"/>
        <v>0</v>
      </c>
      <c r="AO13" s="82">
        <f t="shared" si="66"/>
        <v>0</v>
      </c>
      <c r="AP13" s="74">
        <f t="shared" si="67"/>
        <v>0</v>
      </c>
      <c r="AQ13" s="82">
        <f t="shared" si="68"/>
        <v>0</v>
      </c>
      <c r="AR13" s="83">
        <f t="shared" si="69"/>
        <v>0</v>
      </c>
      <c r="AS13" s="74">
        <f t="shared" si="70"/>
        <v>0</v>
      </c>
      <c r="AT13" s="82">
        <f t="shared" si="71"/>
        <v>0</v>
      </c>
      <c r="AU13" s="83">
        <f t="shared" si="72"/>
        <v>0</v>
      </c>
      <c r="AV13" s="74">
        <f t="shared" si="73"/>
        <v>0</v>
      </c>
      <c r="AW13" s="82">
        <f t="shared" si="74"/>
        <v>0</v>
      </c>
      <c r="AX13" s="83">
        <f t="shared" si="75"/>
        <v>0</v>
      </c>
      <c r="AY13" s="63"/>
      <c r="AZ13" s="84"/>
      <c r="BA13" s="85"/>
      <c r="BB13" s="95"/>
      <c r="BC13" s="86"/>
      <c r="BD13" s="86"/>
      <c r="BE13" s="96"/>
      <c r="BF13" s="69"/>
      <c r="BG13" s="114"/>
      <c r="BH13" s="63">
        <v>1</v>
      </c>
      <c r="BI13" s="68">
        <v>0</v>
      </c>
      <c r="BJ13" s="71"/>
      <c r="BK13" s="87"/>
      <c r="BL13" s="64" t="str">
        <f t="shared" ca="1" si="76"/>
        <v/>
      </c>
      <c r="BM13" s="65"/>
      <c r="BN13" s="66"/>
      <c r="BO13" s="67" t="str">
        <f t="shared" ca="1" si="77"/>
        <v/>
      </c>
      <c r="BP13" s="65"/>
      <c r="BQ13" s="66"/>
      <c r="BR13" s="67" t="str">
        <f t="shared" ca="1" si="78"/>
        <v/>
      </c>
      <c r="BS13" s="65"/>
      <c r="BT13" s="66"/>
      <c r="BU13" s="67" t="str">
        <f t="shared" ca="1" si="79"/>
        <v/>
      </c>
      <c r="BV13" s="65"/>
      <c r="BW13" s="66"/>
      <c r="BX13" s="67" t="str">
        <f t="shared" ca="1" si="80"/>
        <v/>
      </c>
      <c r="BY13" s="65"/>
      <c r="BZ13" s="66"/>
      <c r="CA13" s="67" t="str">
        <f t="shared" ca="1" si="81"/>
        <v/>
      </c>
      <c r="CB13" s="65"/>
      <c r="CC13" s="66"/>
      <c r="CD13" s="67" t="str">
        <f t="shared" ca="1" si="82"/>
        <v/>
      </c>
      <c r="CE13" s="65"/>
      <c r="CF13" s="66"/>
      <c r="CG13" s="67" t="str">
        <f t="shared" ca="1" si="83"/>
        <v/>
      </c>
      <c r="CH13" s="65"/>
      <c r="CI13" s="66"/>
      <c r="CJ13" s="67" t="str">
        <f t="shared" ca="1" si="84"/>
        <v/>
      </c>
      <c r="CK13" s="57"/>
      <c r="CL13" s="59"/>
      <c r="CM13" s="59"/>
      <c r="CN13" s="59"/>
      <c r="CO13" s="59"/>
      <c r="CP13" s="59"/>
      <c r="CQ13" s="59"/>
      <c r="CR13" s="57"/>
      <c r="CS13" s="58"/>
      <c r="CT13" s="90" t="str">
        <f t="shared" si="85"/>
        <v/>
      </c>
      <c r="CU13" s="59"/>
      <c r="CV13" s="60"/>
      <c r="CW13" s="59"/>
      <c r="CX13" s="59"/>
      <c r="CY13" s="59" t="str">
        <f t="shared" si="86"/>
        <v/>
      </c>
      <c r="CZ13" s="59"/>
      <c r="DA13" s="59"/>
      <c r="DB13" s="61"/>
      <c r="DC13" s="59"/>
      <c r="DD13" s="59"/>
      <c r="DE13" s="61"/>
      <c r="DF13" s="61"/>
      <c r="DG13" s="59"/>
      <c r="DH13" s="61"/>
      <c r="DI13" s="61"/>
      <c r="DJ13" s="59"/>
      <c r="DK13" s="59"/>
      <c r="DL13" s="62"/>
      <c r="DM13" s="56">
        <f t="shared" si="87"/>
        <v>0</v>
      </c>
      <c r="DN13" s="88" t="str">
        <f t="shared" si="88"/>
        <v/>
      </c>
      <c r="DO13" s="119" t="str">
        <f t="shared" si="89"/>
        <v/>
      </c>
      <c r="DP13" s="119" t="str">
        <f t="shared" si="90"/>
        <v/>
      </c>
      <c r="DQ13" s="121" t="str">
        <f t="shared" si="91"/>
        <v/>
      </c>
      <c r="DR13" s="121" t="str">
        <f t="shared" si="92"/>
        <v/>
      </c>
    </row>
    <row r="14" spans="1:122" x14ac:dyDescent="0.25">
      <c r="A14" s="183" t="str">
        <f t="shared" si="46"/>
        <v xml:space="preserve">  -  - </v>
      </c>
      <c r="B14" s="98"/>
      <c r="C14" s="97"/>
      <c r="D14" s="93"/>
      <c r="E14" s="71"/>
      <c r="F14" s="73"/>
      <c r="G14" s="103"/>
      <c r="H14" s="71"/>
      <c r="I14" s="105" t="str">
        <f t="shared" si="47"/>
        <v/>
      </c>
      <c r="J14" s="104"/>
      <c r="K14" s="63"/>
      <c r="L14" s="72"/>
      <c r="M14" s="74"/>
      <c r="N14" s="75"/>
      <c r="O14" s="75"/>
      <c r="P14" s="120"/>
      <c r="Q14" s="76" t="str">
        <f t="shared" si="48"/>
        <v/>
      </c>
      <c r="R14" s="77">
        <f t="shared" si="49"/>
        <v>0</v>
      </c>
      <c r="S14" s="63"/>
      <c r="T14" s="78">
        <f t="shared" si="50"/>
        <v>0</v>
      </c>
      <c r="U14" s="79">
        <f>IF(M14=0,0,IF(G14="Annulation","",IF(assurance="ALPTIS",M14*12*T14/100*#REF!,IF(assurance="APRIL",M14*12*T14/100*#REF!,IF(assurance="ASAF",M14*12*T14/100*#REF!,IF(assurance="NEOLIANE",(#REF!+M14*12*#REF!)*T14/100,IF(assurance="NEOLIANE Prev",(#REF!+M14*12*#REF!)*T14/100,IF(assurance="SWISSLIFE",M14*12*T14/100*#REF!,IF(assurance="AVIVA",M14*12*T14/100*#REF!,IF(assurance="CIPRES",M14*12*T14/100*#REF!,IF(assurance="CEGEMA",M14*12*T14/100*#REF!,IF(assurance=0,0))))))))))))</f>
        <v>0</v>
      </c>
      <c r="V14" s="91" t="str">
        <f t="shared" si="51"/>
        <v/>
      </c>
      <c r="W14" s="91" t="str">
        <f t="shared" si="52"/>
        <v/>
      </c>
      <c r="X14" s="92">
        <f t="shared" si="53"/>
        <v>0</v>
      </c>
      <c r="Y14" s="108">
        <f t="shared" si="54"/>
        <v>0</v>
      </c>
      <c r="Z14" s="106"/>
      <c r="AA14" s="105" t="str">
        <f t="shared" si="55"/>
        <v/>
      </c>
      <c r="AB14" s="63" t="s">
        <v>12</v>
      </c>
      <c r="AC14" s="72"/>
      <c r="AD14" s="101" t="str">
        <f t="shared" si="56"/>
        <v/>
      </c>
      <c r="AE14" s="80" t="str">
        <f t="shared" si="57"/>
        <v/>
      </c>
      <c r="AF14" s="72"/>
      <c r="AG14" s="70" t="str">
        <f t="shared" si="58"/>
        <v/>
      </c>
      <c r="AH14" s="81" t="str">
        <f t="shared" ca="1" si="59"/>
        <v/>
      </c>
      <c r="AI14" s="111" t="str">
        <f t="shared" ca="1" si="60"/>
        <v/>
      </c>
      <c r="AJ14" s="89" t="str">
        <f t="shared" si="61"/>
        <v/>
      </c>
      <c r="AK14" s="89" t="str">
        <f t="shared" si="62"/>
        <v/>
      </c>
      <c r="AL14" s="81" t="str">
        <f t="shared" si="63"/>
        <v/>
      </c>
      <c r="AM14" s="74">
        <f t="shared" si="64"/>
        <v>0</v>
      </c>
      <c r="AN14" s="74">
        <f t="shared" si="65"/>
        <v>0</v>
      </c>
      <c r="AO14" s="82">
        <f t="shared" si="66"/>
        <v>0</v>
      </c>
      <c r="AP14" s="74">
        <f t="shared" si="67"/>
        <v>0</v>
      </c>
      <c r="AQ14" s="82">
        <f t="shared" si="68"/>
        <v>0</v>
      </c>
      <c r="AR14" s="83">
        <f t="shared" si="69"/>
        <v>0</v>
      </c>
      <c r="AS14" s="74">
        <f t="shared" si="70"/>
        <v>0</v>
      </c>
      <c r="AT14" s="82">
        <f t="shared" si="71"/>
        <v>0</v>
      </c>
      <c r="AU14" s="83">
        <f t="shared" si="72"/>
        <v>0</v>
      </c>
      <c r="AV14" s="74">
        <f t="shared" si="73"/>
        <v>0</v>
      </c>
      <c r="AW14" s="82">
        <f t="shared" si="74"/>
        <v>0</v>
      </c>
      <c r="AX14" s="83">
        <f t="shared" si="75"/>
        <v>0</v>
      </c>
      <c r="AY14" s="63"/>
      <c r="AZ14" s="84"/>
      <c r="BA14" s="85"/>
      <c r="BB14" s="95"/>
      <c r="BC14" s="86"/>
      <c r="BD14" s="86"/>
      <c r="BE14" s="96"/>
      <c r="BF14" s="69"/>
      <c r="BG14" s="114"/>
      <c r="BH14" s="63">
        <v>1</v>
      </c>
      <c r="BI14" s="68">
        <v>0</v>
      </c>
      <c r="BJ14" s="71"/>
      <c r="BK14" s="87"/>
      <c r="BL14" s="64" t="str">
        <f t="shared" ca="1" si="76"/>
        <v/>
      </c>
      <c r="BM14" s="65"/>
      <c r="BN14" s="66"/>
      <c r="BO14" s="67" t="str">
        <f t="shared" ca="1" si="77"/>
        <v/>
      </c>
      <c r="BP14" s="65"/>
      <c r="BQ14" s="66"/>
      <c r="BR14" s="67" t="str">
        <f t="shared" ca="1" si="78"/>
        <v/>
      </c>
      <c r="BS14" s="65"/>
      <c r="BT14" s="66"/>
      <c r="BU14" s="67" t="str">
        <f t="shared" ca="1" si="79"/>
        <v/>
      </c>
      <c r="BV14" s="65"/>
      <c r="BW14" s="66"/>
      <c r="BX14" s="67" t="str">
        <f t="shared" ca="1" si="80"/>
        <v/>
      </c>
      <c r="BY14" s="65"/>
      <c r="BZ14" s="66"/>
      <c r="CA14" s="67" t="str">
        <f t="shared" ca="1" si="81"/>
        <v/>
      </c>
      <c r="CB14" s="65"/>
      <c r="CC14" s="66"/>
      <c r="CD14" s="67" t="str">
        <f t="shared" ca="1" si="82"/>
        <v/>
      </c>
      <c r="CE14" s="65"/>
      <c r="CF14" s="66"/>
      <c r="CG14" s="67" t="str">
        <f t="shared" ca="1" si="83"/>
        <v/>
      </c>
      <c r="CH14" s="65"/>
      <c r="CI14" s="66"/>
      <c r="CJ14" s="67" t="str">
        <f t="shared" ca="1" si="84"/>
        <v/>
      </c>
      <c r="CK14" s="57"/>
      <c r="CL14" s="59"/>
      <c r="CM14" s="59"/>
      <c r="CN14" s="59"/>
      <c r="CO14" s="59"/>
      <c r="CP14" s="59"/>
      <c r="CQ14" s="59"/>
      <c r="CR14" s="57"/>
      <c r="CS14" s="58"/>
      <c r="CT14" s="90" t="str">
        <f t="shared" si="85"/>
        <v/>
      </c>
      <c r="CU14" s="59"/>
      <c r="CV14" s="60"/>
      <c r="CW14" s="59"/>
      <c r="CX14" s="59"/>
      <c r="CY14" s="59" t="str">
        <f t="shared" si="86"/>
        <v/>
      </c>
      <c r="CZ14" s="59"/>
      <c r="DA14" s="59"/>
      <c r="DB14" s="61"/>
      <c r="DC14" s="59"/>
      <c r="DD14" s="59"/>
      <c r="DE14" s="61"/>
      <c r="DF14" s="61"/>
      <c r="DG14" s="59"/>
      <c r="DH14" s="61"/>
      <c r="DI14" s="61"/>
      <c r="DJ14" s="59"/>
      <c r="DK14" s="59"/>
      <c r="DL14" s="62"/>
      <c r="DM14" s="56">
        <f t="shared" si="87"/>
        <v>0</v>
      </c>
      <c r="DN14" s="88" t="str">
        <f t="shared" si="88"/>
        <v/>
      </c>
      <c r="DO14" s="119" t="str">
        <f t="shared" si="89"/>
        <v/>
      </c>
      <c r="DP14" s="119" t="str">
        <f t="shared" si="90"/>
        <v/>
      </c>
      <c r="DQ14" s="121" t="str">
        <f t="shared" si="91"/>
        <v/>
      </c>
      <c r="DR14" s="121" t="str">
        <f t="shared" si="92"/>
        <v/>
      </c>
    </row>
    <row r="15" spans="1:122" x14ac:dyDescent="0.25">
      <c r="A15" s="183" t="str">
        <f t="shared" si="46"/>
        <v xml:space="preserve">  -  - </v>
      </c>
      <c r="B15" s="98"/>
      <c r="C15" s="97"/>
      <c r="D15" s="93"/>
      <c r="E15" s="71"/>
      <c r="F15" s="73"/>
      <c r="G15" s="103"/>
      <c r="H15" s="71"/>
      <c r="I15" s="105" t="str">
        <f t="shared" si="47"/>
        <v/>
      </c>
      <c r="J15" s="104"/>
      <c r="K15" s="63"/>
      <c r="L15" s="72"/>
      <c r="M15" s="74"/>
      <c r="N15" s="75"/>
      <c r="O15" s="75"/>
      <c r="P15" s="120"/>
      <c r="Q15" s="76" t="str">
        <f t="shared" si="48"/>
        <v/>
      </c>
      <c r="R15" s="77">
        <f t="shared" si="49"/>
        <v>0</v>
      </c>
      <c r="S15" s="63"/>
      <c r="T15" s="78">
        <f t="shared" si="50"/>
        <v>0</v>
      </c>
      <c r="U15" s="79">
        <f>IF(M15=0,0,IF(G15="Annulation","",IF(assurance="ALPTIS",M15*12*T15/100*#REF!,IF(assurance="APRIL",M15*12*T15/100*#REF!,IF(assurance="ASAF",M15*12*T15/100*#REF!,IF(assurance="NEOLIANE",(#REF!+M15*12*#REF!)*T15/100,IF(assurance="NEOLIANE Prev",(#REF!+M15*12*#REF!)*T15/100,IF(assurance="SWISSLIFE",M15*12*T15/100*#REF!,IF(assurance="AVIVA",M15*12*T15/100*#REF!,IF(assurance="CIPRES",M15*12*T15/100*#REF!,IF(assurance="CEGEMA",M15*12*T15/100*#REF!,IF(assurance=0,0))))))))))))</f>
        <v>0</v>
      </c>
      <c r="V15" s="91" t="str">
        <f t="shared" si="51"/>
        <v/>
      </c>
      <c r="W15" s="91" t="str">
        <f t="shared" si="52"/>
        <v/>
      </c>
      <c r="X15" s="92">
        <f t="shared" si="53"/>
        <v>0</v>
      </c>
      <c r="Y15" s="108">
        <f t="shared" si="54"/>
        <v>0</v>
      </c>
      <c r="Z15" s="106"/>
      <c r="AA15" s="105" t="str">
        <f t="shared" si="55"/>
        <v/>
      </c>
      <c r="AB15" s="63" t="s">
        <v>12</v>
      </c>
      <c r="AC15" s="72"/>
      <c r="AD15" s="101" t="str">
        <f t="shared" si="56"/>
        <v/>
      </c>
      <c r="AE15" s="80" t="str">
        <f t="shared" si="57"/>
        <v/>
      </c>
      <c r="AF15" s="72"/>
      <c r="AG15" s="70" t="str">
        <f t="shared" si="58"/>
        <v/>
      </c>
      <c r="AH15" s="81" t="str">
        <f t="shared" ca="1" si="59"/>
        <v/>
      </c>
      <c r="AI15" s="111" t="str">
        <f t="shared" ca="1" si="60"/>
        <v/>
      </c>
      <c r="AJ15" s="89" t="str">
        <f t="shared" si="61"/>
        <v/>
      </c>
      <c r="AK15" s="89" t="str">
        <f t="shared" si="62"/>
        <v/>
      </c>
      <c r="AL15" s="81" t="str">
        <f t="shared" si="63"/>
        <v/>
      </c>
      <c r="AM15" s="74">
        <f t="shared" si="64"/>
        <v>0</v>
      </c>
      <c r="AN15" s="74">
        <f t="shared" si="65"/>
        <v>0</v>
      </c>
      <c r="AO15" s="82">
        <f t="shared" si="66"/>
        <v>0</v>
      </c>
      <c r="AP15" s="74">
        <f t="shared" si="67"/>
        <v>0</v>
      </c>
      <c r="AQ15" s="82">
        <f t="shared" si="68"/>
        <v>0</v>
      </c>
      <c r="AR15" s="83">
        <f t="shared" si="69"/>
        <v>0</v>
      </c>
      <c r="AS15" s="74">
        <f t="shared" si="70"/>
        <v>0</v>
      </c>
      <c r="AT15" s="82">
        <f t="shared" si="71"/>
        <v>0</v>
      </c>
      <c r="AU15" s="83">
        <f t="shared" si="72"/>
        <v>0</v>
      </c>
      <c r="AV15" s="74">
        <f t="shared" si="73"/>
        <v>0</v>
      </c>
      <c r="AW15" s="82">
        <f t="shared" si="74"/>
        <v>0</v>
      </c>
      <c r="AX15" s="83">
        <f t="shared" si="75"/>
        <v>0</v>
      </c>
      <c r="AY15" s="63"/>
      <c r="AZ15" s="84"/>
      <c r="BA15" s="85"/>
      <c r="BB15" s="95"/>
      <c r="BC15" s="86"/>
      <c r="BD15" s="86"/>
      <c r="BE15" s="96"/>
      <c r="BF15" s="69"/>
      <c r="BG15" s="114"/>
      <c r="BH15" s="63">
        <v>1</v>
      </c>
      <c r="BI15" s="68">
        <v>0</v>
      </c>
      <c r="BJ15" s="71"/>
      <c r="BK15" s="87"/>
      <c r="BL15" s="64" t="str">
        <f t="shared" ca="1" si="76"/>
        <v/>
      </c>
      <c r="BM15" s="65"/>
      <c r="BN15" s="66"/>
      <c r="BO15" s="67" t="str">
        <f t="shared" ca="1" si="77"/>
        <v/>
      </c>
      <c r="BP15" s="65"/>
      <c r="BQ15" s="66"/>
      <c r="BR15" s="67" t="str">
        <f t="shared" ca="1" si="78"/>
        <v/>
      </c>
      <c r="BS15" s="65"/>
      <c r="BT15" s="66"/>
      <c r="BU15" s="67" t="str">
        <f t="shared" ca="1" si="79"/>
        <v/>
      </c>
      <c r="BV15" s="65"/>
      <c r="BW15" s="66"/>
      <c r="BX15" s="67" t="str">
        <f t="shared" ca="1" si="80"/>
        <v/>
      </c>
      <c r="BY15" s="65"/>
      <c r="BZ15" s="66"/>
      <c r="CA15" s="67" t="str">
        <f t="shared" ca="1" si="81"/>
        <v/>
      </c>
      <c r="CB15" s="65"/>
      <c r="CC15" s="66"/>
      <c r="CD15" s="67" t="str">
        <f t="shared" ca="1" si="82"/>
        <v/>
      </c>
      <c r="CE15" s="65"/>
      <c r="CF15" s="66"/>
      <c r="CG15" s="67" t="str">
        <f t="shared" ca="1" si="83"/>
        <v/>
      </c>
      <c r="CH15" s="65"/>
      <c r="CI15" s="66"/>
      <c r="CJ15" s="67" t="str">
        <f t="shared" ca="1" si="84"/>
        <v/>
      </c>
      <c r="CK15" s="57"/>
      <c r="CL15" s="59"/>
      <c r="CM15" s="59"/>
      <c r="CN15" s="59"/>
      <c r="CO15" s="59"/>
      <c r="CP15" s="59"/>
      <c r="CQ15" s="59"/>
      <c r="CR15" s="57"/>
      <c r="CS15" s="58"/>
      <c r="CT15" s="90" t="str">
        <f t="shared" si="85"/>
        <v/>
      </c>
      <c r="CU15" s="59"/>
      <c r="CV15" s="60"/>
      <c r="CW15" s="59"/>
      <c r="CX15" s="59"/>
      <c r="CY15" s="59" t="str">
        <f t="shared" si="86"/>
        <v/>
      </c>
      <c r="CZ15" s="59"/>
      <c r="DA15" s="59"/>
      <c r="DB15" s="61"/>
      <c r="DC15" s="59"/>
      <c r="DD15" s="59"/>
      <c r="DE15" s="61"/>
      <c r="DF15" s="61"/>
      <c r="DG15" s="59"/>
      <c r="DH15" s="61"/>
      <c r="DI15" s="61"/>
      <c r="DJ15" s="59"/>
      <c r="DK15" s="59"/>
      <c r="DL15" s="62"/>
      <c r="DM15" s="56">
        <f t="shared" si="87"/>
        <v>0</v>
      </c>
      <c r="DN15" s="88" t="str">
        <f t="shared" si="88"/>
        <v/>
      </c>
      <c r="DO15" s="119" t="str">
        <f t="shared" si="89"/>
        <v/>
      </c>
      <c r="DP15" s="119" t="str">
        <f t="shared" si="90"/>
        <v/>
      </c>
      <c r="DQ15" s="121" t="str">
        <f t="shared" si="91"/>
        <v/>
      </c>
      <c r="DR15" s="121" t="str">
        <f t="shared" si="92"/>
        <v/>
      </c>
    </row>
    <row r="16" spans="1:122" x14ac:dyDescent="0.25">
      <c r="A16" s="183" t="str">
        <f t="shared" si="46"/>
        <v xml:space="preserve">  -  - </v>
      </c>
      <c r="B16" s="98"/>
      <c r="C16" s="97"/>
      <c r="D16" s="93"/>
      <c r="E16" s="71"/>
      <c r="F16" s="73"/>
      <c r="G16" s="103"/>
      <c r="H16" s="71"/>
      <c r="I16" s="105" t="str">
        <f t="shared" si="47"/>
        <v/>
      </c>
      <c r="J16" s="104"/>
      <c r="K16" s="63"/>
      <c r="L16" s="72"/>
      <c r="M16" s="74"/>
      <c r="N16" s="75"/>
      <c r="O16" s="75"/>
      <c r="P16" s="120"/>
      <c r="Q16" s="76" t="str">
        <f t="shared" si="48"/>
        <v/>
      </c>
      <c r="R16" s="77">
        <f t="shared" si="49"/>
        <v>0</v>
      </c>
      <c r="S16" s="63"/>
      <c r="T16" s="78">
        <f t="shared" si="50"/>
        <v>0</v>
      </c>
      <c r="U16" s="79">
        <f>IF(M16=0,0,IF(G16="Annulation","",IF(assurance="ALPTIS",M16*12*T16/100*#REF!,IF(assurance="APRIL",M16*12*T16/100*#REF!,IF(assurance="ASAF",M16*12*T16/100*#REF!,IF(assurance="NEOLIANE",(#REF!+M16*12*#REF!)*T16/100,IF(assurance="NEOLIANE Prev",(#REF!+M16*12*#REF!)*T16/100,IF(assurance="SWISSLIFE",M16*12*T16/100*#REF!,IF(assurance="AVIVA",M16*12*T16/100*#REF!,IF(assurance="CIPRES",M16*12*T16/100*#REF!,IF(assurance="CEGEMA",M16*12*T16/100*#REF!,IF(assurance=0,0))))))))))))</f>
        <v>0</v>
      </c>
      <c r="V16" s="91" t="str">
        <f t="shared" si="51"/>
        <v/>
      </c>
      <c r="W16" s="91" t="str">
        <f t="shared" si="52"/>
        <v/>
      </c>
      <c r="X16" s="92">
        <f t="shared" si="53"/>
        <v>0</v>
      </c>
      <c r="Y16" s="108">
        <f t="shared" si="54"/>
        <v>0</v>
      </c>
      <c r="Z16" s="106"/>
      <c r="AA16" s="105" t="str">
        <f t="shared" si="55"/>
        <v/>
      </c>
      <c r="AB16" s="63" t="s">
        <v>12</v>
      </c>
      <c r="AC16" s="72"/>
      <c r="AD16" s="101" t="str">
        <f t="shared" si="56"/>
        <v/>
      </c>
      <c r="AE16" s="80" t="str">
        <f t="shared" si="57"/>
        <v/>
      </c>
      <c r="AF16" s="72"/>
      <c r="AG16" s="70" t="str">
        <f t="shared" si="58"/>
        <v/>
      </c>
      <c r="AH16" s="81" t="str">
        <f t="shared" ca="1" si="59"/>
        <v/>
      </c>
      <c r="AI16" s="111" t="str">
        <f t="shared" ca="1" si="60"/>
        <v/>
      </c>
      <c r="AJ16" s="89" t="str">
        <f t="shared" si="61"/>
        <v/>
      </c>
      <c r="AK16" s="89" t="str">
        <f t="shared" si="62"/>
        <v/>
      </c>
      <c r="AL16" s="81" t="str">
        <f t="shared" si="63"/>
        <v/>
      </c>
      <c r="AM16" s="74">
        <f t="shared" si="64"/>
        <v>0</v>
      </c>
      <c r="AN16" s="74">
        <f t="shared" ref="AN16:AN45" si="93">IF(G16="Annulation","",IF(Z16&gt;=42736,IF(Z16&lt;43101,M16,0),0))</f>
        <v>0</v>
      </c>
      <c r="AO16" s="82">
        <f t="shared" si="66"/>
        <v>0</v>
      </c>
      <c r="AP16" s="74">
        <f t="shared" si="67"/>
        <v>0</v>
      </c>
      <c r="AQ16" s="82">
        <f t="shared" si="68"/>
        <v>0</v>
      </c>
      <c r="AR16" s="83">
        <f t="shared" si="69"/>
        <v>0</v>
      </c>
      <c r="AS16" s="74">
        <f t="shared" si="70"/>
        <v>0</v>
      </c>
      <c r="AT16" s="82">
        <f t="shared" si="71"/>
        <v>0</v>
      </c>
      <c r="AU16" s="83">
        <f t="shared" si="72"/>
        <v>0</v>
      </c>
      <c r="AV16" s="74">
        <f t="shared" si="73"/>
        <v>0</v>
      </c>
      <c r="AW16" s="82">
        <f t="shared" si="74"/>
        <v>0</v>
      </c>
      <c r="AX16" s="83">
        <f t="shared" si="75"/>
        <v>0</v>
      </c>
      <c r="AY16" s="63"/>
      <c r="AZ16" s="84"/>
      <c r="BA16" s="85"/>
      <c r="BB16" s="95"/>
      <c r="BC16" s="86"/>
      <c r="BD16" s="86"/>
      <c r="BE16" s="96"/>
      <c r="BF16" s="69"/>
      <c r="BG16" s="114"/>
      <c r="BH16" s="63">
        <v>1</v>
      </c>
      <c r="BI16" s="68">
        <v>0</v>
      </c>
      <c r="BJ16" s="71"/>
      <c r="BK16" s="87"/>
      <c r="BL16" s="64" t="str">
        <f t="shared" ca="1" si="76"/>
        <v/>
      </c>
      <c r="BM16" s="65"/>
      <c r="BN16" s="66"/>
      <c r="BO16" s="67" t="str">
        <f t="shared" ca="1" si="77"/>
        <v/>
      </c>
      <c r="BP16" s="65"/>
      <c r="BQ16" s="66"/>
      <c r="BR16" s="67" t="str">
        <f t="shared" ca="1" si="78"/>
        <v/>
      </c>
      <c r="BS16" s="65"/>
      <c r="BT16" s="66"/>
      <c r="BU16" s="67" t="str">
        <f t="shared" ca="1" si="79"/>
        <v/>
      </c>
      <c r="BV16" s="65"/>
      <c r="BW16" s="66"/>
      <c r="BX16" s="67" t="str">
        <f t="shared" ca="1" si="80"/>
        <v/>
      </c>
      <c r="BY16" s="65"/>
      <c r="BZ16" s="66"/>
      <c r="CA16" s="67" t="str">
        <f t="shared" ca="1" si="81"/>
        <v/>
      </c>
      <c r="CB16" s="65"/>
      <c r="CC16" s="66"/>
      <c r="CD16" s="67" t="str">
        <f t="shared" ca="1" si="82"/>
        <v/>
      </c>
      <c r="CE16" s="65"/>
      <c r="CF16" s="66"/>
      <c r="CG16" s="67" t="str">
        <f t="shared" ca="1" si="83"/>
        <v/>
      </c>
      <c r="CH16" s="65"/>
      <c r="CI16" s="66"/>
      <c r="CJ16" s="67" t="str">
        <f t="shared" ca="1" si="84"/>
        <v/>
      </c>
      <c r="CK16" s="57"/>
      <c r="CL16" s="59"/>
      <c r="CM16" s="59"/>
      <c r="CN16" s="59"/>
      <c r="CO16" s="59"/>
      <c r="CP16" s="59"/>
      <c r="CQ16" s="59"/>
      <c r="CR16" s="57"/>
      <c r="CS16" s="58"/>
      <c r="CT16" s="90" t="str">
        <f t="shared" si="85"/>
        <v/>
      </c>
      <c r="CU16" s="59"/>
      <c r="CV16" s="60"/>
      <c r="CW16" s="59"/>
      <c r="CX16" s="59"/>
      <c r="CY16" s="59" t="str">
        <f t="shared" si="86"/>
        <v/>
      </c>
      <c r="CZ16" s="59"/>
      <c r="DA16" s="59"/>
      <c r="DB16" s="61"/>
      <c r="DC16" s="59"/>
      <c r="DD16" s="59"/>
      <c r="DE16" s="61"/>
      <c r="DF16" s="61"/>
      <c r="DG16" s="59"/>
      <c r="DH16" s="61"/>
      <c r="DI16" s="61"/>
      <c r="DJ16" s="59"/>
      <c r="DK16" s="59"/>
      <c r="DL16" s="62"/>
      <c r="DM16" s="56">
        <f t="shared" si="87"/>
        <v>0</v>
      </c>
      <c r="DN16" s="88" t="str">
        <f t="shared" si="88"/>
        <v/>
      </c>
      <c r="DO16" s="119" t="str">
        <f t="shared" si="89"/>
        <v/>
      </c>
      <c r="DP16" s="119" t="str">
        <f t="shared" si="90"/>
        <v/>
      </c>
      <c r="DQ16" s="121" t="str">
        <f t="shared" si="91"/>
        <v/>
      </c>
      <c r="DR16" s="121" t="str">
        <f t="shared" si="92"/>
        <v/>
      </c>
    </row>
    <row r="17" spans="1:122" x14ac:dyDescent="0.25">
      <c r="A17" s="183" t="str">
        <f t="shared" si="46"/>
        <v xml:space="preserve">  -  - </v>
      </c>
      <c r="B17" s="98"/>
      <c r="C17" s="97"/>
      <c r="D17" s="93"/>
      <c r="E17" s="71"/>
      <c r="F17" s="73"/>
      <c r="G17" s="103"/>
      <c r="H17" s="71"/>
      <c r="I17" s="105" t="str">
        <f t="shared" si="47"/>
        <v/>
      </c>
      <c r="J17" s="104"/>
      <c r="K17" s="63"/>
      <c r="L17" s="72"/>
      <c r="M17" s="74"/>
      <c r="N17" s="75"/>
      <c r="O17" s="75"/>
      <c r="P17" s="120"/>
      <c r="Q17" s="76" t="str">
        <f t="shared" si="48"/>
        <v/>
      </c>
      <c r="R17" s="77">
        <f t="shared" si="49"/>
        <v>0</v>
      </c>
      <c r="S17" s="63"/>
      <c r="T17" s="78">
        <f t="shared" si="50"/>
        <v>0</v>
      </c>
      <c r="U17" s="79">
        <f>IF(M17=0,0,IF(G17="Annulation","",IF(assurance="ALPTIS",M17*12*T17/100*#REF!,IF(assurance="APRIL",M17*12*T17/100*#REF!,IF(assurance="ASAF",M17*12*T17/100*#REF!,IF(assurance="NEOLIANE",(#REF!+M17*12*#REF!)*T17/100,IF(assurance="NEOLIANE Prev",(#REF!+M17*12*#REF!)*T17/100,IF(assurance="SWISSLIFE",M17*12*T17/100*#REF!,IF(assurance="AVIVA",M17*12*T17/100*#REF!,IF(assurance="CIPRES",M17*12*T17/100*#REF!,IF(assurance="CEGEMA",M17*12*T17/100*#REF!,IF(assurance=0,0))))))))))))</f>
        <v>0</v>
      </c>
      <c r="V17" s="91" t="str">
        <f t="shared" si="51"/>
        <v/>
      </c>
      <c r="W17" s="91" t="str">
        <f t="shared" si="52"/>
        <v/>
      </c>
      <c r="X17" s="92">
        <f t="shared" si="53"/>
        <v>0</v>
      </c>
      <c r="Y17" s="108">
        <f t="shared" si="54"/>
        <v>0</v>
      </c>
      <c r="Z17" s="106"/>
      <c r="AA17" s="105" t="str">
        <f t="shared" si="55"/>
        <v/>
      </c>
      <c r="AB17" s="63" t="s">
        <v>12</v>
      </c>
      <c r="AC17" s="72"/>
      <c r="AD17" s="101" t="str">
        <f t="shared" si="56"/>
        <v/>
      </c>
      <c r="AE17" s="80" t="str">
        <f t="shared" si="57"/>
        <v/>
      </c>
      <c r="AF17" s="72"/>
      <c r="AG17" s="70" t="str">
        <f t="shared" si="58"/>
        <v/>
      </c>
      <c r="AH17" s="81" t="str">
        <f t="shared" ca="1" si="59"/>
        <v/>
      </c>
      <c r="AI17" s="111" t="str">
        <f t="shared" ca="1" si="60"/>
        <v/>
      </c>
      <c r="AJ17" s="89" t="str">
        <f t="shared" si="61"/>
        <v/>
      </c>
      <c r="AK17" s="89" t="str">
        <f t="shared" si="62"/>
        <v/>
      </c>
      <c r="AL17" s="81" t="str">
        <f t="shared" si="63"/>
        <v/>
      </c>
      <c r="AM17" s="74">
        <f t="shared" si="64"/>
        <v>0</v>
      </c>
      <c r="AN17" s="74">
        <f t="shared" si="93"/>
        <v>0</v>
      </c>
      <c r="AO17" s="82">
        <f t="shared" si="66"/>
        <v>0</v>
      </c>
      <c r="AP17" s="74">
        <f t="shared" si="67"/>
        <v>0</v>
      </c>
      <c r="AQ17" s="82">
        <f t="shared" si="68"/>
        <v>0</v>
      </c>
      <c r="AR17" s="83">
        <f t="shared" si="69"/>
        <v>0</v>
      </c>
      <c r="AS17" s="74">
        <f t="shared" si="70"/>
        <v>0</v>
      </c>
      <c r="AT17" s="82">
        <f t="shared" si="71"/>
        <v>0</v>
      </c>
      <c r="AU17" s="83">
        <f t="shared" si="72"/>
        <v>0</v>
      </c>
      <c r="AV17" s="74">
        <f t="shared" si="73"/>
        <v>0</v>
      </c>
      <c r="AW17" s="82">
        <f t="shared" si="74"/>
        <v>0</v>
      </c>
      <c r="AX17" s="83">
        <f t="shared" si="75"/>
        <v>0</v>
      </c>
      <c r="AY17" s="63"/>
      <c r="AZ17" s="84"/>
      <c r="BA17" s="85"/>
      <c r="BB17" s="95"/>
      <c r="BC17" s="86"/>
      <c r="BD17" s="86"/>
      <c r="BE17" s="96"/>
      <c r="BF17" s="69"/>
      <c r="BG17" s="114"/>
      <c r="BH17" s="63">
        <v>1</v>
      </c>
      <c r="BI17" s="68">
        <v>0</v>
      </c>
      <c r="BJ17" s="71"/>
      <c r="BK17" s="87"/>
      <c r="BL17" s="64" t="str">
        <f t="shared" ca="1" si="76"/>
        <v/>
      </c>
      <c r="BM17" s="65"/>
      <c r="BN17" s="66"/>
      <c r="BO17" s="67" t="str">
        <f t="shared" ca="1" si="77"/>
        <v/>
      </c>
      <c r="BP17" s="65"/>
      <c r="BQ17" s="66"/>
      <c r="BR17" s="67" t="str">
        <f t="shared" ca="1" si="78"/>
        <v/>
      </c>
      <c r="BS17" s="65"/>
      <c r="BT17" s="66"/>
      <c r="BU17" s="67" t="str">
        <f t="shared" ca="1" si="79"/>
        <v/>
      </c>
      <c r="BV17" s="65"/>
      <c r="BW17" s="66"/>
      <c r="BX17" s="67" t="str">
        <f t="shared" ca="1" si="80"/>
        <v/>
      </c>
      <c r="BY17" s="65"/>
      <c r="BZ17" s="66"/>
      <c r="CA17" s="67" t="str">
        <f t="shared" ca="1" si="81"/>
        <v/>
      </c>
      <c r="CB17" s="65"/>
      <c r="CC17" s="66"/>
      <c r="CD17" s="67" t="str">
        <f t="shared" ca="1" si="82"/>
        <v/>
      </c>
      <c r="CE17" s="65"/>
      <c r="CF17" s="66"/>
      <c r="CG17" s="67" t="str">
        <f t="shared" ca="1" si="83"/>
        <v/>
      </c>
      <c r="CH17" s="65"/>
      <c r="CI17" s="66"/>
      <c r="CJ17" s="67" t="str">
        <f t="shared" ca="1" si="84"/>
        <v/>
      </c>
      <c r="CK17" s="57"/>
      <c r="CL17" s="59"/>
      <c r="CM17" s="59"/>
      <c r="CN17" s="59"/>
      <c r="CO17" s="59"/>
      <c r="CP17" s="59"/>
      <c r="CQ17" s="59"/>
      <c r="CR17" s="57"/>
      <c r="CS17" s="58"/>
      <c r="CT17" s="90" t="str">
        <f t="shared" si="85"/>
        <v/>
      </c>
      <c r="CU17" s="59"/>
      <c r="CV17" s="60"/>
      <c r="CW17" s="59"/>
      <c r="CX17" s="59"/>
      <c r="CY17" s="59" t="str">
        <f t="shared" si="86"/>
        <v/>
      </c>
      <c r="CZ17" s="59"/>
      <c r="DA17" s="59"/>
      <c r="DB17" s="61"/>
      <c r="DC17" s="59"/>
      <c r="DD17" s="59"/>
      <c r="DE17" s="61"/>
      <c r="DF17" s="61"/>
      <c r="DG17" s="59"/>
      <c r="DH17" s="61"/>
      <c r="DI17" s="61"/>
      <c r="DJ17" s="59"/>
      <c r="DK17" s="59"/>
      <c r="DL17" s="62"/>
      <c r="DM17" s="56">
        <f t="shared" si="87"/>
        <v>0</v>
      </c>
      <c r="DN17" s="88" t="str">
        <f t="shared" si="88"/>
        <v/>
      </c>
      <c r="DO17" s="119" t="str">
        <f t="shared" si="89"/>
        <v/>
      </c>
      <c r="DP17" s="119" t="str">
        <f t="shared" si="90"/>
        <v/>
      </c>
      <c r="DQ17" s="121" t="str">
        <f t="shared" si="91"/>
        <v/>
      </c>
      <c r="DR17" s="121" t="str">
        <f t="shared" si="92"/>
        <v/>
      </c>
    </row>
    <row r="18" spans="1:122" x14ac:dyDescent="0.25">
      <c r="A18" s="183" t="str">
        <f t="shared" si="46"/>
        <v xml:space="preserve">  -  - </v>
      </c>
      <c r="B18" s="98"/>
      <c r="C18" s="97"/>
      <c r="D18" s="93"/>
      <c r="E18" s="71"/>
      <c r="F18" s="73"/>
      <c r="G18" s="103"/>
      <c r="H18" s="71"/>
      <c r="I18" s="105" t="str">
        <f t="shared" si="47"/>
        <v/>
      </c>
      <c r="J18" s="104"/>
      <c r="K18" s="63"/>
      <c r="L18" s="72"/>
      <c r="M18" s="74"/>
      <c r="N18" s="75"/>
      <c r="O18" s="75"/>
      <c r="P18" s="120"/>
      <c r="Q18" s="76" t="str">
        <f t="shared" si="48"/>
        <v/>
      </c>
      <c r="R18" s="77">
        <f t="shared" si="49"/>
        <v>0</v>
      </c>
      <c r="S18" s="63"/>
      <c r="T18" s="78">
        <f t="shared" si="50"/>
        <v>0</v>
      </c>
      <c r="U18" s="79">
        <f>IF(M18=0,0,IF(G18="Annulation","",IF(assurance="ALPTIS",M18*12*T18/100*#REF!,IF(assurance="APRIL",M18*12*T18/100*#REF!,IF(assurance="ASAF",M18*12*T18/100*#REF!,IF(assurance="NEOLIANE",(#REF!+M18*12*#REF!)*T18/100,IF(assurance="NEOLIANE Prev",(#REF!+M18*12*#REF!)*T18/100,IF(assurance="SWISSLIFE",M18*12*T18/100*#REF!,IF(assurance="AVIVA",M18*12*T18/100*#REF!,IF(assurance="CIPRES",M18*12*T18/100*#REF!,IF(assurance="CEGEMA",M18*12*T18/100*#REF!,IF(assurance=0,0))))))))))))</f>
        <v>0</v>
      </c>
      <c r="V18" s="91" t="str">
        <f t="shared" si="51"/>
        <v/>
      </c>
      <c r="W18" s="91" t="str">
        <f t="shared" si="52"/>
        <v/>
      </c>
      <c r="X18" s="92">
        <f t="shared" si="53"/>
        <v>0</v>
      </c>
      <c r="Y18" s="108">
        <f t="shared" si="54"/>
        <v>0</v>
      </c>
      <c r="Z18" s="106"/>
      <c r="AA18" s="105" t="str">
        <f t="shared" si="55"/>
        <v/>
      </c>
      <c r="AB18" s="63" t="s">
        <v>12</v>
      </c>
      <c r="AC18" s="72"/>
      <c r="AD18" s="101" t="str">
        <f t="shared" si="56"/>
        <v/>
      </c>
      <c r="AE18" s="80" t="str">
        <f t="shared" si="57"/>
        <v/>
      </c>
      <c r="AF18" s="72"/>
      <c r="AG18" s="70" t="str">
        <f t="shared" si="58"/>
        <v/>
      </c>
      <c r="AH18" s="81" t="str">
        <f t="shared" ca="1" si="59"/>
        <v/>
      </c>
      <c r="AI18" s="111" t="str">
        <f t="shared" ca="1" si="60"/>
        <v/>
      </c>
      <c r="AJ18" s="89" t="str">
        <f t="shared" si="61"/>
        <v/>
      </c>
      <c r="AK18" s="89" t="str">
        <f t="shared" si="62"/>
        <v/>
      </c>
      <c r="AL18" s="81" t="str">
        <f t="shared" si="63"/>
        <v/>
      </c>
      <c r="AM18" s="74">
        <f t="shared" si="64"/>
        <v>0</v>
      </c>
      <c r="AN18" s="74">
        <f t="shared" si="93"/>
        <v>0</v>
      </c>
      <c r="AO18" s="82">
        <f t="shared" si="66"/>
        <v>0</v>
      </c>
      <c r="AP18" s="74">
        <f t="shared" ref="AP18:AP45" si="94">IF(G18="Annulation","",IF(Z18&gt;=43101,IF(Z18&lt;43466,M18,0),0))</f>
        <v>0</v>
      </c>
      <c r="AQ18" s="82">
        <f t="shared" si="68"/>
        <v>0</v>
      </c>
      <c r="AR18" s="83">
        <f t="shared" si="69"/>
        <v>0</v>
      </c>
      <c r="AS18" s="74">
        <f t="shared" ref="AS18:AS45" si="95">IF(G18="Annulation","",IF(Z18&gt;=43466,IF(Z18&lt;43831,M18,0),0))</f>
        <v>0</v>
      </c>
      <c r="AT18" s="82">
        <f t="shared" si="71"/>
        <v>0</v>
      </c>
      <c r="AU18" s="83">
        <f t="shared" si="72"/>
        <v>0</v>
      </c>
      <c r="AV18" s="74">
        <f t="shared" si="73"/>
        <v>0</v>
      </c>
      <c r="AW18" s="82">
        <f t="shared" si="74"/>
        <v>0</v>
      </c>
      <c r="AX18" s="83">
        <f t="shared" si="75"/>
        <v>0</v>
      </c>
      <c r="AY18" s="63"/>
      <c r="AZ18" s="84"/>
      <c r="BA18" s="85"/>
      <c r="BB18" s="95"/>
      <c r="BC18" s="86"/>
      <c r="BD18" s="86"/>
      <c r="BE18" s="96"/>
      <c r="BF18" s="69"/>
      <c r="BG18" s="114"/>
      <c r="BH18" s="63">
        <v>1</v>
      </c>
      <c r="BI18" s="68">
        <v>0</v>
      </c>
      <c r="BJ18" s="71"/>
      <c r="BK18" s="87"/>
      <c r="BL18" s="64" t="str">
        <f t="shared" ca="1" si="76"/>
        <v/>
      </c>
      <c r="BM18" s="65"/>
      <c r="BN18" s="66"/>
      <c r="BO18" s="67" t="str">
        <f t="shared" ca="1" si="77"/>
        <v/>
      </c>
      <c r="BP18" s="65"/>
      <c r="BQ18" s="66"/>
      <c r="BR18" s="67" t="str">
        <f t="shared" ca="1" si="78"/>
        <v/>
      </c>
      <c r="BS18" s="65"/>
      <c r="BT18" s="66"/>
      <c r="BU18" s="67" t="str">
        <f t="shared" ca="1" si="79"/>
        <v/>
      </c>
      <c r="BV18" s="65"/>
      <c r="BW18" s="66"/>
      <c r="BX18" s="67" t="str">
        <f t="shared" ca="1" si="80"/>
        <v/>
      </c>
      <c r="BY18" s="65"/>
      <c r="BZ18" s="66"/>
      <c r="CA18" s="67" t="str">
        <f t="shared" ca="1" si="81"/>
        <v/>
      </c>
      <c r="CB18" s="65"/>
      <c r="CC18" s="66"/>
      <c r="CD18" s="67" t="str">
        <f t="shared" ca="1" si="82"/>
        <v/>
      </c>
      <c r="CE18" s="65"/>
      <c r="CF18" s="66"/>
      <c r="CG18" s="67" t="str">
        <f t="shared" ca="1" si="83"/>
        <v/>
      </c>
      <c r="CH18" s="65"/>
      <c r="CI18" s="66"/>
      <c r="CJ18" s="67" t="str">
        <f t="shared" ca="1" si="84"/>
        <v/>
      </c>
      <c r="CK18" s="57"/>
      <c r="CL18" s="59"/>
      <c r="CM18" s="59"/>
      <c r="CN18" s="59"/>
      <c r="CO18" s="59"/>
      <c r="CP18" s="59"/>
      <c r="CQ18" s="59"/>
      <c r="CR18" s="57"/>
      <c r="CS18" s="58"/>
      <c r="CT18" s="90" t="str">
        <f t="shared" si="85"/>
        <v/>
      </c>
      <c r="CU18" s="59"/>
      <c r="CV18" s="60"/>
      <c r="CW18" s="59"/>
      <c r="CX18" s="59"/>
      <c r="CY18" s="59" t="str">
        <f t="shared" si="86"/>
        <v/>
      </c>
      <c r="CZ18" s="59"/>
      <c r="DA18" s="59"/>
      <c r="DB18" s="61"/>
      <c r="DC18" s="59"/>
      <c r="DD18" s="59"/>
      <c r="DE18" s="61"/>
      <c r="DF18" s="61"/>
      <c r="DG18" s="59"/>
      <c r="DH18" s="61"/>
      <c r="DI18" s="61"/>
      <c r="DJ18" s="59"/>
      <c r="DK18" s="59"/>
      <c r="DL18" s="62"/>
      <c r="DM18" s="56">
        <f t="shared" si="87"/>
        <v>0</v>
      </c>
      <c r="DN18" s="88" t="str">
        <f t="shared" si="88"/>
        <v/>
      </c>
      <c r="DO18" s="119" t="str">
        <f t="shared" si="89"/>
        <v/>
      </c>
      <c r="DP18" s="119" t="str">
        <f t="shared" si="90"/>
        <v/>
      </c>
      <c r="DQ18" s="121" t="str">
        <f t="shared" si="91"/>
        <v/>
      </c>
      <c r="DR18" s="121" t="str">
        <f t="shared" si="92"/>
        <v/>
      </c>
    </row>
    <row r="19" spans="1:122" x14ac:dyDescent="0.25">
      <c r="A19" s="183" t="str">
        <f t="shared" si="46"/>
        <v xml:space="preserve">  -  - </v>
      </c>
      <c r="B19" s="98"/>
      <c r="C19" s="97"/>
      <c r="D19" s="93"/>
      <c r="E19" s="71"/>
      <c r="F19" s="73"/>
      <c r="G19" s="103"/>
      <c r="H19" s="71"/>
      <c r="I19" s="105" t="str">
        <f t="shared" si="47"/>
        <v/>
      </c>
      <c r="J19" s="104"/>
      <c r="K19" s="63"/>
      <c r="L19" s="72"/>
      <c r="M19" s="74"/>
      <c r="N19" s="75"/>
      <c r="O19" s="75"/>
      <c r="P19" s="120"/>
      <c r="Q19" s="76" t="str">
        <f t="shared" si="48"/>
        <v/>
      </c>
      <c r="R19" s="77">
        <f t="shared" si="49"/>
        <v>0</v>
      </c>
      <c r="S19" s="63"/>
      <c r="T19" s="78">
        <f t="shared" si="50"/>
        <v>0</v>
      </c>
      <c r="U19" s="79">
        <f>IF(M19=0,0,IF(G19="Annulation","",IF(assurance="ALPTIS",M19*12*T19/100*#REF!,IF(assurance="APRIL",M19*12*T19/100*#REF!,IF(assurance="ASAF",M19*12*T19/100*#REF!,IF(assurance="NEOLIANE",(#REF!+M19*12*#REF!)*T19/100,IF(assurance="NEOLIANE Prev",(#REF!+M19*12*#REF!)*T19/100,IF(assurance="SWISSLIFE",M19*12*T19/100*#REF!,IF(assurance="AVIVA",M19*12*T19/100*#REF!,IF(assurance="CIPRES",M19*12*T19/100*#REF!,IF(assurance="CEGEMA",M19*12*T19/100*#REF!,IF(assurance=0,0))))))))))))</f>
        <v>0</v>
      </c>
      <c r="V19" s="91" t="str">
        <f t="shared" si="51"/>
        <v/>
      </c>
      <c r="W19" s="91" t="str">
        <f t="shared" si="52"/>
        <v/>
      </c>
      <c r="X19" s="92">
        <f t="shared" si="53"/>
        <v>0</v>
      </c>
      <c r="Y19" s="108">
        <f t="shared" si="54"/>
        <v>0</v>
      </c>
      <c r="Z19" s="106"/>
      <c r="AA19" s="105" t="str">
        <f t="shared" si="55"/>
        <v/>
      </c>
      <c r="AB19" s="63" t="s">
        <v>12</v>
      </c>
      <c r="AC19" s="72"/>
      <c r="AD19" s="101" t="str">
        <f t="shared" si="56"/>
        <v/>
      </c>
      <c r="AE19" s="80" t="str">
        <f t="shared" si="57"/>
        <v/>
      </c>
      <c r="AF19" s="72"/>
      <c r="AG19" s="70" t="str">
        <f t="shared" si="58"/>
        <v/>
      </c>
      <c r="AH19" s="81" t="str">
        <f t="shared" ca="1" si="59"/>
        <v/>
      </c>
      <c r="AI19" s="111" t="str">
        <f t="shared" ca="1" si="60"/>
        <v/>
      </c>
      <c r="AJ19" s="89" t="str">
        <f t="shared" si="61"/>
        <v/>
      </c>
      <c r="AK19" s="89" t="str">
        <f t="shared" si="62"/>
        <v/>
      </c>
      <c r="AL19" s="81" t="str">
        <f t="shared" si="63"/>
        <v/>
      </c>
      <c r="AM19" s="74">
        <f t="shared" si="64"/>
        <v>0</v>
      </c>
      <c r="AN19" s="74">
        <f t="shared" si="93"/>
        <v>0</v>
      </c>
      <c r="AO19" s="82">
        <f t="shared" si="66"/>
        <v>0</v>
      </c>
      <c r="AP19" s="74">
        <f t="shared" si="94"/>
        <v>0</v>
      </c>
      <c r="AQ19" s="82">
        <f t="shared" si="68"/>
        <v>0</v>
      </c>
      <c r="AR19" s="83">
        <f t="shared" si="69"/>
        <v>0</v>
      </c>
      <c r="AS19" s="74">
        <f t="shared" si="95"/>
        <v>0</v>
      </c>
      <c r="AT19" s="82">
        <f t="shared" si="71"/>
        <v>0</v>
      </c>
      <c r="AU19" s="83">
        <f t="shared" si="72"/>
        <v>0</v>
      </c>
      <c r="AV19" s="74">
        <f t="shared" si="73"/>
        <v>0</v>
      </c>
      <c r="AW19" s="82">
        <f t="shared" si="74"/>
        <v>0</v>
      </c>
      <c r="AX19" s="83">
        <f t="shared" si="75"/>
        <v>0</v>
      </c>
      <c r="AY19" s="63"/>
      <c r="AZ19" s="84"/>
      <c r="BA19" s="85"/>
      <c r="BB19" s="95"/>
      <c r="BC19" s="86"/>
      <c r="BD19" s="86"/>
      <c r="BE19" s="96"/>
      <c r="BF19" s="69"/>
      <c r="BG19" s="114"/>
      <c r="BH19" s="63">
        <v>1</v>
      </c>
      <c r="BI19" s="68">
        <v>0</v>
      </c>
      <c r="BJ19" s="71"/>
      <c r="BK19" s="87"/>
      <c r="BL19" s="64" t="str">
        <f t="shared" ca="1" si="76"/>
        <v/>
      </c>
      <c r="BM19" s="65"/>
      <c r="BN19" s="66"/>
      <c r="BO19" s="67" t="str">
        <f t="shared" ca="1" si="77"/>
        <v/>
      </c>
      <c r="BP19" s="65"/>
      <c r="BQ19" s="66"/>
      <c r="BR19" s="67" t="str">
        <f t="shared" ca="1" si="78"/>
        <v/>
      </c>
      <c r="BS19" s="65"/>
      <c r="BT19" s="66"/>
      <c r="BU19" s="67" t="str">
        <f t="shared" ca="1" si="79"/>
        <v/>
      </c>
      <c r="BV19" s="65"/>
      <c r="BW19" s="66"/>
      <c r="BX19" s="67" t="str">
        <f t="shared" ca="1" si="80"/>
        <v/>
      </c>
      <c r="BY19" s="65"/>
      <c r="BZ19" s="66"/>
      <c r="CA19" s="67" t="str">
        <f t="shared" ca="1" si="81"/>
        <v/>
      </c>
      <c r="CB19" s="65"/>
      <c r="CC19" s="66"/>
      <c r="CD19" s="67" t="str">
        <f t="shared" ca="1" si="82"/>
        <v/>
      </c>
      <c r="CE19" s="65"/>
      <c r="CF19" s="66"/>
      <c r="CG19" s="67" t="str">
        <f t="shared" ca="1" si="83"/>
        <v/>
      </c>
      <c r="CH19" s="65"/>
      <c r="CI19" s="66"/>
      <c r="CJ19" s="67" t="str">
        <f t="shared" ca="1" si="84"/>
        <v/>
      </c>
      <c r="CK19" s="57"/>
      <c r="CL19" s="59"/>
      <c r="CM19" s="59"/>
      <c r="CN19" s="59"/>
      <c r="CO19" s="59"/>
      <c r="CP19" s="59"/>
      <c r="CQ19" s="59"/>
      <c r="CR19" s="57"/>
      <c r="CS19" s="58"/>
      <c r="CT19" s="90" t="str">
        <f t="shared" si="85"/>
        <v/>
      </c>
      <c r="CU19" s="59"/>
      <c r="CV19" s="60"/>
      <c r="CW19" s="59"/>
      <c r="CX19" s="59"/>
      <c r="CY19" s="59" t="str">
        <f t="shared" si="86"/>
        <v/>
      </c>
      <c r="CZ19" s="59"/>
      <c r="DA19" s="59"/>
      <c r="DB19" s="61"/>
      <c r="DC19" s="59"/>
      <c r="DD19" s="59"/>
      <c r="DE19" s="61"/>
      <c r="DF19" s="61"/>
      <c r="DG19" s="59"/>
      <c r="DH19" s="61"/>
      <c r="DI19" s="61"/>
      <c r="DJ19" s="59"/>
      <c r="DK19" s="59"/>
      <c r="DL19" s="62"/>
      <c r="DM19" s="56">
        <f t="shared" si="87"/>
        <v>0</v>
      </c>
      <c r="DN19" s="88" t="str">
        <f t="shared" si="88"/>
        <v/>
      </c>
      <c r="DO19" s="119" t="str">
        <f t="shared" si="89"/>
        <v/>
      </c>
      <c r="DP19" s="119" t="str">
        <f t="shared" si="90"/>
        <v/>
      </c>
      <c r="DQ19" s="121" t="str">
        <f t="shared" si="91"/>
        <v/>
      </c>
      <c r="DR19" s="121" t="str">
        <f t="shared" si="92"/>
        <v/>
      </c>
    </row>
    <row r="20" spans="1:122" x14ac:dyDescent="0.25">
      <c r="A20" s="183" t="str">
        <f t="shared" si="46"/>
        <v xml:space="preserve">  -  - </v>
      </c>
      <c r="B20" s="98"/>
      <c r="C20" s="97"/>
      <c r="D20" s="93"/>
      <c r="E20" s="71"/>
      <c r="F20" s="73"/>
      <c r="G20" s="103"/>
      <c r="H20" s="71"/>
      <c r="I20" s="105" t="str">
        <f t="shared" si="47"/>
        <v/>
      </c>
      <c r="J20" s="104"/>
      <c r="K20" s="63"/>
      <c r="L20" s="72"/>
      <c r="M20" s="74"/>
      <c r="N20" s="75"/>
      <c r="O20" s="75"/>
      <c r="P20" s="120"/>
      <c r="Q20" s="76" t="str">
        <f t="shared" si="48"/>
        <v/>
      </c>
      <c r="R20" s="77">
        <f t="shared" si="49"/>
        <v>0</v>
      </c>
      <c r="S20" s="63"/>
      <c r="T20" s="78">
        <f t="shared" si="50"/>
        <v>0</v>
      </c>
      <c r="U20" s="79">
        <f>IF(M20=0,0,IF(G20="Annulation","",IF(assurance="ALPTIS",M20*12*T20/100*#REF!,IF(assurance="APRIL",M20*12*T20/100*#REF!,IF(assurance="ASAF",M20*12*T20/100*#REF!,IF(assurance="NEOLIANE",(#REF!+M20*12*#REF!)*T20/100,IF(assurance="NEOLIANE Prev",(#REF!+M20*12*#REF!)*T20/100,IF(assurance="SWISSLIFE",M20*12*T20/100*#REF!,IF(assurance="AVIVA",M20*12*T20/100*#REF!,IF(assurance="CIPRES",M20*12*T20/100*#REF!,IF(assurance="CEGEMA",M20*12*T20/100*#REF!,IF(assurance=0,0))))))))))))</f>
        <v>0</v>
      </c>
      <c r="V20" s="91" t="str">
        <f t="shared" si="51"/>
        <v/>
      </c>
      <c r="W20" s="91" t="str">
        <f t="shared" si="52"/>
        <v/>
      </c>
      <c r="X20" s="92">
        <f t="shared" si="53"/>
        <v>0</v>
      </c>
      <c r="Y20" s="108">
        <f t="shared" si="54"/>
        <v>0</v>
      </c>
      <c r="Z20" s="106"/>
      <c r="AA20" s="105" t="str">
        <f t="shared" si="55"/>
        <v/>
      </c>
      <c r="AB20" s="63" t="s">
        <v>12</v>
      </c>
      <c r="AC20" s="72"/>
      <c r="AD20" s="101" t="str">
        <f t="shared" si="56"/>
        <v/>
      </c>
      <c r="AE20" s="80" t="str">
        <f t="shared" ref="AE20:AE45" si="96">IF(Z20=43466,43404,"")</f>
        <v/>
      </c>
      <c r="AF20" s="72"/>
      <c r="AG20" s="70" t="str">
        <f t="shared" si="58"/>
        <v/>
      </c>
      <c r="AH20" s="81" t="str">
        <f t="shared" ca="1" si="59"/>
        <v/>
      </c>
      <c r="AI20" s="111" t="str">
        <f t="shared" ca="1" si="60"/>
        <v/>
      </c>
      <c r="AJ20" s="89" t="str">
        <f t="shared" si="61"/>
        <v/>
      </c>
      <c r="AK20" s="89" t="str">
        <f t="shared" si="62"/>
        <v/>
      </c>
      <c r="AL20" s="81" t="str">
        <f t="shared" si="63"/>
        <v/>
      </c>
      <c r="AM20" s="74">
        <f t="shared" si="64"/>
        <v>0</v>
      </c>
      <c r="AN20" s="74">
        <f t="shared" si="93"/>
        <v>0</v>
      </c>
      <c r="AO20" s="82">
        <f t="shared" si="66"/>
        <v>0</v>
      </c>
      <c r="AP20" s="74">
        <f t="shared" si="94"/>
        <v>0</v>
      </c>
      <c r="AQ20" s="82">
        <f t="shared" si="68"/>
        <v>0</v>
      </c>
      <c r="AR20" s="83">
        <f t="shared" si="69"/>
        <v>0</v>
      </c>
      <c r="AS20" s="74">
        <f t="shared" si="95"/>
        <v>0</v>
      </c>
      <c r="AT20" s="82">
        <f t="shared" si="71"/>
        <v>0</v>
      </c>
      <c r="AU20" s="83">
        <f t="shared" si="72"/>
        <v>0</v>
      </c>
      <c r="AV20" s="74">
        <f t="shared" si="73"/>
        <v>0</v>
      </c>
      <c r="AW20" s="82">
        <f t="shared" si="74"/>
        <v>0</v>
      </c>
      <c r="AX20" s="83">
        <f t="shared" si="75"/>
        <v>0</v>
      </c>
      <c r="AY20" s="63"/>
      <c r="AZ20" s="84"/>
      <c r="BA20" s="85"/>
      <c r="BB20" s="95"/>
      <c r="BC20" s="86"/>
      <c r="BD20" s="86"/>
      <c r="BE20" s="96"/>
      <c r="BF20" s="69"/>
      <c r="BG20" s="114"/>
      <c r="BH20" s="63">
        <v>1</v>
      </c>
      <c r="BI20" s="68">
        <v>0</v>
      </c>
      <c r="BJ20" s="71"/>
      <c r="BK20" s="87"/>
      <c r="BL20" s="64" t="str">
        <f t="shared" ca="1" si="76"/>
        <v/>
      </c>
      <c r="BM20" s="65"/>
      <c r="BN20" s="66"/>
      <c r="BO20" s="67" t="str">
        <f t="shared" ca="1" si="77"/>
        <v/>
      </c>
      <c r="BP20" s="65"/>
      <c r="BQ20" s="66"/>
      <c r="BR20" s="67" t="str">
        <f t="shared" ca="1" si="78"/>
        <v/>
      </c>
      <c r="BS20" s="65"/>
      <c r="BT20" s="66"/>
      <c r="BU20" s="67" t="str">
        <f t="shared" ca="1" si="79"/>
        <v/>
      </c>
      <c r="BV20" s="65"/>
      <c r="BW20" s="66"/>
      <c r="BX20" s="67" t="str">
        <f t="shared" ca="1" si="80"/>
        <v/>
      </c>
      <c r="BY20" s="65"/>
      <c r="BZ20" s="66"/>
      <c r="CA20" s="67" t="str">
        <f t="shared" ca="1" si="81"/>
        <v/>
      </c>
      <c r="CB20" s="65"/>
      <c r="CC20" s="66"/>
      <c r="CD20" s="67" t="str">
        <f t="shared" ca="1" si="82"/>
        <v/>
      </c>
      <c r="CE20" s="65"/>
      <c r="CF20" s="66"/>
      <c r="CG20" s="67" t="str">
        <f t="shared" ca="1" si="83"/>
        <v/>
      </c>
      <c r="CH20" s="65"/>
      <c r="CI20" s="66"/>
      <c r="CJ20" s="67" t="str">
        <f t="shared" ca="1" si="84"/>
        <v/>
      </c>
      <c r="CK20" s="57"/>
      <c r="CL20" s="59"/>
      <c r="CM20" s="59"/>
      <c r="CN20" s="59"/>
      <c r="CO20" s="59"/>
      <c r="CP20" s="59"/>
      <c r="CQ20" s="59"/>
      <c r="CR20" s="57"/>
      <c r="CS20" s="58"/>
      <c r="CT20" s="90" t="str">
        <f t="shared" si="85"/>
        <v/>
      </c>
      <c r="CU20" s="59"/>
      <c r="CV20" s="60"/>
      <c r="CW20" s="59"/>
      <c r="CX20" s="59"/>
      <c r="CY20" s="59" t="str">
        <f t="shared" si="86"/>
        <v/>
      </c>
      <c r="CZ20" s="59"/>
      <c r="DA20" s="59"/>
      <c r="DB20" s="61"/>
      <c r="DC20" s="59"/>
      <c r="DD20" s="59"/>
      <c r="DE20" s="61"/>
      <c r="DF20" s="61"/>
      <c r="DG20" s="59"/>
      <c r="DH20" s="61"/>
      <c r="DI20" s="61"/>
      <c r="DJ20" s="59"/>
      <c r="DK20" s="59"/>
      <c r="DL20" s="62"/>
      <c r="DM20" s="56">
        <f t="shared" si="87"/>
        <v>0</v>
      </c>
      <c r="DN20" s="88" t="str">
        <f t="shared" si="88"/>
        <v/>
      </c>
      <c r="DO20" s="119" t="str">
        <f t="shared" si="89"/>
        <v/>
      </c>
      <c r="DP20" s="119" t="str">
        <f t="shared" si="90"/>
        <v/>
      </c>
      <c r="DQ20" s="121" t="str">
        <f t="shared" si="91"/>
        <v/>
      </c>
      <c r="DR20" s="121" t="str">
        <f t="shared" si="92"/>
        <v/>
      </c>
    </row>
    <row r="21" spans="1:122" x14ac:dyDescent="0.25">
      <c r="A21" s="183" t="str">
        <f t="shared" si="46"/>
        <v xml:space="preserve">  -  - </v>
      </c>
      <c r="B21" s="98"/>
      <c r="C21" s="97"/>
      <c r="D21" s="93"/>
      <c r="E21" s="71"/>
      <c r="F21" s="73"/>
      <c r="G21" s="103"/>
      <c r="H21" s="71"/>
      <c r="I21" s="105" t="str">
        <f t="shared" si="47"/>
        <v/>
      </c>
      <c r="J21" s="104"/>
      <c r="K21" s="63"/>
      <c r="L21" s="72"/>
      <c r="M21" s="74"/>
      <c r="N21" s="75"/>
      <c r="O21" s="75"/>
      <c r="P21" s="120"/>
      <c r="Q21" s="76" t="str">
        <f t="shared" si="48"/>
        <v/>
      </c>
      <c r="R21" s="77">
        <f t="shared" si="49"/>
        <v>0</v>
      </c>
      <c r="S21" s="63"/>
      <c r="T21" s="78">
        <f t="shared" si="50"/>
        <v>0</v>
      </c>
      <c r="U21" s="79">
        <f>IF(M21=0,0,IF(G21="Annulation","",IF(assurance="ALPTIS",M21*12*T21/100*#REF!,IF(assurance="APRIL",M21*12*T21/100*#REF!,IF(assurance="ASAF",M21*12*T21/100*#REF!,IF(assurance="NEOLIANE",(#REF!+M21*12*#REF!)*T21/100,IF(assurance="NEOLIANE Prev",(#REF!+M21*12*#REF!)*T21/100,IF(assurance="SWISSLIFE",M21*12*T21/100*#REF!,IF(assurance="AVIVA",M21*12*T21/100*#REF!,IF(assurance="CIPRES",M21*12*T21/100*#REF!,IF(assurance="CEGEMA",M21*12*T21/100*#REF!,IF(assurance=0,0))))))))))))</f>
        <v>0</v>
      </c>
      <c r="V21" s="91" t="str">
        <f t="shared" si="51"/>
        <v/>
      </c>
      <c r="W21" s="91" t="str">
        <f t="shared" si="52"/>
        <v/>
      </c>
      <c r="X21" s="92">
        <f t="shared" si="53"/>
        <v>0</v>
      </c>
      <c r="Y21" s="108">
        <f t="shared" si="54"/>
        <v>0</v>
      </c>
      <c r="Z21" s="106"/>
      <c r="AA21" s="105" t="str">
        <f t="shared" si="55"/>
        <v/>
      </c>
      <c r="AB21" s="63" t="s">
        <v>12</v>
      </c>
      <c r="AC21" s="72"/>
      <c r="AD21" s="101" t="str">
        <f t="shared" si="56"/>
        <v/>
      </c>
      <c r="AE21" s="80" t="str">
        <f t="shared" si="96"/>
        <v/>
      </c>
      <c r="AF21" s="72"/>
      <c r="AG21" s="70" t="str">
        <f t="shared" si="58"/>
        <v/>
      </c>
      <c r="AH21" s="81" t="str">
        <f t="shared" ca="1" si="59"/>
        <v/>
      </c>
      <c r="AI21" s="111" t="str">
        <f t="shared" ca="1" si="60"/>
        <v/>
      </c>
      <c r="AJ21" s="89" t="str">
        <f t="shared" si="61"/>
        <v/>
      </c>
      <c r="AK21" s="89" t="str">
        <f t="shared" si="62"/>
        <v/>
      </c>
      <c r="AL21" s="81" t="str">
        <f t="shared" si="63"/>
        <v/>
      </c>
      <c r="AM21" s="74">
        <f t="shared" si="64"/>
        <v>0</v>
      </c>
      <c r="AN21" s="74">
        <f t="shared" si="93"/>
        <v>0</v>
      </c>
      <c r="AO21" s="82">
        <f t="shared" si="66"/>
        <v>0</v>
      </c>
      <c r="AP21" s="74">
        <f t="shared" si="94"/>
        <v>0</v>
      </c>
      <c r="AQ21" s="82">
        <f t="shared" si="68"/>
        <v>0</v>
      </c>
      <c r="AR21" s="83">
        <f t="shared" si="69"/>
        <v>0</v>
      </c>
      <c r="AS21" s="74">
        <f t="shared" si="95"/>
        <v>0</v>
      </c>
      <c r="AT21" s="82">
        <f t="shared" si="71"/>
        <v>0</v>
      </c>
      <c r="AU21" s="83">
        <f t="shared" si="72"/>
        <v>0</v>
      </c>
      <c r="AV21" s="74">
        <f t="shared" si="73"/>
        <v>0</v>
      </c>
      <c r="AW21" s="82">
        <f t="shared" si="74"/>
        <v>0</v>
      </c>
      <c r="AX21" s="83">
        <f t="shared" si="75"/>
        <v>0</v>
      </c>
      <c r="AY21" s="63"/>
      <c r="AZ21" s="84"/>
      <c r="BA21" s="85"/>
      <c r="BB21" s="95"/>
      <c r="BC21" s="86"/>
      <c r="BD21" s="86"/>
      <c r="BE21" s="96"/>
      <c r="BF21" s="69"/>
      <c r="BG21" s="114"/>
      <c r="BH21" s="63">
        <v>1</v>
      </c>
      <c r="BI21" s="68">
        <v>0</v>
      </c>
      <c r="BJ21" s="71"/>
      <c r="BK21" s="87"/>
      <c r="BL21" s="64" t="str">
        <f t="shared" ca="1" si="76"/>
        <v/>
      </c>
      <c r="BM21" s="65"/>
      <c r="BN21" s="66"/>
      <c r="BO21" s="67" t="str">
        <f t="shared" ca="1" si="77"/>
        <v/>
      </c>
      <c r="BP21" s="65"/>
      <c r="BQ21" s="66"/>
      <c r="BR21" s="67" t="str">
        <f t="shared" ca="1" si="78"/>
        <v/>
      </c>
      <c r="BS21" s="65"/>
      <c r="BT21" s="66"/>
      <c r="BU21" s="67" t="str">
        <f t="shared" ca="1" si="79"/>
        <v/>
      </c>
      <c r="BV21" s="65"/>
      <c r="BW21" s="66"/>
      <c r="BX21" s="67" t="str">
        <f t="shared" ca="1" si="80"/>
        <v/>
      </c>
      <c r="BY21" s="65"/>
      <c r="BZ21" s="66"/>
      <c r="CA21" s="67" t="str">
        <f t="shared" ca="1" si="81"/>
        <v/>
      </c>
      <c r="CB21" s="65"/>
      <c r="CC21" s="66"/>
      <c r="CD21" s="67" t="str">
        <f t="shared" ca="1" si="82"/>
        <v/>
      </c>
      <c r="CE21" s="65"/>
      <c r="CF21" s="66"/>
      <c r="CG21" s="67" t="str">
        <f t="shared" ca="1" si="83"/>
        <v/>
      </c>
      <c r="CH21" s="65"/>
      <c r="CI21" s="66"/>
      <c r="CJ21" s="67" t="str">
        <f t="shared" ca="1" si="84"/>
        <v/>
      </c>
      <c r="CK21" s="57"/>
      <c r="CL21" s="59"/>
      <c r="CM21" s="59"/>
      <c r="CN21" s="59"/>
      <c r="CO21" s="59"/>
      <c r="CP21" s="59"/>
      <c r="CQ21" s="59"/>
      <c r="CR21" s="57"/>
      <c r="CS21" s="58"/>
      <c r="CT21" s="90" t="str">
        <f t="shared" si="85"/>
        <v/>
      </c>
      <c r="CU21" s="59"/>
      <c r="CV21" s="60"/>
      <c r="CW21" s="59"/>
      <c r="CX21" s="59"/>
      <c r="CY21" s="59" t="str">
        <f t="shared" si="86"/>
        <v/>
      </c>
      <c r="CZ21" s="59"/>
      <c r="DA21" s="59"/>
      <c r="DB21" s="61"/>
      <c r="DC21" s="59"/>
      <c r="DD21" s="59"/>
      <c r="DE21" s="61"/>
      <c r="DF21" s="61"/>
      <c r="DG21" s="59"/>
      <c r="DH21" s="61"/>
      <c r="DI21" s="61"/>
      <c r="DJ21" s="59"/>
      <c r="DK21" s="59"/>
      <c r="DL21" s="62"/>
      <c r="DM21" s="56">
        <f t="shared" si="87"/>
        <v>0</v>
      </c>
      <c r="DN21" s="88" t="str">
        <f t="shared" si="88"/>
        <v/>
      </c>
      <c r="DO21" s="119" t="str">
        <f t="shared" si="89"/>
        <v/>
      </c>
      <c r="DP21" s="119" t="str">
        <f t="shared" si="90"/>
        <v/>
      </c>
      <c r="DQ21" s="121" t="str">
        <f t="shared" si="91"/>
        <v/>
      </c>
      <c r="DR21" s="121" t="str">
        <f t="shared" si="92"/>
        <v/>
      </c>
    </row>
    <row r="22" spans="1:122" x14ac:dyDescent="0.25">
      <c r="A22" s="183" t="str">
        <f t="shared" si="46"/>
        <v xml:space="preserve">  -  - </v>
      </c>
      <c r="B22" s="98"/>
      <c r="C22" s="97"/>
      <c r="D22" s="93"/>
      <c r="E22" s="71"/>
      <c r="F22" s="73"/>
      <c r="G22" s="103"/>
      <c r="H22" s="71"/>
      <c r="I22" s="105" t="str">
        <f t="shared" si="47"/>
        <v/>
      </c>
      <c r="J22" s="104"/>
      <c r="K22" s="63"/>
      <c r="L22" s="72"/>
      <c r="M22" s="74"/>
      <c r="N22" s="75"/>
      <c r="O22" s="75"/>
      <c r="P22" s="120"/>
      <c r="Q22" s="76" t="str">
        <f t="shared" si="48"/>
        <v/>
      </c>
      <c r="R22" s="77">
        <f t="shared" si="49"/>
        <v>0</v>
      </c>
      <c r="S22" s="63"/>
      <c r="T22" s="78">
        <f t="shared" si="50"/>
        <v>0</v>
      </c>
      <c r="U22" s="79">
        <f>IF(M22=0,0,IF(G22="Annulation","",IF(assurance="ALPTIS",M22*12*T22/100*#REF!,IF(assurance="APRIL",M22*12*T22/100*#REF!,IF(assurance="ASAF",M22*12*T22/100*#REF!,IF(assurance="NEOLIANE",(#REF!+M22*12*#REF!)*T22/100,IF(assurance="NEOLIANE Prev",(#REF!+M22*12*#REF!)*T22/100,IF(assurance="SWISSLIFE",M22*12*T22/100*#REF!,IF(assurance="AVIVA",M22*12*T22/100*#REF!,IF(assurance="CIPRES",M22*12*T22/100*#REF!,IF(assurance="CEGEMA",M22*12*T22/100*#REF!,IF(assurance=0,0))))))))))))</f>
        <v>0</v>
      </c>
      <c r="V22" s="91" t="str">
        <f t="shared" si="51"/>
        <v/>
      </c>
      <c r="W22" s="91" t="str">
        <f t="shared" si="52"/>
        <v/>
      </c>
      <c r="X22" s="92">
        <f t="shared" si="53"/>
        <v>0</v>
      </c>
      <c r="Y22" s="108">
        <f t="shared" si="54"/>
        <v>0</v>
      </c>
      <c r="Z22" s="106"/>
      <c r="AA22" s="105" t="str">
        <f t="shared" si="55"/>
        <v/>
      </c>
      <c r="AB22" s="63" t="s">
        <v>12</v>
      </c>
      <c r="AC22" s="72"/>
      <c r="AD22" s="101" t="str">
        <f t="shared" si="56"/>
        <v/>
      </c>
      <c r="AE22" s="80" t="str">
        <f t="shared" si="96"/>
        <v/>
      </c>
      <c r="AF22" s="72"/>
      <c r="AG22" s="70" t="str">
        <f t="shared" si="58"/>
        <v/>
      </c>
      <c r="AH22" s="81" t="str">
        <f t="shared" ca="1" si="59"/>
        <v/>
      </c>
      <c r="AI22" s="111" t="str">
        <f t="shared" ca="1" si="60"/>
        <v/>
      </c>
      <c r="AJ22" s="89" t="str">
        <f t="shared" si="61"/>
        <v/>
      </c>
      <c r="AK22" s="89" t="str">
        <f t="shared" si="62"/>
        <v/>
      </c>
      <c r="AL22" s="81" t="str">
        <f t="shared" si="63"/>
        <v/>
      </c>
      <c r="AM22" s="74">
        <f t="shared" si="64"/>
        <v>0</v>
      </c>
      <c r="AN22" s="74">
        <f t="shared" si="93"/>
        <v>0</v>
      </c>
      <c r="AO22" s="82">
        <f t="shared" si="66"/>
        <v>0</v>
      </c>
      <c r="AP22" s="74">
        <f t="shared" si="94"/>
        <v>0</v>
      </c>
      <c r="AQ22" s="82">
        <f t="shared" si="68"/>
        <v>0</v>
      </c>
      <c r="AR22" s="83">
        <f t="shared" si="69"/>
        <v>0</v>
      </c>
      <c r="AS22" s="74">
        <f t="shared" si="95"/>
        <v>0</v>
      </c>
      <c r="AT22" s="82">
        <f t="shared" si="71"/>
        <v>0</v>
      </c>
      <c r="AU22" s="83">
        <f t="shared" si="72"/>
        <v>0</v>
      </c>
      <c r="AV22" s="74">
        <f t="shared" si="73"/>
        <v>0</v>
      </c>
      <c r="AW22" s="82">
        <f t="shared" si="74"/>
        <v>0</v>
      </c>
      <c r="AX22" s="83">
        <f t="shared" si="75"/>
        <v>0</v>
      </c>
      <c r="AY22" s="63"/>
      <c r="AZ22" s="84"/>
      <c r="BA22" s="85"/>
      <c r="BB22" s="95"/>
      <c r="BC22" s="86"/>
      <c r="BD22" s="86"/>
      <c r="BE22" s="96"/>
      <c r="BF22" s="69"/>
      <c r="BG22" s="114"/>
      <c r="BH22" s="63">
        <v>1</v>
      </c>
      <c r="BI22" s="68">
        <v>0</v>
      </c>
      <c r="BJ22" s="71"/>
      <c r="BK22" s="87"/>
      <c r="BL22" s="64" t="str">
        <f t="shared" ca="1" si="76"/>
        <v/>
      </c>
      <c r="BM22" s="65"/>
      <c r="BN22" s="66"/>
      <c r="BO22" s="67" t="str">
        <f t="shared" ca="1" si="77"/>
        <v/>
      </c>
      <c r="BP22" s="65"/>
      <c r="BQ22" s="66"/>
      <c r="BR22" s="67" t="str">
        <f t="shared" ca="1" si="78"/>
        <v/>
      </c>
      <c r="BS22" s="65"/>
      <c r="BT22" s="66"/>
      <c r="BU22" s="67" t="str">
        <f t="shared" ca="1" si="79"/>
        <v/>
      </c>
      <c r="BV22" s="65"/>
      <c r="BW22" s="66"/>
      <c r="BX22" s="67" t="str">
        <f t="shared" ca="1" si="80"/>
        <v/>
      </c>
      <c r="BY22" s="65"/>
      <c r="BZ22" s="66"/>
      <c r="CA22" s="67" t="str">
        <f t="shared" ca="1" si="81"/>
        <v/>
      </c>
      <c r="CB22" s="65"/>
      <c r="CC22" s="66"/>
      <c r="CD22" s="67" t="str">
        <f t="shared" ca="1" si="82"/>
        <v/>
      </c>
      <c r="CE22" s="65"/>
      <c r="CF22" s="66"/>
      <c r="CG22" s="67" t="str">
        <f t="shared" ca="1" si="83"/>
        <v/>
      </c>
      <c r="CH22" s="65"/>
      <c r="CI22" s="66"/>
      <c r="CJ22" s="67" t="str">
        <f t="shared" ca="1" si="84"/>
        <v/>
      </c>
      <c r="CK22" s="57"/>
      <c r="CL22" s="59"/>
      <c r="CM22" s="59"/>
      <c r="CN22" s="59"/>
      <c r="CO22" s="59"/>
      <c r="CP22" s="59"/>
      <c r="CQ22" s="59"/>
      <c r="CR22" s="57"/>
      <c r="CS22" s="58"/>
      <c r="CT22" s="90" t="str">
        <f t="shared" ref="CT22:CT45" si="97">IF(J22="Prev. Pro",IF(BL22=118,"",BL22),"")</f>
        <v/>
      </c>
      <c r="CU22" s="59"/>
      <c r="CV22" s="60"/>
      <c r="CW22" s="59"/>
      <c r="CX22" s="59"/>
      <c r="CY22" s="59" t="str">
        <f t="shared" si="86"/>
        <v/>
      </c>
      <c r="CZ22" s="59"/>
      <c r="DA22" s="59"/>
      <c r="DB22" s="61"/>
      <c r="DC22" s="59"/>
      <c r="DD22" s="59"/>
      <c r="DE22" s="61"/>
      <c r="DF22" s="61"/>
      <c r="DG22" s="59"/>
      <c r="DH22" s="61"/>
      <c r="DI22" s="61"/>
      <c r="DJ22" s="59"/>
      <c r="DK22" s="59"/>
      <c r="DL22" s="62"/>
      <c r="DM22" s="56">
        <f t="shared" si="87"/>
        <v>0</v>
      </c>
      <c r="DN22" s="88" t="str">
        <f t="shared" si="88"/>
        <v/>
      </c>
      <c r="DO22" s="119" t="str">
        <f t="shared" si="89"/>
        <v/>
      </c>
      <c r="DP22" s="119" t="str">
        <f t="shared" si="90"/>
        <v/>
      </c>
      <c r="DQ22" s="121" t="str">
        <f t="shared" si="91"/>
        <v/>
      </c>
      <c r="DR22" s="121" t="str">
        <f t="shared" si="92"/>
        <v/>
      </c>
    </row>
    <row r="23" spans="1:122" x14ac:dyDescent="0.25">
      <c r="A23" s="183" t="str">
        <f t="shared" si="46"/>
        <v xml:space="preserve">  -  - </v>
      </c>
      <c r="B23" s="98"/>
      <c r="C23" s="97"/>
      <c r="D23" s="93"/>
      <c r="E23" s="71"/>
      <c r="F23" s="73"/>
      <c r="G23" s="103"/>
      <c r="H23" s="71"/>
      <c r="I23" s="105" t="str">
        <f t="shared" si="47"/>
        <v/>
      </c>
      <c r="J23" s="104"/>
      <c r="K23" s="63"/>
      <c r="L23" s="72"/>
      <c r="M23" s="74"/>
      <c r="N23" s="75"/>
      <c r="O23" s="75"/>
      <c r="P23" s="120"/>
      <c r="Q23" s="76" t="str">
        <f t="shared" si="48"/>
        <v/>
      </c>
      <c r="R23" s="77">
        <f t="shared" si="49"/>
        <v>0</v>
      </c>
      <c r="S23" s="63"/>
      <c r="T23" s="78">
        <f t="shared" si="50"/>
        <v>0</v>
      </c>
      <c r="U23" s="79">
        <f>IF(M23=0,0,IF(G23="Annulation","",IF(assurance="ALPTIS",M23*12*T23/100*#REF!,IF(assurance="APRIL",M23*12*T23/100*#REF!,IF(assurance="ASAF",M23*12*T23/100*#REF!,IF(assurance="NEOLIANE",(#REF!+M23*12*#REF!)*T23/100,IF(assurance="NEOLIANE Prev",(#REF!+M23*12*#REF!)*T23/100,IF(assurance="SWISSLIFE",M23*12*T23/100*#REF!,IF(assurance="AVIVA",M23*12*T23/100*#REF!,IF(assurance="CIPRES",M23*12*T23/100*#REF!,IF(assurance="CEGEMA",M23*12*T23/100*#REF!,IF(assurance=0,0))))))))))))</f>
        <v>0</v>
      </c>
      <c r="V23" s="91" t="str">
        <f t="shared" si="51"/>
        <v/>
      </c>
      <c r="W23" s="91" t="str">
        <f t="shared" si="52"/>
        <v/>
      </c>
      <c r="X23" s="92">
        <f t="shared" si="53"/>
        <v>0</v>
      </c>
      <c r="Y23" s="108">
        <f t="shared" si="54"/>
        <v>0</v>
      </c>
      <c r="Z23" s="106"/>
      <c r="AA23" s="105" t="str">
        <f t="shared" si="55"/>
        <v/>
      </c>
      <c r="AB23" s="63" t="s">
        <v>12</v>
      </c>
      <c r="AC23" s="72"/>
      <c r="AD23" s="101" t="str">
        <f t="shared" si="56"/>
        <v/>
      </c>
      <c r="AE23" s="80" t="str">
        <f t="shared" si="96"/>
        <v/>
      </c>
      <c r="AF23" s="72"/>
      <c r="AG23" s="70" t="str">
        <f t="shared" si="58"/>
        <v/>
      </c>
      <c r="AH23" s="81" t="str">
        <f t="shared" ca="1" si="59"/>
        <v/>
      </c>
      <c r="AI23" s="111" t="str">
        <f t="shared" ca="1" si="60"/>
        <v/>
      </c>
      <c r="AJ23" s="89" t="str">
        <f t="shared" si="61"/>
        <v/>
      </c>
      <c r="AK23" s="89" t="str">
        <f t="shared" si="62"/>
        <v/>
      </c>
      <c r="AL23" s="81" t="str">
        <f t="shared" si="63"/>
        <v/>
      </c>
      <c r="AM23" s="74">
        <f t="shared" si="64"/>
        <v>0</v>
      </c>
      <c r="AN23" s="74">
        <f t="shared" si="93"/>
        <v>0</v>
      </c>
      <c r="AO23" s="82">
        <f t="shared" si="66"/>
        <v>0</v>
      </c>
      <c r="AP23" s="74">
        <f t="shared" si="94"/>
        <v>0</v>
      </c>
      <c r="AQ23" s="82">
        <f t="shared" si="68"/>
        <v>0</v>
      </c>
      <c r="AR23" s="83">
        <f t="shared" si="69"/>
        <v>0</v>
      </c>
      <c r="AS23" s="74">
        <f t="shared" si="95"/>
        <v>0</v>
      </c>
      <c r="AT23" s="82">
        <f t="shared" si="71"/>
        <v>0</v>
      </c>
      <c r="AU23" s="83">
        <f t="shared" si="72"/>
        <v>0</v>
      </c>
      <c r="AV23" s="74">
        <f t="shared" si="73"/>
        <v>0</v>
      </c>
      <c r="AW23" s="82">
        <f t="shared" si="74"/>
        <v>0</v>
      </c>
      <c r="AX23" s="83">
        <f t="shared" si="75"/>
        <v>0</v>
      </c>
      <c r="AY23" s="63"/>
      <c r="AZ23" s="84"/>
      <c r="BA23" s="85"/>
      <c r="BB23" s="95"/>
      <c r="BC23" s="86"/>
      <c r="BD23" s="86"/>
      <c r="BE23" s="96"/>
      <c r="BF23" s="69"/>
      <c r="BG23" s="114"/>
      <c r="BH23" s="63">
        <v>1</v>
      </c>
      <c r="BI23" s="68">
        <v>0</v>
      </c>
      <c r="BJ23" s="71"/>
      <c r="BK23" s="87"/>
      <c r="BL23" s="64" t="str">
        <f t="shared" ca="1" si="76"/>
        <v/>
      </c>
      <c r="BM23" s="65"/>
      <c r="BN23" s="66"/>
      <c r="BO23" s="67" t="str">
        <f t="shared" ca="1" si="77"/>
        <v/>
      </c>
      <c r="BP23" s="65"/>
      <c r="BQ23" s="66"/>
      <c r="BR23" s="67" t="str">
        <f t="shared" ca="1" si="78"/>
        <v/>
      </c>
      <c r="BS23" s="65"/>
      <c r="BT23" s="66"/>
      <c r="BU23" s="67" t="str">
        <f t="shared" ca="1" si="79"/>
        <v/>
      </c>
      <c r="BV23" s="65"/>
      <c r="BW23" s="66"/>
      <c r="BX23" s="67" t="str">
        <f t="shared" ca="1" si="80"/>
        <v/>
      </c>
      <c r="BY23" s="65"/>
      <c r="BZ23" s="66"/>
      <c r="CA23" s="67" t="str">
        <f t="shared" ca="1" si="81"/>
        <v/>
      </c>
      <c r="CB23" s="65"/>
      <c r="CC23" s="66"/>
      <c r="CD23" s="67" t="str">
        <f t="shared" ca="1" si="82"/>
        <v/>
      </c>
      <c r="CE23" s="65"/>
      <c r="CF23" s="66"/>
      <c r="CG23" s="67" t="str">
        <f t="shared" ca="1" si="83"/>
        <v/>
      </c>
      <c r="CH23" s="65"/>
      <c r="CI23" s="66"/>
      <c r="CJ23" s="67" t="str">
        <f t="shared" ca="1" si="84"/>
        <v/>
      </c>
      <c r="CK23" s="57"/>
      <c r="CL23" s="59"/>
      <c r="CM23" s="59"/>
      <c r="CN23" s="59"/>
      <c r="CO23" s="59"/>
      <c r="CP23" s="59"/>
      <c r="CQ23" s="59"/>
      <c r="CR23" s="57"/>
      <c r="CS23" s="58"/>
      <c r="CT23" s="90" t="str">
        <f t="shared" si="97"/>
        <v/>
      </c>
      <c r="CU23" s="59"/>
      <c r="CV23" s="60"/>
      <c r="CW23" s="59"/>
      <c r="CX23" s="59"/>
      <c r="CY23" s="59" t="str">
        <f t="shared" si="86"/>
        <v/>
      </c>
      <c r="CZ23" s="59"/>
      <c r="DA23" s="59"/>
      <c r="DB23" s="61"/>
      <c r="DC23" s="59"/>
      <c r="DD23" s="59"/>
      <c r="DE23" s="61"/>
      <c r="DF23" s="61"/>
      <c r="DG23" s="59"/>
      <c r="DH23" s="61"/>
      <c r="DI23" s="61"/>
      <c r="DJ23" s="59"/>
      <c r="DK23" s="59"/>
      <c r="DL23" s="62"/>
      <c r="DM23" s="56">
        <f t="shared" si="87"/>
        <v>0</v>
      </c>
      <c r="DN23" s="88" t="str">
        <f t="shared" si="88"/>
        <v/>
      </c>
      <c r="DO23" s="119" t="str">
        <f t="shared" si="89"/>
        <v/>
      </c>
      <c r="DP23" s="119" t="str">
        <f t="shared" si="90"/>
        <v/>
      </c>
      <c r="DQ23" s="121" t="str">
        <f t="shared" si="91"/>
        <v/>
      </c>
      <c r="DR23" s="121" t="str">
        <f t="shared" si="92"/>
        <v/>
      </c>
    </row>
    <row r="24" spans="1:122" x14ac:dyDescent="0.25">
      <c r="A24" s="183" t="str">
        <f t="shared" si="46"/>
        <v xml:space="preserve">  -  - </v>
      </c>
      <c r="B24" s="98"/>
      <c r="C24" s="97"/>
      <c r="D24" s="93"/>
      <c r="E24" s="71"/>
      <c r="F24" s="73"/>
      <c r="G24" s="103"/>
      <c r="H24" s="71"/>
      <c r="I24" s="105" t="str">
        <f t="shared" si="47"/>
        <v/>
      </c>
      <c r="J24" s="104"/>
      <c r="K24" s="63"/>
      <c r="L24" s="72"/>
      <c r="M24" s="74"/>
      <c r="N24" s="75"/>
      <c r="O24" s="75"/>
      <c r="P24" s="120"/>
      <c r="Q24" s="76" t="str">
        <f t="shared" si="48"/>
        <v/>
      </c>
      <c r="R24" s="77">
        <f t="shared" si="49"/>
        <v>0</v>
      </c>
      <c r="S24" s="63"/>
      <c r="T24" s="78">
        <f t="shared" si="50"/>
        <v>0</v>
      </c>
      <c r="U24" s="79">
        <f>IF(M24=0,0,IF(G24="Annulation","",IF(assurance="ALPTIS",M24*12*T24/100*#REF!,IF(assurance="APRIL",M24*12*T24/100*#REF!,IF(assurance="ASAF",M24*12*T24/100*#REF!,IF(assurance="NEOLIANE",(#REF!+M24*12*#REF!)*T24/100,IF(assurance="NEOLIANE Prev",(#REF!+M24*12*#REF!)*T24/100,IF(assurance="SWISSLIFE",M24*12*T24/100*#REF!,IF(assurance="AVIVA",M24*12*T24/100*#REF!,IF(assurance="CIPRES",M24*12*T24/100*#REF!,IF(assurance="CEGEMA",M24*12*T24/100*#REF!,IF(assurance=0,0))))))))))))</f>
        <v>0</v>
      </c>
      <c r="V24" s="91" t="str">
        <f t="shared" si="51"/>
        <v/>
      </c>
      <c r="W24" s="91" t="str">
        <f t="shared" si="52"/>
        <v/>
      </c>
      <c r="X24" s="92">
        <f t="shared" si="53"/>
        <v>0</v>
      </c>
      <c r="Y24" s="108">
        <f t="shared" si="54"/>
        <v>0</v>
      </c>
      <c r="Z24" s="106"/>
      <c r="AA24" s="105" t="str">
        <f t="shared" si="55"/>
        <v/>
      </c>
      <c r="AB24" s="63" t="s">
        <v>12</v>
      </c>
      <c r="AC24" s="72"/>
      <c r="AD24" s="101" t="str">
        <f t="shared" si="56"/>
        <v/>
      </c>
      <c r="AE24" s="80" t="str">
        <f t="shared" si="96"/>
        <v/>
      </c>
      <c r="AF24" s="72"/>
      <c r="AG24" s="70" t="str">
        <f t="shared" si="58"/>
        <v/>
      </c>
      <c r="AH24" s="81" t="str">
        <f t="shared" ca="1" si="59"/>
        <v/>
      </c>
      <c r="AI24" s="111" t="str">
        <f t="shared" ca="1" si="60"/>
        <v/>
      </c>
      <c r="AJ24" s="89" t="str">
        <f t="shared" si="61"/>
        <v/>
      </c>
      <c r="AK24" s="89" t="str">
        <f t="shared" si="62"/>
        <v/>
      </c>
      <c r="AL24" s="81" t="str">
        <f t="shared" si="63"/>
        <v/>
      </c>
      <c r="AM24" s="74">
        <f t="shared" si="64"/>
        <v>0</v>
      </c>
      <c r="AN24" s="74">
        <f t="shared" si="93"/>
        <v>0</v>
      </c>
      <c r="AO24" s="82">
        <f t="shared" si="66"/>
        <v>0</v>
      </c>
      <c r="AP24" s="74">
        <f t="shared" si="94"/>
        <v>0</v>
      </c>
      <c r="AQ24" s="82">
        <f t="shared" si="68"/>
        <v>0</v>
      </c>
      <c r="AR24" s="83">
        <f t="shared" si="69"/>
        <v>0</v>
      </c>
      <c r="AS24" s="74">
        <f t="shared" si="95"/>
        <v>0</v>
      </c>
      <c r="AT24" s="82">
        <f t="shared" si="71"/>
        <v>0</v>
      </c>
      <c r="AU24" s="83">
        <f t="shared" si="72"/>
        <v>0</v>
      </c>
      <c r="AV24" s="74">
        <f t="shared" si="73"/>
        <v>0</v>
      </c>
      <c r="AW24" s="82">
        <f t="shared" si="74"/>
        <v>0</v>
      </c>
      <c r="AX24" s="83">
        <f t="shared" si="75"/>
        <v>0</v>
      </c>
      <c r="AY24" s="63"/>
      <c r="AZ24" s="84"/>
      <c r="BA24" s="85"/>
      <c r="BB24" s="95"/>
      <c r="BC24" s="86"/>
      <c r="BD24" s="86"/>
      <c r="BE24" s="96"/>
      <c r="BF24" s="69"/>
      <c r="BG24" s="114"/>
      <c r="BH24" s="63">
        <v>1</v>
      </c>
      <c r="BI24" s="68">
        <v>0</v>
      </c>
      <c r="BJ24" s="71"/>
      <c r="BK24" s="87"/>
      <c r="BL24" s="64" t="str">
        <f t="shared" ca="1" si="76"/>
        <v/>
      </c>
      <c r="BM24" s="65"/>
      <c r="BN24" s="66"/>
      <c r="BO24" s="67" t="str">
        <f t="shared" ca="1" si="77"/>
        <v/>
      </c>
      <c r="BP24" s="65"/>
      <c r="BQ24" s="66"/>
      <c r="BR24" s="67" t="str">
        <f t="shared" ca="1" si="78"/>
        <v/>
      </c>
      <c r="BS24" s="65"/>
      <c r="BT24" s="66"/>
      <c r="BU24" s="67" t="str">
        <f t="shared" ca="1" si="79"/>
        <v/>
      </c>
      <c r="BV24" s="65"/>
      <c r="BW24" s="66"/>
      <c r="BX24" s="67" t="str">
        <f t="shared" ca="1" si="80"/>
        <v/>
      </c>
      <c r="BY24" s="65"/>
      <c r="BZ24" s="66"/>
      <c r="CA24" s="67" t="str">
        <f t="shared" ca="1" si="81"/>
        <v/>
      </c>
      <c r="CB24" s="65"/>
      <c r="CC24" s="66"/>
      <c r="CD24" s="67" t="str">
        <f t="shared" ca="1" si="82"/>
        <v/>
      </c>
      <c r="CE24" s="65"/>
      <c r="CF24" s="66"/>
      <c r="CG24" s="67" t="str">
        <f t="shared" ca="1" si="83"/>
        <v/>
      </c>
      <c r="CH24" s="65"/>
      <c r="CI24" s="66"/>
      <c r="CJ24" s="67" t="str">
        <f t="shared" ca="1" si="84"/>
        <v/>
      </c>
      <c r="CK24" s="57"/>
      <c r="CL24" s="59"/>
      <c r="CM24" s="59"/>
      <c r="CN24" s="59"/>
      <c r="CO24" s="59"/>
      <c r="CP24" s="59"/>
      <c r="CQ24" s="59"/>
      <c r="CR24" s="57"/>
      <c r="CS24" s="58"/>
      <c r="CT24" s="90" t="str">
        <f t="shared" si="97"/>
        <v/>
      </c>
      <c r="CU24" s="59"/>
      <c r="CV24" s="60"/>
      <c r="CW24" s="59"/>
      <c r="CX24" s="59"/>
      <c r="CY24" s="59" t="str">
        <f t="shared" si="86"/>
        <v/>
      </c>
      <c r="CZ24" s="59"/>
      <c r="DA24" s="59"/>
      <c r="DB24" s="61"/>
      <c r="DC24" s="59"/>
      <c r="DD24" s="59"/>
      <c r="DE24" s="61"/>
      <c r="DF24" s="61"/>
      <c r="DG24" s="59"/>
      <c r="DH24" s="61"/>
      <c r="DI24" s="61"/>
      <c r="DJ24" s="59"/>
      <c r="DK24" s="59"/>
      <c r="DL24" s="62"/>
      <c r="DM24" s="56">
        <f t="shared" si="87"/>
        <v>0</v>
      </c>
      <c r="DN24" s="88" t="str">
        <f t="shared" si="88"/>
        <v/>
      </c>
      <c r="DO24" s="119" t="str">
        <f t="shared" si="89"/>
        <v/>
      </c>
      <c r="DP24" s="119" t="str">
        <f t="shared" si="90"/>
        <v/>
      </c>
      <c r="DQ24" s="121" t="str">
        <f t="shared" si="91"/>
        <v/>
      </c>
      <c r="DR24" s="121" t="str">
        <f t="shared" si="92"/>
        <v/>
      </c>
    </row>
    <row r="25" spans="1:122" x14ac:dyDescent="0.25">
      <c r="A25" s="183" t="str">
        <f t="shared" si="46"/>
        <v xml:space="preserve">  -  - </v>
      </c>
      <c r="B25" s="98"/>
      <c r="C25" s="97"/>
      <c r="D25" s="93"/>
      <c r="E25" s="71"/>
      <c r="F25" s="73"/>
      <c r="G25" s="103"/>
      <c r="H25" s="71"/>
      <c r="I25" s="105" t="str">
        <f t="shared" si="47"/>
        <v/>
      </c>
      <c r="J25" s="104"/>
      <c r="K25" s="63"/>
      <c r="L25" s="72"/>
      <c r="M25" s="74"/>
      <c r="N25" s="75"/>
      <c r="O25" s="75"/>
      <c r="P25" s="120"/>
      <c r="Q25" s="76" t="str">
        <f t="shared" si="48"/>
        <v/>
      </c>
      <c r="R25" s="77">
        <f t="shared" si="49"/>
        <v>0</v>
      </c>
      <c r="S25" s="63"/>
      <c r="T25" s="78">
        <f t="shared" si="50"/>
        <v>0</v>
      </c>
      <c r="U25" s="79">
        <f>IF(M25=0,0,IF(G25="Annulation","",IF(assurance="ALPTIS",M25*12*T25/100*#REF!,IF(assurance="APRIL",M25*12*T25/100*#REF!,IF(assurance="ASAF",M25*12*T25/100*#REF!,IF(assurance="NEOLIANE",(#REF!+M25*12*#REF!)*T25/100,IF(assurance="NEOLIANE Prev",(#REF!+M25*12*#REF!)*T25/100,IF(assurance="SWISSLIFE",M25*12*T25/100*#REF!,IF(assurance="AVIVA",M25*12*T25/100*#REF!,IF(assurance="CIPRES",M25*12*T25/100*#REF!,IF(assurance="CEGEMA",M25*12*T25/100*#REF!,IF(assurance=0,0))))))))))))</f>
        <v>0</v>
      </c>
      <c r="V25" s="91" t="str">
        <f t="shared" si="51"/>
        <v/>
      </c>
      <c r="W25" s="91" t="str">
        <f t="shared" si="52"/>
        <v/>
      </c>
      <c r="X25" s="92">
        <f t="shared" si="53"/>
        <v>0</v>
      </c>
      <c r="Y25" s="108">
        <f t="shared" si="54"/>
        <v>0</v>
      </c>
      <c r="Z25" s="106"/>
      <c r="AA25" s="105" t="str">
        <f t="shared" si="55"/>
        <v/>
      </c>
      <c r="AB25" s="63" t="s">
        <v>12</v>
      </c>
      <c r="AC25" s="72"/>
      <c r="AD25" s="101" t="str">
        <f t="shared" si="56"/>
        <v/>
      </c>
      <c r="AE25" s="80" t="str">
        <f t="shared" si="96"/>
        <v/>
      </c>
      <c r="AF25" s="72"/>
      <c r="AG25" s="70" t="str">
        <f t="shared" si="58"/>
        <v/>
      </c>
      <c r="AH25" s="81" t="str">
        <f t="shared" ca="1" si="59"/>
        <v/>
      </c>
      <c r="AI25" s="111" t="str">
        <f t="shared" ca="1" si="60"/>
        <v/>
      </c>
      <c r="AJ25" s="89" t="str">
        <f t="shared" si="61"/>
        <v/>
      </c>
      <c r="AK25" s="89" t="str">
        <f t="shared" si="62"/>
        <v/>
      </c>
      <c r="AL25" s="81" t="str">
        <f t="shared" si="63"/>
        <v/>
      </c>
      <c r="AM25" s="74">
        <f t="shared" si="64"/>
        <v>0</v>
      </c>
      <c r="AN25" s="74">
        <f t="shared" si="93"/>
        <v>0</v>
      </c>
      <c r="AO25" s="82">
        <f t="shared" si="66"/>
        <v>0</v>
      </c>
      <c r="AP25" s="74">
        <f t="shared" si="94"/>
        <v>0</v>
      </c>
      <c r="AQ25" s="82">
        <f t="shared" si="68"/>
        <v>0</v>
      </c>
      <c r="AR25" s="83">
        <f t="shared" si="69"/>
        <v>0</v>
      </c>
      <c r="AS25" s="74">
        <f t="shared" si="95"/>
        <v>0</v>
      </c>
      <c r="AT25" s="82">
        <f t="shared" si="71"/>
        <v>0</v>
      </c>
      <c r="AU25" s="83">
        <f t="shared" si="72"/>
        <v>0</v>
      </c>
      <c r="AV25" s="74">
        <f t="shared" si="73"/>
        <v>0</v>
      </c>
      <c r="AW25" s="82">
        <f t="shared" si="74"/>
        <v>0</v>
      </c>
      <c r="AX25" s="83">
        <f t="shared" si="75"/>
        <v>0</v>
      </c>
      <c r="AY25" s="63"/>
      <c r="AZ25" s="84"/>
      <c r="BA25" s="85"/>
      <c r="BB25" s="95"/>
      <c r="BC25" s="86"/>
      <c r="BD25" s="86"/>
      <c r="BE25" s="96"/>
      <c r="BF25" s="69"/>
      <c r="BG25" s="114"/>
      <c r="BH25" s="63">
        <v>1</v>
      </c>
      <c r="BI25" s="68">
        <v>0</v>
      </c>
      <c r="BJ25" s="71"/>
      <c r="BK25" s="87"/>
      <c r="BL25" s="64" t="str">
        <f t="shared" ca="1" si="76"/>
        <v/>
      </c>
      <c r="BM25" s="65"/>
      <c r="BN25" s="66"/>
      <c r="BO25" s="67" t="str">
        <f t="shared" ca="1" si="77"/>
        <v/>
      </c>
      <c r="BP25" s="65"/>
      <c r="BQ25" s="66"/>
      <c r="BR25" s="67" t="str">
        <f t="shared" ca="1" si="78"/>
        <v/>
      </c>
      <c r="BS25" s="65"/>
      <c r="BT25" s="66"/>
      <c r="BU25" s="67" t="str">
        <f t="shared" ca="1" si="79"/>
        <v/>
      </c>
      <c r="BV25" s="65"/>
      <c r="BW25" s="66"/>
      <c r="BX25" s="67" t="str">
        <f t="shared" ca="1" si="80"/>
        <v/>
      </c>
      <c r="BY25" s="65"/>
      <c r="BZ25" s="66"/>
      <c r="CA25" s="67" t="str">
        <f t="shared" ca="1" si="81"/>
        <v/>
      </c>
      <c r="CB25" s="65"/>
      <c r="CC25" s="66"/>
      <c r="CD25" s="67" t="str">
        <f t="shared" ca="1" si="82"/>
        <v/>
      </c>
      <c r="CE25" s="65"/>
      <c r="CF25" s="66"/>
      <c r="CG25" s="67" t="str">
        <f t="shared" ca="1" si="83"/>
        <v/>
      </c>
      <c r="CH25" s="65"/>
      <c r="CI25" s="66"/>
      <c r="CJ25" s="67" t="str">
        <f t="shared" ca="1" si="84"/>
        <v/>
      </c>
      <c r="CK25" s="57"/>
      <c r="CL25" s="59"/>
      <c r="CM25" s="59"/>
      <c r="CN25" s="59"/>
      <c r="CO25" s="59"/>
      <c r="CP25" s="59"/>
      <c r="CQ25" s="59"/>
      <c r="CR25" s="57"/>
      <c r="CS25" s="58"/>
      <c r="CT25" s="90" t="str">
        <f t="shared" si="97"/>
        <v/>
      </c>
      <c r="CU25" s="59"/>
      <c r="CV25" s="60"/>
      <c r="CW25" s="59"/>
      <c r="CX25" s="59"/>
      <c r="CY25" s="59" t="str">
        <f t="shared" si="86"/>
        <v/>
      </c>
      <c r="CZ25" s="59"/>
      <c r="DA25" s="59"/>
      <c r="DB25" s="61"/>
      <c r="DC25" s="59"/>
      <c r="DD25" s="59"/>
      <c r="DE25" s="61"/>
      <c r="DF25" s="61"/>
      <c r="DG25" s="59"/>
      <c r="DH25" s="61"/>
      <c r="DI25" s="61"/>
      <c r="DJ25" s="59"/>
      <c r="DK25" s="59"/>
      <c r="DL25" s="62"/>
      <c r="DM25" s="56">
        <f t="shared" si="87"/>
        <v>0</v>
      </c>
      <c r="DN25" s="88" t="str">
        <f t="shared" si="88"/>
        <v/>
      </c>
      <c r="DO25" s="119" t="str">
        <f t="shared" si="89"/>
        <v/>
      </c>
      <c r="DP25" s="119" t="str">
        <f t="shared" si="90"/>
        <v/>
      </c>
      <c r="DQ25" s="121" t="str">
        <f t="shared" si="91"/>
        <v/>
      </c>
      <c r="DR25" s="121" t="str">
        <f t="shared" si="92"/>
        <v/>
      </c>
    </row>
    <row r="26" spans="1:122" x14ac:dyDescent="0.25">
      <c r="A26" s="183" t="str">
        <f t="shared" si="46"/>
        <v xml:space="preserve">  -  - </v>
      </c>
      <c r="B26" s="98"/>
      <c r="C26" s="97"/>
      <c r="D26" s="93"/>
      <c r="E26" s="71"/>
      <c r="F26" s="73"/>
      <c r="G26" s="103"/>
      <c r="H26" s="71"/>
      <c r="I26" s="105" t="str">
        <f t="shared" si="47"/>
        <v/>
      </c>
      <c r="J26" s="104"/>
      <c r="K26" s="63"/>
      <c r="L26" s="72"/>
      <c r="M26" s="74"/>
      <c r="N26" s="75"/>
      <c r="O26" s="75"/>
      <c r="P26" s="120"/>
      <c r="Q26" s="76" t="str">
        <f t="shared" si="48"/>
        <v/>
      </c>
      <c r="R26" s="77">
        <f t="shared" si="49"/>
        <v>0</v>
      </c>
      <c r="S26" s="63"/>
      <c r="T26" s="78">
        <f t="shared" ref="T26:T45" si="98">IF(G26="Annulation","",IF(assurance="ALPTIS",IF(L26="SO PREV",30,25),IF(assurance="APRIL",25,IF(assurance="ASAF",17.5,IF(assurance="NEOLIANE",25,IF(assurance="NEOLIANE Prev",40,IF(assurance="APIVIA",25,IF(assurance="SWISSLIFE",25,IF(assurance="AVIVA",25,IF(assurance="CIPRES",20,IF(assurance="CEGEMA",15,IF(assurance=0,0))))))))))))</f>
        <v>0</v>
      </c>
      <c r="U26" s="79">
        <f>IF(M26=0,0,IF(G26="Annulation","",IF(assurance="ALPTIS",M26*12*T26/100*#REF!,IF(assurance="APRIL",M26*12*T26/100*#REF!,IF(assurance="ASAF",M26*12*T26/100*#REF!,IF(assurance="NEOLIANE",(#REF!+M26*12*#REF!)*T26/100,IF(assurance="NEOLIANE Prev",(#REF!+M26*12*#REF!)*T26/100,IF(assurance="SWISSLIFE",M26*12*T26/100*#REF!,IF(assurance="AVIVA",M26*12*T26/100*#REF!,IF(assurance="CIPRES",M26*12*T26/100*#REF!,IF(assurance="CEGEMA",M26*12*T26/100*#REF!,IF(assurance=0,0))))))))))))</f>
        <v>0</v>
      </c>
      <c r="V26" s="91" t="str">
        <f t="shared" si="51"/>
        <v/>
      </c>
      <c r="W26" s="91" t="str">
        <f t="shared" si="52"/>
        <v/>
      </c>
      <c r="X26" s="92">
        <f t="shared" si="53"/>
        <v>0</v>
      </c>
      <c r="Y26" s="108">
        <f t="shared" si="54"/>
        <v>0</v>
      </c>
      <c r="Z26" s="106"/>
      <c r="AA26" s="105" t="str">
        <f t="shared" si="55"/>
        <v/>
      </c>
      <c r="AB26" s="63" t="s">
        <v>12</v>
      </c>
      <c r="AC26" s="72"/>
      <c r="AD26" s="101" t="str">
        <f t="shared" ref="AD26:AD45" si="99">IF(Z26=43466,"Programmée","")</f>
        <v/>
      </c>
      <c r="AE26" s="80" t="str">
        <f t="shared" si="96"/>
        <v/>
      </c>
      <c r="AF26" s="72"/>
      <c r="AG26" s="70" t="str">
        <f t="shared" si="58"/>
        <v/>
      </c>
      <c r="AH26" s="81" t="str">
        <f t="shared" ca="1" si="59"/>
        <v/>
      </c>
      <c r="AI26" s="111" t="str">
        <f t="shared" ca="1" si="60"/>
        <v/>
      </c>
      <c r="AJ26" s="89" t="str">
        <f t="shared" si="61"/>
        <v/>
      </c>
      <c r="AK26" s="89" t="str">
        <f t="shared" si="62"/>
        <v/>
      </c>
      <c r="AL26" s="81" t="str">
        <f t="shared" si="63"/>
        <v/>
      </c>
      <c r="AM26" s="74">
        <f t="shared" si="64"/>
        <v>0</v>
      </c>
      <c r="AN26" s="74">
        <f t="shared" si="93"/>
        <v>0</v>
      </c>
      <c r="AO26" s="82">
        <f t="shared" si="66"/>
        <v>0</v>
      </c>
      <c r="AP26" s="74">
        <f t="shared" si="94"/>
        <v>0</v>
      </c>
      <c r="AQ26" s="82">
        <f t="shared" si="68"/>
        <v>0</v>
      </c>
      <c r="AR26" s="83">
        <f t="shared" si="69"/>
        <v>0</v>
      </c>
      <c r="AS26" s="74">
        <f t="shared" si="95"/>
        <v>0</v>
      </c>
      <c r="AT26" s="82">
        <f t="shared" si="71"/>
        <v>0</v>
      </c>
      <c r="AU26" s="83">
        <f t="shared" si="72"/>
        <v>0</v>
      </c>
      <c r="AV26" s="74">
        <f t="shared" si="73"/>
        <v>0</v>
      </c>
      <c r="AW26" s="82">
        <f t="shared" si="74"/>
        <v>0</v>
      </c>
      <c r="AX26" s="83">
        <f t="shared" si="75"/>
        <v>0</v>
      </c>
      <c r="AY26" s="63"/>
      <c r="AZ26" s="84"/>
      <c r="BA26" s="85"/>
      <c r="BB26" s="95"/>
      <c r="BC26" s="86"/>
      <c r="BD26" s="86"/>
      <c r="BE26" s="96"/>
      <c r="BF26" s="69"/>
      <c r="BG26" s="114"/>
      <c r="BH26" s="63">
        <v>1</v>
      </c>
      <c r="BI26" s="68">
        <v>0</v>
      </c>
      <c r="BJ26" s="71"/>
      <c r="BK26" s="87"/>
      <c r="BL26" s="64" t="str">
        <f t="shared" ca="1" si="76"/>
        <v/>
      </c>
      <c r="BM26" s="65"/>
      <c r="BN26" s="66"/>
      <c r="BO26" s="67" t="str">
        <f t="shared" ca="1" si="77"/>
        <v/>
      </c>
      <c r="BP26" s="65"/>
      <c r="BQ26" s="66"/>
      <c r="BR26" s="67" t="str">
        <f t="shared" ca="1" si="78"/>
        <v/>
      </c>
      <c r="BS26" s="65"/>
      <c r="BT26" s="66"/>
      <c r="BU26" s="67" t="str">
        <f t="shared" ca="1" si="79"/>
        <v/>
      </c>
      <c r="BV26" s="65"/>
      <c r="BW26" s="66"/>
      <c r="BX26" s="67" t="str">
        <f t="shared" ca="1" si="80"/>
        <v/>
      </c>
      <c r="BY26" s="65"/>
      <c r="BZ26" s="66"/>
      <c r="CA26" s="67" t="str">
        <f t="shared" ca="1" si="81"/>
        <v/>
      </c>
      <c r="CB26" s="65"/>
      <c r="CC26" s="66"/>
      <c r="CD26" s="67" t="str">
        <f t="shared" ca="1" si="82"/>
        <v/>
      </c>
      <c r="CE26" s="65"/>
      <c r="CF26" s="66"/>
      <c r="CG26" s="67" t="str">
        <f t="shared" ca="1" si="83"/>
        <v/>
      </c>
      <c r="CH26" s="65"/>
      <c r="CI26" s="66"/>
      <c r="CJ26" s="67" t="str">
        <f t="shared" ca="1" si="84"/>
        <v/>
      </c>
      <c r="CK26" s="57"/>
      <c r="CL26" s="59"/>
      <c r="CM26" s="59"/>
      <c r="CN26" s="59"/>
      <c r="CO26" s="59"/>
      <c r="CP26" s="59"/>
      <c r="CQ26" s="59"/>
      <c r="CR26" s="57"/>
      <c r="CS26" s="58"/>
      <c r="CT26" s="90" t="str">
        <f t="shared" si="97"/>
        <v/>
      </c>
      <c r="CU26" s="59"/>
      <c r="CV26" s="60"/>
      <c r="CW26" s="59"/>
      <c r="CX26" s="59"/>
      <c r="CY26" s="59" t="str">
        <f t="shared" si="86"/>
        <v/>
      </c>
      <c r="CZ26" s="59"/>
      <c r="DA26" s="59"/>
      <c r="DB26" s="61"/>
      <c r="DC26" s="59"/>
      <c r="DD26" s="59"/>
      <c r="DE26" s="61"/>
      <c r="DF26" s="61"/>
      <c r="DG26" s="59"/>
      <c r="DH26" s="61"/>
      <c r="DI26" s="61"/>
      <c r="DJ26" s="59"/>
      <c r="DK26" s="59"/>
      <c r="DL26" s="62"/>
      <c r="DM26" s="56">
        <f t="shared" si="87"/>
        <v>0</v>
      </c>
      <c r="DN26" s="88" t="str">
        <f t="shared" si="88"/>
        <v/>
      </c>
      <c r="DO26" s="119" t="str">
        <f t="shared" si="89"/>
        <v/>
      </c>
      <c r="DP26" s="119" t="str">
        <f t="shared" si="90"/>
        <v/>
      </c>
      <c r="DQ26" s="121" t="str">
        <f t="shared" si="91"/>
        <v/>
      </c>
      <c r="DR26" s="121" t="str">
        <f t="shared" si="92"/>
        <v/>
      </c>
    </row>
    <row r="27" spans="1:122" x14ac:dyDescent="0.25">
      <c r="A27" s="183" t="str">
        <f t="shared" si="46"/>
        <v xml:space="preserve">  -  - </v>
      </c>
      <c r="B27" s="98"/>
      <c r="C27" s="97"/>
      <c r="D27" s="93"/>
      <c r="E27" s="71"/>
      <c r="F27" s="73"/>
      <c r="G27" s="103"/>
      <c r="H27" s="71"/>
      <c r="I27" s="105" t="str">
        <f t="shared" si="47"/>
        <v/>
      </c>
      <c r="J27" s="104"/>
      <c r="K27" s="63"/>
      <c r="L27" s="72"/>
      <c r="M27" s="74"/>
      <c r="N27" s="75"/>
      <c r="O27" s="75"/>
      <c r="P27" s="120"/>
      <c r="Q27" s="76" t="str">
        <f t="shared" si="48"/>
        <v/>
      </c>
      <c r="R27" s="77">
        <f t="shared" si="49"/>
        <v>0</v>
      </c>
      <c r="S27" s="63"/>
      <c r="T27" s="78">
        <f t="shared" si="98"/>
        <v>0</v>
      </c>
      <c r="U27" s="79">
        <f>IF(M27=0,0,IF(G27="Annulation","",IF(assurance="ALPTIS",M27*12*T27/100*#REF!,IF(assurance="APRIL",M27*12*T27/100*#REF!,IF(assurance="ASAF",M27*12*T27/100*#REF!,IF(assurance="NEOLIANE",(#REF!+M27*12*#REF!)*T27/100,IF(assurance="NEOLIANE Prev",(#REF!+M27*12*#REF!)*T27/100,IF(assurance="SWISSLIFE",M27*12*T27/100*#REF!,IF(assurance="AVIVA",M27*12*T27/100*#REF!,IF(assurance="CIPRES",M27*12*T27/100*#REF!,IF(assurance="CEGEMA",M27*12*T27/100*#REF!,IF(assurance=0,0))))))))))))</f>
        <v>0</v>
      </c>
      <c r="V27" s="91" t="str">
        <f t="shared" si="51"/>
        <v/>
      </c>
      <c r="W27" s="91" t="str">
        <f t="shared" si="52"/>
        <v/>
      </c>
      <c r="X27" s="92">
        <f t="shared" si="53"/>
        <v>0</v>
      </c>
      <c r="Y27" s="108">
        <f t="shared" si="54"/>
        <v>0</v>
      </c>
      <c r="Z27" s="106"/>
      <c r="AA27" s="105" t="str">
        <f t="shared" si="55"/>
        <v/>
      </c>
      <c r="AB27" s="63" t="s">
        <v>12</v>
      </c>
      <c r="AC27" s="72"/>
      <c r="AD27" s="101" t="str">
        <f t="shared" si="99"/>
        <v/>
      </c>
      <c r="AE27" s="80" t="str">
        <f t="shared" si="96"/>
        <v/>
      </c>
      <c r="AF27" s="72"/>
      <c r="AG27" s="70" t="str">
        <f t="shared" si="58"/>
        <v/>
      </c>
      <c r="AH27" s="81" t="str">
        <f t="shared" ca="1" si="59"/>
        <v/>
      </c>
      <c r="AI27" s="111" t="str">
        <f t="shared" ca="1" si="60"/>
        <v/>
      </c>
      <c r="AJ27" s="89" t="str">
        <f t="shared" si="61"/>
        <v/>
      </c>
      <c r="AK27" s="89" t="str">
        <f t="shared" si="62"/>
        <v/>
      </c>
      <c r="AL27" s="81" t="str">
        <f t="shared" si="63"/>
        <v/>
      </c>
      <c r="AM27" s="74">
        <f t="shared" si="64"/>
        <v>0</v>
      </c>
      <c r="AN27" s="74">
        <f t="shared" si="93"/>
        <v>0</v>
      </c>
      <c r="AO27" s="82">
        <f t="shared" si="66"/>
        <v>0</v>
      </c>
      <c r="AP27" s="74">
        <f t="shared" si="94"/>
        <v>0</v>
      </c>
      <c r="AQ27" s="82">
        <f t="shared" si="68"/>
        <v>0</v>
      </c>
      <c r="AR27" s="83">
        <f t="shared" si="69"/>
        <v>0</v>
      </c>
      <c r="AS27" s="74">
        <f t="shared" si="95"/>
        <v>0</v>
      </c>
      <c r="AT27" s="82">
        <f t="shared" si="71"/>
        <v>0</v>
      </c>
      <c r="AU27" s="83">
        <f t="shared" si="72"/>
        <v>0</v>
      </c>
      <c r="AV27" s="74">
        <f t="shared" si="73"/>
        <v>0</v>
      </c>
      <c r="AW27" s="82">
        <f t="shared" si="74"/>
        <v>0</v>
      </c>
      <c r="AX27" s="83">
        <f t="shared" si="75"/>
        <v>0</v>
      </c>
      <c r="AY27" s="63"/>
      <c r="AZ27" s="84"/>
      <c r="BA27" s="85"/>
      <c r="BB27" s="95"/>
      <c r="BC27" s="86"/>
      <c r="BD27" s="86"/>
      <c r="BE27" s="96"/>
      <c r="BF27" s="69"/>
      <c r="BG27" s="114"/>
      <c r="BH27" s="63">
        <v>1</v>
      </c>
      <c r="BI27" s="68">
        <v>0</v>
      </c>
      <c r="BJ27" s="71"/>
      <c r="BK27" s="87"/>
      <c r="BL27" s="64" t="str">
        <f t="shared" ca="1" si="76"/>
        <v/>
      </c>
      <c r="BM27" s="65"/>
      <c r="BN27" s="66"/>
      <c r="BO27" s="67" t="str">
        <f t="shared" ca="1" si="77"/>
        <v/>
      </c>
      <c r="BP27" s="65"/>
      <c r="BQ27" s="66"/>
      <c r="BR27" s="67" t="str">
        <f t="shared" ca="1" si="78"/>
        <v/>
      </c>
      <c r="BS27" s="65"/>
      <c r="BT27" s="66"/>
      <c r="BU27" s="67" t="str">
        <f t="shared" ca="1" si="79"/>
        <v/>
      </c>
      <c r="BV27" s="65"/>
      <c r="BW27" s="66"/>
      <c r="BX27" s="67" t="str">
        <f t="shared" ca="1" si="80"/>
        <v/>
      </c>
      <c r="BY27" s="65"/>
      <c r="BZ27" s="66"/>
      <c r="CA27" s="67" t="str">
        <f t="shared" ca="1" si="81"/>
        <v/>
      </c>
      <c r="CB27" s="65"/>
      <c r="CC27" s="66"/>
      <c r="CD27" s="67" t="str">
        <f t="shared" ca="1" si="82"/>
        <v/>
      </c>
      <c r="CE27" s="65"/>
      <c r="CF27" s="66"/>
      <c r="CG27" s="67" t="str">
        <f t="shared" ca="1" si="83"/>
        <v/>
      </c>
      <c r="CH27" s="65"/>
      <c r="CI27" s="66"/>
      <c r="CJ27" s="67" t="str">
        <f t="shared" ca="1" si="84"/>
        <v/>
      </c>
      <c r="CK27" s="57"/>
      <c r="CL27" s="59"/>
      <c r="CM27" s="59"/>
      <c r="CN27" s="59"/>
      <c r="CO27" s="59"/>
      <c r="CP27" s="59"/>
      <c r="CQ27" s="59"/>
      <c r="CR27" s="57"/>
      <c r="CS27" s="58"/>
      <c r="CT27" s="90" t="str">
        <f t="shared" si="97"/>
        <v/>
      </c>
      <c r="CU27" s="59"/>
      <c r="CV27" s="60"/>
      <c r="CW27" s="59"/>
      <c r="CX27" s="59"/>
      <c r="CY27" s="59" t="str">
        <f t="shared" ref="CY27:CY45" si="100">IF(J27&lt;&gt;"Prev. Pro","",IF(AC27="","Non",IF(J27="Prev. Pro","Oui","Non")))</f>
        <v/>
      </c>
      <c r="CZ27" s="59"/>
      <c r="DA27" s="59"/>
      <c r="DB27" s="61"/>
      <c r="DC27" s="59"/>
      <c r="DD27" s="59"/>
      <c r="DE27" s="61"/>
      <c r="DF27" s="61"/>
      <c r="DG27" s="59"/>
      <c r="DH27" s="61"/>
      <c r="DI27" s="61"/>
      <c r="DJ27" s="59"/>
      <c r="DK27" s="59"/>
      <c r="DL27" s="62"/>
      <c r="DM27" s="56">
        <f t="shared" si="87"/>
        <v>0</v>
      </c>
      <c r="DN27" s="88" t="str">
        <f t="shared" si="88"/>
        <v/>
      </c>
      <c r="DO27" s="119" t="str">
        <f t="shared" si="89"/>
        <v/>
      </c>
      <c r="DP27" s="119" t="str">
        <f t="shared" si="90"/>
        <v/>
      </c>
      <c r="DQ27" s="121" t="str">
        <f t="shared" si="91"/>
        <v/>
      </c>
      <c r="DR27" s="121" t="str">
        <f t="shared" si="92"/>
        <v/>
      </c>
    </row>
    <row r="28" spans="1:122" x14ac:dyDescent="0.25">
      <c r="A28" s="183" t="str">
        <f t="shared" si="46"/>
        <v xml:space="preserve">  -  - </v>
      </c>
      <c r="B28" s="98"/>
      <c r="C28" s="97"/>
      <c r="D28" s="93"/>
      <c r="E28" s="71"/>
      <c r="F28" s="73"/>
      <c r="G28" s="103"/>
      <c r="H28" s="71"/>
      <c r="I28" s="105" t="str">
        <f t="shared" si="47"/>
        <v/>
      </c>
      <c r="J28" s="104"/>
      <c r="K28" s="63"/>
      <c r="L28" s="72"/>
      <c r="M28" s="74"/>
      <c r="N28" s="75"/>
      <c r="O28" s="75"/>
      <c r="P28" s="120"/>
      <c r="Q28" s="76" t="str">
        <f t="shared" si="48"/>
        <v/>
      </c>
      <c r="R28" s="77">
        <f t="shared" si="49"/>
        <v>0</v>
      </c>
      <c r="S28" s="63"/>
      <c r="T28" s="78">
        <f t="shared" si="98"/>
        <v>0</v>
      </c>
      <c r="U28" s="79">
        <f>IF(M28=0,0,IF(G28="Annulation","",IF(assurance="ALPTIS",M28*12*T28/100*#REF!,IF(assurance="APRIL",M28*12*T28/100*#REF!,IF(assurance="ASAF",M28*12*T28/100*#REF!,IF(assurance="NEOLIANE",(#REF!+M28*12*#REF!)*T28/100,IF(assurance="NEOLIANE Prev",(#REF!+M28*12*#REF!)*T28/100,IF(assurance="SWISSLIFE",M28*12*T28/100*#REF!,IF(assurance="AVIVA",M28*12*T28/100*#REF!,IF(assurance="CIPRES",M28*12*T28/100*#REF!,IF(assurance="CEGEMA",M28*12*T28/100*#REF!,IF(assurance=0,0))))))))))))</f>
        <v>0</v>
      </c>
      <c r="V28" s="91" t="str">
        <f t="shared" si="51"/>
        <v/>
      </c>
      <c r="W28" s="91" t="str">
        <f t="shared" si="52"/>
        <v/>
      </c>
      <c r="X28" s="92">
        <f t="shared" si="53"/>
        <v>0</v>
      </c>
      <c r="Y28" s="108">
        <f t="shared" si="54"/>
        <v>0</v>
      </c>
      <c r="Z28" s="106"/>
      <c r="AA28" s="105" t="str">
        <f t="shared" si="55"/>
        <v/>
      </c>
      <c r="AB28" s="63" t="s">
        <v>12</v>
      </c>
      <c r="AC28" s="72"/>
      <c r="AD28" s="101" t="str">
        <f t="shared" si="99"/>
        <v/>
      </c>
      <c r="AE28" s="80" t="str">
        <f t="shared" si="96"/>
        <v/>
      </c>
      <c r="AF28" s="72"/>
      <c r="AG28" s="70" t="str">
        <f t="shared" si="58"/>
        <v/>
      </c>
      <c r="AH28" s="81" t="str">
        <f t="shared" ca="1" si="59"/>
        <v/>
      </c>
      <c r="AI28" s="111" t="str">
        <f t="shared" ca="1" si="60"/>
        <v/>
      </c>
      <c r="AJ28" s="89" t="str">
        <f t="shared" si="61"/>
        <v/>
      </c>
      <c r="AK28" s="89" t="str">
        <f t="shared" si="62"/>
        <v/>
      </c>
      <c r="AL28" s="81" t="str">
        <f t="shared" si="63"/>
        <v/>
      </c>
      <c r="AM28" s="74">
        <f t="shared" si="64"/>
        <v>0</v>
      </c>
      <c r="AN28" s="74">
        <f t="shared" si="93"/>
        <v>0</v>
      </c>
      <c r="AO28" s="82">
        <f t="shared" si="66"/>
        <v>0</v>
      </c>
      <c r="AP28" s="74">
        <f t="shared" si="94"/>
        <v>0</v>
      </c>
      <c r="AQ28" s="82">
        <f t="shared" si="68"/>
        <v>0</v>
      </c>
      <c r="AR28" s="83">
        <f t="shared" si="69"/>
        <v>0</v>
      </c>
      <c r="AS28" s="74">
        <f t="shared" si="95"/>
        <v>0</v>
      </c>
      <c r="AT28" s="82">
        <f t="shared" si="71"/>
        <v>0</v>
      </c>
      <c r="AU28" s="83">
        <f t="shared" si="72"/>
        <v>0</v>
      </c>
      <c r="AV28" s="74">
        <f t="shared" si="73"/>
        <v>0</v>
      </c>
      <c r="AW28" s="82">
        <f t="shared" si="74"/>
        <v>0</v>
      </c>
      <c r="AX28" s="83">
        <f t="shared" si="75"/>
        <v>0</v>
      </c>
      <c r="AY28" s="63"/>
      <c r="AZ28" s="84"/>
      <c r="BA28" s="85"/>
      <c r="BB28" s="95"/>
      <c r="BC28" s="86"/>
      <c r="BD28" s="86"/>
      <c r="BE28" s="96"/>
      <c r="BF28" s="69"/>
      <c r="BG28" s="114"/>
      <c r="BH28" s="63">
        <v>1</v>
      </c>
      <c r="BI28" s="68">
        <v>0</v>
      </c>
      <c r="BJ28" s="71"/>
      <c r="BK28" s="87"/>
      <c r="BL28" s="64" t="str">
        <f t="shared" ca="1" si="76"/>
        <v/>
      </c>
      <c r="BM28" s="65"/>
      <c r="BN28" s="66"/>
      <c r="BO28" s="67" t="str">
        <f t="shared" ca="1" si="77"/>
        <v/>
      </c>
      <c r="BP28" s="65"/>
      <c r="BQ28" s="66"/>
      <c r="BR28" s="67" t="str">
        <f t="shared" ca="1" si="78"/>
        <v/>
      </c>
      <c r="BS28" s="65"/>
      <c r="BT28" s="66"/>
      <c r="BU28" s="67" t="str">
        <f t="shared" ca="1" si="79"/>
        <v/>
      </c>
      <c r="BV28" s="65"/>
      <c r="BW28" s="66"/>
      <c r="BX28" s="67" t="str">
        <f t="shared" ca="1" si="80"/>
        <v/>
      </c>
      <c r="BY28" s="65"/>
      <c r="BZ28" s="66"/>
      <c r="CA28" s="67" t="str">
        <f t="shared" ca="1" si="81"/>
        <v/>
      </c>
      <c r="CB28" s="65"/>
      <c r="CC28" s="66"/>
      <c r="CD28" s="67" t="str">
        <f t="shared" ca="1" si="82"/>
        <v/>
      </c>
      <c r="CE28" s="65"/>
      <c r="CF28" s="66"/>
      <c r="CG28" s="67" t="str">
        <f t="shared" ca="1" si="83"/>
        <v/>
      </c>
      <c r="CH28" s="65"/>
      <c r="CI28" s="66"/>
      <c r="CJ28" s="67" t="str">
        <f t="shared" ca="1" si="84"/>
        <v/>
      </c>
      <c r="CK28" s="57"/>
      <c r="CL28" s="59"/>
      <c r="CM28" s="59"/>
      <c r="CN28" s="59"/>
      <c r="CO28" s="59"/>
      <c r="CP28" s="59"/>
      <c r="CQ28" s="59"/>
      <c r="CR28" s="57"/>
      <c r="CS28" s="58"/>
      <c r="CT28" s="90" t="str">
        <f t="shared" si="97"/>
        <v/>
      </c>
      <c r="CU28" s="59"/>
      <c r="CV28" s="60"/>
      <c r="CW28" s="59"/>
      <c r="CX28" s="59"/>
      <c r="CY28" s="59" t="str">
        <f t="shared" si="100"/>
        <v/>
      </c>
      <c r="CZ28" s="59"/>
      <c r="DA28" s="59"/>
      <c r="DB28" s="61"/>
      <c r="DC28" s="59"/>
      <c r="DD28" s="59"/>
      <c r="DE28" s="61"/>
      <c r="DF28" s="61"/>
      <c r="DG28" s="59"/>
      <c r="DH28" s="61"/>
      <c r="DI28" s="61"/>
      <c r="DJ28" s="59"/>
      <c r="DK28" s="59"/>
      <c r="DL28" s="62"/>
      <c r="DM28" s="56">
        <f t="shared" si="87"/>
        <v>0</v>
      </c>
      <c r="DN28" s="88" t="str">
        <f t="shared" si="88"/>
        <v/>
      </c>
      <c r="DO28" s="119" t="str">
        <f t="shared" si="89"/>
        <v/>
      </c>
      <c r="DP28" s="119" t="str">
        <f t="shared" si="90"/>
        <v/>
      </c>
      <c r="DQ28" s="121" t="str">
        <f t="shared" si="91"/>
        <v/>
      </c>
      <c r="DR28" s="121" t="str">
        <f t="shared" si="92"/>
        <v/>
      </c>
    </row>
    <row r="29" spans="1:122" x14ac:dyDescent="0.25">
      <c r="A29" s="183" t="str">
        <f t="shared" si="46"/>
        <v xml:space="preserve">  -  - </v>
      </c>
      <c r="B29" s="98"/>
      <c r="C29" s="97"/>
      <c r="D29" s="93"/>
      <c r="E29" s="71"/>
      <c r="F29" s="73"/>
      <c r="G29" s="103"/>
      <c r="H29" s="71"/>
      <c r="I29" s="105" t="str">
        <f t="shared" si="47"/>
        <v/>
      </c>
      <c r="J29" s="104"/>
      <c r="K29" s="63"/>
      <c r="L29" s="72"/>
      <c r="M29" s="74"/>
      <c r="N29" s="75"/>
      <c r="O29" s="75"/>
      <c r="P29" s="120"/>
      <c r="Q29" s="76" t="str">
        <f t="shared" si="48"/>
        <v/>
      </c>
      <c r="R29" s="77">
        <f t="shared" si="49"/>
        <v>0</v>
      </c>
      <c r="S29" s="63"/>
      <c r="T29" s="78">
        <f t="shared" si="98"/>
        <v>0</v>
      </c>
      <c r="U29" s="79">
        <f>IF(M29=0,0,IF(G29="Annulation","",IF(assurance="ALPTIS",M29*12*T29/100*#REF!,IF(assurance="APRIL",M29*12*T29/100*#REF!,IF(assurance="ASAF",M29*12*T29/100*#REF!,IF(assurance="NEOLIANE",(#REF!+M29*12*#REF!)*T29/100,IF(assurance="NEOLIANE Prev",(#REF!+M29*12*#REF!)*T29/100,IF(assurance="SWISSLIFE",M29*12*T29/100*#REF!,IF(assurance="AVIVA",M29*12*T29/100*#REF!,IF(assurance="CIPRES",M29*12*T29/100*#REF!,IF(assurance="CEGEMA",M29*12*T29/100*#REF!,IF(assurance=0,0))))))))))))</f>
        <v>0</v>
      </c>
      <c r="V29" s="91" t="str">
        <f t="shared" si="51"/>
        <v/>
      </c>
      <c r="W29" s="91" t="str">
        <f t="shared" si="52"/>
        <v/>
      </c>
      <c r="X29" s="92">
        <f t="shared" si="53"/>
        <v>0</v>
      </c>
      <c r="Y29" s="108">
        <f t="shared" si="54"/>
        <v>0</v>
      </c>
      <c r="Z29" s="106"/>
      <c r="AA29" s="105" t="str">
        <f t="shared" si="55"/>
        <v/>
      </c>
      <c r="AB29" s="63" t="s">
        <v>12</v>
      </c>
      <c r="AC29" s="72"/>
      <c r="AD29" s="101" t="str">
        <f t="shared" si="99"/>
        <v/>
      </c>
      <c r="AE29" s="80" t="str">
        <f t="shared" si="96"/>
        <v/>
      </c>
      <c r="AF29" s="72"/>
      <c r="AG29" s="70" t="str">
        <f t="shared" si="58"/>
        <v/>
      </c>
      <c r="AH29" s="81" t="str">
        <f t="shared" ca="1" si="59"/>
        <v/>
      </c>
      <c r="AI29" s="111" t="str">
        <f t="shared" ca="1" si="60"/>
        <v/>
      </c>
      <c r="AJ29" s="89" t="str">
        <f t="shared" si="61"/>
        <v/>
      </c>
      <c r="AK29" s="89" t="str">
        <f t="shared" si="62"/>
        <v/>
      </c>
      <c r="AL29" s="81" t="str">
        <f t="shared" si="63"/>
        <v/>
      </c>
      <c r="AM29" s="74">
        <f t="shared" si="64"/>
        <v>0</v>
      </c>
      <c r="AN29" s="74">
        <f t="shared" si="93"/>
        <v>0</v>
      </c>
      <c r="AO29" s="82">
        <f t="shared" si="66"/>
        <v>0</v>
      </c>
      <c r="AP29" s="74">
        <f t="shared" si="94"/>
        <v>0</v>
      </c>
      <c r="AQ29" s="82">
        <f t="shared" si="68"/>
        <v>0</v>
      </c>
      <c r="AR29" s="83">
        <f t="shared" si="69"/>
        <v>0</v>
      </c>
      <c r="AS29" s="74">
        <f t="shared" si="95"/>
        <v>0</v>
      </c>
      <c r="AT29" s="82">
        <f t="shared" si="71"/>
        <v>0</v>
      </c>
      <c r="AU29" s="83">
        <f t="shared" si="72"/>
        <v>0</v>
      </c>
      <c r="AV29" s="74">
        <f t="shared" si="73"/>
        <v>0</v>
      </c>
      <c r="AW29" s="82">
        <f t="shared" si="74"/>
        <v>0</v>
      </c>
      <c r="AX29" s="83">
        <f t="shared" si="75"/>
        <v>0</v>
      </c>
      <c r="AY29" s="63"/>
      <c r="AZ29" s="84"/>
      <c r="BA29" s="85"/>
      <c r="BB29" s="95"/>
      <c r="BC29" s="86"/>
      <c r="BD29" s="86"/>
      <c r="BE29" s="96"/>
      <c r="BF29" s="69"/>
      <c r="BG29" s="114"/>
      <c r="BH29" s="63">
        <v>1</v>
      </c>
      <c r="BI29" s="68">
        <v>0</v>
      </c>
      <c r="BJ29" s="71"/>
      <c r="BK29" s="87"/>
      <c r="BL29" s="64" t="str">
        <f t="shared" ca="1" si="76"/>
        <v/>
      </c>
      <c r="BM29" s="65"/>
      <c r="BN29" s="66"/>
      <c r="BO29" s="67" t="str">
        <f t="shared" ca="1" si="77"/>
        <v/>
      </c>
      <c r="BP29" s="65"/>
      <c r="BQ29" s="66"/>
      <c r="BR29" s="67" t="str">
        <f t="shared" ca="1" si="78"/>
        <v/>
      </c>
      <c r="BS29" s="65"/>
      <c r="BT29" s="66"/>
      <c r="BU29" s="67" t="str">
        <f t="shared" ca="1" si="79"/>
        <v/>
      </c>
      <c r="BV29" s="65"/>
      <c r="BW29" s="66"/>
      <c r="BX29" s="67" t="str">
        <f t="shared" ca="1" si="80"/>
        <v/>
      </c>
      <c r="BY29" s="65"/>
      <c r="BZ29" s="66"/>
      <c r="CA29" s="67" t="str">
        <f t="shared" ca="1" si="81"/>
        <v/>
      </c>
      <c r="CB29" s="65"/>
      <c r="CC29" s="66"/>
      <c r="CD29" s="67" t="str">
        <f t="shared" ca="1" si="82"/>
        <v/>
      </c>
      <c r="CE29" s="65"/>
      <c r="CF29" s="66"/>
      <c r="CG29" s="67" t="str">
        <f t="shared" ca="1" si="83"/>
        <v/>
      </c>
      <c r="CH29" s="65"/>
      <c r="CI29" s="66"/>
      <c r="CJ29" s="67" t="str">
        <f t="shared" ca="1" si="84"/>
        <v/>
      </c>
      <c r="CK29" s="57"/>
      <c r="CL29" s="59"/>
      <c r="CM29" s="59"/>
      <c r="CN29" s="59"/>
      <c r="CO29" s="59"/>
      <c r="CP29" s="59"/>
      <c r="CQ29" s="59"/>
      <c r="CR29" s="57"/>
      <c r="CS29" s="58"/>
      <c r="CT29" s="90" t="str">
        <f t="shared" si="97"/>
        <v/>
      </c>
      <c r="CU29" s="59"/>
      <c r="CV29" s="60"/>
      <c r="CW29" s="59"/>
      <c r="CX29" s="59"/>
      <c r="CY29" s="59" t="str">
        <f t="shared" si="100"/>
        <v/>
      </c>
      <c r="CZ29" s="59"/>
      <c r="DA29" s="59"/>
      <c r="DB29" s="61"/>
      <c r="DC29" s="59"/>
      <c r="DD29" s="59"/>
      <c r="DE29" s="61"/>
      <c r="DF29" s="61"/>
      <c r="DG29" s="59"/>
      <c r="DH29" s="61"/>
      <c r="DI29" s="61"/>
      <c r="DJ29" s="59"/>
      <c r="DK29" s="59"/>
      <c r="DL29" s="62"/>
      <c r="DM29" s="56">
        <f t="shared" si="87"/>
        <v>0</v>
      </c>
      <c r="DN29" s="88" t="str">
        <f t="shared" si="88"/>
        <v/>
      </c>
      <c r="DO29" s="119" t="str">
        <f t="shared" si="89"/>
        <v/>
      </c>
      <c r="DP29" s="119" t="str">
        <f t="shared" si="90"/>
        <v/>
      </c>
      <c r="DQ29" s="121" t="str">
        <f t="shared" si="91"/>
        <v/>
      </c>
      <c r="DR29" s="121" t="str">
        <f t="shared" si="92"/>
        <v/>
      </c>
    </row>
    <row r="30" spans="1:122" x14ac:dyDescent="0.25">
      <c r="A30" s="183" t="str">
        <f t="shared" si="46"/>
        <v xml:space="preserve">  -  - </v>
      </c>
      <c r="B30" s="98"/>
      <c r="C30" s="97"/>
      <c r="D30" s="93"/>
      <c r="E30" s="71"/>
      <c r="F30" s="73"/>
      <c r="G30" s="103"/>
      <c r="H30" s="71"/>
      <c r="I30" s="105" t="str">
        <f t="shared" si="47"/>
        <v/>
      </c>
      <c r="J30" s="104"/>
      <c r="K30" s="63"/>
      <c r="L30" s="72"/>
      <c r="M30" s="74"/>
      <c r="N30" s="75"/>
      <c r="O30" s="75"/>
      <c r="P30" s="120"/>
      <c r="Q30" s="76" t="str">
        <f t="shared" si="48"/>
        <v/>
      </c>
      <c r="R30" s="77">
        <f t="shared" si="49"/>
        <v>0</v>
      </c>
      <c r="S30" s="63"/>
      <c r="T30" s="78">
        <f t="shared" si="98"/>
        <v>0</v>
      </c>
      <c r="U30" s="79">
        <f>IF(M30=0,0,IF(G30="Annulation","",IF(assurance="ALPTIS",M30*12*T30/100*#REF!,IF(assurance="APRIL",M30*12*T30/100*#REF!,IF(assurance="ASAF",M30*12*T30/100*#REF!,IF(assurance="NEOLIANE",(#REF!+M30*12*#REF!)*T30/100,IF(assurance="NEOLIANE Prev",(#REF!+M30*12*#REF!)*T30/100,IF(assurance="SWISSLIFE",M30*12*T30/100*#REF!,IF(assurance="AVIVA",M30*12*T30/100*#REF!,IF(assurance="CIPRES",M30*12*T30/100*#REF!,IF(assurance="CEGEMA",M30*12*T30/100*#REF!,IF(assurance=0,0))))))))))))</f>
        <v>0</v>
      </c>
      <c r="V30" s="91" t="str">
        <f t="shared" si="51"/>
        <v/>
      </c>
      <c r="W30" s="91" t="str">
        <f t="shared" si="52"/>
        <v/>
      </c>
      <c r="X30" s="92">
        <f t="shared" si="53"/>
        <v>0</v>
      </c>
      <c r="Y30" s="108">
        <f t="shared" si="54"/>
        <v>0</v>
      </c>
      <c r="Z30" s="106"/>
      <c r="AA30" s="105" t="str">
        <f t="shared" si="55"/>
        <v/>
      </c>
      <c r="AB30" s="63" t="s">
        <v>12</v>
      </c>
      <c r="AC30" s="72"/>
      <c r="AD30" s="101" t="str">
        <f t="shared" si="99"/>
        <v/>
      </c>
      <c r="AE30" s="80" t="str">
        <f t="shared" si="96"/>
        <v/>
      </c>
      <c r="AF30" s="72"/>
      <c r="AG30" s="70" t="str">
        <f t="shared" si="58"/>
        <v/>
      </c>
      <c r="AH30" s="81" t="str">
        <f t="shared" ca="1" si="59"/>
        <v/>
      </c>
      <c r="AI30" s="111" t="str">
        <f t="shared" ca="1" si="60"/>
        <v/>
      </c>
      <c r="AJ30" s="89" t="str">
        <f t="shared" si="61"/>
        <v/>
      </c>
      <c r="AK30" s="89" t="str">
        <f t="shared" si="62"/>
        <v/>
      </c>
      <c r="AL30" s="81" t="str">
        <f t="shared" si="63"/>
        <v/>
      </c>
      <c r="AM30" s="74">
        <f t="shared" si="64"/>
        <v>0</v>
      </c>
      <c r="AN30" s="74">
        <f t="shared" si="93"/>
        <v>0</v>
      </c>
      <c r="AO30" s="82">
        <f t="shared" si="66"/>
        <v>0</v>
      </c>
      <c r="AP30" s="74">
        <f t="shared" si="94"/>
        <v>0</v>
      </c>
      <c r="AQ30" s="82">
        <f t="shared" si="68"/>
        <v>0</v>
      </c>
      <c r="AR30" s="83">
        <f t="shared" si="69"/>
        <v>0</v>
      </c>
      <c r="AS30" s="74">
        <f t="shared" si="95"/>
        <v>0</v>
      </c>
      <c r="AT30" s="82">
        <f t="shared" si="71"/>
        <v>0</v>
      </c>
      <c r="AU30" s="83">
        <f t="shared" si="72"/>
        <v>0</v>
      </c>
      <c r="AV30" s="74">
        <f t="shared" si="73"/>
        <v>0</v>
      </c>
      <c r="AW30" s="82">
        <f t="shared" si="74"/>
        <v>0</v>
      </c>
      <c r="AX30" s="83">
        <f t="shared" si="75"/>
        <v>0</v>
      </c>
      <c r="AY30" s="63"/>
      <c r="AZ30" s="84"/>
      <c r="BA30" s="85"/>
      <c r="BB30" s="95"/>
      <c r="BC30" s="86"/>
      <c r="BD30" s="86"/>
      <c r="BE30" s="96"/>
      <c r="BF30" s="69"/>
      <c r="BG30" s="114"/>
      <c r="BH30" s="63">
        <v>1</v>
      </c>
      <c r="BI30" s="68">
        <v>0</v>
      </c>
      <c r="BJ30" s="71"/>
      <c r="BK30" s="87"/>
      <c r="BL30" s="64" t="str">
        <f t="shared" ca="1" si="76"/>
        <v/>
      </c>
      <c r="BM30" s="65"/>
      <c r="BN30" s="66"/>
      <c r="BO30" s="67" t="str">
        <f t="shared" ca="1" si="77"/>
        <v/>
      </c>
      <c r="BP30" s="65"/>
      <c r="BQ30" s="66"/>
      <c r="BR30" s="67" t="str">
        <f t="shared" ca="1" si="78"/>
        <v/>
      </c>
      <c r="BS30" s="65"/>
      <c r="BT30" s="66"/>
      <c r="BU30" s="67" t="str">
        <f t="shared" ca="1" si="79"/>
        <v/>
      </c>
      <c r="BV30" s="65"/>
      <c r="BW30" s="66"/>
      <c r="BX30" s="67" t="str">
        <f t="shared" ca="1" si="80"/>
        <v/>
      </c>
      <c r="BY30" s="65"/>
      <c r="BZ30" s="66"/>
      <c r="CA30" s="67" t="str">
        <f t="shared" ca="1" si="81"/>
        <v/>
      </c>
      <c r="CB30" s="65"/>
      <c r="CC30" s="66"/>
      <c r="CD30" s="67" t="str">
        <f t="shared" ca="1" si="82"/>
        <v/>
      </c>
      <c r="CE30" s="65"/>
      <c r="CF30" s="66"/>
      <c r="CG30" s="67" t="str">
        <f t="shared" ca="1" si="83"/>
        <v/>
      </c>
      <c r="CH30" s="65"/>
      <c r="CI30" s="66"/>
      <c r="CJ30" s="67" t="str">
        <f t="shared" ca="1" si="84"/>
        <v/>
      </c>
      <c r="CK30" s="57"/>
      <c r="CL30" s="59"/>
      <c r="CM30" s="59"/>
      <c r="CN30" s="59"/>
      <c r="CO30" s="59"/>
      <c r="CP30" s="59"/>
      <c r="CQ30" s="59"/>
      <c r="CR30" s="57"/>
      <c r="CS30" s="58"/>
      <c r="CT30" s="90" t="str">
        <f t="shared" si="97"/>
        <v/>
      </c>
      <c r="CU30" s="59"/>
      <c r="CV30" s="60"/>
      <c r="CW30" s="59"/>
      <c r="CX30" s="59"/>
      <c r="CY30" s="59" t="str">
        <f t="shared" si="100"/>
        <v/>
      </c>
      <c r="CZ30" s="59"/>
      <c r="DA30" s="59"/>
      <c r="DB30" s="61"/>
      <c r="DC30" s="59"/>
      <c r="DD30" s="59"/>
      <c r="DE30" s="61"/>
      <c r="DF30" s="61"/>
      <c r="DG30" s="59"/>
      <c r="DH30" s="61"/>
      <c r="DI30" s="61"/>
      <c r="DJ30" s="59"/>
      <c r="DK30" s="59"/>
      <c r="DL30" s="62"/>
      <c r="DM30" s="56">
        <f t="shared" si="87"/>
        <v>0</v>
      </c>
      <c r="DN30" s="88" t="str">
        <f t="shared" si="88"/>
        <v/>
      </c>
      <c r="DO30" s="119" t="str">
        <f t="shared" si="89"/>
        <v/>
      </c>
      <c r="DP30" s="119" t="str">
        <f t="shared" si="90"/>
        <v/>
      </c>
      <c r="DQ30" s="121" t="str">
        <f t="shared" si="91"/>
        <v/>
      </c>
      <c r="DR30" s="121" t="str">
        <f t="shared" si="92"/>
        <v/>
      </c>
    </row>
    <row r="31" spans="1:122" x14ac:dyDescent="0.25">
      <c r="A31" s="183" t="str">
        <f t="shared" si="46"/>
        <v xml:space="preserve">  -  - </v>
      </c>
      <c r="B31" s="98"/>
      <c r="C31" s="97"/>
      <c r="D31" s="93"/>
      <c r="E31" s="71"/>
      <c r="F31" s="73"/>
      <c r="G31" s="103"/>
      <c r="H31" s="71"/>
      <c r="I31" s="105" t="str">
        <f t="shared" si="47"/>
        <v/>
      </c>
      <c r="J31" s="104"/>
      <c r="K31" s="63"/>
      <c r="L31" s="72"/>
      <c r="M31" s="74"/>
      <c r="N31" s="75"/>
      <c r="O31" s="75"/>
      <c r="P31" s="120"/>
      <c r="Q31" s="76" t="str">
        <f t="shared" si="48"/>
        <v/>
      </c>
      <c r="R31" s="77">
        <f t="shared" si="49"/>
        <v>0</v>
      </c>
      <c r="S31" s="63"/>
      <c r="T31" s="78">
        <f t="shared" si="98"/>
        <v>0</v>
      </c>
      <c r="U31" s="79">
        <f>IF(M31=0,0,IF(G31="Annulation","",IF(assurance="ALPTIS",M31*12*T31/100*#REF!,IF(assurance="APRIL",M31*12*T31/100*#REF!,IF(assurance="ASAF",M31*12*T31/100*#REF!,IF(assurance="NEOLIANE",(#REF!+M31*12*#REF!)*T31/100,IF(assurance="NEOLIANE Prev",(#REF!+M31*12*#REF!)*T31/100,IF(assurance="SWISSLIFE",M31*12*T31/100*#REF!,IF(assurance="AVIVA",M31*12*T31/100*#REF!,IF(assurance="CIPRES",M31*12*T31/100*#REF!,IF(assurance="CEGEMA",M31*12*T31/100*#REF!,IF(assurance=0,0))))))))))))</f>
        <v>0</v>
      </c>
      <c r="V31" s="91" t="str">
        <f t="shared" si="51"/>
        <v/>
      </c>
      <c r="W31" s="91" t="str">
        <f t="shared" si="52"/>
        <v/>
      </c>
      <c r="X31" s="92">
        <f t="shared" si="53"/>
        <v>0</v>
      </c>
      <c r="Y31" s="108">
        <f t="shared" si="54"/>
        <v>0</v>
      </c>
      <c r="Z31" s="106"/>
      <c r="AA31" s="105" t="str">
        <f t="shared" si="55"/>
        <v/>
      </c>
      <c r="AB31" s="63" t="s">
        <v>12</v>
      </c>
      <c r="AC31" s="72"/>
      <c r="AD31" s="101" t="str">
        <f t="shared" si="99"/>
        <v/>
      </c>
      <c r="AE31" s="80" t="str">
        <f t="shared" si="96"/>
        <v/>
      </c>
      <c r="AF31" s="72"/>
      <c r="AG31" s="70" t="str">
        <f t="shared" si="58"/>
        <v/>
      </c>
      <c r="AH31" s="81" t="str">
        <f t="shared" ca="1" si="59"/>
        <v/>
      </c>
      <c r="AI31" s="111" t="str">
        <f t="shared" ca="1" si="60"/>
        <v/>
      </c>
      <c r="AJ31" s="89" t="str">
        <f t="shared" si="61"/>
        <v/>
      </c>
      <c r="AK31" s="89" t="str">
        <f t="shared" si="62"/>
        <v/>
      </c>
      <c r="AL31" s="81" t="str">
        <f t="shared" si="63"/>
        <v/>
      </c>
      <c r="AM31" s="74">
        <f t="shared" si="64"/>
        <v>0</v>
      </c>
      <c r="AN31" s="74">
        <f t="shared" si="93"/>
        <v>0</v>
      </c>
      <c r="AO31" s="82">
        <f t="shared" si="66"/>
        <v>0</v>
      </c>
      <c r="AP31" s="74">
        <f t="shared" si="94"/>
        <v>0</v>
      </c>
      <c r="AQ31" s="82">
        <f t="shared" si="68"/>
        <v>0</v>
      </c>
      <c r="AR31" s="83">
        <f t="shared" si="69"/>
        <v>0</v>
      </c>
      <c r="AS31" s="74">
        <f t="shared" si="95"/>
        <v>0</v>
      </c>
      <c r="AT31" s="82">
        <f t="shared" si="71"/>
        <v>0</v>
      </c>
      <c r="AU31" s="83">
        <f t="shared" si="72"/>
        <v>0</v>
      </c>
      <c r="AV31" s="74">
        <f t="shared" si="73"/>
        <v>0</v>
      </c>
      <c r="AW31" s="82">
        <f t="shared" si="74"/>
        <v>0</v>
      </c>
      <c r="AX31" s="83">
        <f t="shared" si="75"/>
        <v>0</v>
      </c>
      <c r="AY31" s="63"/>
      <c r="AZ31" s="84"/>
      <c r="BA31" s="85"/>
      <c r="BB31" s="95"/>
      <c r="BC31" s="86"/>
      <c r="BD31" s="86"/>
      <c r="BE31" s="96"/>
      <c r="BF31" s="69"/>
      <c r="BG31" s="114"/>
      <c r="BH31" s="63">
        <v>1</v>
      </c>
      <c r="BI31" s="68">
        <v>0</v>
      </c>
      <c r="BJ31" s="71"/>
      <c r="BK31" s="87"/>
      <c r="BL31" s="64" t="str">
        <f t="shared" ca="1" si="76"/>
        <v/>
      </c>
      <c r="BM31" s="65"/>
      <c r="BN31" s="66"/>
      <c r="BO31" s="67" t="str">
        <f t="shared" ca="1" si="77"/>
        <v/>
      </c>
      <c r="BP31" s="65"/>
      <c r="BQ31" s="66"/>
      <c r="BR31" s="67" t="str">
        <f t="shared" ca="1" si="78"/>
        <v/>
      </c>
      <c r="BS31" s="65"/>
      <c r="BT31" s="66"/>
      <c r="BU31" s="67" t="str">
        <f t="shared" ca="1" si="79"/>
        <v/>
      </c>
      <c r="BV31" s="65"/>
      <c r="BW31" s="66"/>
      <c r="BX31" s="67" t="str">
        <f t="shared" ca="1" si="80"/>
        <v/>
      </c>
      <c r="BY31" s="65"/>
      <c r="BZ31" s="66"/>
      <c r="CA31" s="67" t="str">
        <f t="shared" ca="1" si="81"/>
        <v/>
      </c>
      <c r="CB31" s="65"/>
      <c r="CC31" s="66"/>
      <c r="CD31" s="67" t="str">
        <f t="shared" ca="1" si="82"/>
        <v/>
      </c>
      <c r="CE31" s="65"/>
      <c r="CF31" s="66"/>
      <c r="CG31" s="67" t="str">
        <f t="shared" ca="1" si="83"/>
        <v/>
      </c>
      <c r="CH31" s="65"/>
      <c r="CI31" s="66"/>
      <c r="CJ31" s="67" t="str">
        <f t="shared" ca="1" si="84"/>
        <v/>
      </c>
      <c r="CK31" s="57"/>
      <c r="CL31" s="59"/>
      <c r="CM31" s="59"/>
      <c r="CN31" s="59"/>
      <c r="CO31" s="59"/>
      <c r="CP31" s="59"/>
      <c r="CQ31" s="59"/>
      <c r="CR31" s="57"/>
      <c r="CS31" s="58"/>
      <c r="CT31" s="90" t="str">
        <f t="shared" si="97"/>
        <v/>
      </c>
      <c r="CU31" s="59"/>
      <c r="CV31" s="60"/>
      <c r="CW31" s="59"/>
      <c r="CX31" s="59"/>
      <c r="CY31" s="59" t="str">
        <f t="shared" si="100"/>
        <v/>
      </c>
      <c r="CZ31" s="59"/>
      <c r="DA31" s="59"/>
      <c r="DB31" s="61"/>
      <c r="DC31" s="59"/>
      <c r="DD31" s="59"/>
      <c r="DE31" s="61"/>
      <c r="DF31" s="61"/>
      <c r="DG31" s="59"/>
      <c r="DH31" s="61"/>
      <c r="DI31" s="61"/>
      <c r="DJ31" s="59"/>
      <c r="DK31" s="59"/>
      <c r="DL31" s="62"/>
      <c r="DM31" s="56">
        <f t="shared" si="87"/>
        <v>0</v>
      </c>
      <c r="DN31" s="88" t="str">
        <f t="shared" si="88"/>
        <v/>
      </c>
      <c r="DO31" s="119" t="str">
        <f t="shared" si="89"/>
        <v/>
      </c>
      <c r="DP31" s="119" t="str">
        <f t="shared" si="90"/>
        <v/>
      </c>
      <c r="DQ31" s="121" t="str">
        <f t="shared" si="91"/>
        <v/>
      </c>
      <c r="DR31" s="121" t="str">
        <f t="shared" si="92"/>
        <v/>
      </c>
    </row>
    <row r="32" spans="1:122" x14ac:dyDescent="0.25">
      <c r="A32" s="183" t="str">
        <f t="shared" si="46"/>
        <v xml:space="preserve">  -  - </v>
      </c>
      <c r="B32" s="98"/>
      <c r="C32" s="97"/>
      <c r="D32" s="93"/>
      <c r="E32" s="71"/>
      <c r="F32" s="73"/>
      <c r="G32" s="103"/>
      <c r="H32" s="71"/>
      <c r="I32" s="105" t="str">
        <f t="shared" si="47"/>
        <v/>
      </c>
      <c r="J32" s="104"/>
      <c r="K32" s="63"/>
      <c r="L32" s="72"/>
      <c r="M32" s="74"/>
      <c r="N32" s="75"/>
      <c r="O32" s="75"/>
      <c r="P32" s="120"/>
      <c r="Q32" s="76" t="str">
        <f t="shared" si="48"/>
        <v/>
      </c>
      <c r="R32" s="77">
        <f t="shared" si="49"/>
        <v>0</v>
      </c>
      <c r="S32" s="63"/>
      <c r="T32" s="78">
        <f t="shared" si="98"/>
        <v>0</v>
      </c>
      <c r="U32" s="79">
        <f>IF(M32=0,0,IF(G32="Annulation","",IF(assurance="ALPTIS",M32*12*T32/100*#REF!,IF(assurance="APRIL",M32*12*T32/100*#REF!,IF(assurance="ASAF",M32*12*T32/100*#REF!,IF(assurance="NEOLIANE",(#REF!+M32*12*#REF!)*T32/100,IF(assurance="NEOLIANE Prev",(#REF!+M32*12*#REF!)*T32/100,IF(assurance="SWISSLIFE",M32*12*T32/100*#REF!,IF(assurance="AVIVA",M32*12*T32/100*#REF!,IF(assurance="CIPRES",M32*12*T32/100*#REF!,IF(assurance="CEGEMA",M32*12*T32/100*#REF!,IF(assurance=0,0))))))))))))</f>
        <v>0</v>
      </c>
      <c r="V32" s="91" t="str">
        <f t="shared" si="51"/>
        <v/>
      </c>
      <c r="W32" s="91" t="str">
        <f t="shared" si="52"/>
        <v/>
      </c>
      <c r="X32" s="92">
        <f t="shared" si="53"/>
        <v>0</v>
      </c>
      <c r="Y32" s="108">
        <f t="shared" si="54"/>
        <v>0</v>
      </c>
      <c r="Z32" s="106"/>
      <c r="AA32" s="105" t="str">
        <f t="shared" si="55"/>
        <v/>
      </c>
      <c r="AB32" s="63" t="s">
        <v>12</v>
      </c>
      <c r="AC32" s="72"/>
      <c r="AD32" s="101" t="str">
        <f t="shared" si="99"/>
        <v/>
      </c>
      <c r="AE32" s="80" t="str">
        <f t="shared" si="96"/>
        <v/>
      </c>
      <c r="AF32" s="72"/>
      <c r="AG32" s="70" t="str">
        <f t="shared" si="58"/>
        <v/>
      </c>
      <c r="AH32" s="81" t="str">
        <f t="shared" ca="1" si="59"/>
        <v/>
      </c>
      <c r="AI32" s="111" t="str">
        <f t="shared" ca="1" si="60"/>
        <v/>
      </c>
      <c r="AJ32" s="89" t="str">
        <f t="shared" si="61"/>
        <v/>
      </c>
      <c r="AK32" s="89" t="str">
        <f t="shared" si="62"/>
        <v/>
      </c>
      <c r="AL32" s="81" t="str">
        <f t="shared" si="63"/>
        <v/>
      </c>
      <c r="AM32" s="74">
        <f t="shared" si="64"/>
        <v>0</v>
      </c>
      <c r="AN32" s="74">
        <f t="shared" si="93"/>
        <v>0</v>
      </c>
      <c r="AO32" s="82">
        <f t="shared" si="66"/>
        <v>0</v>
      </c>
      <c r="AP32" s="74">
        <f t="shared" si="94"/>
        <v>0</v>
      </c>
      <c r="AQ32" s="82">
        <f t="shared" si="68"/>
        <v>0</v>
      </c>
      <c r="AR32" s="83">
        <f t="shared" si="69"/>
        <v>0</v>
      </c>
      <c r="AS32" s="74">
        <f t="shared" si="95"/>
        <v>0</v>
      </c>
      <c r="AT32" s="82">
        <f t="shared" si="71"/>
        <v>0</v>
      </c>
      <c r="AU32" s="83">
        <f t="shared" si="72"/>
        <v>0</v>
      </c>
      <c r="AV32" s="74">
        <f t="shared" si="73"/>
        <v>0</v>
      </c>
      <c r="AW32" s="82">
        <f t="shared" si="74"/>
        <v>0</v>
      </c>
      <c r="AX32" s="83">
        <f t="shared" si="75"/>
        <v>0</v>
      </c>
      <c r="AY32" s="63"/>
      <c r="AZ32" s="84"/>
      <c r="BA32" s="85"/>
      <c r="BB32" s="95"/>
      <c r="BC32" s="86"/>
      <c r="BD32" s="86"/>
      <c r="BE32" s="96"/>
      <c r="BF32" s="69"/>
      <c r="BG32" s="114"/>
      <c r="BH32" s="63">
        <v>1</v>
      </c>
      <c r="BI32" s="68">
        <v>0</v>
      </c>
      <c r="BJ32" s="71"/>
      <c r="BK32" s="87"/>
      <c r="BL32" s="64" t="str">
        <f t="shared" ca="1" si="76"/>
        <v/>
      </c>
      <c r="BM32" s="65"/>
      <c r="BN32" s="66"/>
      <c r="BO32" s="67" t="str">
        <f t="shared" ca="1" si="77"/>
        <v/>
      </c>
      <c r="BP32" s="65"/>
      <c r="BQ32" s="66"/>
      <c r="BR32" s="67" t="str">
        <f t="shared" ca="1" si="78"/>
        <v/>
      </c>
      <c r="BS32" s="65"/>
      <c r="BT32" s="66"/>
      <c r="BU32" s="67" t="str">
        <f t="shared" ca="1" si="79"/>
        <v/>
      </c>
      <c r="BV32" s="65"/>
      <c r="BW32" s="66"/>
      <c r="BX32" s="67" t="str">
        <f t="shared" ca="1" si="80"/>
        <v/>
      </c>
      <c r="BY32" s="65"/>
      <c r="BZ32" s="66"/>
      <c r="CA32" s="67" t="str">
        <f t="shared" ca="1" si="81"/>
        <v/>
      </c>
      <c r="CB32" s="65"/>
      <c r="CC32" s="66"/>
      <c r="CD32" s="67" t="str">
        <f t="shared" ca="1" si="82"/>
        <v/>
      </c>
      <c r="CE32" s="65"/>
      <c r="CF32" s="66"/>
      <c r="CG32" s="67" t="str">
        <f t="shared" ca="1" si="83"/>
        <v/>
      </c>
      <c r="CH32" s="65"/>
      <c r="CI32" s="66"/>
      <c r="CJ32" s="67" t="str">
        <f t="shared" ca="1" si="84"/>
        <v/>
      </c>
      <c r="CK32" s="57"/>
      <c r="CL32" s="59"/>
      <c r="CM32" s="59"/>
      <c r="CN32" s="59"/>
      <c r="CO32" s="59"/>
      <c r="CP32" s="59"/>
      <c r="CQ32" s="59"/>
      <c r="CR32" s="57"/>
      <c r="CS32" s="58"/>
      <c r="CT32" s="90" t="str">
        <f t="shared" si="97"/>
        <v/>
      </c>
      <c r="CU32" s="59"/>
      <c r="CV32" s="60"/>
      <c r="CW32" s="59"/>
      <c r="CX32" s="59"/>
      <c r="CY32" s="59" t="str">
        <f t="shared" si="100"/>
        <v/>
      </c>
      <c r="CZ32" s="59"/>
      <c r="DA32" s="59"/>
      <c r="DB32" s="61"/>
      <c r="DC32" s="59"/>
      <c r="DD32" s="59"/>
      <c r="DE32" s="61"/>
      <c r="DF32" s="61"/>
      <c r="DG32" s="59"/>
      <c r="DH32" s="61"/>
      <c r="DI32" s="61"/>
      <c r="DJ32" s="59"/>
      <c r="DK32" s="59"/>
      <c r="DL32" s="62"/>
      <c r="DM32" s="56">
        <f t="shared" si="87"/>
        <v>0</v>
      </c>
      <c r="DN32" s="88" t="str">
        <f t="shared" si="88"/>
        <v/>
      </c>
      <c r="DO32" s="119" t="str">
        <f t="shared" si="89"/>
        <v/>
      </c>
      <c r="DP32" s="119" t="str">
        <f t="shared" si="90"/>
        <v/>
      </c>
      <c r="DQ32" s="121" t="str">
        <f t="shared" si="91"/>
        <v/>
      </c>
      <c r="DR32" s="121" t="str">
        <f t="shared" si="92"/>
        <v/>
      </c>
    </row>
    <row r="33" spans="1:122" x14ac:dyDescent="0.25">
      <c r="A33" s="183" t="str">
        <f t="shared" si="46"/>
        <v xml:space="preserve">  -  - </v>
      </c>
      <c r="B33" s="98"/>
      <c r="C33" s="97"/>
      <c r="D33" s="93"/>
      <c r="E33" s="71"/>
      <c r="F33" s="73"/>
      <c r="G33" s="103"/>
      <c r="H33" s="71"/>
      <c r="I33" s="105" t="str">
        <f t="shared" si="47"/>
        <v/>
      </c>
      <c r="J33" s="104"/>
      <c r="K33" s="63"/>
      <c r="L33" s="72"/>
      <c r="M33" s="74"/>
      <c r="N33" s="75"/>
      <c r="O33" s="75"/>
      <c r="P33" s="120"/>
      <c r="Q33" s="76" t="str">
        <f t="shared" si="48"/>
        <v/>
      </c>
      <c r="R33" s="77">
        <f t="shared" si="49"/>
        <v>0</v>
      </c>
      <c r="S33" s="63"/>
      <c r="T33" s="78">
        <f t="shared" si="98"/>
        <v>0</v>
      </c>
      <c r="U33" s="79">
        <f>IF(M33=0,0,IF(G33="Annulation","",IF(assurance="ALPTIS",M33*12*T33/100*#REF!,IF(assurance="APRIL",M33*12*T33/100*#REF!,IF(assurance="ASAF",M33*12*T33/100*#REF!,IF(assurance="NEOLIANE",(#REF!+M33*12*#REF!)*T33/100,IF(assurance="NEOLIANE Prev",(#REF!+M33*12*#REF!)*T33/100,IF(assurance="SWISSLIFE",M33*12*T33/100*#REF!,IF(assurance="AVIVA",M33*12*T33/100*#REF!,IF(assurance="CIPRES",M33*12*T33/100*#REF!,IF(assurance="CEGEMA",M33*12*T33/100*#REF!,IF(assurance=0,0))))))))))))</f>
        <v>0</v>
      </c>
      <c r="V33" s="91" t="str">
        <f t="shared" si="51"/>
        <v/>
      </c>
      <c r="W33" s="91" t="str">
        <f t="shared" si="52"/>
        <v/>
      </c>
      <c r="X33" s="92">
        <f t="shared" si="53"/>
        <v>0</v>
      </c>
      <c r="Y33" s="108">
        <f t="shared" si="54"/>
        <v>0</v>
      </c>
      <c r="Z33" s="106"/>
      <c r="AA33" s="105" t="str">
        <f t="shared" si="55"/>
        <v/>
      </c>
      <c r="AB33" s="63" t="s">
        <v>12</v>
      </c>
      <c r="AC33" s="72"/>
      <c r="AD33" s="101" t="str">
        <f t="shared" si="99"/>
        <v/>
      </c>
      <c r="AE33" s="80" t="str">
        <f t="shared" si="96"/>
        <v/>
      </c>
      <c r="AF33" s="72"/>
      <c r="AG33" s="70" t="str">
        <f t="shared" si="58"/>
        <v/>
      </c>
      <c r="AH33" s="81" t="str">
        <f t="shared" ca="1" si="59"/>
        <v/>
      </c>
      <c r="AI33" s="111" t="str">
        <f t="shared" ca="1" si="60"/>
        <v/>
      </c>
      <c r="AJ33" s="89" t="str">
        <f t="shared" si="61"/>
        <v/>
      </c>
      <c r="AK33" s="89" t="str">
        <f t="shared" si="62"/>
        <v/>
      </c>
      <c r="AL33" s="81" t="str">
        <f t="shared" si="63"/>
        <v/>
      </c>
      <c r="AM33" s="74">
        <f t="shared" si="64"/>
        <v>0</v>
      </c>
      <c r="AN33" s="74">
        <f t="shared" si="93"/>
        <v>0</v>
      </c>
      <c r="AO33" s="82">
        <f t="shared" si="66"/>
        <v>0</v>
      </c>
      <c r="AP33" s="74">
        <f t="shared" si="94"/>
        <v>0</v>
      </c>
      <c r="AQ33" s="82">
        <f t="shared" si="68"/>
        <v>0</v>
      </c>
      <c r="AR33" s="83">
        <f t="shared" si="69"/>
        <v>0</v>
      </c>
      <c r="AS33" s="74">
        <f t="shared" si="95"/>
        <v>0</v>
      </c>
      <c r="AT33" s="82">
        <f t="shared" si="71"/>
        <v>0</v>
      </c>
      <c r="AU33" s="83">
        <f t="shared" si="72"/>
        <v>0</v>
      </c>
      <c r="AV33" s="74">
        <f t="shared" si="73"/>
        <v>0</v>
      </c>
      <c r="AW33" s="82">
        <f t="shared" si="74"/>
        <v>0</v>
      </c>
      <c r="AX33" s="83">
        <f t="shared" si="75"/>
        <v>0</v>
      </c>
      <c r="AY33" s="63"/>
      <c r="AZ33" s="84"/>
      <c r="BA33" s="85"/>
      <c r="BB33" s="95"/>
      <c r="BC33" s="86"/>
      <c r="BD33" s="86"/>
      <c r="BE33" s="96"/>
      <c r="BF33" s="69"/>
      <c r="BG33" s="114"/>
      <c r="BH33" s="63">
        <v>1</v>
      </c>
      <c r="BI33" s="68">
        <v>0</v>
      </c>
      <c r="BJ33" s="71"/>
      <c r="BK33" s="87"/>
      <c r="BL33" s="64" t="str">
        <f t="shared" ca="1" si="76"/>
        <v/>
      </c>
      <c r="BM33" s="65"/>
      <c r="BN33" s="66"/>
      <c r="BO33" s="67" t="str">
        <f t="shared" ca="1" si="77"/>
        <v/>
      </c>
      <c r="BP33" s="65"/>
      <c r="BQ33" s="66"/>
      <c r="BR33" s="67" t="str">
        <f t="shared" ca="1" si="78"/>
        <v/>
      </c>
      <c r="BS33" s="65"/>
      <c r="BT33" s="66"/>
      <c r="BU33" s="67" t="str">
        <f t="shared" ca="1" si="79"/>
        <v/>
      </c>
      <c r="BV33" s="65"/>
      <c r="BW33" s="66"/>
      <c r="BX33" s="67" t="str">
        <f t="shared" ca="1" si="80"/>
        <v/>
      </c>
      <c r="BY33" s="65"/>
      <c r="BZ33" s="66"/>
      <c r="CA33" s="67" t="str">
        <f t="shared" ca="1" si="81"/>
        <v/>
      </c>
      <c r="CB33" s="65"/>
      <c r="CC33" s="66"/>
      <c r="CD33" s="67" t="str">
        <f t="shared" ca="1" si="82"/>
        <v/>
      </c>
      <c r="CE33" s="65"/>
      <c r="CF33" s="66"/>
      <c r="CG33" s="67" t="str">
        <f t="shared" ca="1" si="83"/>
        <v/>
      </c>
      <c r="CH33" s="65"/>
      <c r="CI33" s="66"/>
      <c r="CJ33" s="67" t="str">
        <f t="shared" ca="1" si="84"/>
        <v/>
      </c>
      <c r="CK33" s="57"/>
      <c r="CL33" s="59"/>
      <c r="CM33" s="59"/>
      <c r="CN33" s="59"/>
      <c r="CO33" s="59"/>
      <c r="CP33" s="59"/>
      <c r="CQ33" s="59"/>
      <c r="CR33" s="57"/>
      <c r="CS33" s="58"/>
      <c r="CT33" s="90" t="str">
        <f t="shared" si="97"/>
        <v/>
      </c>
      <c r="CU33" s="59"/>
      <c r="CV33" s="60"/>
      <c r="CW33" s="59"/>
      <c r="CX33" s="59"/>
      <c r="CY33" s="59" t="str">
        <f t="shared" si="100"/>
        <v/>
      </c>
      <c r="CZ33" s="59"/>
      <c r="DA33" s="59"/>
      <c r="DB33" s="61"/>
      <c r="DC33" s="59"/>
      <c r="DD33" s="59"/>
      <c r="DE33" s="61"/>
      <c r="DF33" s="61"/>
      <c r="DG33" s="59"/>
      <c r="DH33" s="61"/>
      <c r="DI33" s="61"/>
      <c r="DJ33" s="59"/>
      <c r="DK33" s="59"/>
      <c r="DL33" s="62"/>
      <c r="DM33" s="56">
        <f t="shared" si="87"/>
        <v>0</v>
      </c>
      <c r="DN33" s="88" t="str">
        <f t="shared" si="88"/>
        <v/>
      </c>
      <c r="DO33" s="119" t="str">
        <f t="shared" si="89"/>
        <v/>
      </c>
      <c r="DP33" s="119" t="str">
        <f t="shared" si="90"/>
        <v/>
      </c>
      <c r="DQ33" s="121" t="str">
        <f t="shared" si="91"/>
        <v/>
      </c>
      <c r="DR33" s="121" t="str">
        <f t="shared" si="92"/>
        <v/>
      </c>
    </row>
    <row r="34" spans="1:122" x14ac:dyDescent="0.25">
      <c r="A34" s="183" t="str">
        <f t="shared" si="46"/>
        <v xml:space="preserve">  -  - </v>
      </c>
      <c r="B34" s="98"/>
      <c r="C34" s="97"/>
      <c r="D34" s="93"/>
      <c r="E34" s="71"/>
      <c r="F34" s="73"/>
      <c r="G34" s="103"/>
      <c r="H34" s="71"/>
      <c r="I34" s="105" t="str">
        <f t="shared" si="47"/>
        <v/>
      </c>
      <c r="J34" s="104"/>
      <c r="K34" s="63"/>
      <c r="L34" s="72"/>
      <c r="M34" s="74"/>
      <c r="N34" s="75"/>
      <c r="O34" s="75"/>
      <c r="P34" s="120"/>
      <c r="Q34" s="76" t="str">
        <f t="shared" si="48"/>
        <v/>
      </c>
      <c r="R34" s="77">
        <f t="shared" si="49"/>
        <v>0</v>
      </c>
      <c r="S34" s="63"/>
      <c r="T34" s="78">
        <f t="shared" si="98"/>
        <v>0</v>
      </c>
      <c r="U34" s="79">
        <f>IF(M34=0,0,IF(G34="Annulation","",IF(assurance="ALPTIS",M34*12*T34/100*#REF!,IF(assurance="APRIL",M34*12*T34/100*#REF!,IF(assurance="ASAF",M34*12*T34/100*#REF!,IF(assurance="NEOLIANE",(#REF!+M34*12*#REF!)*T34/100,IF(assurance="NEOLIANE Prev",(#REF!+M34*12*#REF!)*T34/100,IF(assurance="SWISSLIFE",M34*12*T34/100*#REF!,IF(assurance="AVIVA",M34*12*T34/100*#REF!,IF(assurance="CIPRES",M34*12*T34/100*#REF!,IF(assurance="CEGEMA",M34*12*T34/100*#REF!,IF(assurance=0,0))))))))))))</f>
        <v>0</v>
      </c>
      <c r="V34" s="91" t="str">
        <f t="shared" si="51"/>
        <v/>
      </c>
      <c r="W34" s="91" t="str">
        <f t="shared" si="52"/>
        <v/>
      </c>
      <c r="X34" s="92">
        <f t="shared" si="53"/>
        <v>0</v>
      </c>
      <c r="Y34" s="108">
        <f t="shared" si="54"/>
        <v>0</v>
      </c>
      <c r="Z34" s="106"/>
      <c r="AA34" s="105" t="str">
        <f t="shared" si="55"/>
        <v/>
      </c>
      <c r="AB34" s="63" t="s">
        <v>12</v>
      </c>
      <c r="AC34" s="72"/>
      <c r="AD34" s="101" t="str">
        <f t="shared" si="99"/>
        <v/>
      </c>
      <c r="AE34" s="80" t="str">
        <f t="shared" si="96"/>
        <v/>
      </c>
      <c r="AF34" s="72"/>
      <c r="AG34" s="70" t="str">
        <f t="shared" si="58"/>
        <v/>
      </c>
      <c r="AH34" s="81" t="str">
        <f t="shared" ca="1" si="59"/>
        <v/>
      </c>
      <c r="AI34" s="111" t="str">
        <f t="shared" ca="1" si="60"/>
        <v/>
      </c>
      <c r="AJ34" s="89" t="str">
        <f t="shared" si="61"/>
        <v/>
      </c>
      <c r="AK34" s="89" t="str">
        <f t="shared" si="62"/>
        <v/>
      </c>
      <c r="AL34" s="81" t="str">
        <f t="shared" si="63"/>
        <v/>
      </c>
      <c r="AM34" s="74">
        <f t="shared" si="64"/>
        <v>0</v>
      </c>
      <c r="AN34" s="74">
        <f t="shared" si="93"/>
        <v>0</v>
      </c>
      <c r="AO34" s="82">
        <f t="shared" si="66"/>
        <v>0</v>
      </c>
      <c r="AP34" s="74">
        <f t="shared" si="94"/>
        <v>0</v>
      </c>
      <c r="AQ34" s="82">
        <f t="shared" si="68"/>
        <v>0</v>
      </c>
      <c r="AR34" s="83">
        <f t="shared" si="69"/>
        <v>0</v>
      </c>
      <c r="AS34" s="74">
        <f t="shared" si="95"/>
        <v>0</v>
      </c>
      <c r="AT34" s="82">
        <f t="shared" si="71"/>
        <v>0</v>
      </c>
      <c r="AU34" s="83">
        <f t="shared" si="72"/>
        <v>0</v>
      </c>
      <c r="AV34" s="74">
        <f t="shared" si="73"/>
        <v>0</v>
      </c>
      <c r="AW34" s="82">
        <f t="shared" si="74"/>
        <v>0</v>
      </c>
      <c r="AX34" s="83">
        <f t="shared" si="75"/>
        <v>0</v>
      </c>
      <c r="AY34" s="63"/>
      <c r="AZ34" s="84"/>
      <c r="BA34" s="85"/>
      <c r="BB34" s="95"/>
      <c r="BC34" s="86"/>
      <c r="BD34" s="86"/>
      <c r="BE34" s="96"/>
      <c r="BF34" s="69"/>
      <c r="BG34" s="114"/>
      <c r="BH34" s="63">
        <v>1</v>
      </c>
      <c r="BI34" s="68">
        <v>0</v>
      </c>
      <c r="BJ34" s="71"/>
      <c r="BK34" s="87"/>
      <c r="BL34" s="64" t="str">
        <f t="shared" ca="1" si="76"/>
        <v/>
      </c>
      <c r="BM34" s="65"/>
      <c r="BN34" s="66"/>
      <c r="BO34" s="67" t="str">
        <f t="shared" ca="1" si="77"/>
        <v/>
      </c>
      <c r="BP34" s="65"/>
      <c r="BQ34" s="66"/>
      <c r="BR34" s="67" t="str">
        <f t="shared" ca="1" si="78"/>
        <v/>
      </c>
      <c r="BS34" s="65"/>
      <c r="BT34" s="66"/>
      <c r="BU34" s="67" t="str">
        <f t="shared" ca="1" si="79"/>
        <v/>
      </c>
      <c r="BV34" s="65"/>
      <c r="BW34" s="66"/>
      <c r="BX34" s="67" t="str">
        <f t="shared" ca="1" si="80"/>
        <v/>
      </c>
      <c r="BY34" s="65"/>
      <c r="BZ34" s="66"/>
      <c r="CA34" s="67" t="str">
        <f t="shared" ca="1" si="81"/>
        <v/>
      </c>
      <c r="CB34" s="65"/>
      <c r="CC34" s="66"/>
      <c r="CD34" s="67" t="str">
        <f t="shared" ca="1" si="82"/>
        <v/>
      </c>
      <c r="CE34" s="65"/>
      <c r="CF34" s="66"/>
      <c r="CG34" s="67" t="str">
        <f t="shared" ca="1" si="83"/>
        <v/>
      </c>
      <c r="CH34" s="65"/>
      <c r="CI34" s="66"/>
      <c r="CJ34" s="67" t="str">
        <f t="shared" ca="1" si="84"/>
        <v/>
      </c>
      <c r="CK34" s="57"/>
      <c r="CL34" s="59"/>
      <c r="CM34" s="59"/>
      <c r="CN34" s="59"/>
      <c r="CO34" s="59"/>
      <c r="CP34" s="59"/>
      <c r="CQ34" s="59"/>
      <c r="CR34" s="57"/>
      <c r="CS34" s="58"/>
      <c r="CT34" s="90" t="str">
        <f t="shared" si="97"/>
        <v/>
      </c>
      <c r="CU34" s="59"/>
      <c r="CV34" s="60"/>
      <c r="CW34" s="59"/>
      <c r="CX34" s="59"/>
      <c r="CY34" s="59" t="str">
        <f t="shared" si="100"/>
        <v/>
      </c>
      <c r="CZ34" s="59"/>
      <c r="DA34" s="59"/>
      <c r="DB34" s="61"/>
      <c r="DC34" s="59"/>
      <c r="DD34" s="59"/>
      <c r="DE34" s="61"/>
      <c r="DF34" s="61"/>
      <c r="DG34" s="59"/>
      <c r="DH34" s="61"/>
      <c r="DI34" s="61"/>
      <c r="DJ34" s="59"/>
      <c r="DK34" s="59"/>
      <c r="DL34" s="62"/>
      <c r="DM34" s="56">
        <f t="shared" si="87"/>
        <v>0</v>
      </c>
      <c r="DN34" s="88" t="str">
        <f t="shared" si="88"/>
        <v/>
      </c>
      <c r="DO34" s="119" t="str">
        <f t="shared" si="89"/>
        <v/>
      </c>
      <c r="DP34" s="119" t="str">
        <f t="shared" si="90"/>
        <v/>
      </c>
      <c r="DQ34" s="121" t="str">
        <f t="shared" si="91"/>
        <v/>
      </c>
      <c r="DR34" s="121" t="str">
        <f t="shared" si="92"/>
        <v/>
      </c>
    </row>
    <row r="35" spans="1:122" x14ac:dyDescent="0.25">
      <c r="A35" s="183" t="str">
        <f t="shared" si="46"/>
        <v xml:space="preserve">  -  - </v>
      </c>
      <c r="B35" s="98"/>
      <c r="C35" s="97"/>
      <c r="D35" s="93"/>
      <c r="E35" s="71"/>
      <c r="F35" s="73"/>
      <c r="G35" s="103"/>
      <c r="H35" s="71"/>
      <c r="I35" s="105" t="str">
        <f t="shared" si="47"/>
        <v/>
      </c>
      <c r="J35" s="104"/>
      <c r="K35" s="63"/>
      <c r="L35" s="72"/>
      <c r="M35" s="74"/>
      <c r="N35" s="75"/>
      <c r="O35" s="75"/>
      <c r="P35" s="120"/>
      <c r="Q35" s="76" t="str">
        <f t="shared" si="48"/>
        <v/>
      </c>
      <c r="R35" s="77">
        <f t="shared" si="49"/>
        <v>0</v>
      </c>
      <c r="S35" s="63"/>
      <c r="T35" s="78">
        <f t="shared" si="98"/>
        <v>0</v>
      </c>
      <c r="U35" s="79">
        <f>IF(M35=0,0,IF(G35="Annulation","",IF(assurance="ALPTIS",M35*12*T35/100*#REF!,IF(assurance="APRIL",M35*12*T35/100*#REF!,IF(assurance="ASAF",M35*12*T35/100*#REF!,IF(assurance="NEOLIANE",(#REF!+M35*12*#REF!)*T35/100,IF(assurance="NEOLIANE Prev",(#REF!+M35*12*#REF!)*T35/100,IF(assurance="SWISSLIFE",M35*12*T35/100*#REF!,IF(assurance="AVIVA",M35*12*T35/100*#REF!,IF(assurance="CIPRES",M35*12*T35/100*#REF!,IF(assurance="CEGEMA",M35*12*T35/100*#REF!,IF(assurance=0,0))))))))))))</f>
        <v>0</v>
      </c>
      <c r="V35" s="91" t="str">
        <f t="shared" si="51"/>
        <v/>
      </c>
      <c r="W35" s="91" t="str">
        <f t="shared" si="52"/>
        <v/>
      </c>
      <c r="X35" s="92">
        <f t="shared" si="53"/>
        <v>0</v>
      </c>
      <c r="Y35" s="108">
        <f t="shared" si="54"/>
        <v>0</v>
      </c>
      <c r="Z35" s="106"/>
      <c r="AA35" s="105" t="str">
        <f t="shared" si="55"/>
        <v/>
      </c>
      <c r="AB35" s="63" t="s">
        <v>12</v>
      </c>
      <c r="AC35" s="72"/>
      <c r="AD35" s="101" t="str">
        <f t="shared" si="99"/>
        <v/>
      </c>
      <c r="AE35" s="80" t="str">
        <f t="shared" si="96"/>
        <v/>
      </c>
      <c r="AF35" s="72"/>
      <c r="AG35" s="70" t="str">
        <f t="shared" si="58"/>
        <v/>
      </c>
      <c r="AH35" s="81" t="str">
        <f t="shared" ca="1" si="59"/>
        <v/>
      </c>
      <c r="AI35" s="111" t="str">
        <f t="shared" ca="1" si="60"/>
        <v/>
      </c>
      <c r="AJ35" s="89" t="str">
        <f t="shared" si="61"/>
        <v/>
      </c>
      <c r="AK35" s="89" t="str">
        <f t="shared" si="62"/>
        <v/>
      </c>
      <c r="AL35" s="81" t="str">
        <f t="shared" si="63"/>
        <v/>
      </c>
      <c r="AM35" s="74">
        <f t="shared" si="64"/>
        <v>0</v>
      </c>
      <c r="AN35" s="74">
        <f t="shared" si="93"/>
        <v>0</v>
      </c>
      <c r="AO35" s="82">
        <f t="shared" si="66"/>
        <v>0</v>
      </c>
      <c r="AP35" s="74">
        <f t="shared" si="94"/>
        <v>0</v>
      </c>
      <c r="AQ35" s="82">
        <f t="shared" si="68"/>
        <v>0</v>
      </c>
      <c r="AR35" s="83">
        <f t="shared" si="69"/>
        <v>0</v>
      </c>
      <c r="AS35" s="74">
        <f t="shared" si="95"/>
        <v>0</v>
      </c>
      <c r="AT35" s="82">
        <f t="shared" si="71"/>
        <v>0</v>
      </c>
      <c r="AU35" s="83">
        <f t="shared" si="72"/>
        <v>0</v>
      </c>
      <c r="AV35" s="74">
        <f t="shared" si="73"/>
        <v>0</v>
      </c>
      <c r="AW35" s="82">
        <f t="shared" si="74"/>
        <v>0</v>
      </c>
      <c r="AX35" s="83">
        <f t="shared" si="75"/>
        <v>0</v>
      </c>
      <c r="AY35" s="63"/>
      <c r="AZ35" s="84"/>
      <c r="BA35" s="85"/>
      <c r="BB35" s="95"/>
      <c r="BC35" s="86"/>
      <c r="BD35" s="86"/>
      <c r="BE35" s="96"/>
      <c r="BF35" s="69"/>
      <c r="BG35" s="114"/>
      <c r="BH35" s="63">
        <v>1</v>
      </c>
      <c r="BI35" s="68">
        <v>0</v>
      </c>
      <c r="BJ35" s="71"/>
      <c r="BK35" s="87"/>
      <c r="BL35" s="64" t="str">
        <f t="shared" ca="1" si="76"/>
        <v/>
      </c>
      <c r="BM35" s="65"/>
      <c r="BN35" s="66"/>
      <c r="BO35" s="67" t="str">
        <f t="shared" ca="1" si="77"/>
        <v/>
      </c>
      <c r="BP35" s="65"/>
      <c r="BQ35" s="66"/>
      <c r="BR35" s="67" t="str">
        <f t="shared" ca="1" si="78"/>
        <v/>
      </c>
      <c r="BS35" s="65"/>
      <c r="BT35" s="66"/>
      <c r="BU35" s="67" t="str">
        <f t="shared" ca="1" si="79"/>
        <v/>
      </c>
      <c r="BV35" s="65"/>
      <c r="BW35" s="66"/>
      <c r="BX35" s="67" t="str">
        <f t="shared" ca="1" si="80"/>
        <v/>
      </c>
      <c r="BY35" s="65"/>
      <c r="BZ35" s="66"/>
      <c r="CA35" s="67" t="str">
        <f t="shared" ca="1" si="81"/>
        <v/>
      </c>
      <c r="CB35" s="65"/>
      <c r="CC35" s="66"/>
      <c r="CD35" s="67" t="str">
        <f t="shared" ca="1" si="82"/>
        <v/>
      </c>
      <c r="CE35" s="65"/>
      <c r="CF35" s="66"/>
      <c r="CG35" s="67" t="str">
        <f t="shared" ca="1" si="83"/>
        <v/>
      </c>
      <c r="CH35" s="65"/>
      <c r="CI35" s="66"/>
      <c r="CJ35" s="67" t="str">
        <f t="shared" ca="1" si="84"/>
        <v/>
      </c>
      <c r="CK35" s="57"/>
      <c r="CL35" s="59"/>
      <c r="CM35" s="59"/>
      <c r="CN35" s="59"/>
      <c r="CO35" s="59"/>
      <c r="CP35" s="59"/>
      <c r="CQ35" s="59"/>
      <c r="CR35" s="57"/>
      <c r="CS35" s="58"/>
      <c r="CT35" s="90" t="str">
        <f t="shared" si="97"/>
        <v/>
      </c>
      <c r="CU35" s="59"/>
      <c r="CV35" s="60"/>
      <c r="CW35" s="59"/>
      <c r="CX35" s="59"/>
      <c r="CY35" s="59" t="str">
        <f t="shared" si="100"/>
        <v/>
      </c>
      <c r="CZ35" s="59"/>
      <c r="DA35" s="59"/>
      <c r="DB35" s="61"/>
      <c r="DC35" s="59"/>
      <c r="DD35" s="59"/>
      <c r="DE35" s="61"/>
      <c r="DF35" s="61"/>
      <c r="DG35" s="59"/>
      <c r="DH35" s="61"/>
      <c r="DI35" s="61"/>
      <c r="DJ35" s="59"/>
      <c r="DK35" s="59"/>
      <c r="DL35" s="62"/>
      <c r="DM35" s="56">
        <f t="shared" si="87"/>
        <v>0</v>
      </c>
      <c r="DN35" s="88" t="str">
        <f t="shared" si="88"/>
        <v/>
      </c>
      <c r="DO35" s="119" t="str">
        <f t="shared" si="89"/>
        <v/>
      </c>
      <c r="DP35" s="119" t="str">
        <f t="shared" si="90"/>
        <v/>
      </c>
      <c r="DQ35" s="121" t="str">
        <f t="shared" si="91"/>
        <v/>
      </c>
      <c r="DR35" s="121" t="str">
        <f t="shared" si="92"/>
        <v/>
      </c>
    </row>
    <row r="36" spans="1:122" x14ac:dyDescent="0.25">
      <c r="A36" s="183" t="str">
        <f t="shared" si="46"/>
        <v xml:space="preserve">  -  - </v>
      </c>
      <c r="B36" s="98"/>
      <c r="C36" s="97"/>
      <c r="D36" s="93"/>
      <c r="E36" s="71"/>
      <c r="F36" s="73"/>
      <c r="G36" s="103"/>
      <c r="H36" s="71"/>
      <c r="I36" s="105" t="str">
        <f t="shared" si="47"/>
        <v/>
      </c>
      <c r="J36" s="104"/>
      <c r="K36" s="63"/>
      <c r="L36" s="72"/>
      <c r="M36" s="74"/>
      <c r="N36" s="75"/>
      <c r="O36" s="75"/>
      <c r="P36" s="120"/>
      <c r="Q36" s="76" t="str">
        <f t="shared" si="48"/>
        <v/>
      </c>
      <c r="R36" s="77">
        <f t="shared" si="49"/>
        <v>0</v>
      </c>
      <c r="S36" s="63"/>
      <c r="T36" s="78">
        <f t="shared" si="98"/>
        <v>0</v>
      </c>
      <c r="U36" s="79">
        <f>IF(M36=0,0,IF(G36="Annulation","",IF(assurance="ALPTIS",M36*12*T36/100*#REF!,IF(assurance="APRIL",M36*12*T36/100*#REF!,IF(assurance="ASAF",M36*12*T36/100*#REF!,IF(assurance="NEOLIANE",(#REF!+M36*12*#REF!)*T36/100,IF(assurance="NEOLIANE Prev",(#REF!+M36*12*#REF!)*T36/100,IF(assurance="SWISSLIFE",M36*12*T36/100*#REF!,IF(assurance="AVIVA",M36*12*T36/100*#REF!,IF(assurance="CIPRES",M36*12*T36/100*#REF!,IF(assurance="CEGEMA",M36*12*T36/100*#REF!,IF(assurance=0,0))))))))))))</f>
        <v>0</v>
      </c>
      <c r="V36" s="91" t="str">
        <f t="shared" si="51"/>
        <v/>
      </c>
      <c r="W36" s="91" t="str">
        <f t="shared" si="52"/>
        <v/>
      </c>
      <c r="X36" s="92">
        <f t="shared" si="53"/>
        <v>0</v>
      </c>
      <c r="Y36" s="108">
        <f t="shared" si="54"/>
        <v>0</v>
      </c>
      <c r="Z36" s="106"/>
      <c r="AA36" s="105" t="str">
        <f t="shared" si="55"/>
        <v/>
      </c>
      <c r="AB36" s="63" t="s">
        <v>12</v>
      </c>
      <c r="AC36" s="72"/>
      <c r="AD36" s="101" t="str">
        <f t="shared" si="99"/>
        <v/>
      </c>
      <c r="AE36" s="80" t="str">
        <f t="shared" si="96"/>
        <v/>
      </c>
      <c r="AF36" s="72"/>
      <c r="AG36" s="70" t="str">
        <f t="shared" si="58"/>
        <v/>
      </c>
      <c r="AH36" s="81" t="str">
        <f t="shared" ca="1" si="59"/>
        <v/>
      </c>
      <c r="AI36" s="111" t="str">
        <f t="shared" ca="1" si="60"/>
        <v/>
      </c>
      <c r="AJ36" s="89" t="str">
        <f t="shared" si="61"/>
        <v/>
      </c>
      <c r="AK36" s="89" t="str">
        <f t="shared" si="62"/>
        <v/>
      </c>
      <c r="AL36" s="81" t="str">
        <f t="shared" si="63"/>
        <v/>
      </c>
      <c r="AM36" s="74">
        <f t="shared" si="64"/>
        <v>0</v>
      </c>
      <c r="AN36" s="74">
        <f t="shared" si="93"/>
        <v>0</v>
      </c>
      <c r="AO36" s="82">
        <f t="shared" si="66"/>
        <v>0</v>
      </c>
      <c r="AP36" s="74">
        <f t="shared" si="94"/>
        <v>0</v>
      </c>
      <c r="AQ36" s="82">
        <f t="shared" si="68"/>
        <v>0</v>
      </c>
      <c r="AR36" s="83">
        <f t="shared" si="69"/>
        <v>0</v>
      </c>
      <c r="AS36" s="74">
        <f t="shared" si="95"/>
        <v>0</v>
      </c>
      <c r="AT36" s="82">
        <f t="shared" si="71"/>
        <v>0</v>
      </c>
      <c r="AU36" s="83">
        <f t="shared" si="72"/>
        <v>0</v>
      </c>
      <c r="AV36" s="74">
        <f t="shared" si="73"/>
        <v>0</v>
      </c>
      <c r="AW36" s="82">
        <f t="shared" si="74"/>
        <v>0</v>
      </c>
      <c r="AX36" s="83">
        <f t="shared" si="75"/>
        <v>0</v>
      </c>
      <c r="AY36" s="63"/>
      <c r="AZ36" s="84"/>
      <c r="BA36" s="85"/>
      <c r="BB36" s="95"/>
      <c r="BC36" s="86"/>
      <c r="BD36" s="86"/>
      <c r="BE36" s="96"/>
      <c r="BF36" s="69"/>
      <c r="BG36" s="114"/>
      <c r="BH36" s="63">
        <v>1</v>
      </c>
      <c r="BI36" s="68">
        <v>0</v>
      </c>
      <c r="BJ36" s="71"/>
      <c r="BK36" s="87"/>
      <c r="BL36" s="64" t="str">
        <f t="shared" ca="1" si="76"/>
        <v/>
      </c>
      <c r="BM36" s="65"/>
      <c r="BN36" s="66"/>
      <c r="BO36" s="67" t="str">
        <f t="shared" ca="1" si="77"/>
        <v/>
      </c>
      <c r="BP36" s="65"/>
      <c r="BQ36" s="66"/>
      <c r="BR36" s="67" t="str">
        <f t="shared" ca="1" si="78"/>
        <v/>
      </c>
      <c r="BS36" s="65"/>
      <c r="BT36" s="66"/>
      <c r="BU36" s="67" t="str">
        <f t="shared" ca="1" si="79"/>
        <v/>
      </c>
      <c r="BV36" s="65"/>
      <c r="BW36" s="66"/>
      <c r="BX36" s="67" t="str">
        <f t="shared" ca="1" si="80"/>
        <v/>
      </c>
      <c r="BY36" s="65"/>
      <c r="BZ36" s="66"/>
      <c r="CA36" s="67" t="str">
        <f t="shared" ca="1" si="81"/>
        <v/>
      </c>
      <c r="CB36" s="65"/>
      <c r="CC36" s="66"/>
      <c r="CD36" s="67" t="str">
        <f t="shared" ca="1" si="82"/>
        <v/>
      </c>
      <c r="CE36" s="65"/>
      <c r="CF36" s="66"/>
      <c r="CG36" s="67" t="str">
        <f t="shared" ca="1" si="83"/>
        <v/>
      </c>
      <c r="CH36" s="65"/>
      <c r="CI36" s="66"/>
      <c r="CJ36" s="67" t="str">
        <f t="shared" ca="1" si="84"/>
        <v/>
      </c>
      <c r="CK36" s="57"/>
      <c r="CL36" s="59"/>
      <c r="CM36" s="59"/>
      <c r="CN36" s="59"/>
      <c r="CO36" s="59"/>
      <c r="CP36" s="59"/>
      <c r="CQ36" s="59"/>
      <c r="CR36" s="57"/>
      <c r="CS36" s="58"/>
      <c r="CT36" s="90" t="str">
        <f t="shared" si="97"/>
        <v/>
      </c>
      <c r="CU36" s="59"/>
      <c r="CV36" s="60"/>
      <c r="CW36" s="59"/>
      <c r="CX36" s="59"/>
      <c r="CY36" s="59" t="str">
        <f t="shared" si="100"/>
        <v/>
      </c>
      <c r="CZ36" s="59"/>
      <c r="DA36" s="59"/>
      <c r="DB36" s="61"/>
      <c r="DC36" s="59"/>
      <c r="DD36" s="59"/>
      <c r="DE36" s="61"/>
      <c r="DF36" s="61"/>
      <c r="DG36" s="59"/>
      <c r="DH36" s="61"/>
      <c r="DI36" s="61"/>
      <c r="DJ36" s="59"/>
      <c r="DK36" s="59"/>
      <c r="DL36" s="62"/>
      <c r="DM36" s="56">
        <f t="shared" si="87"/>
        <v>0</v>
      </c>
      <c r="DN36" s="88" t="str">
        <f t="shared" si="88"/>
        <v/>
      </c>
      <c r="DO36" s="119" t="str">
        <f t="shared" si="89"/>
        <v/>
      </c>
      <c r="DP36" s="119" t="str">
        <f t="shared" si="90"/>
        <v/>
      </c>
      <c r="DQ36" s="121" t="str">
        <f t="shared" si="91"/>
        <v/>
      </c>
      <c r="DR36" s="121" t="str">
        <f t="shared" si="92"/>
        <v/>
      </c>
    </row>
    <row r="37" spans="1:122" x14ac:dyDescent="0.25">
      <c r="A37" s="183" t="str">
        <f t="shared" si="46"/>
        <v xml:space="preserve">  -  - </v>
      </c>
      <c r="B37" s="98"/>
      <c r="C37" s="97"/>
      <c r="D37" s="93"/>
      <c r="E37" s="71"/>
      <c r="F37" s="73"/>
      <c r="G37" s="103"/>
      <c r="H37" s="71"/>
      <c r="I37" s="105" t="str">
        <f t="shared" si="47"/>
        <v/>
      </c>
      <c r="J37" s="104"/>
      <c r="K37" s="63"/>
      <c r="L37" s="72"/>
      <c r="M37" s="74"/>
      <c r="N37" s="75"/>
      <c r="O37" s="75"/>
      <c r="P37" s="120"/>
      <c r="Q37" s="76" t="str">
        <f t="shared" si="48"/>
        <v/>
      </c>
      <c r="R37" s="77">
        <f t="shared" si="49"/>
        <v>0</v>
      </c>
      <c r="S37" s="63"/>
      <c r="T37" s="78">
        <f t="shared" si="98"/>
        <v>0</v>
      </c>
      <c r="U37" s="79">
        <f>IF(M37=0,0,IF(G37="Annulation","",IF(assurance="ALPTIS",M37*12*T37/100*#REF!,IF(assurance="APRIL",M37*12*T37/100*#REF!,IF(assurance="ASAF",M37*12*T37/100*#REF!,IF(assurance="NEOLIANE",(#REF!+M37*12*#REF!)*T37/100,IF(assurance="NEOLIANE Prev",(#REF!+M37*12*#REF!)*T37/100,IF(assurance="SWISSLIFE",M37*12*T37/100*#REF!,IF(assurance="AVIVA",M37*12*T37/100*#REF!,IF(assurance="CIPRES",M37*12*T37/100*#REF!,IF(assurance="CEGEMA",M37*12*T37/100*#REF!,IF(assurance=0,0))))))))))))</f>
        <v>0</v>
      </c>
      <c r="V37" s="91" t="str">
        <f t="shared" si="51"/>
        <v/>
      </c>
      <c r="W37" s="91" t="str">
        <f t="shared" si="52"/>
        <v/>
      </c>
      <c r="X37" s="92">
        <f t="shared" si="53"/>
        <v>0</v>
      </c>
      <c r="Y37" s="108">
        <f t="shared" si="54"/>
        <v>0</v>
      </c>
      <c r="Z37" s="106"/>
      <c r="AA37" s="105" t="str">
        <f t="shared" si="55"/>
        <v/>
      </c>
      <c r="AB37" s="63" t="s">
        <v>12</v>
      </c>
      <c r="AC37" s="72"/>
      <c r="AD37" s="101" t="str">
        <f t="shared" si="99"/>
        <v/>
      </c>
      <c r="AE37" s="80" t="str">
        <f t="shared" si="96"/>
        <v/>
      </c>
      <c r="AF37" s="72"/>
      <c r="AG37" s="70" t="str">
        <f t="shared" si="58"/>
        <v/>
      </c>
      <c r="AH37" s="81" t="str">
        <f t="shared" ca="1" si="59"/>
        <v/>
      </c>
      <c r="AI37" s="111" t="str">
        <f t="shared" ca="1" si="60"/>
        <v/>
      </c>
      <c r="AJ37" s="89" t="str">
        <f t="shared" si="61"/>
        <v/>
      </c>
      <c r="AK37" s="89" t="str">
        <f t="shared" si="62"/>
        <v/>
      </c>
      <c r="AL37" s="81" t="str">
        <f t="shared" si="63"/>
        <v/>
      </c>
      <c r="AM37" s="74">
        <f t="shared" si="64"/>
        <v>0</v>
      </c>
      <c r="AN37" s="74">
        <f t="shared" si="93"/>
        <v>0</v>
      </c>
      <c r="AO37" s="82">
        <f t="shared" si="66"/>
        <v>0</v>
      </c>
      <c r="AP37" s="74">
        <f t="shared" si="94"/>
        <v>0</v>
      </c>
      <c r="AQ37" s="82">
        <f t="shared" si="68"/>
        <v>0</v>
      </c>
      <c r="AR37" s="83">
        <f t="shared" si="69"/>
        <v>0</v>
      </c>
      <c r="AS37" s="74">
        <f t="shared" si="95"/>
        <v>0</v>
      </c>
      <c r="AT37" s="82">
        <f t="shared" si="71"/>
        <v>0</v>
      </c>
      <c r="AU37" s="83">
        <f t="shared" si="72"/>
        <v>0</v>
      </c>
      <c r="AV37" s="74">
        <f t="shared" si="73"/>
        <v>0</v>
      </c>
      <c r="AW37" s="82">
        <f t="shared" si="74"/>
        <v>0</v>
      </c>
      <c r="AX37" s="83">
        <f t="shared" si="75"/>
        <v>0</v>
      </c>
      <c r="AY37" s="63"/>
      <c r="AZ37" s="84"/>
      <c r="BA37" s="85"/>
      <c r="BB37" s="95"/>
      <c r="BC37" s="86"/>
      <c r="BD37" s="86"/>
      <c r="BE37" s="96"/>
      <c r="BF37" s="69"/>
      <c r="BG37" s="114"/>
      <c r="BH37" s="63">
        <v>1</v>
      </c>
      <c r="BI37" s="68">
        <v>0</v>
      </c>
      <c r="BJ37" s="71"/>
      <c r="BK37" s="87"/>
      <c r="BL37" s="64" t="str">
        <f t="shared" ca="1" si="76"/>
        <v/>
      </c>
      <c r="BM37" s="65"/>
      <c r="BN37" s="66"/>
      <c r="BO37" s="67" t="str">
        <f t="shared" ca="1" si="77"/>
        <v/>
      </c>
      <c r="BP37" s="65"/>
      <c r="BQ37" s="66"/>
      <c r="BR37" s="67" t="str">
        <f t="shared" ca="1" si="78"/>
        <v/>
      </c>
      <c r="BS37" s="65"/>
      <c r="BT37" s="66"/>
      <c r="BU37" s="67" t="str">
        <f t="shared" ca="1" si="79"/>
        <v/>
      </c>
      <c r="BV37" s="65"/>
      <c r="BW37" s="66"/>
      <c r="BX37" s="67" t="str">
        <f t="shared" ca="1" si="80"/>
        <v/>
      </c>
      <c r="BY37" s="65"/>
      <c r="BZ37" s="66"/>
      <c r="CA37" s="67" t="str">
        <f t="shared" ca="1" si="81"/>
        <v/>
      </c>
      <c r="CB37" s="65"/>
      <c r="CC37" s="66"/>
      <c r="CD37" s="67" t="str">
        <f t="shared" ca="1" si="82"/>
        <v/>
      </c>
      <c r="CE37" s="65"/>
      <c r="CF37" s="66"/>
      <c r="CG37" s="67" t="str">
        <f t="shared" ca="1" si="83"/>
        <v/>
      </c>
      <c r="CH37" s="65"/>
      <c r="CI37" s="66"/>
      <c r="CJ37" s="67" t="str">
        <f t="shared" ca="1" si="84"/>
        <v/>
      </c>
      <c r="CK37" s="57"/>
      <c r="CL37" s="59"/>
      <c r="CM37" s="59"/>
      <c r="CN37" s="59"/>
      <c r="CO37" s="59"/>
      <c r="CP37" s="59"/>
      <c r="CQ37" s="59"/>
      <c r="CR37" s="57"/>
      <c r="CS37" s="58"/>
      <c r="CT37" s="90" t="str">
        <f t="shared" si="97"/>
        <v/>
      </c>
      <c r="CU37" s="59"/>
      <c r="CV37" s="60"/>
      <c r="CW37" s="59"/>
      <c r="CX37" s="59"/>
      <c r="CY37" s="59" t="str">
        <f t="shared" si="100"/>
        <v/>
      </c>
      <c r="CZ37" s="59"/>
      <c r="DA37" s="59"/>
      <c r="DB37" s="61"/>
      <c r="DC37" s="59"/>
      <c r="DD37" s="59"/>
      <c r="DE37" s="61"/>
      <c r="DF37" s="61"/>
      <c r="DG37" s="59"/>
      <c r="DH37" s="61"/>
      <c r="DI37" s="61"/>
      <c r="DJ37" s="59"/>
      <c r="DK37" s="59"/>
      <c r="DL37" s="62"/>
      <c r="DM37" s="56">
        <f t="shared" si="87"/>
        <v>0</v>
      </c>
      <c r="DN37" s="88" t="str">
        <f t="shared" si="88"/>
        <v/>
      </c>
      <c r="DO37" s="119" t="str">
        <f t="shared" si="89"/>
        <v/>
      </c>
      <c r="DP37" s="119" t="str">
        <f t="shared" si="90"/>
        <v/>
      </c>
      <c r="DQ37" s="121" t="str">
        <f t="shared" si="91"/>
        <v/>
      </c>
      <c r="DR37" s="121" t="str">
        <f t="shared" si="92"/>
        <v/>
      </c>
    </row>
    <row r="38" spans="1:122" x14ac:dyDescent="0.25">
      <c r="A38" s="183" t="str">
        <f t="shared" si="46"/>
        <v xml:space="preserve">  -  - </v>
      </c>
      <c r="B38" s="98"/>
      <c r="C38" s="97"/>
      <c r="D38" s="93"/>
      <c r="E38" s="71"/>
      <c r="F38" s="73"/>
      <c r="G38" s="103"/>
      <c r="H38" s="71"/>
      <c r="I38" s="105" t="str">
        <f t="shared" si="47"/>
        <v/>
      </c>
      <c r="J38" s="104"/>
      <c r="K38" s="63"/>
      <c r="L38" s="72"/>
      <c r="M38" s="74"/>
      <c r="N38" s="75"/>
      <c r="O38" s="75"/>
      <c r="P38" s="120"/>
      <c r="Q38" s="76" t="str">
        <f t="shared" si="48"/>
        <v/>
      </c>
      <c r="R38" s="77">
        <f t="shared" si="49"/>
        <v>0</v>
      </c>
      <c r="S38" s="63"/>
      <c r="T38" s="78">
        <f t="shared" si="98"/>
        <v>0</v>
      </c>
      <c r="U38" s="79">
        <f>IF(M38=0,0,IF(G38="Annulation","",IF(assurance="ALPTIS",M38*12*T38/100*#REF!,IF(assurance="APRIL",M38*12*T38/100*#REF!,IF(assurance="ASAF",M38*12*T38/100*#REF!,IF(assurance="NEOLIANE",(#REF!+M38*12*#REF!)*T38/100,IF(assurance="NEOLIANE Prev",(#REF!+M38*12*#REF!)*T38/100,IF(assurance="SWISSLIFE",M38*12*T38/100*#REF!,IF(assurance="AVIVA",M38*12*T38/100*#REF!,IF(assurance="CIPRES",M38*12*T38/100*#REF!,IF(assurance="CEGEMA",M38*12*T38/100*#REF!,IF(assurance=0,0))))))))))))</f>
        <v>0</v>
      </c>
      <c r="V38" s="91" t="str">
        <f t="shared" si="51"/>
        <v/>
      </c>
      <c r="W38" s="91" t="str">
        <f t="shared" si="52"/>
        <v/>
      </c>
      <c r="X38" s="92">
        <f t="shared" si="53"/>
        <v>0</v>
      </c>
      <c r="Y38" s="108">
        <f t="shared" si="54"/>
        <v>0</v>
      </c>
      <c r="Z38" s="106"/>
      <c r="AA38" s="105" t="str">
        <f t="shared" si="55"/>
        <v/>
      </c>
      <c r="AB38" s="63" t="s">
        <v>12</v>
      </c>
      <c r="AC38" s="72"/>
      <c r="AD38" s="101" t="str">
        <f t="shared" si="99"/>
        <v/>
      </c>
      <c r="AE38" s="80" t="str">
        <f t="shared" si="96"/>
        <v/>
      </c>
      <c r="AF38" s="72"/>
      <c r="AG38" s="70" t="str">
        <f t="shared" si="58"/>
        <v/>
      </c>
      <c r="AH38" s="81" t="str">
        <f t="shared" ca="1" si="59"/>
        <v/>
      </c>
      <c r="AI38" s="111" t="str">
        <f t="shared" ca="1" si="60"/>
        <v/>
      </c>
      <c r="AJ38" s="89" t="str">
        <f t="shared" si="61"/>
        <v/>
      </c>
      <c r="AK38" s="89" t="str">
        <f t="shared" si="62"/>
        <v/>
      </c>
      <c r="AL38" s="81" t="str">
        <f t="shared" si="63"/>
        <v/>
      </c>
      <c r="AM38" s="74">
        <f t="shared" si="64"/>
        <v>0</v>
      </c>
      <c r="AN38" s="74">
        <f t="shared" si="93"/>
        <v>0</v>
      </c>
      <c r="AO38" s="82">
        <f t="shared" si="66"/>
        <v>0</v>
      </c>
      <c r="AP38" s="74">
        <f t="shared" si="94"/>
        <v>0</v>
      </c>
      <c r="AQ38" s="82">
        <f t="shared" si="68"/>
        <v>0</v>
      </c>
      <c r="AR38" s="83">
        <f t="shared" si="69"/>
        <v>0</v>
      </c>
      <c r="AS38" s="74">
        <f t="shared" si="95"/>
        <v>0</v>
      </c>
      <c r="AT38" s="82">
        <f t="shared" si="71"/>
        <v>0</v>
      </c>
      <c r="AU38" s="83">
        <f t="shared" si="72"/>
        <v>0</v>
      </c>
      <c r="AV38" s="74">
        <f t="shared" si="73"/>
        <v>0</v>
      </c>
      <c r="AW38" s="82">
        <f t="shared" si="74"/>
        <v>0</v>
      </c>
      <c r="AX38" s="83">
        <f t="shared" si="75"/>
        <v>0</v>
      </c>
      <c r="AY38" s="63"/>
      <c r="AZ38" s="84"/>
      <c r="BA38" s="85"/>
      <c r="BB38" s="95"/>
      <c r="BC38" s="86"/>
      <c r="BD38" s="86"/>
      <c r="BE38" s="96"/>
      <c r="BF38" s="69"/>
      <c r="BG38" s="114"/>
      <c r="BH38" s="63">
        <v>1</v>
      </c>
      <c r="BI38" s="68">
        <v>0</v>
      </c>
      <c r="BJ38" s="71"/>
      <c r="BK38" s="87"/>
      <c r="BL38" s="64" t="str">
        <f t="shared" ca="1" si="76"/>
        <v/>
      </c>
      <c r="BM38" s="65"/>
      <c r="BN38" s="66"/>
      <c r="BO38" s="67" t="str">
        <f t="shared" ca="1" si="77"/>
        <v/>
      </c>
      <c r="BP38" s="65"/>
      <c r="BQ38" s="66"/>
      <c r="BR38" s="67" t="str">
        <f t="shared" ca="1" si="78"/>
        <v/>
      </c>
      <c r="BS38" s="65"/>
      <c r="BT38" s="66"/>
      <c r="BU38" s="67" t="str">
        <f t="shared" ca="1" si="79"/>
        <v/>
      </c>
      <c r="BV38" s="65"/>
      <c r="BW38" s="66"/>
      <c r="BX38" s="67" t="str">
        <f t="shared" ca="1" si="80"/>
        <v/>
      </c>
      <c r="BY38" s="65"/>
      <c r="BZ38" s="66"/>
      <c r="CA38" s="67" t="str">
        <f t="shared" ca="1" si="81"/>
        <v/>
      </c>
      <c r="CB38" s="65"/>
      <c r="CC38" s="66"/>
      <c r="CD38" s="67" t="str">
        <f t="shared" ca="1" si="82"/>
        <v/>
      </c>
      <c r="CE38" s="65"/>
      <c r="CF38" s="66"/>
      <c r="CG38" s="67" t="str">
        <f t="shared" ca="1" si="83"/>
        <v/>
      </c>
      <c r="CH38" s="65"/>
      <c r="CI38" s="66"/>
      <c r="CJ38" s="67" t="str">
        <f t="shared" ca="1" si="84"/>
        <v/>
      </c>
      <c r="CK38" s="57"/>
      <c r="CL38" s="59"/>
      <c r="CM38" s="59"/>
      <c r="CN38" s="59"/>
      <c r="CO38" s="59"/>
      <c r="CP38" s="59"/>
      <c r="CQ38" s="59"/>
      <c r="CR38" s="57"/>
      <c r="CS38" s="58"/>
      <c r="CT38" s="90" t="str">
        <f t="shared" si="97"/>
        <v/>
      </c>
      <c r="CU38" s="59"/>
      <c r="CV38" s="60"/>
      <c r="CW38" s="59"/>
      <c r="CX38" s="59"/>
      <c r="CY38" s="59" t="str">
        <f t="shared" si="100"/>
        <v/>
      </c>
      <c r="CZ38" s="59"/>
      <c r="DA38" s="59"/>
      <c r="DB38" s="61"/>
      <c r="DC38" s="59"/>
      <c r="DD38" s="59"/>
      <c r="DE38" s="61"/>
      <c r="DF38" s="61"/>
      <c r="DG38" s="59"/>
      <c r="DH38" s="61"/>
      <c r="DI38" s="61"/>
      <c r="DJ38" s="59"/>
      <c r="DK38" s="59"/>
      <c r="DL38" s="62"/>
      <c r="DM38" s="56">
        <f t="shared" si="87"/>
        <v>0</v>
      </c>
      <c r="DN38" s="88" t="str">
        <f t="shared" si="88"/>
        <v/>
      </c>
      <c r="DO38" s="119" t="str">
        <f t="shared" si="89"/>
        <v/>
      </c>
      <c r="DP38" s="119" t="str">
        <f t="shared" si="90"/>
        <v/>
      </c>
      <c r="DQ38" s="121" t="str">
        <f t="shared" si="91"/>
        <v/>
      </c>
      <c r="DR38" s="121" t="str">
        <f t="shared" si="92"/>
        <v/>
      </c>
    </row>
    <row r="39" spans="1:122" x14ac:dyDescent="0.25">
      <c r="A39" s="183" t="str">
        <f t="shared" si="46"/>
        <v xml:space="preserve">  -  - </v>
      </c>
      <c r="B39" s="98"/>
      <c r="C39" s="97"/>
      <c r="D39" s="93"/>
      <c r="E39" s="71"/>
      <c r="F39" s="73"/>
      <c r="G39" s="103"/>
      <c r="H39" s="71"/>
      <c r="I39" s="105" t="str">
        <f t="shared" si="47"/>
        <v/>
      </c>
      <c r="J39" s="104"/>
      <c r="K39" s="63"/>
      <c r="L39" s="72"/>
      <c r="M39" s="74"/>
      <c r="N39" s="75"/>
      <c r="O39" s="75"/>
      <c r="P39" s="120"/>
      <c r="Q39" s="76" t="str">
        <f t="shared" si="48"/>
        <v/>
      </c>
      <c r="R39" s="77">
        <f t="shared" si="49"/>
        <v>0</v>
      </c>
      <c r="S39" s="63"/>
      <c r="T39" s="78">
        <f t="shared" si="98"/>
        <v>0</v>
      </c>
      <c r="U39" s="79">
        <f>IF(M39=0,0,IF(G39="Annulation","",IF(assurance="ALPTIS",M39*12*T39/100*#REF!,IF(assurance="APRIL",M39*12*T39/100*#REF!,IF(assurance="ASAF",M39*12*T39/100*#REF!,IF(assurance="NEOLIANE",(#REF!+M39*12*#REF!)*T39/100,IF(assurance="NEOLIANE Prev",(#REF!+M39*12*#REF!)*T39/100,IF(assurance="SWISSLIFE",M39*12*T39/100*#REF!,IF(assurance="AVIVA",M39*12*T39/100*#REF!,IF(assurance="CIPRES",M39*12*T39/100*#REF!,IF(assurance="CEGEMA",M39*12*T39/100*#REF!,IF(assurance=0,0))))))))))))</f>
        <v>0</v>
      </c>
      <c r="V39" s="91" t="str">
        <f t="shared" si="51"/>
        <v/>
      </c>
      <c r="W39" s="91" t="str">
        <f t="shared" si="52"/>
        <v/>
      </c>
      <c r="X39" s="92">
        <f t="shared" si="53"/>
        <v>0</v>
      </c>
      <c r="Y39" s="108">
        <f t="shared" si="54"/>
        <v>0</v>
      </c>
      <c r="Z39" s="106"/>
      <c r="AA39" s="105" t="str">
        <f t="shared" si="55"/>
        <v/>
      </c>
      <c r="AB39" s="63" t="s">
        <v>12</v>
      </c>
      <c r="AC39" s="72"/>
      <c r="AD39" s="101" t="str">
        <f t="shared" si="99"/>
        <v/>
      </c>
      <c r="AE39" s="80" t="str">
        <f t="shared" si="96"/>
        <v/>
      </c>
      <c r="AF39" s="72"/>
      <c r="AG39" s="70" t="str">
        <f t="shared" si="58"/>
        <v/>
      </c>
      <c r="AH39" s="81" t="str">
        <f t="shared" ca="1" si="59"/>
        <v/>
      </c>
      <c r="AI39" s="111" t="str">
        <f t="shared" ca="1" si="60"/>
        <v/>
      </c>
      <c r="AJ39" s="89" t="str">
        <f t="shared" si="61"/>
        <v/>
      </c>
      <c r="AK39" s="89" t="str">
        <f t="shared" si="62"/>
        <v/>
      </c>
      <c r="AL39" s="81" t="str">
        <f t="shared" si="63"/>
        <v/>
      </c>
      <c r="AM39" s="74">
        <f t="shared" si="64"/>
        <v>0</v>
      </c>
      <c r="AN39" s="74">
        <f t="shared" si="93"/>
        <v>0</v>
      </c>
      <c r="AO39" s="82">
        <f t="shared" si="66"/>
        <v>0</v>
      </c>
      <c r="AP39" s="74">
        <f t="shared" si="94"/>
        <v>0</v>
      </c>
      <c r="AQ39" s="82">
        <f t="shared" si="68"/>
        <v>0</v>
      </c>
      <c r="AR39" s="83">
        <f t="shared" si="69"/>
        <v>0</v>
      </c>
      <c r="AS39" s="74">
        <f t="shared" si="95"/>
        <v>0</v>
      </c>
      <c r="AT39" s="82">
        <f t="shared" si="71"/>
        <v>0</v>
      </c>
      <c r="AU39" s="83">
        <f t="shared" si="72"/>
        <v>0</v>
      </c>
      <c r="AV39" s="74">
        <f t="shared" si="73"/>
        <v>0</v>
      </c>
      <c r="AW39" s="82">
        <f t="shared" si="74"/>
        <v>0</v>
      </c>
      <c r="AX39" s="83">
        <f t="shared" si="75"/>
        <v>0</v>
      </c>
      <c r="AY39" s="63"/>
      <c r="AZ39" s="84"/>
      <c r="BA39" s="85"/>
      <c r="BB39" s="95"/>
      <c r="BC39" s="86"/>
      <c r="BD39" s="86"/>
      <c r="BE39" s="96"/>
      <c r="BF39" s="69"/>
      <c r="BG39" s="114"/>
      <c r="BH39" s="63">
        <v>1</v>
      </c>
      <c r="BI39" s="68">
        <v>0</v>
      </c>
      <c r="BJ39" s="71"/>
      <c r="BK39" s="87"/>
      <c r="BL39" s="64" t="str">
        <f t="shared" ca="1" si="76"/>
        <v/>
      </c>
      <c r="BM39" s="65"/>
      <c r="BN39" s="66"/>
      <c r="BO39" s="67" t="str">
        <f t="shared" ca="1" si="77"/>
        <v/>
      </c>
      <c r="BP39" s="65"/>
      <c r="BQ39" s="66"/>
      <c r="BR39" s="67" t="str">
        <f t="shared" ca="1" si="78"/>
        <v/>
      </c>
      <c r="BS39" s="65"/>
      <c r="BT39" s="66"/>
      <c r="BU39" s="67" t="str">
        <f t="shared" ca="1" si="79"/>
        <v/>
      </c>
      <c r="BV39" s="65"/>
      <c r="BW39" s="66"/>
      <c r="BX39" s="67" t="str">
        <f t="shared" ca="1" si="80"/>
        <v/>
      </c>
      <c r="BY39" s="65"/>
      <c r="BZ39" s="66"/>
      <c r="CA39" s="67" t="str">
        <f t="shared" ca="1" si="81"/>
        <v/>
      </c>
      <c r="CB39" s="65"/>
      <c r="CC39" s="66"/>
      <c r="CD39" s="67" t="str">
        <f t="shared" ca="1" si="82"/>
        <v/>
      </c>
      <c r="CE39" s="65"/>
      <c r="CF39" s="66"/>
      <c r="CG39" s="67" t="str">
        <f t="shared" ca="1" si="83"/>
        <v/>
      </c>
      <c r="CH39" s="65"/>
      <c r="CI39" s="66"/>
      <c r="CJ39" s="67" t="str">
        <f t="shared" ca="1" si="84"/>
        <v/>
      </c>
      <c r="CK39" s="57"/>
      <c r="CL39" s="59"/>
      <c r="CM39" s="59"/>
      <c r="CN39" s="59"/>
      <c r="CO39" s="59"/>
      <c r="CP39" s="59"/>
      <c r="CQ39" s="59"/>
      <c r="CR39" s="57"/>
      <c r="CS39" s="58"/>
      <c r="CT39" s="90" t="str">
        <f t="shared" si="97"/>
        <v/>
      </c>
      <c r="CU39" s="59"/>
      <c r="CV39" s="60"/>
      <c r="CW39" s="59"/>
      <c r="CX39" s="59"/>
      <c r="CY39" s="59" t="str">
        <f t="shared" si="100"/>
        <v/>
      </c>
      <c r="CZ39" s="59"/>
      <c r="DA39" s="59"/>
      <c r="DB39" s="61"/>
      <c r="DC39" s="59"/>
      <c r="DD39" s="59"/>
      <c r="DE39" s="61"/>
      <c r="DF39" s="61"/>
      <c r="DG39" s="59"/>
      <c r="DH39" s="61"/>
      <c r="DI39" s="61"/>
      <c r="DJ39" s="59"/>
      <c r="DK39" s="59"/>
      <c r="DL39" s="62"/>
      <c r="DM39" s="56">
        <f t="shared" si="87"/>
        <v>0</v>
      </c>
      <c r="DN39" s="88" t="str">
        <f t="shared" si="88"/>
        <v/>
      </c>
      <c r="DO39" s="119" t="str">
        <f t="shared" si="89"/>
        <v/>
      </c>
      <c r="DP39" s="119" t="str">
        <f t="shared" si="90"/>
        <v/>
      </c>
      <c r="DQ39" s="121" t="str">
        <f t="shared" si="91"/>
        <v/>
      </c>
      <c r="DR39" s="121" t="str">
        <f t="shared" si="92"/>
        <v/>
      </c>
    </row>
    <row r="40" spans="1:122" x14ac:dyDescent="0.25">
      <c r="A40" s="183" t="str">
        <f t="shared" si="46"/>
        <v xml:space="preserve">  -  - </v>
      </c>
      <c r="B40" s="98"/>
      <c r="C40" s="97"/>
      <c r="D40" s="93"/>
      <c r="E40" s="71"/>
      <c r="F40" s="73"/>
      <c r="G40" s="103"/>
      <c r="H40" s="71"/>
      <c r="I40" s="105" t="str">
        <f t="shared" si="47"/>
        <v/>
      </c>
      <c r="J40" s="104"/>
      <c r="K40" s="63"/>
      <c r="L40" s="72"/>
      <c r="M40" s="74"/>
      <c r="N40" s="75"/>
      <c r="O40" s="75"/>
      <c r="P40" s="120"/>
      <c r="Q40" s="76" t="str">
        <f t="shared" si="48"/>
        <v/>
      </c>
      <c r="R40" s="77">
        <f t="shared" si="49"/>
        <v>0</v>
      </c>
      <c r="S40" s="63"/>
      <c r="T40" s="78">
        <f t="shared" si="98"/>
        <v>0</v>
      </c>
      <c r="U40" s="79">
        <f>IF(M40=0,0,IF(G40="Annulation","",IF(assurance="ALPTIS",M40*12*T40/100*#REF!,IF(assurance="APRIL",M40*12*T40/100*#REF!,IF(assurance="ASAF",M40*12*T40/100*#REF!,IF(assurance="NEOLIANE",(#REF!+M40*12*#REF!)*T40/100,IF(assurance="NEOLIANE Prev",(#REF!+M40*12*#REF!)*T40/100,IF(assurance="SWISSLIFE",M40*12*T40/100*#REF!,IF(assurance="AVIVA",M40*12*T40/100*#REF!,IF(assurance="CIPRES",M40*12*T40/100*#REF!,IF(assurance="CEGEMA",M40*12*T40/100*#REF!,IF(assurance=0,0))))))))))))</f>
        <v>0</v>
      </c>
      <c r="V40" s="91" t="str">
        <f t="shared" si="51"/>
        <v/>
      </c>
      <c r="W40" s="91" t="str">
        <f t="shared" si="52"/>
        <v/>
      </c>
      <c r="X40" s="92">
        <f t="shared" si="53"/>
        <v>0</v>
      </c>
      <c r="Y40" s="108">
        <f t="shared" si="54"/>
        <v>0</v>
      </c>
      <c r="Z40" s="106"/>
      <c r="AA40" s="105" t="str">
        <f t="shared" si="55"/>
        <v/>
      </c>
      <c r="AB40" s="63" t="s">
        <v>12</v>
      </c>
      <c r="AC40" s="72"/>
      <c r="AD40" s="101" t="str">
        <f t="shared" si="99"/>
        <v/>
      </c>
      <c r="AE40" s="80" t="str">
        <f t="shared" si="96"/>
        <v/>
      </c>
      <c r="AF40" s="72"/>
      <c r="AG40" s="70" t="str">
        <f t="shared" si="58"/>
        <v/>
      </c>
      <c r="AH40" s="81" t="str">
        <f t="shared" ca="1" si="59"/>
        <v/>
      </c>
      <c r="AI40" s="111" t="str">
        <f t="shared" ca="1" si="60"/>
        <v/>
      </c>
      <c r="AJ40" s="89" t="str">
        <f t="shared" si="61"/>
        <v/>
      </c>
      <c r="AK40" s="89" t="str">
        <f t="shared" si="62"/>
        <v/>
      </c>
      <c r="AL40" s="81" t="str">
        <f t="shared" si="63"/>
        <v/>
      </c>
      <c r="AM40" s="74">
        <f t="shared" si="64"/>
        <v>0</v>
      </c>
      <c r="AN40" s="74">
        <f t="shared" si="93"/>
        <v>0</v>
      </c>
      <c r="AO40" s="82">
        <f t="shared" si="66"/>
        <v>0</v>
      </c>
      <c r="AP40" s="74">
        <f t="shared" si="94"/>
        <v>0</v>
      </c>
      <c r="AQ40" s="82">
        <f t="shared" si="68"/>
        <v>0</v>
      </c>
      <c r="AR40" s="83">
        <f t="shared" si="69"/>
        <v>0</v>
      </c>
      <c r="AS40" s="74">
        <f t="shared" si="95"/>
        <v>0</v>
      </c>
      <c r="AT40" s="82">
        <f t="shared" si="71"/>
        <v>0</v>
      </c>
      <c r="AU40" s="83">
        <f t="shared" si="72"/>
        <v>0</v>
      </c>
      <c r="AV40" s="74">
        <f t="shared" si="73"/>
        <v>0</v>
      </c>
      <c r="AW40" s="82">
        <f t="shared" si="74"/>
        <v>0</v>
      </c>
      <c r="AX40" s="83">
        <f t="shared" si="75"/>
        <v>0</v>
      </c>
      <c r="AY40" s="63"/>
      <c r="AZ40" s="84"/>
      <c r="BA40" s="85"/>
      <c r="BB40" s="95"/>
      <c r="BC40" s="86"/>
      <c r="BD40" s="86"/>
      <c r="BE40" s="96"/>
      <c r="BF40" s="69"/>
      <c r="BG40" s="114"/>
      <c r="BH40" s="63">
        <v>1</v>
      </c>
      <c r="BI40" s="68">
        <v>0</v>
      </c>
      <c r="BJ40" s="71"/>
      <c r="BK40" s="87"/>
      <c r="BL40" s="64" t="str">
        <f t="shared" ca="1" si="76"/>
        <v/>
      </c>
      <c r="BM40" s="65"/>
      <c r="BN40" s="66"/>
      <c r="BO40" s="67" t="str">
        <f t="shared" ca="1" si="77"/>
        <v/>
      </c>
      <c r="BP40" s="65"/>
      <c r="BQ40" s="66"/>
      <c r="BR40" s="67" t="str">
        <f t="shared" ca="1" si="78"/>
        <v/>
      </c>
      <c r="BS40" s="65"/>
      <c r="BT40" s="66"/>
      <c r="BU40" s="67" t="str">
        <f t="shared" ca="1" si="79"/>
        <v/>
      </c>
      <c r="BV40" s="65"/>
      <c r="BW40" s="66"/>
      <c r="BX40" s="67" t="str">
        <f t="shared" ca="1" si="80"/>
        <v/>
      </c>
      <c r="BY40" s="65"/>
      <c r="BZ40" s="66"/>
      <c r="CA40" s="67" t="str">
        <f t="shared" ca="1" si="81"/>
        <v/>
      </c>
      <c r="CB40" s="65"/>
      <c r="CC40" s="66"/>
      <c r="CD40" s="67" t="str">
        <f t="shared" ca="1" si="82"/>
        <v/>
      </c>
      <c r="CE40" s="65"/>
      <c r="CF40" s="66"/>
      <c r="CG40" s="67" t="str">
        <f t="shared" ca="1" si="83"/>
        <v/>
      </c>
      <c r="CH40" s="65"/>
      <c r="CI40" s="66"/>
      <c r="CJ40" s="67" t="str">
        <f t="shared" ca="1" si="84"/>
        <v/>
      </c>
      <c r="CK40" s="57"/>
      <c r="CL40" s="59"/>
      <c r="CM40" s="59"/>
      <c r="CN40" s="59"/>
      <c r="CO40" s="59"/>
      <c r="CP40" s="59"/>
      <c r="CQ40" s="59"/>
      <c r="CR40" s="57"/>
      <c r="CS40" s="58"/>
      <c r="CT40" s="90" t="str">
        <f t="shared" si="97"/>
        <v/>
      </c>
      <c r="CU40" s="59"/>
      <c r="CV40" s="60"/>
      <c r="CW40" s="59"/>
      <c r="CX40" s="59"/>
      <c r="CY40" s="59" t="str">
        <f t="shared" si="100"/>
        <v/>
      </c>
      <c r="CZ40" s="59"/>
      <c r="DA40" s="59"/>
      <c r="DB40" s="61"/>
      <c r="DC40" s="59"/>
      <c r="DD40" s="59"/>
      <c r="DE40" s="61"/>
      <c r="DF40" s="61"/>
      <c r="DG40" s="59"/>
      <c r="DH40" s="61"/>
      <c r="DI40" s="61"/>
      <c r="DJ40" s="59"/>
      <c r="DK40" s="59"/>
      <c r="DL40" s="62"/>
      <c r="DM40" s="56">
        <f t="shared" si="87"/>
        <v>0</v>
      </c>
      <c r="DN40" s="88" t="str">
        <f t="shared" si="88"/>
        <v/>
      </c>
      <c r="DO40" s="119" t="str">
        <f t="shared" si="89"/>
        <v/>
      </c>
      <c r="DP40" s="119" t="str">
        <f t="shared" si="90"/>
        <v/>
      </c>
      <c r="DQ40" s="121" t="str">
        <f t="shared" si="91"/>
        <v/>
      </c>
      <c r="DR40" s="121" t="str">
        <f t="shared" si="92"/>
        <v/>
      </c>
    </row>
    <row r="41" spans="1:122" x14ac:dyDescent="0.25">
      <c r="A41" s="183" t="str">
        <f t="shared" si="46"/>
        <v xml:space="preserve">  -  - </v>
      </c>
      <c r="B41" s="98"/>
      <c r="C41" s="97"/>
      <c r="D41" s="93"/>
      <c r="E41" s="71"/>
      <c r="F41" s="73"/>
      <c r="G41" s="103"/>
      <c r="H41" s="71"/>
      <c r="I41" s="105" t="str">
        <f t="shared" si="47"/>
        <v/>
      </c>
      <c r="J41" s="104"/>
      <c r="K41" s="63"/>
      <c r="L41" s="72"/>
      <c r="M41" s="74"/>
      <c r="N41" s="75"/>
      <c r="O41" s="75"/>
      <c r="P41" s="120"/>
      <c r="Q41" s="76" t="str">
        <f t="shared" si="48"/>
        <v/>
      </c>
      <c r="R41" s="77">
        <f t="shared" si="49"/>
        <v>0</v>
      </c>
      <c r="S41" s="63"/>
      <c r="T41" s="78">
        <f t="shared" si="98"/>
        <v>0</v>
      </c>
      <c r="U41" s="79">
        <f>IF(M41=0,0,IF(G41="Annulation","",IF(assurance="ALPTIS",M41*12*T41/100*#REF!,IF(assurance="APRIL",M41*12*T41/100*#REF!,IF(assurance="ASAF",M41*12*T41/100*#REF!,IF(assurance="NEOLIANE",(#REF!+M41*12*#REF!)*T41/100,IF(assurance="NEOLIANE Prev",(#REF!+M41*12*#REF!)*T41/100,IF(assurance="SWISSLIFE",M41*12*T41/100*#REF!,IF(assurance="AVIVA",M41*12*T41/100*#REF!,IF(assurance="CIPRES",M41*12*T41/100*#REF!,IF(assurance="CEGEMA",M41*12*T41/100*#REF!,IF(assurance=0,0))))))))))))</f>
        <v>0</v>
      </c>
      <c r="V41" s="91" t="str">
        <f t="shared" si="51"/>
        <v/>
      </c>
      <c r="W41" s="91" t="str">
        <f t="shared" si="52"/>
        <v/>
      </c>
      <c r="X41" s="92">
        <f t="shared" si="53"/>
        <v>0</v>
      </c>
      <c r="Y41" s="108">
        <f t="shared" si="54"/>
        <v>0</v>
      </c>
      <c r="Z41" s="106"/>
      <c r="AA41" s="105" t="str">
        <f t="shared" si="55"/>
        <v/>
      </c>
      <c r="AB41" s="63" t="s">
        <v>12</v>
      </c>
      <c r="AC41" s="72"/>
      <c r="AD41" s="101" t="str">
        <f t="shared" si="99"/>
        <v/>
      </c>
      <c r="AE41" s="80" t="str">
        <f t="shared" si="96"/>
        <v/>
      </c>
      <c r="AF41" s="72"/>
      <c r="AG41" s="70" t="str">
        <f t="shared" si="58"/>
        <v/>
      </c>
      <c r="AH41" s="81" t="str">
        <f t="shared" ca="1" si="59"/>
        <v/>
      </c>
      <c r="AI41" s="111" t="str">
        <f t="shared" ca="1" si="60"/>
        <v/>
      </c>
      <c r="AJ41" s="89" t="str">
        <f t="shared" si="61"/>
        <v/>
      </c>
      <c r="AK41" s="89" t="str">
        <f t="shared" si="62"/>
        <v/>
      </c>
      <c r="AL41" s="81" t="str">
        <f t="shared" si="63"/>
        <v/>
      </c>
      <c r="AM41" s="74">
        <f t="shared" si="64"/>
        <v>0</v>
      </c>
      <c r="AN41" s="74">
        <f t="shared" si="93"/>
        <v>0</v>
      </c>
      <c r="AO41" s="82">
        <f t="shared" si="66"/>
        <v>0</v>
      </c>
      <c r="AP41" s="74">
        <f t="shared" si="94"/>
        <v>0</v>
      </c>
      <c r="AQ41" s="82">
        <f t="shared" si="68"/>
        <v>0</v>
      </c>
      <c r="AR41" s="83">
        <f t="shared" si="69"/>
        <v>0</v>
      </c>
      <c r="AS41" s="74">
        <f t="shared" si="95"/>
        <v>0</v>
      </c>
      <c r="AT41" s="82">
        <f t="shared" si="71"/>
        <v>0</v>
      </c>
      <c r="AU41" s="83">
        <f t="shared" si="72"/>
        <v>0</v>
      </c>
      <c r="AV41" s="74">
        <f t="shared" si="73"/>
        <v>0</v>
      </c>
      <c r="AW41" s="82">
        <f t="shared" si="74"/>
        <v>0</v>
      </c>
      <c r="AX41" s="83">
        <f t="shared" si="75"/>
        <v>0</v>
      </c>
      <c r="AY41" s="63"/>
      <c r="AZ41" s="84"/>
      <c r="BA41" s="85"/>
      <c r="BB41" s="95"/>
      <c r="BC41" s="86"/>
      <c r="BD41" s="86"/>
      <c r="BE41" s="96"/>
      <c r="BF41" s="69"/>
      <c r="BG41" s="114"/>
      <c r="BH41" s="63">
        <v>1</v>
      </c>
      <c r="BI41" s="68">
        <v>0</v>
      </c>
      <c r="BJ41" s="71"/>
      <c r="BK41" s="87"/>
      <c r="BL41" s="64" t="str">
        <f t="shared" ca="1" si="76"/>
        <v/>
      </c>
      <c r="BM41" s="65"/>
      <c r="BN41" s="66"/>
      <c r="BO41" s="67" t="str">
        <f t="shared" ca="1" si="77"/>
        <v/>
      </c>
      <c r="BP41" s="65"/>
      <c r="BQ41" s="66"/>
      <c r="BR41" s="67" t="str">
        <f t="shared" ca="1" si="78"/>
        <v/>
      </c>
      <c r="BS41" s="65"/>
      <c r="BT41" s="66"/>
      <c r="BU41" s="67" t="str">
        <f t="shared" ca="1" si="79"/>
        <v/>
      </c>
      <c r="BV41" s="65"/>
      <c r="BW41" s="66"/>
      <c r="BX41" s="67" t="str">
        <f t="shared" ca="1" si="80"/>
        <v/>
      </c>
      <c r="BY41" s="65"/>
      <c r="BZ41" s="66"/>
      <c r="CA41" s="67" t="str">
        <f t="shared" ca="1" si="81"/>
        <v/>
      </c>
      <c r="CB41" s="65"/>
      <c r="CC41" s="66"/>
      <c r="CD41" s="67" t="str">
        <f t="shared" ca="1" si="82"/>
        <v/>
      </c>
      <c r="CE41" s="65"/>
      <c r="CF41" s="66"/>
      <c r="CG41" s="67" t="str">
        <f t="shared" ca="1" si="83"/>
        <v/>
      </c>
      <c r="CH41" s="65"/>
      <c r="CI41" s="66"/>
      <c r="CJ41" s="67" t="str">
        <f t="shared" ca="1" si="84"/>
        <v/>
      </c>
      <c r="CK41" s="57"/>
      <c r="CL41" s="59"/>
      <c r="CM41" s="59"/>
      <c r="CN41" s="59"/>
      <c r="CO41" s="59"/>
      <c r="CP41" s="59"/>
      <c r="CQ41" s="59"/>
      <c r="CR41" s="57"/>
      <c r="CS41" s="58"/>
      <c r="CT41" s="90" t="str">
        <f t="shared" si="97"/>
        <v/>
      </c>
      <c r="CU41" s="59"/>
      <c r="CV41" s="60"/>
      <c r="CW41" s="59"/>
      <c r="CX41" s="59"/>
      <c r="CY41" s="59" t="str">
        <f t="shared" si="100"/>
        <v/>
      </c>
      <c r="CZ41" s="59"/>
      <c r="DA41" s="59"/>
      <c r="DB41" s="61"/>
      <c r="DC41" s="59"/>
      <c r="DD41" s="59"/>
      <c r="DE41" s="61"/>
      <c r="DF41" s="61"/>
      <c r="DG41" s="59"/>
      <c r="DH41" s="61"/>
      <c r="DI41" s="61"/>
      <c r="DJ41" s="59"/>
      <c r="DK41" s="59"/>
      <c r="DL41" s="62"/>
      <c r="DM41" s="56">
        <f t="shared" si="87"/>
        <v>0</v>
      </c>
      <c r="DN41" s="88" t="str">
        <f t="shared" si="88"/>
        <v/>
      </c>
      <c r="DO41" s="119" t="str">
        <f t="shared" si="89"/>
        <v/>
      </c>
      <c r="DP41" s="119" t="str">
        <f t="shared" si="90"/>
        <v/>
      </c>
      <c r="DQ41" s="121" t="str">
        <f t="shared" si="91"/>
        <v/>
      </c>
      <c r="DR41" s="121" t="str">
        <f t="shared" si="92"/>
        <v/>
      </c>
    </row>
    <row r="42" spans="1:122" x14ac:dyDescent="0.25">
      <c r="A42" s="183" t="str">
        <f t="shared" si="46"/>
        <v xml:space="preserve">  -  - </v>
      </c>
      <c r="B42" s="98"/>
      <c r="C42" s="97"/>
      <c r="D42" s="93"/>
      <c r="E42" s="71"/>
      <c r="F42" s="73"/>
      <c r="G42" s="103"/>
      <c r="H42" s="71"/>
      <c r="I42" s="105" t="str">
        <f t="shared" si="47"/>
        <v/>
      </c>
      <c r="J42" s="104"/>
      <c r="K42" s="63"/>
      <c r="L42" s="72"/>
      <c r="M42" s="74"/>
      <c r="N42" s="75"/>
      <c r="O42" s="75"/>
      <c r="P42" s="120"/>
      <c r="Q42" s="76" t="str">
        <f t="shared" si="48"/>
        <v/>
      </c>
      <c r="R42" s="77">
        <f t="shared" si="49"/>
        <v>0</v>
      </c>
      <c r="S42" s="63"/>
      <c r="T42" s="78">
        <f t="shared" si="98"/>
        <v>0</v>
      </c>
      <c r="U42" s="79">
        <f>IF(M42=0,0,IF(G42="Annulation","",IF(assurance="ALPTIS",M42*12*T42/100*#REF!,IF(assurance="APRIL",M42*12*T42/100*#REF!,IF(assurance="ASAF",M42*12*T42/100*#REF!,IF(assurance="NEOLIANE",(#REF!+M42*12*#REF!)*T42/100,IF(assurance="NEOLIANE Prev",(#REF!+M42*12*#REF!)*T42/100,IF(assurance="SWISSLIFE",M42*12*T42/100*#REF!,IF(assurance="AVIVA",M42*12*T42/100*#REF!,IF(assurance="CIPRES",M42*12*T42/100*#REF!,IF(assurance="CEGEMA",M42*12*T42/100*#REF!,IF(assurance=0,0))))))))))))</f>
        <v>0</v>
      </c>
      <c r="V42" s="91" t="str">
        <f t="shared" si="51"/>
        <v/>
      </c>
      <c r="W42" s="91" t="str">
        <f t="shared" si="52"/>
        <v/>
      </c>
      <c r="X42" s="92">
        <f t="shared" si="53"/>
        <v>0</v>
      </c>
      <c r="Y42" s="108">
        <f t="shared" si="54"/>
        <v>0</v>
      </c>
      <c r="Z42" s="106"/>
      <c r="AA42" s="105" t="str">
        <f t="shared" si="55"/>
        <v/>
      </c>
      <c r="AB42" s="63" t="s">
        <v>12</v>
      </c>
      <c r="AC42" s="72"/>
      <c r="AD42" s="101" t="str">
        <f t="shared" si="99"/>
        <v/>
      </c>
      <c r="AE42" s="80" t="str">
        <f t="shared" si="96"/>
        <v/>
      </c>
      <c r="AF42" s="72"/>
      <c r="AG42" s="70" t="str">
        <f t="shared" si="58"/>
        <v/>
      </c>
      <c r="AH42" s="81" t="str">
        <f t="shared" ca="1" si="59"/>
        <v/>
      </c>
      <c r="AI42" s="111" t="str">
        <f t="shared" ca="1" si="60"/>
        <v/>
      </c>
      <c r="AJ42" s="89" t="str">
        <f t="shared" si="61"/>
        <v/>
      </c>
      <c r="AK42" s="89" t="str">
        <f t="shared" si="62"/>
        <v/>
      </c>
      <c r="AL42" s="81" t="str">
        <f t="shared" si="63"/>
        <v/>
      </c>
      <c r="AM42" s="74">
        <f t="shared" si="64"/>
        <v>0</v>
      </c>
      <c r="AN42" s="74">
        <f t="shared" si="93"/>
        <v>0</v>
      </c>
      <c r="AO42" s="82">
        <f t="shared" si="66"/>
        <v>0</v>
      </c>
      <c r="AP42" s="74">
        <f t="shared" si="94"/>
        <v>0</v>
      </c>
      <c r="AQ42" s="82">
        <f t="shared" si="68"/>
        <v>0</v>
      </c>
      <c r="AR42" s="83">
        <f t="shared" si="69"/>
        <v>0</v>
      </c>
      <c r="AS42" s="74">
        <f t="shared" si="95"/>
        <v>0</v>
      </c>
      <c r="AT42" s="82">
        <f t="shared" si="71"/>
        <v>0</v>
      </c>
      <c r="AU42" s="83">
        <f t="shared" si="72"/>
        <v>0</v>
      </c>
      <c r="AV42" s="74">
        <f t="shared" si="73"/>
        <v>0</v>
      </c>
      <c r="AW42" s="82">
        <f t="shared" si="74"/>
        <v>0</v>
      </c>
      <c r="AX42" s="83">
        <f t="shared" si="75"/>
        <v>0</v>
      </c>
      <c r="AY42" s="63"/>
      <c r="AZ42" s="84"/>
      <c r="BA42" s="85"/>
      <c r="BB42" s="95"/>
      <c r="BC42" s="86"/>
      <c r="BD42" s="86"/>
      <c r="BE42" s="96"/>
      <c r="BF42" s="69"/>
      <c r="BG42" s="114"/>
      <c r="BH42" s="63">
        <v>1</v>
      </c>
      <c r="BI42" s="68">
        <v>0</v>
      </c>
      <c r="BJ42" s="71"/>
      <c r="BK42" s="87"/>
      <c r="BL42" s="64" t="str">
        <f t="shared" ca="1" si="76"/>
        <v/>
      </c>
      <c r="BM42" s="65"/>
      <c r="BN42" s="66"/>
      <c r="BO42" s="67" t="str">
        <f t="shared" ca="1" si="77"/>
        <v/>
      </c>
      <c r="BP42" s="65"/>
      <c r="BQ42" s="66"/>
      <c r="BR42" s="67" t="str">
        <f t="shared" ca="1" si="78"/>
        <v/>
      </c>
      <c r="BS42" s="65"/>
      <c r="BT42" s="66"/>
      <c r="BU42" s="67" t="str">
        <f t="shared" ca="1" si="79"/>
        <v/>
      </c>
      <c r="BV42" s="65"/>
      <c r="BW42" s="66"/>
      <c r="BX42" s="67" t="str">
        <f t="shared" ca="1" si="80"/>
        <v/>
      </c>
      <c r="BY42" s="65"/>
      <c r="BZ42" s="66"/>
      <c r="CA42" s="67" t="str">
        <f t="shared" ca="1" si="81"/>
        <v/>
      </c>
      <c r="CB42" s="65"/>
      <c r="CC42" s="66"/>
      <c r="CD42" s="67" t="str">
        <f t="shared" ca="1" si="82"/>
        <v/>
      </c>
      <c r="CE42" s="65"/>
      <c r="CF42" s="66"/>
      <c r="CG42" s="67" t="str">
        <f t="shared" ca="1" si="83"/>
        <v/>
      </c>
      <c r="CH42" s="65"/>
      <c r="CI42" s="66"/>
      <c r="CJ42" s="67" t="str">
        <f t="shared" ca="1" si="84"/>
        <v/>
      </c>
      <c r="CK42" s="57"/>
      <c r="CL42" s="59"/>
      <c r="CM42" s="59"/>
      <c r="CN42" s="59"/>
      <c r="CO42" s="59"/>
      <c r="CP42" s="59"/>
      <c r="CQ42" s="59"/>
      <c r="CR42" s="57"/>
      <c r="CS42" s="58"/>
      <c r="CT42" s="90" t="str">
        <f t="shared" si="97"/>
        <v/>
      </c>
      <c r="CU42" s="59"/>
      <c r="CV42" s="60"/>
      <c r="CW42" s="59"/>
      <c r="CX42" s="59"/>
      <c r="CY42" s="59" t="str">
        <f t="shared" si="100"/>
        <v/>
      </c>
      <c r="CZ42" s="59"/>
      <c r="DA42" s="59"/>
      <c r="DB42" s="61"/>
      <c r="DC42" s="59"/>
      <c r="DD42" s="59"/>
      <c r="DE42" s="61"/>
      <c r="DF42" s="61"/>
      <c r="DG42" s="59"/>
      <c r="DH42" s="61"/>
      <c r="DI42" s="61"/>
      <c r="DJ42" s="59"/>
      <c r="DK42" s="59"/>
      <c r="DL42" s="62"/>
      <c r="DM42" s="56">
        <f t="shared" si="87"/>
        <v>0</v>
      </c>
      <c r="DN42" s="88" t="str">
        <f t="shared" si="88"/>
        <v/>
      </c>
      <c r="DO42" s="119" t="str">
        <f t="shared" si="89"/>
        <v/>
      </c>
      <c r="DP42" s="119" t="str">
        <f t="shared" si="90"/>
        <v/>
      </c>
      <c r="DQ42" s="121" t="str">
        <f t="shared" si="91"/>
        <v/>
      </c>
      <c r="DR42" s="121" t="str">
        <f t="shared" si="92"/>
        <v/>
      </c>
    </row>
    <row r="43" spans="1:122" x14ac:dyDescent="0.25">
      <c r="A43" s="183" t="str">
        <f t="shared" si="46"/>
        <v xml:space="preserve">  -  - </v>
      </c>
      <c r="B43" s="98"/>
      <c r="C43" s="97"/>
      <c r="D43" s="93"/>
      <c r="E43" s="71"/>
      <c r="F43" s="73"/>
      <c r="G43" s="103"/>
      <c r="H43" s="71"/>
      <c r="I43" s="105" t="str">
        <f t="shared" si="47"/>
        <v/>
      </c>
      <c r="J43" s="104"/>
      <c r="K43" s="63"/>
      <c r="L43" s="72"/>
      <c r="M43" s="74"/>
      <c r="N43" s="75"/>
      <c r="O43" s="75"/>
      <c r="P43" s="120"/>
      <c r="Q43" s="76" t="str">
        <f t="shared" si="48"/>
        <v/>
      </c>
      <c r="R43" s="77">
        <f t="shared" si="49"/>
        <v>0</v>
      </c>
      <c r="S43" s="63"/>
      <c r="T43" s="78">
        <f t="shared" si="98"/>
        <v>0</v>
      </c>
      <c r="U43" s="79">
        <f>IF(M43=0,0,IF(G43="Annulation","",IF(assurance="ALPTIS",M43*12*T43/100*#REF!,IF(assurance="APRIL",M43*12*T43/100*#REF!,IF(assurance="ASAF",M43*12*T43/100*#REF!,IF(assurance="NEOLIANE",(#REF!+M43*12*#REF!)*T43/100,IF(assurance="NEOLIANE Prev",(#REF!+M43*12*#REF!)*T43/100,IF(assurance="SWISSLIFE",M43*12*T43/100*#REF!,IF(assurance="AVIVA",M43*12*T43/100*#REF!,IF(assurance="CIPRES",M43*12*T43/100*#REF!,IF(assurance="CEGEMA",M43*12*T43/100*#REF!,IF(assurance=0,0))))))))))))</f>
        <v>0</v>
      </c>
      <c r="V43" s="91" t="str">
        <f t="shared" si="51"/>
        <v/>
      </c>
      <c r="W43" s="91" t="str">
        <f t="shared" si="52"/>
        <v/>
      </c>
      <c r="X43" s="92">
        <f t="shared" si="53"/>
        <v>0</v>
      </c>
      <c r="Y43" s="108">
        <f t="shared" si="54"/>
        <v>0</v>
      </c>
      <c r="Z43" s="106"/>
      <c r="AA43" s="105" t="str">
        <f t="shared" si="55"/>
        <v/>
      </c>
      <c r="AB43" s="63" t="s">
        <v>12</v>
      </c>
      <c r="AC43" s="72"/>
      <c r="AD43" s="101" t="str">
        <f t="shared" si="99"/>
        <v/>
      </c>
      <c r="AE43" s="80" t="str">
        <f t="shared" si="96"/>
        <v/>
      </c>
      <c r="AF43" s="72"/>
      <c r="AG43" s="70" t="str">
        <f t="shared" si="58"/>
        <v/>
      </c>
      <c r="AH43" s="81" t="str">
        <f t="shared" ca="1" si="59"/>
        <v/>
      </c>
      <c r="AI43" s="111" t="str">
        <f t="shared" ca="1" si="60"/>
        <v/>
      </c>
      <c r="AJ43" s="89" t="str">
        <f t="shared" si="61"/>
        <v/>
      </c>
      <c r="AK43" s="89" t="str">
        <f t="shared" si="62"/>
        <v/>
      </c>
      <c r="AL43" s="81" t="str">
        <f t="shared" si="63"/>
        <v/>
      </c>
      <c r="AM43" s="74">
        <f t="shared" si="64"/>
        <v>0</v>
      </c>
      <c r="AN43" s="74">
        <f t="shared" si="93"/>
        <v>0</v>
      </c>
      <c r="AO43" s="82">
        <f t="shared" si="66"/>
        <v>0</v>
      </c>
      <c r="AP43" s="74">
        <f t="shared" si="94"/>
        <v>0</v>
      </c>
      <c r="AQ43" s="82">
        <f t="shared" si="68"/>
        <v>0</v>
      </c>
      <c r="AR43" s="83">
        <f t="shared" si="69"/>
        <v>0</v>
      </c>
      <c r="AS43" s="74">
        <f t="shared" si="95"/>
        <v>0</v>
      </c>
      <c r="AT43" s="82">
        <f t="shared" si="71"/>
        <v>0</v>
      </c>
      <c r="AU43" s="83">
        <f t="shared" si="72"/>
        <v>0</v>
      </c>
      <c r="AV43" s="74">
        <f t="shared" si="73"/>
        <v>0</v>
      </c>
      <c r="AW43" s="82">
        <f t="shared" si="74"/>
        <v>0</v>
      </c>
      <c r="AX43" s="83">
        <f t="shared" si="75"/>
        <v>0</v>
      </c>
      <c r="AY43" s="63"/>
      <c r="AZ43" s="84"/>
      <c r="BA43" s="85"/>
      <c r="BB43" s="95"/>
      <c r="BC43" s="86"/>
      <c r="BD43" s="86"/>
      <c r="BE43" s="96"/>
      <c r="BF43" s="69"/>
      <c r="BG43" s="114"/>
      <c r="BH43" s="63">
        <v>1</v>
      </c>
      <c r="BI43" s="68">
        <v>0</v>
      </c>
      <c r="BJ43" s="71"/>
      <c r="BK43" s="87"/>
      <c r="BL43" s="64" t="str">
        <f t="shared" ca="1" si="76"/>
        <v/>
      </c>
      <c r="BM43" s="65"/>
      <c r="BN43" s="66"/>
      <c r="BO43" s="67" t="str">
        <f t="shared" ca="1" si="77"/>
        <v/>
      </c>
      <c r="BP43" s="65"/>
      <c r="BQ43" s="66"/>
      <c r="BR43" s="67" t="str">
        <f t="shared" ca="1" si="78"/>
        <v/>
      </c>
      <c r="BS43" s="65"/>
      <c r="BT43" s="66"/>
      <c r="BU43" s="67" t="str">
        <f t="shared" ca="1" si="79"/>
        <v/>
      </c>
      <c r="BV43" s="65"/>
      <c r="BW43" s="66"/>
      <c r="BX43" s="67" t="str">
        <f t="shared" ca="1" si="80"/>
        <v/>
      </c>
      <c r="BY43" s="65"/>
      <c r="BZ43" s="66"/>
      <c r="CA43" s="67" t="str">
        <f t="shared" ca="1" si="81"/>
        <v/>
      </c>
      <c r="CB43" s="65"/>
      <c r="CC43" s="66"/>
      <c r="CD43" s="67" t="str">
        <f t="shared" ca="1" si="82"/>
        <v/>
      </c>
      <c r="CE43" s="65"/>
      <c r="CF43" s="66"/>
      <c r="CG43" s="67" t="str">
        <f t="shared" ca="1" si="83"/>
        <v/>
      </c>
      <c r="CH43" s="65"/>
      <c r="CI43" s="66"/>
      <c r="CJ43" s="67" t="str">
        <f t="shared" ca="1" si="84"/>
        <v/>
      </c>
      <c r="CK43" s="57"/>
      <c r="CL43" s="59"/>
      <c r="CM43" s="59"/>
      <c r="CN43" s="59"/>
      <c r="CO43" s="59"/>
      <c r="CP43" s="59"/>
      <c r="CQ43" s="59"/>
      <c r="CR43" s="57"/>
      <c r="CS43" s="58"/>
      <c r="CT43" s="90" t="str">
        <f t="shared" si="97"/>
        <v/>
      </c>
      <c r="CU43" s="59"/>
      <c r="CV43" s="60"/>
      <c r="CW43" s="59"/>
      <c r="CX43" s="59"/>
      <c r="CY43" s="59" t="str">
        <f t="shared" si="100"/>
        <v/>
      </c>
      <c r="CZ43" s="59"/>
      <c r="DA43" s="59"/>
      <c r="DB43" s="61"/>
      <c r="DC43" s="59"/>
      <c r="DD43" s="59"/>
      <c r="DE43" s="61"/>
      <c r="DF43" s="61"/>
      <c r="DG43" s="59"/>
      <c r="DH43" s="61"/>
      <c r="DI43" s="61"/>
      <c r="DJ43" s="59"/>
      <c r="DK43" s="59"/>
      <c r="DL43" s="62"/>
      <c r="DM43" s="56">
        <f t="shared" si="87"/>
        <v>0</v>
      </c>
      <c r="DN43" s="88" t="str">
        <f t="shared" si="88"/>
        <v/>
      </c>
      <c r="DO43" s="119" t="str">
        <f t="shared" si="89"/>
        <v/>
      </c>
      <c r="DP43" s="119" t="str">
        <f t="shared" si="90"/>
        <v/>
      </c>
      <c r="DQ43" s="121" t="str">
        <f t="shared" si="91"/>
        <v/>
      </c>
      <c r="DR43" s="121" t="str">
        <f t="shared" si="92"/>
        <v/>
      </c>
    </row>
    <row r="44" spans="1:122" x14ac:dyDescent="0.25">
      <c r="A44" s="183" t="str">
        <f t="shared" ref="A44:A45" si="101">CONCATENATE(C44," ",D44," - ",K44," - ",J44)</f>
        <v xml:space="preserve">  -  - </v>
      </c>
      <c r="B44" s="98"/>
      <c r="C44" s="97"/>
      <c r="D44" s="93"/>
      <c r="E44" s="71"/>
      <c r="F44" s="73"/>
      <c r="G44" s="103"/>
      <c r="H44" s="71"/>
      <c r="I44" s="105" t="str">
        <f t="shared" si="47"/>
        <v/>
      </c>
      <c r="J44" s="104"/>
      <c r="K44" s="63"/>
      <c r="L44" s="72"/>
      <c r="M44" s="74"/>
      <c r="N44" s="75"/>
      <c r="O44" s="75"/>
      <c r="P44" s="120"/>
      <c r="Q44" s="76" t="str">
        <f t="shared" si="48"/>
        <v/>
      </c>
      <c r="R44" s="77">
        <f t="shared" si="49"/>
        <v>0</v>
      </c>
      <c r="S44" s="63"/>
      <c r="T44" s="78">
        <f t="shared" si="98"/>
        <v>0</v>
      </c>
      <c r="U44" s="79">
        <f>IF(M44=0,0,IF(G44="Annulation","",IF(assurance="ALPTIS",M44*12*T44/100*#REF!,IF(assurance="APRIL",M44*12*T44/100*#REF!,IF(assurance="ASAF",M44*12*T44/100*#REF!,IF(assurance="NEOLIANE",(#REF!+M44*12*#REF!)*T44/100,IF(assurance="NEOLIANE Prev",(#REF!+M44*12*#REF!)*T44/100,IF(assurance="SWISSLIFE",M44*12*T44/100*#REF!,IF(assurance="AVIVA",M44*12*T44/100*#REF!,IF(assurance="CIPRES",M44*12*T44/100*#REF!,IF(assurance="CEGEMA",M44*12*T44/100*#REF!,IF(assurance=0,0))))))))))))</f>
        <v>0</v>
      </c>
      <c r="V44" s="91" t="str">
        <f t="shared" si="51"/>
        <v/>
      </c>
      <c r="W44" s="91" t="str">
        <f t="shared" si="52"/>
        <v/>
      </c>
      <c r="X44" s="92">
        <f t="shared" si="53"/>
        <v>0</v>
      </c>
      <c r="Y44" s="108">
        <f t="shared" si="54"/>
        <v>0</v>
      </c>
      <c r="Z44" s="106"/>
      <c r="AA44" s="105" t="str">
        <f t="shared" si="55"/>
        <v/>
      </c>
      <c r="AB44" s="63" t="s">
        <v>12</v>
      </c>
      <c r="AC44" s="72"/>
      <c r="AD44" s="101" t="str">
        <f t="shared" si="99"/>
        <v/>
      </c>
      <c r="AE44" s="80" t="str">
        <f t="shared" si="96"/>
        <v/>
      </c>
      <c r="AF44" s="72"/>
      <c r="AG44" s="70" t="str">
        <f t="shared" si="58"/>
        <v/>
      </c>
      <c r="AH44" s="81" t="str">
        <f t="shared" ca="1" si="59"/>
        <v/>
      </c>
      <c r="AI44" s="111" t="str">
        <f t="shared" ca="1" si="60"/>
        <v/>
      </c>
      <c r="AJ44" s="89" t="str">
        <f t="shared" si="61"/>
        <v/>
      </c>
      <c r="AK44" s="89" t="str">
        <f t="shared" si="62"/>
        <v/>
      </c>
      <c r="AL44" s="81" t="str">
        <f t="shared" si="63"/>
        <v/>
      </c>
      <c r="AM44" s="74">
        <f t="shared" si="64"/>
        <v>0</v>
      </c>
      <c r="AN44" s="74">
        <f t="shared" si="93"/>
        <v>0</v>
      </c>
      <c r="AO44" s="82">
        <f t="shared" si="66"/>
        <v>0</v>
      </c>
      <c r="AP44" s="74">
        <f t="shared" si="94"/>
        <v>0</v>
      </c>
      <c r="AQ44" s="82">
        <f t="shared" si="68"/>
        <v>0</v>
      </c>
      <c r="AR44" s="83">
        <f t="shared" si="69"/>
        <v>0</v>
      </c>
      <c r="AS44" s="74">
        <f t="shared" si="95"/>
        <v>0</v>
      </c>
      <c r="AT44" s="82">
        <f t="shared" si="71"/>
        <v>0</v>
      </c>
      <c r="AU44" s="83">
        <f t="shared" si="72"/>
        <v>0</v>
      </c>
      <c r="AV44" s="74">
        <f t="shared" si="73"/>
        <v>0</v>
      </c>
      <c r="AW44" s="82">
        <f t="shared" si="74"/>
        <v>0</v>
      </c>
      <c r="AX44" s="83">
        <f t="shared" si="75"/>
        <v>0</v>
      </c>
      <c r="AY44" s="63"/>
      <c r="AZ44" s="84"/>
      <c r="BA44" s="85"/>
      <c r="BB44" s="95"/>
      <c r="BC44" s="86"/>
      <c r="BD44" s="86"/>
      <c r="BE44" s="96"/>
      <c r="BF44" s="69"/>
      <c r="BG44" s="114"/>
      <c r="BH44" s="63">
        <v>1</v>
      </c>
      <c r="BI44" s="68">
        <v>0</v>
      </c>
      <c r="BJ44" s="71"/>
      <c r="BK44" s="87"/>
      <c r="BL44" s="64" t="str">
        <f t="shared" ca="1" si="76"/>
        <v/>
      </c>
      <c r="BM44" s="65"/>
      <c r="BN44" s="66"/>
      <c r="BO44" s="67" t="str">
        <f t="shared" ca="1" si="77"/>
        <v/>
      </c>
      <c r="BP44" s="65"/>
      <c r="BQ44" s="66"/>
      <c r="BR44" s="67" t="str">
        <f t="shared" ca="1" si="78"/>
        <v/>
      </c>
      <c r="BS44" s="65"/>
      <c r="BT44" s="66"/>
      <c r="BU44" s="67" t="str">
        <f t="shared" ca="1" si="79"/>
        <v/>
      </c>
      <c r="BV44" s="65"/>
      <c r="BW44" s="66"/>
      <c r="BX44" s="67" t="str">
        <f t="shared" ca="1" si="80"/>
        <v/>
      </c>
      <c r="BY44" s="65"/>
      <c r="BZ44" s="66"/>
      <c r="CA44" s="67" t="str">
        <f t="shared" ca="1" si="81"/>
        <v/>
      </c>
      <c r="CB44" s="65"/>
      <c r="CC44" s="66"/>
      <c r="CD44" s="67" t="str">
        <f t="shared" ca="1" si="82"/>
        <v/>
      </c>
      <c r="CE44" s="65"/>
      <c r="CF44" s="66"/>
      <c r="CG44" s="67" t="str">
        <f t="shared" ca="1" si="83"/>
        <v/>
      </c>
      <c r="CH44" s="65"/>
      <c r="CI44" s="66"/>
      <c r="CJ44" s="67" t="str">
        <f t="shared" ca="1" si="84"/>
        <v/>
      </c>
      <c r="CK44" s="57"/>
      <c r="CL44" s="59"/>
      <c r="CM44" s="59"/>
      <c r="CN44" s="59"/>
      <c r="CO44" s="59"/>
      <c r="CP44" s="59"/>
      <c r="CQ44" s="59"/>
      <c r="CR44" s="57"/>
      <c r="CS44" s="58"/>
      <c r="CT44" s="90" t="str">
        <f t="shared" si="97"/>
        <v/>
      </c>
      <c r="CU44" s="59"/>
      <c r="CV44" s="60"/>
      <c r="CW44" s="59"/>
      <c r="CX44" s="59"/>
      <c r="CY44" s="59" t="str">
        <f t="shared" si="100"/>
        <v/>
      </c>
      <c r="CZ44" s="59"/>
      <c r="DA44" s="59"/>
      <c r="DB44" s="61"/>
      <c r="DC44" s="59"/>
      <c r="DD44" s="59"/>
      <c r="DE44" s="61"/>
      <c r="DF44" s="61"/>
      <c r="DG44" s="59"/>
      <c r="DH44" s="61"/>
      <c r="DI44" s="61"/>
      <c r="DJ44" s="59"/>
      <c r="DK44" s="59"/>
      <c r="DL44" s="62"/>
      <c r="DM44" s="56">
        <f t="shared" si="87"/>
        <v>0</v>
      </c>
      <c r="DN44" s="88" t="str">
        <f t="shared" si="88"/>
        <v/>
      </c>
      <c r="DO44" s="119" t="str">
        <f t="shared" si="89"/>
        <v/>
      </c>
      <c r="DP44" s="119" t="str">
        <f t="shared" si="90"/>
        <v/>
      </c>
      <c r="DQ44" s="121" t="str">
        <f t="shared" si="91"/>
        <v/>
      </c>
      <c r="DR44" s="121" t="str">
        <f t="shared" si="92"/>
        <v/>
      </c>
    </row>
    <row r="45" spans="1:122" x14ac:dyDescent="0.25">
      <c r="A45" s="183" t="str">
        <f t="shared" si="101"/>
        <v xml:space="preserve">  -  - </v>
      </c>
      <c r="B45" s="98"/>
      <c r="C45" s="97"/>
      <c r="D45" s="93"/>
      <c r="E45" s="71"/>
      <c r="F45" s="73"/>
      <c r="G45" s="103"/>
      <c r="H45" s="71"/>
      <c r="I45" s="105" t="str">
        <f t="shared" si="47"/>
        <v/>
      </c>
      <c r="J45" s="104"/>
      <c r="K45" s="63"/>
      <c r="L45" s="72"/>
      <c r="M45" s="74"/>
      <c r="N45" s="75"/>
      <c r="O45" s="75"/>
      <c r="P45" s="120"/>
      <c r="Q45" s="76" t="str">
        <f t="shared" si="48"/>
        <v/>
      </c>
      <c r="R45" s="77">
        <f t="shared" si="49"/>
        <v>0</v>
      </c>
      <c r="S45" s="63"/>
      <c r="T45" s="78">
        <f t="shared" si="98"/>
        <v>0</v>
      </c>
      <c r="U45" s="79">
        <f>IF(M45=0,0,IF(G45="Annulation","",IF(assurance="ALPTIS",M45*12*T45/100*#REF!,IF(assurance="APRIL",M45*12*T45/100*#REF!,IF(assurance="ASAF",M45*12*T45/100*#REF!,IF(assurance="NEOLIANE",(#REF!+M45*12*#REF!)*T45/100,IF(assurance="NEOLIANE Prev",(#REF!+M45*12*#REF!)*T45/100,IF(assurance="SWISSLIFE",M45*12*T45/100*#REF!,IF(assurance="AVIVA",M45*12*T45/100*#REF!,IF(assurance="CIPRES",M45*12*T45/100*#REF!,IF(assurance="CEGEMA",M45*12*T45/100*#REF!,IF(assurance=0,0))))))))))))</f>
        <v>0</v>
      </c>
      <c r="V45" s="91" t="str">
        <f t="shared" si="51"/>
        <v/>
      </c>
      <c r="W45" s="91" t="str">
        <f t="shared" si="52"/>
        <v/>
      </c>
      <c r="X45" s="92">
        <f t="shared" si="53"/>
        <v>0</v>
      </c>
      <c r="Y45" s="108">
        <f t="shared" si="54"/>
        <v>0</v>
      </c>
      <c r="Z45" s="106"/>
      <c r="AA45" s="105" t="str">
        <f t="shared" si="55"/>
        <v/>
      </c>
      <c r="AB45" s="63" t="s">
        <v>12</v>
      </c>
      <c r="AC45" s="72"/>
      <c r="AD45" s="101" t="str">
        <f t="shared" si="99"/>
        <v/>
      </c>
      <c r="AE45" s="80" t="str">
        <f t="shared" si="96"/>
        <v/>
      </c>
      <c r="AF45" s="72"/>
      <c r="AG45" s="70" t="str">
        <f t="shared" si="58"/>
        <v/>
      </c>
      <c r="AH45" s="81" t="str">
        <f t="shared" ca="1" si="59"/>
        <v/>
      </c>
      <c r="AI45" s="111" t="str">
        <f t="shared" ca="1" si="60"/>
        <v/>
      </c>
      <c r="AJ45" s="89" t="str">
        <f t="shared" si="61"/>
        <v/>
      </c>
      <c r="AK45" s="89" t="str">
        <f t="shared" si="62"/>
        <v/>
      </c>
      <c r="AL45" s="81" t="str">
        <f t="shared" si="63"/>
        <v/>
      </c>
      <c r="AM45" s="74">
        <f t="shared" si="64"/>
        <v>0</v>
      </c>
      <c r="AN45" s="74">
        <f t="shared" si="93"/>
        <v>0</v>
      </c>
      <c r="AO45" s="82">
        <f t="shared" si="66"/>
        <v>0</v>
      </c>
      <c r="AP45" s="74">
        <f t="shared" si="94"/>
        <v>0</v>
      </c>
      <c r="AQ45" s="82">
        <f t="shared" si="68"/>
        <v>0</v>
      </c>
      <c r="AR45" s="83">
        <f t="shared" si="69"/>
        <v>0</v>
      </c>
      <c r="AS45" s="74">
        <f t="shared" si="95"/>
        <v>0</v>
      </c>
      <c r="AT45" s="82">
        <f t="shared" si="71"/>
        <v>0</v>
      </c>
      <c r="AU45" s="83">
        <f t="shared" si="72"/>
        <v>0</v>
      </c>
      <c r="AV45" s="74">
        <f t="shared" si="73"/>
        <v>0</v>
      </c>
      <c r="AW45" s="82">
        <f t="shared" si="74"/>
        <v>0</v>
      </c>
      <c r="AX45" s="83">
        <f t="shared" si="75"/>
        <v>0</v>
      </c>
      <c r="AY45" s="63"/>
      <c r="AZ45" s="84"/>
      <c r="BA45" s="85"/>
      <c r="BB45" s="95"/>
      <c r="BC45" s="86"/>
      <c r="BD45" s="86"/>
      <c r="BE45" s="96"/>
      <c r="BF45" s="69"/>
      <c r="BG45" s="114"/>
      <c r="BH45" s="63">
        <v>1</v>
      </c>
      <c r="BI45" s="68">
        <v>0</v>
      </c>
      <c r="BJ45" s="71"/>
      <c r="BK45" s="87"/>
      <c r="BL45" s="64" t="str">
        <f t="shared" ca="1" si="76"/>
        <v/>
      </c>
      <c r="BM45" s="65"/>
      <c r="BN45" s="66"/>
      <c r="BO45" s="67" t="str">
        <f t="shared" ca="1" si="77"/>
        <v/>
      </c>
      <c r="BP45" s="65"/>
      <c r="BQ45" s="66"/>
      <c r="BR45" s="67" t="str">
        <f t="shared" ca="1" si="78"/>
        <v/>
      </c>
      <c r="BS45" s="65"/>
      <c r="BT45" s="66"/>
      <c r="BU45" s="67" t="str">
        <f t="shared" ca="1" si="79"/>
        <v/>
      </c>
      <c r="BV45" s="65"/>
      <c r="BW45" s="66"/>
      <c r="BX45" s="67" t="str">
        <f t="shared" ca="1" si="80"/>
        <v/>
      </c>
      <c r="BY45" s="65"/>
      <c r="BZ45" s="66"/>
      <c r="CA45" s="67" t="str">
        <f t="shared" ca="1" si="81"/>
        <v/>
      </c>
      <c r="CB45" s="65"/>
      <c r="CC45" s="66"/>
      <c r="CD45" s="67" t="str">
        <f t="shared" ca="1" si="82"/>
        <v/>
      </c>
      <c r="CE45" s="65"/>
      <c r="CF45" s="66"/>
      <c r="CG45" s="67" t="str">
        <f t="shared" ca="1" si="83"/>
        <v/>
      </c>
      <c r="CH45" s="65"/>
      <c r="CI45" s="66"/>
      <c r="CJ45" s="67" t="str">
        <f t="shared" ca="1" si="84"/>
        <v/>
      </c>
      <c r="CK45" s="57"/>
      <c r="CL45" s="59"/>
      <c r="CM45" s="59"/>
      <c r="CN45" s="59"/>
      <c r="CO45" s="59"/>
      <c r="CP45" s="59"/>
      <c r="CQ45" s="59"/>
      <c r="CR45" s="57"/>
      <c r="CS45" s="58"/>
      <c r="CT45" s="90" t="str">
        <f t="shared" si="97"/>
        <v/>
      </c>
      <c r="CU45" s="59"/>
      <c r="CV45" s="60"/>
      <c r="CW45" s="59"/>
      <c r="CX45" s="59"/>
      <c r="CY45" s="59" t="str">
        <f t="shared" si="100"/>
        <v/>
      </c>
      <c r="CZ45" s="59"/>
      <c r="DA45" s="59"/>
      <c r="DB45" s="61"/>
      <c r="DC45" s="59"/>
      <c r="DD45" s="59"/>
      <c r="DE45" s="61"/>
      <c r="DF45" s="61"/>
      <c r="DG45" s="59"/>
      <c r="DH45" s="61"/>
      <c r="DI45" s="61"/>
      <c r="DJ45" s="59"/>
      <c r="DK45" s="59"/>
      <c r="DL45" s="62"/>
      <c r="DM45" s="56">
        <f t="shared" si="87"/>
        <v>0</v>
      </c>
      <c r="DN45" s="88" t="str">
        <f t="shared" si="88"/>
        <v/>
      </c>
      <c r="DO45" s="119" t="str">
        <f t="shared" si="89"/>
        <v/>
      </c>
      <c r="DP45" s="119" t="str">
        <f t="shared" si="90"/>
        <v/>
      </c>
      <c r="DQ45" s="121" t="str">
        <f t="shared" si="91"/>
        <v/>
      </c>
      <c r="DR45" s="121" t="str">
        <f t="shared" si="92"/>
        <v/>
      </c>
    </row>
  </sheetData>
  <sortState ref="C2:DR307">
    <sortCondition ref="C1"/>
  </sortState>
  <mergeCells count="1">
    <mergeCell ref="A1:B1"/>
  </mergeCells>
  <conditionalFormatting sqref="BS1:BS45 BM2:BM45 BG2:BG45 CH3:CH45 BP2:BP45 BV2:BV45 BY2:BY45 CB2:CB45 CE2:CE45">
    <cfRule type="expression" dxfId="277" priority="8379">
      <formula>$J1="Santé Individuelle"</formula>
    </cfRule>
  </conditionalFormatting>
  <conditionalFormatting sqref="CJ2:CJ45 BO2:BO45 BR2:BR45 BU1:BU45 CG2:CG45 CD2:CD45 CA2:CA45 BX2:BX45">
    <cfRule type="expression" dxfId="276" priority="8380">
      <formula>$J1="Santé Individuelle"</formula>
    </cfRule>
  </conditionalFormatting>
  <conditionalFormatting sqref="BV1">
    <cfRule type="expression" dxfId="275" priority="8375">
      <formula>$J1="Santé Individuelle"</formula>
    </cfRule>
  </conditionalFormatting>
  <conditionalFormatting sqref="BX1">
    <cfRule type="expression" dxfId="274" priority="8376">
      <formula>$J1="Santé Individuelle"</formula>
    </cfRule>
  </conditionalFormatting>
  <conditionalFormatting sqref="BY1">
    <cfRule type="expression" dxfId="273" priority="8371">
      <formula>$J1="Santé Individuelle"</formula>
    </cfRule>
  </conditionalFormatting>
  <conditionalFormatting sqref="CA1">
    <cfRule type="expression" dxfId="272" priority="8372">
      <formula>$J1="Santé Individuelle"</formula>
    </cfRule>
  </conditionalFormatting>
  <conditionalFormatting sqref="CB1">
    <cfRule type="expression" dxfId="271" priority="8367">
      <formula>$J1="Santé Individuelle"</formula>
    </cfRule>
  </conditionalFormatting>
  <conditionalFormatting sqref="CD1">
    <cfRule type="expression" dxfId="270" priority="8368">
      <formula>$J1="Santé Individuelle"</formula>
    </cfRule>
  </conditionalFormatting>
  <conditionalFormatting sqref="CE1">
    <cfRule type="expression" dxfId="269" priority="8363">
      <formula>$J1="Santé Individuelle"</formula>
    </cfRule>
  </conditionalFormatting>
  <conditionalFormatting sqref="CG1">
    <cfRule type="expression" dxfId="268" priority="8364">
      <formula>$J1="Santé Individuelle"</formula>
    </cfRule>
  </conditionalFormatting>
  <conditionalFormatting sqref="CH1">
    <cfRule type="expression" dxfId="267" priority="8359">
      <formula>$J1="Santé Individuelle"</formula>
    </cfRule>
  </conditionalFormatting>
  <conditionalFormatting sqref="CJ1">
    <cfRule type="expression" dxfId="266" priority="8360">
      <formula>$J1="Santé Individuelle"</formula>
    </cfRule>
  </conditionalFormatting>
  <conditionalFormatting sqref="BM1">
    <cfRule type="expression" dxfId="265" priority="8385">
      <formula>$BH1=1</formula>
    </cfRule>
  </conditionalFormatting>
  <conditionalFormatting sqref="BO1">
    <cfRule type="expression" dxfId="264" priority="8386">
      <formula>$BH1=1</formula>
    </cfRule>
  </conditionalFormatting>
  <conditionalFormatting sqref="BP1">
    <cfRule type="expression" dxfId="263" priority="8383">
      <formula>$J1="Santé Individuelle"</formula>
    </cfRule>
  </conditionalFormatting>
  <conditionalFormatting sqref="BR1">
    <cfRule type="expression" dxfId="262" priority="8384">
      <formula>$J1="Santé Individuelle"</formula>
    </cfRule>
  </conditionalFormatting>
  <conditionalFormatting sqref="BP1">
    <cfRule type="expression" dxfId="261" priority="8382">
      <formula>$BI1=0</formula>
    </cfRule>
  </conditionalFormatting>
  <conditionalFormatting sqref="BR1">
    <cfRule type="expression" dxfId="260" priority="8381">
      <formula>$BI1=0</formula>
    </cfRule>
  </conditionalFormatting>
  <conditionalFormatting sqref="BS1">
    <cfRule type="expression" dxfId="259" priority="8378">
      <formula>$BI1&lt;2</formula>
    </cfRule>
  </conditionalFormatting>
  <conditionalFormatting sqref="BU1">
    <cfRule type="expression" dxfId="258" priority="8377">
      <formula>$BI1&lt;2</formula>
    </cfRule>
  </conditionalFormatting>
  <conditionalFormatting sqref="BV1">
    <cfRule type="expression" dxfId="257" priority="8374">
      <formula>$BI1&lt;3</formula>
    </cfRule>
  </conditionalFormatting>
  <conditionalFormatting sqref="BX1">
    <cfRule type="expression" dxfId="256" priority="8373">
      <formula>$BI1&lt;3</formula>
    </cfRule>
  </conditionalFormatting>
  <conditionalFormatting sqref="BY1">
    <cfRule type="expression" dxfId="255" priority="8370">
      <formula>$BI1&lt;4</formula>
    </cfRule>
  </conditionalFormatting>
  <conditionalFormatting sqref="CA1">
    <cfRule type="expression" dxfId="254" priority="8369">
      <formula>$BI1&lt;4</formula>
    </cfRule>
  </conditionalFormatting>
  <conditionalFormatting sqref="CB1">
    <cfRule type="expression" dxfId="253" priority="8366">
      <formula>$BI1&lt;5</formula>
    </cfRule>
  </conditionalFormatting>
  <conditionalFormatting sqref="CD1">
    <cfRule type="expression" dxfId="252" priority="8365">
      <formula>$BI1&lt;5</formula>
    </cfRule>
  </conditionalFormatting>
  <conditionalFormatting sqref="CE1">
    <cfRule type="expression" dxfId="251" priority="8362">
      <formula>$BI1&lt;6</formula>
    </cfRule>
  </conditionalFormatting>
  <conditionalFormatting sqref="CG1">
    <cfRule type="expression" dxfId="250" priority="8361">
      <formula>$BI1&lt;6</formula>
    </cfRule>
  </conditionalFormatting>
  <conditionalFormatting sqref="CH1">
    <cfRule type="expression" dxfId="249" priority="8358">
      <formula>$BI1&lt;7</formula>
    </cfRule>
  </conditionalFormatting>
  <conditionalFormatting sqref="CJ1">
    <cfRule type="expression" dxfId="248" priority="8357">
      <formula>$BI1&lt;7</formula>
    </cfRule>
  </conditionalFormatting>
  <conditionalFormatting sqref="C1:H1 J1:X1 AN1:DL1">
    <cfRule type="notContainsBlanks" dxfId="247" priority="8356">
      <formula>LEN(TRIM(C1))&gt;0</formula>
    </cfRule>
  </conditionalFormatting>
  <conditionalFormatting sqref="A1">
    <cfRule type="containsText" dxfId="246" priority="8352" operator="containsText" text="Trans.">
      <formula>NOT(ISERROR(SEARCH("Trans.",A1)))</formula>
    </cfRule>
    <cfRule type="containsText" dxfId="245" priority="8353" operator="containsText" text="Inter.">
      <formula>NOT(ISERROR(SEARCH("Inter.",A1)))</formula>
    </cfRule>
    <cfRule type="containsText" dxfId="244" priority="8354" operator="containsText" text="Tout">
      <formula>NOT(ISERROR(SEARCH("Tout",A1)))</formula>
    </cfRule>
    <cfRule type="containsText" dxfId="243" priority="8355" operator="containsText" text="Mini">
      <formula>NOT(ISERROR(SEARCH("Mini",A1)))</formula>
    </cfRule>
  </conditionalFormatting>
  <conditionalFormatting sqref="A1">
    <cfRule type="notContainsBlanks" dxfId="242" priority="8351">
      <formula>LEN(TRIM(A1))&gt;0</formula>
    </cfRule>
  </conditionalFormatting>
  <conditionalFormatting sqref="AB1:AC1">
    <cfRule type="notContainsBlanks" dxfId="241" priority="8350">
      <formula>LEN(TRIM(AB1))&gt;0</formula>
    </cfRule>
  </conditionalFormatting>
  <conditionalFormatting sqref="AD1">
    <cfRule type="notContainsBlanks" dxfId="240" priority="8349">
      <formula>LEN(TRIM(AD1))&gt;0</formula>
    </cfRule>
  </conditionalFormatting>
  <conditionalFormatting sqref="BJ3:BL5 AT5:AU5 AL2:AN5 AV3:AX5 AP2:AX2 AP5:AR5 AP3:AU4 T2:Y5 BH2:BH45 AB2:AJ45 G2:H45 X6:Y45 T6:U45 AL6:AX45">
    <cfRule type="cellIs" dxfId="239" priority="2065" operator="equal">
      <formula>0</formula>
    </cfRule>
    <cfRule type="containsBlanks" dxfId="238" priority="2066">
      <formula>LEN(TRIM(G2))=0</formula>
    </cfRule>
  </conditionalFormatting>
  <conditionalFormatting sqref="AP3:AU4 AP5:AR5 AT5:AU5 CK2:DL2 AP2:BK2 AG2:AO5 AA2:AE45 H2:I45 O2:W45 DO2:DR45 M2:M45 AG6:DL45 AV3:DL5">
    <cfRule type="expression" dxfId="237" priority="2055">
      <formula>$G2="Annulation"</formula>
    </cfRule>
  </conditionalFormatting>
  <conditionalFormatting sqref="BJ2:BK2 AP3:AU4 AP5:AR5 AT5:AU5 AP2:AX2 AV3:AX5 AG2:AO5 AB2:AE45 BJ3:BL45 U2:Z45 DO2:DR45 C2:H45 DM2:DM45 BH2:BH45 J2:L45 N2:N45 AG6:AX45 AZ2:BE45">
    <cfRule type="expression" dxfId="236" priority="2037">
      <formula>$G2&lt;&gt;"Annulation"</formula>
    </cfRule>
  </conditionalFormatting>
  <conditionalFormatting sqref="U2:U45">
    <cfRule type="expression" dxfId="235" priority="8123">
      <formula>$DM2="Trans."</formula>
    </cfRule>
  </conditionalFormatting>
  <conditionalFormatting sqref="X2:Y45">
    <cfRule type="expression" dxfId="234" priority="8347">
      <formula>$P2="Annulé"</formula>
    </cfRule>
  </conditionalFormatting>
  <conditionalFormatting sqref="J2:J45 X2:X45 AF2:AF45 L2:N45 G2:G45 DM2:DM45">
    <cfRule type="expression" dxfId="233" priority="5417">
      <formula>$G2="Annulation"</formula>
    </cfRule>
  </conditionalFormatting>
  <conditionalFormatting sqref="DM1:DN1">
    <cfRule type="notContainsBlanks" dxfId="232" priority="8340">
      <formula>LEN(TRIM(DM1))&gt;0</formula>
    </cfRule>
  </conditionalFormatting>
  <conditionalFormatting sqref="Y1:Z1">
    <cfRule type="notContainsBlanks" dxfId="231" priority="8339">
      <formula>LEN(TRIM(Y1))&gt;0</formula>
    </cfRule>
  </conditionalFormatting>
  <conditionalFormatting sqref="R2:S45 AY2:AY45 I1:I45 M2:M45 AA2:AA45">
    <cfRule type="expression" dxfId="230" priority="8332">
      <formula>$G1&lt;&gt;"Annulation"</formula>
    </cfRule>
  </conditionalFormatting>
  <conditionalFormatting sqref="I1">
    <cfRule type="expression" dxfId="229" priority="8333">
      <formula>$G1="Annulation"</formula>
    </cfRule>
  </conditionalFormatting>
  <conditionalFormatting sqref="I1:I45 AA2:AA45">
    <cfRule type="containsBlanks" dxfId="228" priority="8334">
      <formula>LEN(TRIM(I1))=0</formula>
    </cfRule>
    <cfRule type="cellIs" dxfId="227" priority="8335" operator="lessThan">
      <formula>31</formula>
    </cfRule>
  </conditionalFormatting>
  <conditionalFormatting sqref="AA2:AA45 I1:I45">
    <cfRule type="expression" dxfId="226" priority="8336">
      <formula>$AA1&gt;122</formula>
    </cfRule>
  </conditionalFormatting>
  <conditionalFormatting sqref="AM1">
    <cfRule type="notContainsBlanks" dxfId="225" priority="8327">
      <formula>LEN(TRIM(AM1))&gt;0</formula>
    </cfRule>
  </conditionalFormatting>
  <conditionalFormatting sqref="AE1">
    <cfRule type="notContainsBlanks" dxfId="224" priority="8325">
      <formula>LEN(TRIM(AE1))&gt;0</formula>
    </cfRule>
  </conditionalFormatting>
  <conditionalFormatting sqref="AG1">
    <cfRule type="notContainsBlanks" dxfId="223" priority="8323">
      <formula>LEN(TRIM(AG1))&gt;0</formula>
    </cfRule>
  </conditionalFormatting>
  <conditionalFormatting sqref="AK1">
    <cfRule type="notContainsBlanks" dxfId="222" priority="8322">
      <formula>LEN(TRIM(AK1))&gt;0</formula>
    </cfRule>
  </conditionalFormatting>
  <conditionalFormatting sqref="AF1">
    <cfRule type="notContainsBlanks" dxfId="221" priority="8321">
      <formula>LEN(TRIM(AF1))&gt;0</formula>
    </cfRule>
  </conditionalFormatting>
  <conditionalFormatting sqref="AI1">
    <cfRule type="notContainsBlanks" dxfId="220" priority="8318">
      <formula>LEN(TRIM(AI1))&gt;0</formula>
    </cfRule>
  </conditionalFormatting>
  <conditionalFormatting sqref="AJ1">
    <cfRule type="notContainsBlanks" dxfId="219" priority="8316">
      <formula>LEN(TRIM(AJ1))&gt;0</formula>
    </cfRule>
  </conditionalFormatting>
  <conditionalFormatting sqref="AH1">
    <cfRule type="notContainsBlanks" dxfId="218" priority="8312">
      <formula>LEN(TRIM(AH1))&gt;0</formula>
    </cfRule>
  </conditionalFormatting>
  <conditionalFormatting sqref="AL1">
    <cfRule type="notContainsBlanks" dxfId="217" priority="8310">
      <formula>LEN(TRIM(AL1))&gt;0</formula>
    </cfRule>
  </conditionalFormatting>
  <conditionalFormatting sqref="AA1">
    <cfRule type="notContainsBlanks" dxfId="216" priority="8308">
      <formula>LEN(TRIM(AA1))&gt;0</formula>
    </cfRule>
  </conditionalFormatting>
  <conditionalFormatting sqref="BJ2:BK2 V6:W45 BJ6:BL45 T6:T45">
    <cfRule type="containsBlanks" dxfId="215" priority="8205">
      <formula>LEN(TRIM(T2))=0</formula>
    </cfRule>
    <cfRule type="cellIs" dxfId="214" priority="8346" operator="equal">
      <formula>0</formula>
    </cfRule>
  </conditionalFormatting>
  <conditionalFormatting sqref="P2:P45">
    <cfRule type="cellIs" dxfId="213" priority="8271" operator="equal">
      <formula>"Refus Médical"</formula>
    </cfRule>
    <cfRule type="cellIs" dxfId="212" priority="8272" operator="equal">
      <formula>"Annulé"</formula>
    </cfRule>
    <cfRule type="cellIs" dxfId="211" priority="8273" operator="equal">
      <formula>"Déjà Signé"</formula>
    </cfRule>
    <cfRule type="cellIs" dxfId="210" priority="8274" operator="equal">
      <formula>"Sans Suite"</formula>
    </cfRule>
    <cfRule type="cellIs" dxfId="209" priority="8275" operator="equal">
      <formula>"Refus"</formula>
    </cfRule>
    <cfRule type="cellIs" dxfId="208" priority="8276" operator="equal">
      <formula>"Report + Médical"</formula>
    </cfRule>
    <cfRule type="cellIs" dxfId="207" priority="8277" operator="equal">
      <formula>"Report"</formula>
    </cfRule>
    <cfRule type="cellIs" dxfId="206" priority="8278" operator="equal">
      <formula>"Signature"</formula>
    </cfRule>
    <cfRule type="cellIs" dxfId="205" priority="8279" operator="equal">
      <formula>"Contrat Papier + Mécical"</formula>
    </cfRule>
    <cfRule type="cellIs" dxfId="204" priority="8280" operator="equal">
      <formula>"Validation Médicale"</formula>
    </cfRule>
    <cfRule type="cellIs" dxfId="203" priority="8281" operator="equal">
      <formula>"Contrat Papier"</formula>
    </cfRule>
    <cfRule type="cellIs" dxfId="202" priority="8282" operator="equal">
      <formula>"Validation Compagnie"</formula>
    </cfRule>
    <cfRule type="cellIs" dxfId="201" priority="8283" operator="equal">
      <formula>"V"</formula>
    </cfRule>
  </conditionalFormatting>
  <conditionalFormatting sqref="J2:J45">
    <cfRule type="containsText" dxfId="200" priority="8284" operator="containsText" text="Autre">
      <formula>NOT(ISERROR(SEARCH("Autre",J2)))</formula>
    </cfRule>
    <cfRule type="containsText" dxfId="199" priority="8293" operator="containsText" text="Prev. Part">
      <formula>NOT(ISERROR(SEARCH("Prev. Part",J2)))</formula>
    </cfRule>
    <cfRule type="containsText" dxfId="198" priority="8294" operator="containsText" text="Santé Collective">
      <formula>NOT(ISERROR(SEARCH("Santé Collective",J2)))</formula>
    </cfRule>
    <cfRule type="containsText" dxfId="197" priority="8295" operator="containsText" text="Santé Individuelle">
      <formula>NOT(ISERROR(SEARCH("Santé Individuelle",J2)))</formula>
    </cfRule>
    <cfRule type="containsText" dxfId="196" priority="8296" operator="containsText" text="Prev. Pro">
      <formula>NOT(ISERROR(SEARCH("Prev. Pro",J2)))</formula>
    </cfRule>
  </conditionalFormatting>
  <conditionalFormatting sqref="K2:K45">
    <cfRule type="containsText" dxfId="195" priority="8285" operator="containsText" text="CEGEMA">
      <formula>NOT(ISERROR(SEARCH("CEGEMA",K2)))</formula>
    </cfRule>
    <cfRule type="containsText" dxfId="194" priority="8286" operator="containsText" text="ASAF">
      <formula>NOT(ISERROR(SEARCH("ASAF",K2)))</formula>
    </cfRule>
    <cfRule type="containsText" dxfId="193" priority="8287" operator="containsText" text="AVIVA">
      <formula>NOT(ISERROR(SEARCH("AVIVA",K2)))</formula>
    </cfRule>
    <cfRule type="containsText" dxfId="192" priority="8288" operator="containsText" text="CIPRES">
      <formula>NOT(ISERROR(SEARCH("CIPRES",K2)))</formula>
    </cfRule>
    <cfRule type="containsText" dxfId="191" priority="8289" operator="containsText" text="ALPTIS">
      <formula>NOT(ISERROR(SEARCH("ALPTIS",K2)))</formula>
    </cfRule>
    <cfRule type="containsText" dxfId="190" priority="8290" operator="containsText" text="NEOLIANE">
      <formula>NOT(ISERROR(SEARCH("NEOLIANE",K2)))</formula>
    </cfRule>
    <cfRule type="containsText" dxfId="189" priority="8291" operator="containsText" text="SWISSLIFE">
      <formula>NOT(ISERROR(SEARCH("SWISSLIFE",K2)))</formula>
    </cfRule>
    <cfRule type="containsText" dxfId="188" priority="8292" operator="containsText" text="APRIL">
      <formula>NOT(ISERROR(SEARCH("APRIL",K2)))</formula>
    </cfRule>
  </conditionalFormatting>
  <conditionalFormatting sqref="P2:P45">
    <cfRule type="containsText" dxfId="187" priority="8265" operator="containsText" text="Impayé">
      <formula>NOT(ISERROR(SEARCH("Impayé",P2)))</formula>
    </cfRule>
    <cfRule type="containsText" dxfId="186" priority="8266" operator="containsText" text="Résilié">
      <formula>NOT(ISERROR(SEARCH("Résilié",P2)))</formula>
    </cfRule>
    <cfRule type="containsText" dxfId="185" priority="8267" operator="containsText" text="Radié">
      <formula>NOT(ISERROR(SEARCH("Radié",P2)))</formula>
    </cfRule>
    <cfRule type="containsText" dxfId="184" priority="8268" operator="containsText" text="Pas Trouvé">
      <formula>NOT(ISERROR(SEARCH("Pas Trouvé",P2)))</formula>
    </cfRule>
    <cfRule type="containsText" dxfId="183" priority="8269" operator="containsText" text="A Jour">
      <formula>NOT(ISERROR(SEARCH("A Jour",P2)))</formula>
    </cfRule>
    <cfRule type="containsText" dxfId="182" priority="8270" operator="containsText" text="A Trouver">
      <formula>NOT(ISERROR(SEARCH("A Trouver",P2)))</formula>
    </cfRule>
  </conditionalFormatting>
  <conditionalFormatting sqref="AY2:AY45">
    <cfRule type="containsText" dxfId="181" priority="8259" operator="containsText" text="Sympathie">
      <formula>NOT(ISERROR(SEARCH("Sympathie",AY2)))</formula>
    </cfRule>
  </conditionalFormatting>
  <conditionalFormatting sqref="AY2:AY45">
    <cfRule type="containsText" dxfId="180" priority="8260" operator="containsText" text="Argent">
      <formula>NOT(ISERROR(SEARCH("Argent",AY2)))</formula>
    </cfRule>
    <cfRule type="containsText" dxfId="179" priority="8261" operator="containsText" text="Confort">
      <formula>NOT(ISERROR(SEARCH("Confort",AY2)))</formula>
    </cfRule>
    <cfRule type="containsText" dxfId="178" priority="8262" operator="containsText" text="Nouveauté">
      <formula>NOT(ISERROR(SEARCH("Nouveauté",AY2)))</formula>
    </cfRule>
    <cfRule type="containsText" dxfId="177" priority="8263" operator="containsText" text="Orgueil">
      <formula>NOT(ISERROR(SEARCH("Orgueil",AY2)))</formula>
    </cfRule>
    <cfRule type="containsText" dxfId="176" priority="8264" operator="containsText" text="Sécurité">
      <formula>NOT(ISERROR(SEARCH("Sécurité",AY2)))</formula>
    </cfRule>
  </conditionalFormatting>
  <conditionalFormatting sqref="DM2:DM45">
    <cfRule type="containsText" dxfId="175" priority="8257" operator="containsText" text="Tout">
      <formula>NOT(ISERROR(SEARCH("Tout",DM2)))</formula>
    </cfRule>
    <cfRule type="containsText" dxfId="174" priority="8258" operator="containsText" text="Mini">
      <formula>NOT(ISERROR(SEARCH("Mini",DM2)))</formula>
    </cfRule>
  </conditionalFormatting>
  <conditionalFormatting sqref="DM2:DM45">
    <cfRule type="containsText" dxfId="173" priority="8256" operator="containsText" text="Inter.">
      <formula>NOT(ISERROR(SEARCH("Inter.",DM2)))</formula>
    </cfRule>
  </conditionalFormatting>
  <conditionalFormatting sqref="DM2:DM45">
    <cfRule type="containsText" dxfId="172" priority="8203" operator="containsText" text="Trans.">
      <formula>NOT(ISERROR(SEARCH("Trans.",DM2)))</formula>
    </cfRule>
  </conditionalFormatting>
  <conditionalFormatting sqref="Q2:S45 N2:O45 F2:F45 DO2:DR45 AY2:BE45">
    <cfRule type="cellIs" dxfId="171" priority="8255" operator="equal">
      <formula>0</formula>
    </cfRule>
    <cfRule type="containsBlanks" dxfId="170" priority="8297">
      <formula>LEN(TRIM(F2))=0</formula>
    </cfRule>
  </conditionalFormatting>
  <conditionalFormatting sqref="AG2:AJ45 CJ2:CJ45 AT2:AU45 BL3:BL45 I2:I45 AW2:AX45 BR2:BR45 AQ2:AR45 BO2:BO45 CG2:CG45 CD2:CD45 CA2:CA45 BX2:BX45 BU2:BU45 AL2:AL45 AA2:AA45 V2:W45 Q2:R45 A2:B45 AO2:AO45">
    <cfRule type="expression" dxfId="169" priority="1087">
      <formula>$DM2="Trans."</formula>
    </cfRule>
  </conditionalFormatting>
  <conditionalFormatting sqref="CV2:CV45 CR2:CS45 DL2:DL45 DB2:DB45 DE2:DF45 DH2:DI45">
    <cfRule type="expression" dxfId="168" priority="8254">
      <formula>$J2="Prev. Pro"</formula>
    </cfRule>
  </conditionalFormatting>
  <conditionalFormatting sqref="CY2:CY45">
    <cfRule type="expression" dxfId="167" priority="8253">
      <formula>$J2="Prev. Pro"</formula>
    </cfRule>
  </conditionalFormatting>
  <conditionalFormatting sqref="CU2:CU45 DJ2:DK45 CZ2:DA45 DG2:DG45 DC2:DD45 CW2:CX45">
    <cfRule type="expression" dxfId="166" priority="8252">
      <formula>$J2="Prev. Pro"</formula>
    </cfRule>
  </conditionalFormatting>
  <conditionalFormatting sqref="CK2:CQ45">
    <cfRule type="expression" dxfId="165" priority="8251" stopIfTrue="1">
      <formula>$J2="Santé Individuelle"</formula>
    </cfRule>
  </conditionalFormatting>
  <conditionalFormatting sqref="B2:B45">
    <cfRule type="expression" dxfId="164" priority="8215">
      <formula>$DN2=""</formula>
    </cfRule>
    <cfRule type="expression" dxfId="163" priority="8247">
      <formula>$DN2="OK"</formula>
    </cfRule>
  </conditionalFormatting>
  <conditionalFormatting sqref="B2:B45">
    <cfRule type="expression" dxfId="162" priority="8246">
      <formula>$DN2="Mini"</formula>
    </cfRule>
  </conditionalFormatting>
  <conditionalFormatting sqref="B2:B45">
    <cfRule type="expression" dxfId="161" priority="8245">
      <formula>$DN2="KO"</formula>
    </cfRule>
  </conditionalFormatting>
  <conditionalFormatting sqref="C2:E45">
    <cfRule type="expression" dxfId="160" priority="8241">
      <formula>$G2="Annulation"</formula>
    </cfRule>
  </conditionalFormatting>
  <conditionalFormatting sqref="C2:E45">
    <cfRule type="expression" dxfId="159" priority="8242">
      <formula>$J2="Prev. Pro"</formula>
    </cfRule>
    <cfRule type="expression" dxfId="158" priority="8243">
      <formula>$J2&lt;&gt;"Santé Individuelle"</formula>
    </cfRule>
  </conditionalFormatting>
  <conditionalFormatting sqref="BN2:BN45 CI3:CI45 BI2:BI45 BQ2:BQ45 BT2:BT45 BW2:BW45 BZ2:BZ45 CC2:CC45 CF2:CF45">
    <cfRule type="expression" dxfId="157" priority="8248">
      <formula>$J2="Santé Individuelle"</formula>
    </cfRule>
  </conditionalFormatting>
  <conditionalFormatting sqref="BQ3:BQ45">
    <cfRule type="expression" dxfId="156" priority="8240">
      <formula>$BI3=0</formula>
    </cfRule>
  </conditionalFormatting>
  <conditionalFormatting sqref="BR2:BR45 BP3:BP45">
    <cfRule type="expression" dxfId="155" priority="8239">
      <formula>$BI2=0</formula>
    </cfRule>
  </conditionalFormatting>
  <conditionalFormatting sqref="BT3:BT45">
    <cfRule type="expression" dxfId="154" priority="8237">
      <formula>$BI3&lt;2</formula>
    </cfRule>
  </conditionalFormatting>
  <conditionalFormatting sqref="BU2:BU45 BS3:BS45">
    <cfRule type="expression" dxfId="153" priority="8238">
      <formula>$BI2&lt;2</formula>
    </cfRule>
  </conditionalFormatting>
  <conditionalFormatting sqref="BW3:BW45">
    <cfRule type="expression" dxfId="152" priority="8235">
      <formula>$BI3&lt;3</formula>
    </cfRule>
  </conditionalFormatting>
  <conditionalFormatting sqref="BX2:BX45 BV3:BV45">
    <cfRule type="expression" dxfId="151" priority="8236">
      <formula>$BI2&lt;3</formula>
    </cfRule>
  </conditionalFormatting>
  <conditionalFormatting sqref="BZ3:BZ45">
    <cfRule type="expression" dxfId="150" priority="8233">
      <formula>$BI3&lt;4</formula>
    </cfRule>
  </conditionalFormatting>
  <conditionalFormatting sqref="CA2:CA45 BY3:BY45">
    <cfRule type="expression" dxfId="149" priority="8234">
      <formula>$BI2&lt;4</formula>
    </cfRule>
  </conditionalFormatting>
  <conditionalFormatting sqref="CC3:CC45">
    <cfRule type="expression" dxfId="148" priority="8231">
      <formula>$BI3&lt;5</formula>
    </cfRule>
  </conditionalFormatting>
  <conditionalFormatting sqref="CD2:CD45 CB3:CB45">
    <cfRule type="expression" dxfId="147" priority="8232">
      <formula>$BI2&lt;5</formula>
    </cfRule>
  </conditionalFormatting>
  <conditionalFormatting sqref="CF3:CF45">
    <cfRule type="expression" dxfId="146" priority="8229">
      <formula>$BI3&lt;6</formula>
    </cfRule>
  </conditionalFormatting>
  <conditionalFormatting sqref="CG2:CG45 CE3:CE45">
    <cfRule type="expression" dxfId="145" priority="8230">
      <formula>$BI2&lt;6</formula>
    </cfRule>
  </conditionalFormatting>
  <conditionalFormatting sqref="CI3:CI45">
    <cfRule type="expression" dxfId="144" priority="8227">
      <formula>$BI3&lt;7</formula>
    </cfRule>
  </conditionalFormatting>
  <conditionalFormatting sqref="CJ2:CJ45 CH3:CH45">
    <cfRule type="expression" dxfId="143" priority="8228">
      <formula>$BI2&lt;7</formula>
    </cfRule>
  </conditionalFormatting>
  <conditionalFormatting sqref="BJ2:BK45">
    <cfRule type="containsBlanks" dxfId="142" priority="8226">
      <formula>LEN(TRIM(BJ2))=0</formula>
    </cfRule>
  </conditionalFormatting>
  <conditionalFormatting sqref="BF2:BF45">
    <cfRule type="expression" dxfId="141" priority="8225">
      <formula>$J2="Santé Individuelle"</formula>
    </cfRule>
  </conditionalFormatting>
  <conditionalFormatting sqref="BG2:BG45">
    <cfRule type="expression" dxfId="140" priority="8224">
      <formula>$BH2=1</formula>
    </cfRule>
  </conditionalFormatting>
  <conditionalFormatting sqref="CQ2:CQ45">
    <cfRule type="expression" dxfId="139" priority="8223">
      <formula>$J2="Santé Individuelle"</formula>
    </cfRule>
  </conditionalFormatting>
  <conditionalFormatting sqref="BM3:BM45">
    <cfRule type="expression" dxfId="138" priority="8221">
      <formula>$BH3&lt;=1</formula>
    </cfRule>
  </conditionalFormatting>
  <conditionalFormatting sqref="BN3:BN45">
    <cfRule type="expression" dxfId="137" priority="8220">
      <formula>$BH3&lt;=1</formula>
    </cfRule>
  </conditionalFormatting>
  <conditionalFormatting sqref="DN2:DN45">
    <cfRule type="containsText" dxfId="136" priority="8218" operator="containsText" text="OK">
      <formula>NOT(ISERROR(SEARCH("OK",DN2)))</formula>
    </cfRule>
  </conditionalFormatting>
  <conditionalFormatting sqref="DN2:DN45">
    <cfRule type="containsText" dxfId="135" priority="8217" operator="containsText" text="Mini">
      <formula>NOT(ISERROR(SEARCH("Mini",DN2)))</formula>
    </cfRule>
  </conditionalFormatting>
  <conditionalFormatting sqref="DN2:DN45">
    <cfRule type="containsText" dxfId="134" priority="8216" operator="containsText" text="KO">
      <formula>NOT(ISERROR(SEARCH("KO",DN2)))</formula>
    </cfRule>
  </conditionalFormatting>
  <conditionalFormatting sqref="B2:B45">
    <cfRule type="expression" dxfId="133" priority="5420">
      <formula>$G2="Annulation"</formula>
    </cfRule>
  </conditionalFormatting>
  <conditionalFormatting sqref="O2:T45">
    <cfRule type="expression" dxfId="132" priority="8249">
      <formula>$G2&lt;&gt;"Annulation"</formula>
    </cfRule>
  </conditionalFormatting>
  <conditionalFormatting sqref="Z2:Z45">
    <cfRule type="expression" dxfId="131" priority="8198">
      <formula>$AA2&lt;31</formula>
    </cfRule>
  </conditionalFormatting>
  <conditionalFormatting sqref="Z2:Z45">
    <cfRule type="expression" dxfId="130" priority="8197">
      <formula>$AA2&gt;122</formula>
    </cfRule>
  </conditionalFormatting>
  <conditionalFormatting sqref="AF2:AF45">
    <cfRule type="expression" dxfId="129" priority="8188">
      <formula>$AB2="X"</formula>
    </cfRule>
  </conditionalFormatting>
  <conditionalFormatting sqref="AF2:AF45">
    <cfRule type="expression" dxfId="128" priority="8185">
      <formula>$AE2&lt;&gt;"Programmée"</formula>
    </cfRule>
  </conditionalFormatting>
  <conditionalFormatting sqref="AH2:AH45">
    <cfRule type="cellIs" dxfId="127" priority="8298" operator="greaterThanOrEqual">
      <formula>2</formula>
    </cfRule>
    <cfRule type="cellIs" dxfId="126" priority="8299" operator="between">
      <formula>1</formula>
      <formula>1.99999999999999</formula>
    </cfRule>
    <cfRule type="cellIs" dxfId="125" priority="8300" operator="lessThan">
      <formula>1</formula>
    </cfRule>
  </conditionalFormatting>
  <conditionalFormatting sqref="AJ2:AK45">
    <cfRule type="expression" dxfId="124" priority="8180">
      <formula>$AK2-TODAY()&lt;30</formula>
    </cfRule>
  </conditionalFormatting>
  <conditionalFormatting sqref="AK2:AK5 AJ6:AK45">
    <cfRule type="containsBlanks" dxfId="123" priority="8131">
      <formula>LEN(TRIM(AJ2))=0</formula>
    </cfRule>
  </conditionalFormatting>
  <conditionalFormatting sqref="AL2:AL45">
    <cfRule type="cellIs" dxfId="122" priority="8192" operator="between">
      <formula>1</formula>
      <formula>1.99999999999999</formula>
    </cfRule>
    <cfRule type="cellIs" dxfId="121" priority="8196" operator="lessThan">
      <formula>1</formula>
    </cfRule>
    <cfRule type="cellIs" dxfId="120" priority="8314" operator="greaterThanOrEqual">
      <formula>2</formula>
    </cfRule>
  </conditionalFormatting>
  <conditionalFormatting sqref="AI2:AK45">
    <cfRule type="expression" dxfId="119" priority="8130">
      <formula>$G2="Annulation"</formula>
    </cfRule>
  </conditionalFormatting>
  <conditionalFormatting sqref="M2:M45">
    <cfRule type="cellIs" dxfId="118" priority="8128" operator="greaterThan">
      <formula>0</formula>
    </cfRule>
  </conditionalFormatting>
  <conditionalFormatting sqref="AQ2:AR45 AN2:AO45">
    <cfRule type="expression" dxfId="117" priority="1307">
      <formula>$Z2&gt;=(42736+365)</formula>
    </cfRule>
  </conditionalFormatting>
  <conditionalFormatting sqref="AT2:AU45 AP2:AP45">
    <cfRule type="expression" dxfId="116" priority="2036">
      <formula>$Z2&gt;=(42736+365+365)</formula>
    </cfRule>
  </conditionalFormatting>
  <conditionalFormatting sqref="AS2:AS4 AW2:AX45 AS6:AS45">
    <cfRule type="expression" dxfId="115" priority="7642">
      <formula>$Z2&gt;=(42736+365+365+365)</formula>
    </cfRule>
  </conditionalFormatting>
  <conditionalFormatting sqref="AV3:AX5 AT5:AU5 AM2:AN5 AP2:AX2 AP5:AR5 AP3:AU4 AM6:AX45">
    <cfRule type="cellIs" dxfId="114" priority="2059" operator="equal">
      <formula>0</formula>
    </cfRule>
    <cfRule type="containsBlanks" dxfId="113" priority="2064">
      <formula>LEN(TRIM(AM2))=0</formula>
    </cfRule>
  </conditionalFormatting>
  <conditionalFormatting sqref="CH2">
    <cfRule type="expression" dxfId="112" priority="5442">
      <formula>$J2="Santé Individuelle"</formula>
    </cfRule>
  </conditionalFormatting>
  <conditionalFormatting sqref="BL2">
    <cfRule type="containsBlanks" dxfId="111" priority="5422">
      <formula>LEN(TRIM(BL2))=0</formula>
    </cfRule>
    <cfRule type="cellIs" dxfId="110" priority="5423" operator="equal">
      <formula>0</formula>
    </cfRule>
  </conditionalFormatting>
  <conditionalFormatting sqref="BL2:CJ2">
    <cfRule type="expression" dxfId="109" priority="5424">
      <formula>$G2="Annulation"</formula>
    </cfRule>
  </conditionalFormatting>
  <conditionalFormatting sqref="BL2">
    <cfRule type="expression" dxfId="108" priority="5421">
      <formula>$G2&lt;&gt;"Annulation"</formula>
    </cfRule>
  </conditionalFormatting>
  <conditionalFormatting sqref="BL2">
    <cfRule type="expression" dxfId="107" priority="5419">
      <formula>$DM2="Trans."</formula>
    </cfRule>
  </conditionalFormatting>
  <conditionalFormatting sqref="CI2">
    <cfRule type="expression" dxfId="106" priority="5441">
      <formula>$J2="Santé Individuelle"</formula>
    </cfRule>
  </conditionalFormatting>
  <conditionalFormatting sqref="BQ2">
    <cfRule type="expression" dxfId="105" priority="5440">
      <formula>$BI2=0</formula>
    </cfRule>
  </conditionalFormatting>
  <conditionalFormatting sqref="BP2">
    <cfRule type="expression" dxfId="104" priority="5439">
      <formula>$BI2=0</formula>
    </cfRule>
  </conditionalFormatting>
  <conditionalFormatting sqref="BT2">
    <cfRule type="expression" dxfId="103" priority="5437">
      <formula>$BI2&lt;2</formula>
    </cfRule>
  </conditionalFormatting>
  <conditionalFormatting sqref="BS2">
    <cfRule type="expression" dxfId="102" priority="5438">
      <formula>$BI2&lt;2</formula>
    </cfRule>
  </conditionalFormatting>
  <conditionalFormatting sqref="BW2">
    <cfRule type="expression" dxfId="101" priority="5435">
      <formula>$BI2&lt;3</formula>
    </cfRule>
  </conditionalFormatting>
  <conditionalFormatting sqref="BV2">
    <cfRule type="expression" dxfId="100" priority="5436">
      <formula>$BI2&lt;3</formula>
    </cfRule>
  </conditionalFormatting>
  <conditionalFormatting sqref="BZ2">
    <cfRule type="expression" dxfId="99" priority="5433">
      <formula>$BI2&lt;4</formula>
    </cfRule>
  </conditionalFormatting>
  <conditionalFormatting sqref="BY2">
    <cfRule type="expression" dxfId="98" priority="5434">
      <formula>$BI2&lt;4</formula>
    </cfRule>
  </conditionalFormatting>
  <conditionalFormatting sqref="CC2">
    <cfRule type="expression" dxfId="97" priority="5431">
      <formula>$BI2&lt;5</formula>
    </cfRule>
  </conditionalFormatting>
  <conditionalFormatting sqref="CB2">
    <cfRule type="expression" dxfId="96" priority="5432">
      <formula>$BI2&lt;5</formula>
    </cfRule>
  </conditionalFormatting>
  <conditionalFormatting sqref="CF2">
    <cfRule type="expression" dxfId="95" priority="5429">
      <formula>$BI2&lt;6</formula>
    </cfRule>
  </conditionalFormatting>
  <conditionalFormatting sqref="CE2">
    <cfRule type="expression" dxfId="94" priority="5430">
      <formula>$BI2&lt;6</formula>
    </cfRule>
  </conditionalFormatting>
  <conditionalFormatting sqref="CI2">
    <cfRule type="expression" dxfId="93" priority="5427">
      <formula>$BI2&lt;7</formula>
    </cfRule>
  </conditionalFormatting>
  <conditionalFormatting sqref="CH2">
    <cfRule type="expression" dxfId="92" priority="5428">
      <formula>$BI2&lt;7</formula>
    </cfRule>
  </conditionalFormatting>
  <conditionalFormatting sqref="BM2">
    <cfRule type="expression" dxfId="91" priority="5426">
      <formula>$BH2&lt;=1</formula>
    </cfRule>
  </conditionalFormatting>
  <conditionalFormatting sqref="BN2">
    <cfRule type="expression" dxfId="90" priority="5425">
      <formula>$BH2&lt;=1</formula>
    </cfRule>
  </conditionalFormatting>
  <conditionalFormatting sqref="BO2:BO45">
    <cfRule type="expression" dxfId="89" priority="7694">
      <formula>$BH2&lt;=1</formula>
    </cfRule>
  </conditionalFormatting>
  <conditionalFormatting sqref="G2:G45">
    <cfRule type="containsText" dxfId="88" priority="5418" operator="containsText" text="Pré 2018 OK">
      <formula>NOT(ISERROR(SEARCH("Pré 2018 OK",G2)))</formula>
    </cfRule>
    <cfRule type="containsText" dxfId="87" priority="7724" operator="containsText" text="Pré 2018 à Voir">
      <formula>NOT(ISERROR(SEARCH("Pré 2018 à Voir",G2)))</formula>
    </cfRule>
    <cfRule type="containsText" dxfId="86" priority="8204" operator="containsText" text="Pré 2018 KO">
      <formula>NOT(ISERROR(SEARCH("Pré 2018 KO",G2)))</formula>
    </cfRule>
  </conditionalFormatting>
  <conditionalFormatting sqref="CT2:CT45">
    <cfRule type="expression" dxfId="85" priority="5415">
      <formula>$J2="Prev. Pro"</formula>
    </cfRule>
  </conditionalFormatting>
  <conditionalFormatting sqref="CT2:CT45">
    <cfRule type="expression" dxfId="84" priority="5413">
      <formula>$DM2="Trans."</formula>
    </cfRule>
  </conditionalFormatting>
  <conditionalFormatting sqref="AM2:AM45 AO2:AO45">
    <cfRule type="expression" dxfId="83" priority="2035">
      <formula>$Z2&gt;=42736</formula>
    </cfRule>
  </conditionalFormatting>
  <conditionalFormatting sqref="AQ2:AQ45 AT2:AT45 AW2:AW45 AO2:AO45">
    <cfRule type="cellIs" dxfId="82" priority="7643" operator="greaterThan">
      <formula>0</formula>
    </cfRule>
    <cfRule type="cellIs" dxfId="81" priority="7644" operator="lessThan">
      <formula>0</formula>
    </cfRule>
  </conditionalFormatting>
  <conditionalFormatting sqref="AQ2:AQ45 AT2:AT45 AW2:AW45 AO2:AO45">
    <cfRule type="cellIs" dxfId="80" priority="2217" operator="equal">
      <formula>-1</formula>
    </cfRule>
  </conditionalFormatting>
  <conditionalFormatting sqref="AR2:AR45 AU2:AU45 AX2:AX45">
    <cfRule type="cellIs" dxfId="79" priority="2060" operator="equal">
      <formula>-1</formula>
    </cfRule>
    <cfRule type="cellIs" dxfId="78" priority="5416" operator="between">
      <formula>0</formula>
      <formula>0.1</formula>
    </cfRule>
    <cfRule type="cellIs" dxfId="77" priority="7688" operator="lessThanOrEqual">
      <formula>0</formula>
    </cfRule>
    <cfRule type="cellIs" dxfId="76" priority="7723" operator="greaterThan">
      <formula>0.5</formula>
    </cfRule>
    <cfRule type="cellIs" dxfId="75" priority="8345" operator="between">
      <formula>0.1</formula>
      <formula>0.25</formula>
    </cfRule>
    <cfRule type="cellIs" dxfId="74" priority="8348" operator="between">
      <formula>0.25</formula>
      <formula>0.5</formula>
    </cfRule>
  </conditionalFormatting>
  <conditionalFormatting sqref="AT2:AU45 AQ2:AR45 AW2:AX45 AO2:AO45">
    <cfRule type="cellIs" dxfId="73" priority="2054" operator="equal">
      <formula>-1</formula>
    </cfRule>
    <cfRule type="cellIs" dxfId="72" priority="2058" operator="equal">
      <formula>0</formula>
    </cfRule>
    <cfRule type="containsBlanks" dxfId="71" priority="2068">
      <formula>LEN(TRIM(AO2))=0</formula>
    </cfRule>
  </conditionalFormatting>
  <conditionalFormatting sqref="AD2:AD5">
    <cfRule type="cellIs" dxfId="70" priority="2008" operator="equal">
      <formula>"KO"</formula>
    </cfRule>
    <cfRule type="cellIs" dxfId="69" priority="2009" operator="equal">
      <formula>"A faire"</formula>
    </cfRule>
    <cfRule type="cellIs" dxfId="68" priority="2010" operator="equal">
      <formula>"Report"</formula>
    </cfRule>
    <cfRule type="cellIs" dxfId="67" priority="2011" operator="equal">
      <formula>"Retour"</formula>
    </cfRule>
    <cfRule type="cellIs" dxfId="66" priority="2012" operator="equal">
      <formula>"Envoyée"</formula>
    </cfRule>
    <cfRule type="cellIs" dxfId="65" priority="2013" operator="equal">
      <formula>"Programmée"</formula>
    </cfRule>
    <cfRule type="cellIs" dxfId="64" priority="2014" operator="equal">
      <formula>"Reçue"</formula>
    </cfRule>
    <cfRule type="cellIs" dxfId="63" priority="2015" operator="equal">
      <formula>"OK"</formula>
    </cfRule>
  </conditionalFormatting>
  <conditionalFormatting sqref="AC2:AE45">
    <cfRule type="expression" dxfId="62" priority="2004">
      <formula>$AB2="X"</formula>
    </cfRule>
  </conditionalFormatting>
  <conditionalFormatting sqref="AE2:AE45">
    <cfRule type="cellIs" dxfId="61" priority="2002" operator="equal">
      <formula>43404</formula>
    </cfRule>
  </conditionalFormatting>
  <conditionalFormatting sqref="AE2:AE45">
    <cfRule type="expression" dxfId="60" priority="1997">
      <formula>$AD2&lt;&gt;"Programmée"</formula>
    </cfRule>
  </conditionalFormatting>
  <conditionalFormatting sqref="AD6:AD45">
    <cfRule type="cellIs" dxfId="59" priority="1899" operator="equal">
      <formula>"KO"</formula>
    </cfRule>
    <cfRule type="cellIs" dxfId="58" priority="1900" operator="equal">
      <formula>"A faire"</formula>
    </cfRule>
    <cfRule type="cellIs" dxfId="57" priority="1901" operator="equal">
      <formula>"Report"</formula>
    </cfRule>
    <cfRule type="cellIs" dxfId="56" priority="1902" operator="equal">
      <formula>"Retour"</formula>
    </cfRule>
    <cfRule type="cellIs" dxfId="55" priority="1903" operator="equal">
      <formula>"Envoyée"</formula>
    </cfRule>
    <cfRule type="cellIs" dxfId="54" priority="1904" operator="equal">
      <formula>"Programmée"</formula>
    </cfRule>
    <cfRule type="cellIs" dxfId="53" priority="1905" operator="equal">
      <formula>"Reçue"</formula>
    </cfRule>
    <cfRule type="cellIs" dxfId="52" priority="1906" operator="equal">
      <formula>"OK"</formula>
    </cfRule>
  </conditionalFormatting>
  <conditionalFormatting sqref="DN2:DN45">
    <cfRule type="containsText" dxfId="51" priority="1308" operator="containsText" text="AJ">
      <formula>NOT(ISERROR(SEARCH("AJ",DN2)))</formula>
    </cfRule>
  </conditionalFormatting>
  <conditionalFormatting sqref="B2:B45">
    <cfRule type="expression" dxfId="50" priority="8244">
      <formula>$DN2="AJ"</formula>
    </cfRule>
  </conditionalFormatting>
  <conditionalFormatting sqref="CR2:CS45">
    <cfRule type="expression" dxfId="49" priority="7679">
      <formula>OR($CS2="4321A",$CS2="4322A",$CS2="4332A")</formula>
    </cfRule>
  </conditionalFormatting>
  <conditionalFormatting sqref="CR2:CS45">
    <cfRule type="expression" dxfId="48" priority="1101">
      <formula>$CS2="8690E"</formula>
    </cfRule>
    <cfRule type="expression" dxfId="47" priority="1102">
      <formula>$CS2="8690D"</formula>
    </cfRule>
    <cfRule type="expression" dxfId="46" priority="1103">
      <formula>OR($CS2="7112B",$CS2="7120B",$CS2="7410Z")</formula>
    </cfRule>
    <cfRule type="expression" dxfId="45" priority="1104">
      <formula>OR($CS2="7022Z",$CS2="7021Z")</formula>
    </cfRule>
    <cfRule type="expression" dxfId="44" priority="1105">
      <formula>$CS2="6831Z"</formula>
    </cfRule>
    <cfRule type="expression" dxfId="43" priority="1106">
      <formula>$CS2="8690F"</formula>
    </cfRule>
    <cfRule type="expression" dxfId="42" priority="1107">
      <formula>$CS2="6202A"</formula>
    </cfRule>
  </conditionalFormatting>
  <conditionalFormatting sqref="CZ2:CZ45">
    <cfRule type="expression" dxfId="41" priority="1097">
      <formula>$CZ2="NC"</formula>
    </cfRule>
    <cfRule type="expression" dxfId="40" priority="1098">
      <formula>$CZ2="Étude à Faire"</formula>
    </cfRule>
    <cfRule type="expression" dxfId="39" priority="1099">
      <formula>$CZ2="Plus Tard"</formula>
    </cfRule>
    <cfRule type="expression" dxfId="38" priority="1100">
      <formula>$CZ2="OK - Couplé"</formula>
    </cfRule>
  </conditionalFormatting>
  <conditionalFormatting sqref="CZ2:CZ45">
    <cfRule type="expression" dxfId="37" priority="1095">
      <formula>$CZ2="Étude KO"</formula>
    </cfRule>
  </conditionalFormatting>
  <conditionalFormatting sqref="CX2:CX45 DJ2:DK45">
    <cfRule type="containsText" dxfId="36" priority="1191" operator="containsText" text="Oui">
      <formula>NOT(ISERROR(SEARCH("Oui",CX2)))</formula>
    </cfRule>
  </conditionalFormatting>
  <conditionalFormatting sqref="DH2:DI45 DE2:DF45">
    <cfRule type="cellIs" dxfId="35" priority="1250" operator="greaterThan">
      <formula>0</formula>
    </cfRule>
  </conditionalFormatting>
  <conditionalFormatting sqref="DG2:DG45">
    <cfRule type="containsText" dxfId="34" priority="1093" operator="containsText" text="Barème">
      <formula>NOT(ISERROR(SEARCH("Barème",DG2)))</formula>
    </cfRule>
  </conditionalFormatting>
  <conditionalFormatting sqref="DC2:DC45">
    <cfRule type="containsText" dxfId="33" priority="1091" operator="containsText" text="Sans">
      <formula>NOT(ISERROR(SEARCH("Sans",DC2)))</formula>
    </cfRule>
  </conditionalFormatting>
  <conditionalFormatting sqref="DB2:DB45">
    <cfRule type="cellIs" dxfId="32" priority="1090" operator="greaterThan">
      <formula>0</formula>
    </cfRule>
  </conditionalFormatting>
  <conditionalFormatting sqref="AJ2:AJ5">
    <cfRule type="containsBlanks" dxfId="31" priority="1084">
      <formula>LEN(TRIM(AJ2))=0</formula>
    </cfRule>
  </conditionalFormatting>
  <conditionalFormatting sqref="AS5">
    <cfRule type="expression" dxfId="30" priority="602">
      <formula>$G5="Annulation"</formula>
    </cfRule>
  </conditionalFormatting>
  <conditionalFormatting sqref="AS5">
    <cfRule type="expression" dxfId="29" priority="601">
      <formula>$G5&lt;&gt;"Annulation"</formula>
    </cfRule>
  </conditionalFormatting>
  <conditionalFormatting sqref="AS5">
    <cfRule type="expression" dxfId="28" priority="600">
      <formula>$Z5&gt;=(42736+365+365+365)</formula>
    </cfRule>
  </conditionalFormatting>
  <conditionalFormatting sqref="AS5">
    <cfRule type="containsBlanks" dxfId="27" priority="604">
      <formula>LEN(TRIM(AS5))=0</formula>
    </cfRule>
    <cfRule type="cellIs" dxfId="26" priority="605" operator="equal">
      <formula>0</formula>
    </cfRule>
  </conditionalFormatting>
  <conditionalFormatting sqref="AS5">
    <cfRule type="cellIs" dxfId="25" priority="603" operator="equal">
      <formula>0</formula>
    </cfRule>
    <cfRule type="containsBlanks" dxfId="24" priority="606">
      <formula>LEN(TRIM(AS5))=0</formula>
    </cfRule>
  </conditionalFormatting>
  <conditionalFormatting sqref="DQ2:DQ45">
    <cfRule type="expression" dxfId="23" priority="571">
      <formula>OR($C2="",$J2="",$F2="",)</formula>
    </cfRule>
  </conditionalFormatting>
  <conditionalFormatting sqref="DR2:DR45">
    <cfRule type="expression" dxfId="22" priority="570">
      <formula>OR($C2="",$F2="",$M2="",$AS2="",$AU2="",$AS2=0,$AU2=0)</formula>
    </cfRule>
  </conditionalFormatting>
  <conditionalFormatting sqref="DO2:DP45">
    <cfRule type="containsBlanks" dxfId="21" priority="569">
      <formula>LEN(TRIM(DO2))=0</formula>
    </cfRule>
  </conditionalFormatting>
  <conditionalFormatting sqref="DO2:DO45">
    <cfRule type="expression" dxfId="20" priority="568">
      <formula>$C2=""</formula>
    </cfRule>
  </conditionalFormatting>
  <conditionalFormatting sqref="DP2:DP45">
    <cfRule type="expression" dxfId="19" priority="567">
      <formula>$BB2=""</formula>
    </cfRule>
  </conditionalFormatting>
  <conditionalFormatting sqref="DO2:DR45">
    <cfRule type="expression" dxfId="18" priority="566">
      <formula>$C2=""</formula>
    </cfRule>
  </conditionalFormatting>
  <conditionalFormatting sqref="P2:P45">
    <cfRule type="containsText" dxfId="17" priority="694" operator="containsText" text="Résilié - ACS">
      <formula>NOT(ISERROR(SEARCH("Résilié - ACS",P2)))</formula>
    </cfRule>
    <cfRule type="containsText" dxfId="16" priority="788" operator="containsText" text="Résilié - Groupe">
      <formula>NOT(ISERROR(SEARCH("Résilié - Groupe",P2)))</formula>
    </cfRule>
  </conditionalFormatting>
  <conditionalFormatting sqref="AO2:AO5">
    <cfRule type="cellIs" dxfId="15" priority="406" operator="equal">
      <formula>0</formula>
    </cfRule>
    <cfRule type="containsBlanks" dxfId="14" priority="407">
      <formula>LEN(TRIM(AO2))=0</formula>
    </cfRule>
  </conditionalFormatting>
  <conditionalFormatting sqref="AO2:AO5">
    <cfRule type="cellIs" dxfId="13" priority="403" operator="equal">
      <formula>0</formula>
    </cfRule>
    <cfRule type="containsBlanks" dxfId="12" priority="405">
      <formula>LEN(TRIM(AO2))=0</formula>
    </cfRule>
  </conditionalFormatting>
  <conditionalFormatting sqref="AJ2:AK45">
    <cfRule type="expression" dxfId="11" priority="8498">
      <formula>$DM2="Trans."</formula>
    </cfRule>
    <cfRule type="expression" dxfId="10" priority="8499">
      <formula>$AK2-TODAY()&gt;90</formula>
    </cfRule>
  </conditionalFormatting>
  <conditionalFormatting sqref="A2:A45">
    <cfRule type="expression" dxfId="9" priority="289">
      <formula>$DN2=""</formula>
    </cfRule>
    <cfRule type="expression" dxfId="8" priority="293">
      <formula>$DN2="OK"</formula>
    </cfRule>
  </conditionalFormatting>
  <conditionalFormatting sqref="A2:A45">
    <cfRule type="expression" dxfId="7" priority="292">
      <formula>$DN2="Mini"</formula>
    </cfRule>
  </conditionalFormatting>
  <conditionalFormatting sqref="A2:A45">
    <cfRule type="expression" dxfId="6" priority="291">
      <formula>$DN2="KO"</formula>
    </cfRule>
  </conditionalFormatting>
  <conditionalFormatting sqref="A2:A45">
    <cfRule type="expression" dxfId="5" priority="288">
      <formula>$G2="Annulation"</formula>
    </cfRule>
  </conditionalFormatting>
  <conditionalFormatting sqref="A2:A45">
    <cfRule type="expression" dxfId="4" priority="290">
      <formula>$DN2="AJ"</formula>
    </cfRule>
  </conditionalFormatting>
  <conditionalFormatting sqref="Q1:R1 U1:W1 BL1 BO1 BR1 BU1 BX1 CA1 CD1 CG1 CJ1 CT1 AQ1:AR1 AT1:AU1 AW1:AX1 AO1 AG1:AL1 AA1">
    <cfRule type="expression" dxfId="3" priority="8754">
      <formula>$A1="Trans."</formula>
    </cfRule>
  </conditionalFormatting>
  <conditionalFormatting sqref="C1:H1 J1:P1 S1 AY1:BK1 BM1:BN1 BP1:BQ1 BS1:BT1 BV1:BW1 BY1:BZ1 CB1:CC1 CE1:CF1 CH1:CI1 CK1:CS1 CU1:DL1 Z1 AB1:AF1">
    <cfRule type="expression" dxfId="2" priority="8772">
      <formula>$A1="Trans."</formula>
    </cfRule>
  </conditionalFormatting>
  <conditionalFormatting sqref="T1 CY1 AP1 AS1 AV1 X1:Y1 AM1:AN1">
    <cfRule type="expression" dxfId="1" priority="8788">
      <formula>$A1="Trans."</formula>
    </cfRule>
  </conditionalFormatting>
  <conditionalFormatting sqref="I1">
    <cfRule type="expression" dxfId="0" priority="8795">
      <formula>$A1="Trans."</formula>
    </cfRule>
  </conditionalFormatting>
  <dataValidations count="1">
    <dataValidation type="list" allowBlank="1" showInputMessage="1" showErrorMessage="1" sqref="DM2:DM45">
      <formula1>#REF!</formula1>
    </dataValidation>
  </dataValidations>
  <hyperlinks>
    <hyperlink ref="BB5" r:id="rId1"/>
    <hyperlink ref="BB4" r:id="rId2"/>
  </hyperlinks>
  <pageMargins left="0" right="0" top="0" bottom="0" header="0" footer="0"/>
  <pageSetup paperSize="9" orientation="landscape" verticalDpi="360" r:id="rId3"/>
  <drawing r:id="rId4"/>
  <extLst>
    <ext xmlns:x14="http://schemas.microsoft.com/office/spreadsheetml/2009/9/main" uri="{CCE6A557-97BC-4b89-ADB6-D9C93CAAB3DF}">
      <x14:dataValidations xmlns:xm="http://schemas.microsoft.com/office/excel/2006/main" count="24">
        <x14:dataValidation type="list" allowBlank="1" showInputMessage="1" showErrorMessage="1">
          <x14:formula1>
            <xm:f>Matrice!$B$43:$F$43</xm:f>
          </x14:formula1>
          <xm:sqref>A1</xm:sqref>
        </x14:dataValidation>
        <x14:dataValidation type="list" allowBlank="1" showInputMessage="1" showErrorMessage="1">
          <x14:formula1>
            <xm:f>Matrice!$B$16:$V$16</xm:f>
          </x14:formula1>
          <xm:sqref>AI1</xm:sqref>
        </x14:dataValidation>
        <x14:dataValidation type="list" allowBlank="1" showInputMessage="1" showErrorMessage="1">
          <x14:formula1>
            <xm:f>Matrice!$B$7:$L$7</xm:f>
          </x14:formula1>
          <xm:sqref>AB2:AB45</xm:sqref>
        </x14:dataValidation>
        <x14:dataValidation type="list" allowBlank="1" showInputMessage="1" showErrorMessage="1">
          <x14:formula1>
            <xm:f>Matrice!$B$8:$K$8</xm:f>
          </x14:formula1>
          <xm:sqref>AD2:AD45</xm:sqref>
        </x14:dataValidation>
        <x14:dataValidation type="list" allowBlank="1" showInputMessage="1" showErrorMessage="1">
          <x14:formula1>
            <xm:f>Matrice!$B$2:$O$2</xm:f>
          </x14:formula1>
          <xm:sqref>K2:K45</xm:sqref>
        </x14:dataValidation>
        <x14:dataValidation type="list" allowBlank="1" showInputMessage="1" showErrorMessage="1">
          <x14:formula1>
            <xm:f>Matrice!$B$1:$J$1</xm:f>
          </x14:formula1>
          <xm:sqref>J2:J45</xm:sqref>
        </x14:dataValidation>
        <x14:dataValidation type="list" allowBlank="1" showInputMessage="1" showErrorMessage="1">
          <x14:formula1>
            <xm:f>Matrice!$B$39:$J$39</xm:f>
          </x14:formula1>
          <xm:sqref>DA2:DA45</xm:sqref>
        </x14:dataValidation>
        <x14:dataValidation type="list" allowBlank="1" showInputMessage="1" showErrorMessage="1">
          <x14:formula1>
            <xm:f>Matrice!$B$38:$I$38</xm:f>
          </x14:formula1>
          <xm:sqref>DK2:DK45</xm:sqref>
        </x14:dataValidation>
        <x14:dataValidation type="list" allowBlank="1" showInputMessage="1" showErrorMessage="1">
          <x14:formula1>
            <xm:f>Matrice!$B$37:$I$37</xm:f>
          </x14:formula1>
          <xm:sqref>DJ2:DJ45</xm:sqref>
        </x14:dataValidation>
        <x14:dataValidation type="list" allowBlank="1" showInputMessage="1" showErrorMessage="1">
          <x14:formula1>
            <xm:f>Matrice!$B$36:$O$36</xm:f>
          </x14:formula1>
          <xm:sqref>DG2:DG45</xm:sqref>
        </x14:dataValidation>
        <x14:dataValidation type="list" allowBlank="1" showInputMessage="1" showErrorMessage="1">
          <x14:formula1>
            <xm:f>Matrice!$B$28:$H$28</xm:f>
          </x14:formula1>
          <xm:sqref>DD2:DD45</xm:sqref>
        </x14:dataValidation>
        <x14:dataValidation type="list" allowBlank="1" showInputMessage="1" showErrorMessage="1">
          <x14:formula1>
            <xm:f>Matrice!$B$32:$F$32</xm:f>
          </x14:formula1>
          <xm:sqref>DC2:DC45</xm:sqref>
        </x14:dataValidation>
        <x14:dataValidation type="list" allowBlank="1" showInputMessage="1" showErrorMessage="1">
          <x14:formula1>
            <xm:f>Matrice!$B$33:$E$33</xm:f>
          </x14:formula1>
          <xm:sqref>CW2:CW45</xm:sqref>
        </x14:dataValidation>
        <x14:dataValidation type="list" allowBlank="1" showInputMessage="1" showErrorMessage="1">
          <x14:formula1>
            <xm:f>Matrice!$C$25:$N$25</xm:f>
          </x14:formula1>
          <xm:sqref>CK2:CP45</xm:sqref>
        </x14:dataValidation>
        <x14:dataValidation type="list" allowBlank="1" showInputMessage="1" showErrorMessage="1">
          <x14:formula1>
            <xm:f>Matrice!$B$9:$O$9</xm:f>
          </x14:formula1>
          <xm:sqref>G2:G45</xm:sqref>
        </x14:dataValidation>
        <x14:dataValidation type="list" allowBlank="1" showInputMessage="1" showErrorMessage="1">
          <x14:formula1>
            <xm:f>Matrice!$B$23:$I$23</xm:f>
          </x14:formula1>
          <xm:sqref>AY2:AY45</xm:sqref>
        </x14:dataValidation>
        <x14:dataValidation type="list" allowBlank="1" showInputMessage="1" showErrorMessage="1">
          <x14:formula1>
            <xm:f>Matrice!$B$12:$M$12</xm:f>
          </x14:formula1>
          <xm:sqref>BH2:BI45</xm:sqref>
        </x14:dataValidation>
        <x14:dataValidation type="list" allowBlank="1" showInputMessage="1" showErrorMessage="1">
          <x14:formula1>
            <xm:f>Matrice!$B$4:$J$4</xm:f>
          </x14:formula1>
          <xm:sqref>S2:S45</xm:sqref>
        </x14:dataValidation>
        <x14:dataValidation type="list" allowBlank="1" showInputMessage="1" showErrorMessage="1">
          <x14:formula1>
            <xm:f>Matrice!$B$11:$J$11</xm:f>
          </x14:formula1>
          <xm:sqref>CF2:CF45 CI2:CI45 BQ2:BQ45 BN2:BN45 BT2:BT45 BW2:BW45 BK2:BK45 BZ2:BZ45 CC2:CC45</xm:sqref>
        </x14:dataValidation>
        <x14:dataValidation type="list" allowBlank="1" showInputMessage="1" showErrorMessage="1">
          <x14:formula1>
            <xm:f>Matrice!$B$49:$D$49</xm:f>
          </x14:formula1>
          <xm:sqref>F2:F45</xm:sqref>
        </x14:dataValidation>
        <x14:dataValidation type="list" allowBlank="1" showInputMessage="1" showErrorMessage="1">
          <x14:formula1>
            <xm:f>Matrice!$B$34:$I$34</xm:f>
          </x14:formula1>
          <xm:sqref>CX2:CX45</xm:sqref>
        </x14:dataValidation>
        <x14:dataValidation type="list" allowBlank="1" showInputMessage="1" showErrorMessage="1">
          <x14:formula1>
            <xm:f>Matrice!$B$35:$M$35</xm:f>
          </x14:formula1>
          <xm:sqref>CZ2:CZ45</xm:sqref>
        </x14:dataValidation>
        <x14:dataValidation type="list" allowBlank="1" showInputMessage="1" showErrorMessage="1">
          <x14:formula1>
            <xm:f>Matrice!$B$31:$V$31</xm:f>
          </x14:formula1>
          <xm:sqref>CU2:CU45</xm:sqref>
        </x14:dataValidation>
        <x14:dataValidation type="list" allowBlank="1" showInputMessage="1" showErrorMessage="1">
          <x14:formula1>
            <xm:f>Matrice!$B$3:$Y$3</xm:f>
          </x14:formula1>
          <xm:sqref>P2:P45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OQ52"/>
  <sheetViews>
    <sheetView topLeftCell="J1" zoomScale="85" zoomScaleNormal="85" workbookViewId="0">
      <selection activeCell="Q3" sqref="Q3"/>
    </sheetView>
  </sheetViews>
  <sheetFormatPr baseColWidth="10" defaultColWidth="11.42578125" defaultRowHeight="15.75" x14ac:dyDescent="0.25"/>
  <cols>
    <col min="1" max="1" width="17" style="1" bestFit="1" customWidth="1"/>
    <col min="2" max="2" width="2.140625" style="1" bestFit="1" customWidth="1"/>
    <col min="3" max="3" width="22.140625" style="1" bestFit="1" customWidth="1"/>
    <col min="4" max="4" width="20.140625" style="1" bestFit="1" customWidth="1"/>
    <col min="5" max="5" width="23.28515625" style="1" bestFit="1" customWidth="1"/>
    <col min="6" max="6" width="25.7109375" style="1" bestFit="1" customWidth="1"/>
    <col min="7" max="7" width="25" style="1" bestFit="1" customWidth="1"/>
    <col min="8" max="8" width="19.5703125" style="1" bestFit="1" customWidth="1"/>
    <col min="9" max="9" width="17.42578125" style="1" bestFit="1" customWidth="1"/>
    <col min="10" max="10" width="22" style="1" bestFit="1" customWidth="1"/>
    <col min="11" max="11" width="26.5703125" style="1" bestFit="1" customWidth="1"/>
    <col min="12" max="20" width="16.140625" style="1" bestFit="1" customWidth="1"/>
    <col min="21" max="56" width="17.42578125" style="1" bestFit="1" customWidth="1"/>
    <col min="57" max="58" width="18.85546875" style="1" bestFit="1" customWidth="1"/>
    <col min="59" max="59" width="24.7109375" style="1" bestFit="1" customWidth="1"/>
    <col min="60" max="60" width="18.85546875" style="1" bestFit="1" customWidth="1"/>
    <col min="61" max="61" width="24.7109375" style="1" bestFit="1" customWidth="1"/>
    <col min="62" max="62" width="18.85546875" style="1" bestFit="1" customWidth="1"/>
    <col min="63" max="63" width="24.7109375" style="1" bestFit="1" customWidth="1"/>
    <col min="64" max="65" width="18.85546875" style="1" bestFit="1" customWidth="1"/>
    <col min="66" max="72" width="19.28515625" style="1" bestFit="1" customWidth="1"/>
    <col min="73" max="78" width="21.42578125" style="1" bestFit="1" customWidth="1"/>
    <col min="79" max="106" width="19.42578125" style="1" bestFit="1" customWidth="1"/>
    <col min="107" max="151" width="16.42578125" style="1" bestFit="1" customWidth="1"/>
    <col min="152" max="157" width="21" style="1" bestFit="1" customWidth="1"/>
    <col min="158" max="158" width="19.5703125" style="1" bestFit="1" customWidth="1"/>
    <col min="159" max="198" width="17.42578125" style="1" bestFit="1" customWidth="1"/>
    <col min="199" max="208" width="12.5703125" style="1" bestFit="1" customWidth="1"/>
    <col min="209" max="212" width="21.140625" style="1" bestFit="1" customWidth="1"/>
    <col min="213" max="230" width="23" style="1" bestFit="1" customWidth="1"/>
    <col min="231" max="250" width="22" style="1" bestFit="1" customWidth="1"/>
    <col min="251" max="254" width="21.7109375" style="1" bestFit="1" customWidth="1"/>
    <col min="255" max="261" width="22.7109375" style="1" bestFit="1" customWidth="1"/>
    <col min="262" max="262" width="16.5703125" style="1" bestFit="1" customWidth="1"/>
    <col min="263" max="268" width="21.42578125" style="1" bestFit="1" customWidth="1"/>
    <col min="269" max="284" width="14.42578125" style="1" bestFit="1" customWidth="1"/>
    <col min="285" max="291" width="23.28515625" style="1" bestFit="1" customWidth="1"/>
    <col min="292" max="297" width="19" style="1" bestFit="1" customWidth="1"/>
    <col min="298" max="301" width="32.28515625" style="1" bestFit="1" customWidth="1"/>
    <col min="302" max="309" width="20.7109375" style="1" bestFit="1" customWidth="1"/>
    <col min="310" max="310" width="24.7109375" style="1" bestFit="1" customWidth="1"/>
    <col min="311" max="311" width="23" style="1" bestFit="1" customWidth="1"/>
    <col min="312" max="312" width="22.28515625" style="1" bestFit="1" customWidth="1"/>
    <col min="313" max="313" width="24.5703125" style="1" bestFit="1" customWidth="1"/>
    <col min="314" max="320" width="14.140625" style="1" bestFit="1" customWidth="1"/>
    <col min="321" max="321" width="13.85546875" style="1" bestFit="1" customWidth="1"/>
    <col min="322" max="322" width="18" style="1" bestFit="1" customWidth="1"/>
    <col min="323" max="323" width="17.28515625" style="1" bestFit="1" customWidth="1"/>
    <col min="324" max="324" width="17.42578125" style="1" bestFit="1" customWidth="1"/>
    <col min="325" max="325" width="19.140625" style="1" bestFit="1" customWidth="1"/>
    <col min="326" max="326" width="22.7109375" style="1" bestFit="1" customWidth="1"/>
    <col min="327" max="327" width="21.7109375" style="1" bestFit="1" customWidth="1"/>
    <col min="328" max="328" width="20.85546875" style="1" bestFit="1" customWidth="1"/>
    <col min="329" max="329" width="23.85546875" style="1" bestFit="1" customWidth="1"/>
    <col min="330" max="330" width="27" style="1" bestFit="1" customWidth="1"/>
    <col min="331" max="331" width="26.42578125" style="1" bestFit="1" customWidth="1"/>
    <col min="332" max="332" width="25.7109375" style="1" bestFit="1" customWidth="1"/>
    <col min="333" max="333" width="28.7109375" style="1" bestFit="1" customWidth="1"/>
    <col min="334" max="342" width="20" style="1" bestFit="1" customWidth="1"/>
    <col min="343" max="345" width="21.140625" style="1" bestFit="1" customWidth="1"/>
    <col min="346" max="350" width="28" style="1" bestFit="1" customWidth="1"/>
    <col min="351" max="351" width="11.85546875" style="1" bestFit="1" customWidth="1"/>
    <col min="352" max="352" width="13.5703125" style="1" bestFit="1" customWidth="1"/>
    <col min="353" max="357" width="21.7109375" style="1" bestFit="1" customWidth="1"/>
    <col min="358" max="362" width="13.5703125" style="1" bestFit="1" customWidth="1"/>
    <col min="363" max="367" width="21.7109375" style="1" bestFit="1" customWidth="1"/>
    <col min="368" max="368" width="21.140625" style="1" bestFit="1" customWidth="1"/>
    <col min="369" max="369" width="21.5703125" style="1" bestFit="1" customWidth="1"/>
    <col min="370" max="370" width="20.85546875" style="1" bestFit="1" customWidth="1"/>
    <col min="371" max="371" width="20.140625" style="1" bestFit="1" customWidth="1"/>
    <col min="372" max="372" width="23.140625" style="1" bestFit="1" customWidth="1"/>
    <col min="373" max="373" width="22.42578125" style="1" bestFit="1" customWidth="1"/>
    <col min="374" max="374" width="22.7109375" style="1" bestFit="1" customWidth="1"/>
    <col min="375" max="375" width="22.140625" style="1" bestFit="1" customWidth="1"/>
    <col min="376" max="376" width="21.28515625" style="1" bestFit="1" customWidth="1"/>
    <col min="377" max="377" width="24.28515625" style="1" bestFit="1" customWidth="1"/>
    <col min="378" max="378" width="27" style="1" bestFit="1" customWidth="1"/>
    <col min="379" max="379" width="26.140625" style="1" bestFit="1" customWidth="1"/>
    <col min="380" max="380" width="25.5703125" style="1" bestFit="1" customWidth="1"/>
    <col min="381" max="381" width="28.5703125" style="1" bestFit="1" customWidth="1"/>
    <col min="382" max="382" width="26" style="1" bestFit="1" customWidth="1"/>
    <col min="383" max="383" width="25" style="1" bestFit="1" customWidth="1"/>
    <col min="384" max="384" width="28" style="1" bestFit="1" customWidth="1"/>
    <col min="385" max="385" width="24.85546875" style="1" bestFit="1" customWidth="1"/>
    <col min="386" max="386" width="27.42578125" style="1" bestFit="1" customWidth="1"/>
    <col min="387" max="387" width="28.42578125" style="1" bestFit="1" customWidth="1"/>
    <col min="388" max="388" width="21.140625" style="1" bestFit="1" customWidth="1"/>
    <col min="389" max="390" width="20" style="1" bestFit="1" customWidth="1"/>
    <col min="391" max="400" width="17.5703125" style="1" bestFit="1" customWidth="1"/>
    <col min="401" max="401" width="22.28515625" style="1" bestFit="1" customWidth="1"/>
    <col min="402" max="404" width="22.85546875" style="1" bestFit="1" customWidth="1"/>
    <col min="405" max="407" width="22" style="1" bestFit="1" customWidth="1"/>
    <col min="408" max="16384" width="11.42578125" style="1"/>
  </cols>
  <sheetData>
    <row r="1" spans="1:96" x14ac:dyDescent="0.25">
      <c r="A1" s="4" t="s">
        <v>1</v>
      </c>
      <c r="B1" s="3"/>
      <c r="C1" s="1" t="s">
        <v>17</v>
      </c>
      <c r="D1" s="1" t="s">
        <v>14</v>
      </c>
      <c r="E1" s="1" t="s">
        <v>59</v>
      </c>
      <c r="F1" s="1" t="s">
        <v>10</v>
      </c>
      <c r="G1" s="1" t="s">
        <v>56</v>
      </c>
      <c r="H1" s="1" t="s">
        <v>57</v>
      </c>
      <c r="I1" s="1" t="s">
        <v>58</v>
      </c>
      <c r="J1" s="1" t="s">
        <v>51</v>
      </c>
    </row>
    <row r="2" spans="1:96" x14ac:dyDescent="0.25">
      <c r="A2" s="4" t="s">
        <v>2</v>
      </c>
      <c r="B2" s="3"/>
      <c r="C2" s="1" t="s">
        <v>25</v>
      </c>
      <c r="D2" s="1" t="s">
        <v>18</v>
      </c>
      <c r="E2" s="1" t="s">
        <v>86</v>
      </c>
      <c r="F2" s="1" t="s">
        <v>33</v>
      </c>
      <c r="G2" s="1" t="s">
        <v>11</v>
      </c>
      <c r="H2" s="1" t="s">
        <v>15</v>
      </c>
      <c r="I2" s="1" t="s">
        <v>39</v>
      </c>
      <c r="J2" s="1" t="s">
        <v>40</v>
      </c>
      <c r="K2" s="1" t="s">
        <v>41</v>
      </c>
      <c r="L2" s="1" t="s">
        <v>42</v>
      </c>
      <c r="M2" s="1" t="s">
        <v>38</v>
      </c>
      <c r="N2" s="1" t="s">
        <v>19</v>
      </c>
      <c r="O2" s="1" t="s">
        <v>43</v>
      </c>
    </row>
    <row r="3" spans="1:96" x14ac:dyDescent="0.25">
      <c r="A3" s="5" t="s">
        <v>28</v>
      </c>
      <c r="B3" s="3"/>
      <c r="C3" s="6" t="s">
        <v>67</v>
      </c>
      <c r="D3" s="6" t="s">
        <v>36</v>
      </c>
      <c r="E3" s="6" t="s">
        <v>60</v>
      </c>
      <c r="F3" s="6" t="s">
        <v>68</v>
      </c>
      <c r="G3" s="6" t="s">
        <v>112</v>
      </c>
      <c r="H3" s="7" t="s">
        <v>61</v>
      </c>
      <c r="I3" s="7" t="s">
        <v>64</v>
      </c>
      <c r="J3" s="6" t="s">
        <v>66</v>
      </c>
      <c r="K3" s="6" t="s">
        <v>62</v>
      </c>
      <c r="L3" s="6" t="s">
        <v>69</v>
      </c>
      <c r="M3" s="6" t="s">
        <v>63</v>
      </c>
      <c r="N3" s="6" t="s">
        <v>65</v>
      </c>
      <c r="O3" s="7" t="s">
        <v>35</v>
      </c>
      <c r="P3" s="1" t="s">
        <v>194</v>
      </c>
      <c r="Q3" s="1" t="s">
        <v>1037</v>
      </c>
      <c r="R3" s="1" t="s">
        <v>1038</v>
      </c>
      <c r="S3" s="1" t="s">
        <v>189</v>
      </c>
      <c r="T3" s="1" t="s">
        <v>190</v>
      </c>
      <c r="U3" s="1" t="s">
        <v>193</v>
      </c>
      <c r="V3" s="1" t="s">
        <v>191</v>
      </c>
      <c r="W3" s="1" t="s">
        <v>192</v>
      </c>
      <c r="X3" s="3"/>
      <c r="Y3" s="3"/>
    </row>
    <row r="4" spans="1:96" x14ac:dyDescent="0.25">
      <c r="A4" s="4" t="s">
        <v>8</v>
      </c>
      <c r="B4" s="3"/>
      <c r="C4" s="1" t="s">
        <v>13</v>
      </c>
      <c r="D4" s="1" t="s">
        <v>16</v>
      </c>
      <c r="E4" s="1" t="s">
        <v>81</v>
      </c>
      <c r="F4" s="1" t="s">
        <v>82</v>
      </c>
      <c r="G4" s="1" t="s">
        <v>113</v>
      </c>
      <c r="H4" s="1" t="s">
        <v>70</v>
      </c>
    </row>
    <row r="5" spans="1:96" x14ac:dyDescent="0.25">
      <c r="A5" s="8" t="s">
        <v>23</v>
      </c>
      <c r="B5" s="3"/>
      <c r="C5" s="3"/>
    </row>
    <row r="6" spans="1:96" x14ac:dyDescent="0.25">
      <c r="A6" s="9" t="s">
        <v>9</v>
      </c>
      <c r="B6" s="3"/>
      <c r="C6" s="3"/>
    </row>
    <row r="7" spans="1:96" x14ac:dyDescent="0.25">
      <c r="A7" s="4" t="s">
        <v>24</v>
      </c>
      <c r="B7" s="3"/>
      <c r="C7" s="1" t="s">
        <v>12</v>
      </c>
      <c r="D7" s="1" t="s">
        <v>27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</row>
    <row r="8" spans="1:96" x14ac:dyDescent="0.25">
      <c r="A8" s="5" t="s">
        <v>114</v>
      </c>
      <c r="B8" s="7"/>
      <c r="C8" s="1" t="s">
        <v>52</v>
      </c>
      <c r="D8" s="1" t="s">
        <v>53</v>
      </c>
      <c r="E8" s="1" t="s">
        <v>72</v>
      </c>
      <c r="F8" s="1" t="s">
        <v>54</v>
      </c>
      <c r="G8" s="1" t="s">
        <v>71</v>
      </c>
      <c r="H8" s="1" t="s">
        <v>64</v>
      </c>
      <c r="I8" s="1" t="s">
        <v>73</v>
      </c>
      <c r="J8" s="1" t="s">
        <v>55</v>
      </c>
      <c r="K8" s="1" t="s">
        <v>51</v>
      </c>
    </row>
    <row r="9" spans="1:96" x14ac:dyDescent="0.25">
      <c r="A9" s="5" t="s">
        <v>102</v>
      </c>
      <c r="B9" s="7"/>
      <c r="C9" s="1" t="s">
        <v>107</v>
      </c>
      <c r="D9" s="1" t="s">
        <v>109</v>
      </c>
      <c r="E9" s="1" t="s">
        <v>103</v>
      </c>
      <c r="F9" s="1" t="s">
        <v>104</v>
      </c>
      <c r="G9" s="1" t="s">
        <v>111</v>
      </c>
      <c r="H9" s="1" t="s">
        <v>108</v>
      </c>
      <c r="I9" s="1" t="s">
        <v>106</v>
      </c>
      <c r="J9" s="1" t="s">
        <v>106</v>
      </c>
      <c r="K9" s="1" t="s">
        <v>110</v>
      </c>
      <c r="L9" s="1" t="s">
        <v>105</v>
      </c>
      <c r="M9" s="1" t="s">
        <v>186</v>
      </c>
      <c r="N9" s="1" t="s">
        <v>188</v>
      </c>
      <c r="O9" s="1" t="s">
        <v>187</v>
      </c>
    </row>
    <row r="11" spans="1:96" x14ac:dyDescent="0.25">
      <c r="A11" s="5" t="s">
        <v>133</v>
      </c>
      <c r="B11" s="7"/>
      <c r="C11" s="1" t="s">
        <v>134</v>
      </c>
      <c r="D11" s="1" t="s">
        <v>135</v>
      </c>
      <c r="E11" s="1" t="s">
        <v>136</v>
      </c>
      <c r="F11" s="1" t="s">
        <v>137</v>
      </c>
      <c r="G11" s="1" t="s">
        <v>138</v>
      </c>
      <c r="H11" s="1" t="s">
        <v>139</v>
      </c>
      <c r="I11" s="1" t="s">
        <v>140</v>
      </c>
      <c r="J11" s="1" t="s">
        <v>419</v>
      </c>
    </row>
    <row r="12" spans="1:96" x14ac:dyDescent="0.25">
      <c r="A12" s="5" t="s">
        <v>141</v>
      </c>
      <c r="B12" s="7"/>
      <c r="C12" s="1">
        <v>0</v>
      </c>
      <c r="D12" s="1">
        <v>1</v>
      </c>
      <c r="E12" s="1">
        <v>2</v>
      </c>
      <c r="F12" s="1">
        <v>3</v>
      </c>
      <c r="G12" s="1">
        <v>4</v>
      </c>
      <c r="H12" s="1">
        <v>5</v>
      </c>
      <c r="I12" s="1">
        <v>6</v>
      </c>
      <c r="J12" s="1">
        <v>7</v>
      </c>
      <c r="K12" s="1">
        <v>8</v>
      </c>
      <c r="L12" s="1">
        <v>9</v>
      </c>
      <c r="M12" s="1">
        <v>10</v>
      </c>
    </row>
    <row r="14" spans="1:96" x14ac:dyDescent="0.25">
      <c r="A14" s="5" t="s">
        <v>196</v>
      </c>
      <c r="B14" s="7"/>
      <c r="C14" s="1">
        <v>1</v>
      </c>
      <c r="D14" s="1">
        <v>2</v>
      </c>
      <c r="E14" s="1">
        <v>3</v>
      </c>
      <c r="F14" s="1">
        <v>4</v>
      </c>
      <c r="G14" s="1">
        <v>5</v>
      </c>
      <c r="H14" s="1">
        <v>6</v>
      </c>
      <c r="I14" s="1">
        <v>7</v>
      </c>
      <c r="J14" s="1">
        <v>8</v>
      </c>
      <c r="K14" s="1">
        <v>9</v>
      </c>
      <c r="L14" s="1">
        <v>10</v>
      </c>
      <c r="M14" s="1">
        <v>11</v>
      </c>
      <c r="N14" s="1">
        <v>12</v>
      </c>
      <c r="O14" s="1">
        <v>13</v>
      </c>
      <c r="P14" s="1">
        <v>14</v>
      </c>
      <c r="Q14" s="1">
        <v>15</v>
      </c>
      <c r="R14" s="1">
        <v>16</v>
      </c>
      <c r="S14" s="1">
        <v>17</v>
      </c>
      <c r="T14" s="1">
        <v>18</v>
      </c>
      <c r="U14" s="1">
        <v>19</v>
      </c>
      <c r="V14" s="1">
        <v>20</v>
      </c>
      <c r="W14" s="1">
        <v>21</v>
      </c>
      <c r="X14" s="1">
        <v>22</v>
      </c>
      <c r="Y14" s="1">
        <v>23</v>
      </c>
      <c r="Z14" s="1">
        <v>24</v>
      </c>
      <c r="AA14" s="1">
        <v>25</v>
      </c>
      <c r="AB14" s="1">
        <v>26</v>
      </c>
      <c r="AC14" s="1">
        <v>27</v>
      </c>
      <c r="AD14" s="1">
        <v>28</v>
      </c>
      <c r="AE14" s="1">
        <v>29</v>
      </c>
      <c r="AF14" s="1">
        <v>30</v>
      </c>
      <c r="AG14" s="1">
        <v>31</v>
      </c>
      <c r="AH14" s="1">
        <v>32</v>
      </c>
      <c r="AI14" s="1">
        <v>33</v>
      </c>
      <c r="AJ14" s="1">
        <v>34</v>
      </c>
      <c r="AK14" s="1">
        <v>35</v>
      </c>
      <c r="AL14" s="1">
        <v>36</v>
      </c>
      <c r="AM14" s="1">
        <v>37</v>
      </c>
      <c r="AN14" s="1">
        <v>38</v>
      </c>
      <c r="AO14" s="1">
        <v>39</v>
      </c>
      <c r="AP14" s="1">
        <v>40</v>
      </c>
      <c r="AQ14" s="1">
        <v>41</v>
      </c>
      <c r="AR14" s="1">
        <v>42</v>
      </c>
      <c r="AS14" s="1">
        <v>43</v>
      </c>
      <c r="AT14" s="1">
        <v>44</v>
      </c>
      <c r="AU14" s="1">
        <v>45</v>
      </c>
      <c r="AV14" s="1">
        <v>46</v>
      </c>
      <c r="AW14" s="1">
        <v>47</v>
      </c>
      <c r="AX14" s="1">
        <v>48</v>
      </c>
      <c r="AY14" s="1">
        <v>49</v>
      </c>
      <c r="AZ14" s="1">
        <v>50</v>
      </c>
      <c r="BA14" s="1">
        <v>51</v>
      </c>
      <c r="BB14" s="1">
        <v>52</v>
      </c>
      <c r="BC14" s="1">
        <v>53</v>
      </c>
      <c r="BD14" s="1">
        <v>54</v>
      </c>
      <c r="BE14" s="1">
        <v>55</v>
      </c>
      <c r="BF14" s="1">
        <v>56</v>
      </c>
      <c r="BG14" s="1">
        <v>57</v>
      </c>
      <c r="BH14" s="1">
        <v>58</v>
      </c>
      <c r="BI14" s="1">
        <v>59</v>
      </c>
      <c r="BJ14" s="1">
        <v>60</v>
      </c>
      <c r="BK14" s="1">
        <v>61</v>
      </c>
      <c r="BL14" s="1">
        <v>62</v>
      </c>
      <c r="BM14" s="1">
        <v>63</v>
      </c>
      <c r="BN14" s="1">
        <v>64</v>
      </c>
      <c r="BO14" s="1">
        <v>65</v>
      </c>
      <c r="BP14" s="1">
        <v>66</v>
      </c>
      <c r="BQ14" s="1">
        <v>67</v>
      </c>
      <c r="BR14" s="1">
        <v>68</v>
      </c>
      <c r="BS14" s="1">
        <v>69</v>
      </c>
      <c r="BT14" s="1">
        <v>70</v>
      </c>
      <c r="BU14" s="1">
        <v>71</v>
      </c>
      <c r="BV14" s="1">
        <v>72</v>
      </c>
      <c r="BW14" s="1">
        <v>73</v>
      </c>
      <c r="BX14" s="1">
        <v>74</v>
      </c>
      <c r="BY14" s="1">
        <v>75</v>
      </c>
      <c r="BZ14" s="1">
        <v>76</v>
      </c>
      <c r="CA14" s="1">
        <v>77</v>
      </c>
      <c r="CB14" s="1">
        <v>78</v>
      </c>
      <c r="CC14" s="1">
        <v>79</v>
      </c>
      <c r="CD14" s="1">
        <v>80</v>
      </c>
      <c r="CE14" s="1">
        <v>81</v>
      </c>
      <c r="CF14" s="1">
        <v>82</v>
      </c>
      <c r="CG14" s="1">
        <v>83</v>
      </c>
      <c r="CH14" s="1">
        <v>84</v>
      </c>
      <c r="CI14" s="1">
        <v>85</v>
      </c>
      <c r="CJ14" s="1">
        <v>86</v>
      </c>
      <c r="CK14" s="1">
        <v>87</v>
      </c>
      <c r="CL14" s="1">
        <v>88</v>
      </c>
      <c r="CM14" s="1">
        <v>89</v>
      </c>
      <c r="CN14" s="1">
        <v>90</v>
      </c>
      <c r="CO14" s="1">
        <v>91</v>
      </c>
      <c r="CP14" s="1">
        <v>92</v>
      </c>
      <c r="CQ14" s="1">
        <v>93</v>
      </c>
      <c r="CR14" s="1">
        <v>94</v>
      </c>
    </row>
    <row r="15" spans="1:96" x14ac:dyDescent="0.25">
      <c r="A15" s="5" t="s">
        <v>198</v>
      </c>
      <c r="C15" s="2">
        <v>42370</v>
      </c>
      <c r="D15" s="2">
        <v>42401</v>
      </c>
      <c r="E15" s="2">
        <v>42430</v>
      </c>
      <c r="F15" s="2">
        <v>42461</v>
      </c>
      <c r="G15" s="2">
        <v>42491</v>
      </c>
      <c r="H15" s="2">
        <v>42522</v>
      </c>
      <c r="I15" s="2">
        <v>42552</v>
      </c>
      <c r="J15" s="2">
        <v>42583</v>
      </c>
      <c r="K15" s="2">
        <v>42614</v>
      </c>
      <c r="L15" s="2">
        <v>42644</v>
      </c>
      <c r="M15" s="2">
        <v>42675</v>
      </c>
      <c r="N15" s="2">
        <v>42705</v>
      </c>
      <c r="O15" s="2">
        <v>42736</v>
      </c>
      <c r="P15" s="2">
        <v>42767</v>
      </c>
      <c r="Q15" s="2">
        <v>42795</v>
      </c>
      <c r="R15" s="2">
        <v>42826</v>
      </c>
      <c r="S15" s="2">
        <v>42856</v>
      </c>
      <c r="T15" s="2">
        <v>42887</v>
      </c>
      <c r="U15" s="2">
        <v>42917</v>
      </c>
      <c r="V15" s="2">
        <v>42948</v>
      </c>
      <c r="W15" s="2">
        <v>42979</v>
      </c>
      <c r="X15" s="2">
        <v>43009</v>
      </c>
      <c r="Y15" s="2">
        <v>43040</v>
      </c>
      <c r="Z15" s="2">
        <v>43070</v>
      </c>
      <c r="AA15" s="2">
        <v>43101</v>
      </c>
      <c r="AB15" s="2">
        <v>43132</v>
      </c>
      <c r="AC15" s="2">
        <v>43160</v>
      </c>
      <c r="AD15" s="2">
        <v>43191</v>
      </c>
      <c r="AE15" s="2">
        <v>43221</v>
      </c>
      <c r="AF15" s="2">
        <v>43252</v>
      </c>
      <c r="AG15" s="2">
        <v>43282</v>
      </c>
      <c r="AH15" s="2">
        <v>43313</v>
      </c>
      <c r="AI15" s="2">
        <v>43344</v>
      </c>
      <c r="AJ15" s="2">
        <v>43374</v>
      </c>
      <c r="AK15" s="2">
        <v>43405</v>
      </c>
      <c r="AL15" s="2">
        <v>43435</v>
      </c>
      <c r="AM15" s="2">
        <v>43466</v>
      </c>
      <c r="AN15" s="2">
        <v>43497</v>
      </c>
      <c r="AO15" s="2">
        <v>43525</v>
      </c>
      <c r="AP15" s="2">
        <v>43556</v>
      </c>
      <c r="AQ15" s="2">
        <v>43586</v>
      </c>
      <c r="AR15" s="2">
        <v>43617</v>
      </c>
      <c r="AS15" s="2">
        <v>43647</v>
      </c>
      <c r="AT15" s="2">
        <v>43678</v>
      </c>
      <c r="AU15" s="2">
        <v>43709</v>
      </c>
      <c r="AV15" s="2">
        <v>43739</v>
      </c>
      <c r="AW15" s="2">
        <v>43770</v>
      </c>
      <c r="AX15" s="2">
        <v>43800</v>
      </c>
      <c r="AY15" s="2">
        <v>43831</v>
      </c>
      <c r="AZ15" s="2">
        <v>43862</v>
      </c>
      <c r="BA15" s="2">
        <v>43891</v>
      </c>
      <c r="BB15" s="2">
        <v>43922</v>
      </c>
      <c r="BC15" s="2">
        <v>43952</v>
      </c>
      <c r="BD15" s="2">
        <v>43983</v>
      </c>
      <c r="BE15" s="2">
        <v>44013</v>
      </c>
      <c r="BF15" s="2">
        <v>44044</v>
      </c>
      <c r="BG15" s="2">
        <v>44075</v>
      </c>
      <c r="BH15" s="2">
        <v>44105</v>
      </c>
      <c r="BI15" s="2">
        <v>44136</v>
      </c>
      <c r="BJ15" s="2">
        <v>44166</v>
      </c>
      <c r="BK15" s="2">
        <v>44197</v>
      </c>
      <c r="BL15" s="2">
        <v>44228</v>
      </c>
      <c r="BM15" s="2">
        <v>44256</v>
      </c>
      <c r="BN15" s="2">
        <v>44287</v>
      </c>
      <c r="BO15" s="2">
        <v>44317</v>
      </c>
      <c r="BP15" s="2">
        <v>44348</v>
      </c>
      <c r="BQ15" s="2">
        <v>44378</v>
      </c>
      <c r="BR15" s="2">
        <v>44409</v>
      </c>
      <c r="BS15" s="2">
        <v>44440</v>
      </c>
      <c r="BT15" s="2">
        <v>44470</v>
      </c>
      <c r="BU15" s="2">
        <v>44501</v>
      </c>
      <c r="BV15" s="2">
        <v>44531</v>
      </c>
      <c r="BW15" s="2">
        <v>44562</v>
      </c>
      <c r="BX15" s="2">
        <v>44593</v>
      </c>
      <c r="BY15" s="2">
        <v>44621</v>
      </c>
      <c r="BZ15" s="2">
        <v>44652</v>
      </c>
      <c r="CA15" s="2">
        <v>44682</v>
      </c>
      <c r="CB15" s="2">
        <v>44713</v>
      </c>
      <c r="CC15" s="2">
        <v>44743</v>
      </c>
      <c r="CD15" s="2">
        <v>44774</v>
      </c>
      <c r="CE15" s="2">
        <v>44805</v>
      </c>
      <c r="CF15" s="2">
        <v>44835</v>
      </c>
      <c r="CG15" s="2">
        <v>44866</v>
      </c>
      <c r="CH15" s="2">
        <v>44896</v>
      </c>
      <c r="CI15" s="2">
        <v>44927</v>
      </c>
      <c r="CJ15" s="2">
        <v>44958</v>
      </c>
      <c r="CK15" s="2">
        <v>44986</v>
      </c>
      <c r="CL15" s="2">
        <v>45017</v>
      </c>
      <c r="CM15" s="2">
        <v>45047</v>
      </c>
      <c r="CN15" s="2">
        <v>45078</v>
      </c>
      <c r="CO15" s="2">
        <v>45108</v>
      </c>
      <c r="CP15" s="2">
        <v>45139</v>
      </c>
      <c r="CQ15" s="2">
        <v>45170</v>
      </c>
      <c r="CR15" s="2"/>
    </row>
    <row r="16" spans="1:96" x14ac:dyDescent="0.25">
      <c r="A16" s="5" t="s">
        <v>415</v>
      </c>
      <c r="C16" s="13">
        <v>2016</v>
      </c>
      <c r="D16" s="13">
        <v>2017</v>
      </c>
      <c r="E16" s="13">
        <v>2018</v>
      </c>
      <c r="F16" s="13">
        <v>2019</v>
      </c>
      <c r="G16" s="13">
        <v>2020</v>
      </c>
      <c r="H16" s="13">
        <v>2021</v>
      </c>
      <c r="I16" s="13">
        <v>2022</v>
      </c>
      <c r="J16" s="13">
        <v>2023</v>
      </c>
      <c r="K16" s="13">
        <v>2024</v>
      </c>
      <c r="L16" s="13">
        <v>2025</v>
      </c>
      <c r="M16" s="13">
        <v>2026</v>
      </c>
      <c r="N16" s="13">
        <v>2027</v>
      </c>
      <c r="O16" s="13">
        <v>2028</v>
      </c>
      <c r="P16" s="13">
        <v>2029</v>
      </c>
      <c r="Q16" s="13">
        <v>2030</v>
      </c>
      <c r="R16" s="13">
        <v>2031</v>
      </c>
      <c r="S16" s="13">
        <v>2032</v>
      </c>
      <c r="T16" s="13">
        <v>2033</v>
      </c>
      <c r="U16" s="13">
        <v>2034</v>
      </c>
      <c r="V16" s="13">
        <v>2035</v>
      </c>
      <c r="W16" s="13">
        <v>2036</v>
      </c>
      <c r="X16" s="13">
        <v>2037</v>
      </c>
      <c r="Y16" s="13">
        <v>2038</v>
      </c>
      <c r="Z16" s="13">
        <v>2039</v>
      </c>
      <c r="AA16" s="13">
        <v>2040</v>
      </c>
      <c r="AB16" s="13">
        <v>2041</v>
      </c>
      <c r="AC16" s="13">
        <v>2042</v>
      </c>
      <c r="AD16" s="13">
        <v>2043</v>
      </c>
      <c r="AE16" s="13">
        <v>2044</v>
      </c>
      <c r="AF16" s="13">
        <v>2045</v>
      </c>
      <c r="AG16" s="13">
        <v>2046</v>
      </c>
      <c r="AH16" s="13">
        <v>2047</v>
      </c>
      <c r="AI16" s="13">
        <v>2048</v>
      </c>
      <c r="AJ16" s="13">
        <v>2049</v>
      </c>
      <c r="AK16" s="13">
        <v>2050</v>
      </c>
      <c r="AL16" s="13">
        <v>2051</v>
      </c>
      <c r="AM16" s="13">
        <v>2052</v>
      </c>
      <c r="AN16" s="13">
        <v>2053</v>
      </c>
      <c r="AO16" s="13">
        <v>2054</v>
      </c>
      <c r="AP16" s="13">
        <v>2055</v>
      </c>
      <c r="AQ16" s="13">
        <v>2056</v>
      </c>
      <c r="AR16" s="13">
        <v>2057</v>
      </c>
      <c r="AS16" s="13">
        <v>2058</v>
      </c>
      <c r="AT16" s="13">
        <v>2059</v>
      </c>
      <c r="AU16" s="13">
        <v>2060</v>
      </c>
      <c r="AV16" s="13">
        <v>2061</v>
      </c>
      <c r="AW16" s="13">
        <v>2062</v>
      </c>
      <c r="AX16" s="13">
        <v>2063</v>
      </c>
      <c r="AY16" s="13">
        <v>2064</v>
      </c>
      <c r="AZ16" s="13">
        <v>2065</v>
      </c>
      <c r="BA16" s="13">
        <v>2066</v>
      </c>
      <c r="BB16" s="13">
        <v>2067</v>
      </c>
      <c r="BC16" s="13">
        <v>2068</v>
      </c>
      <c r="BD16" s="13">
        <v>2069</v>
      </c>
      <c r="BE16" s="13">
        <v>2070</v>
      </c>
      <c r="BF16" s="13">
        <v>2071</v>
      </c>
      <c r="BG16" s="13">
        <v>2072</v>
      </c>
      <c r="BH16" s="13">
        <v>2073</v>
      </c>
      <c r="BI16" s="13">
        <v>2074</v>
      </c>
      <c r="BJ16" s="13">
        <v>2075</v>
      </c>
      <c r="BK16" s="13">
        <v>2076</v>
      </c>
      <c r="BL16" s="13">
        <v>2077</v>
      </c>
      <c r="BM16" s="13">
        <v>2078</v>
      </c>
      <c r="BN16" s="13">
        <v>2079</v>
      </c>
      <c r="BO16" s="13">
        <v>2080</v>
      </c>
      <c r="BP16" s="13">
        <v>2081</v>
      </c>
      <c r="BQ16" s="13">
        <v>2082</v>
      </c>
      <c r="BR16" s="13">
        <v>2083</v>
      </c>
      <c r="BS16" s="13">
        <v>2084</v>
      </c>
      <c r="BT16" s="13">
        <v>2085</v>
      </c>
      <c r="BU16" s="13">
        <v>2086</v>
      </c>
      <c r="BV16" s="13">
        <v>2087</v>
      </c>
      <c r="BW16" s="13">
        <v>2088</v>
      </c>
      <c r="BX16" s="13">
        <v>2089</v>
      </c>
      <c r="BY16" s="13">
        <v>2090</v>
      </c>
      <c r="BZ16" s="13">
        <v>2091</v>
      </c>
      <c r="CA16" s="13">
        <v>2092</v>
      </c>
      <c r="CB16" s="13">
        <v>2093</v>
      </c>
      <c r="CC16" s="13">
        <v>2094</v>
      </c>
      <c r="CD16" s="13">
        <v>2095</v>
      </c>
      <c r="CE16" s="13">
        <v>2096</v>
      </c>
      <c r="CF16" s="13">
        <v>2097</v>
      </c>
      <c r="CG16" s="13">
        <v>2098</v>
      </c>
      <c r="CH16" s="13">
        <v>2099</v>
      </c>
      <c r="CI16" s="13">
        <v>2100</v>
      </c>
      <c r="CJ16" s="13">
        <v>2101</v>
      </c>
      <c r="CK16" s="13">
        <v>2102</v>
      </c>
      <c r="CL16" s="13">
        <v>2103</v>
      </c>
      <c r="CM16" s="13">
        <v>2104</v>
      </c>
      <c r="CN16" s="13">
        <v>2105</v>
      </c>
      <c r="CO16" s="13">
        <v>2106</v>
      </c>
      <c r="CP16" s="13">
        <v>2107</v>
      </c>
      <c r="CQ16" s="13">
        <v>2108</v>
      </c>
      <c r="CR16" s="2"/>
    </row>
    <row r="17" spans="1:95" x14ac:dyDescent="0.25">
      <c r="A17" s="5" t="s">
        <v>197</v>
      </c>
      <c r="C17" s="13">
        <f t="shared" ref="C17:BN17" si="0">SUM(C15)</f>
        <v>42370</v>
      </c>
      <c r="D17" s="13">
        <f t="shared" si="0"/>
        <v>42401</v>
      </c>
      <c r="E17" s="13">
        <f t="shared" si="0"/>
        <v>42430</v>
      </c>
      <c r="F17" s="13">
        <f t="shared" si="0"/>
        <v>42461</v>
      </c>
      <c r="G17" s="13">
        <f t="shared" si="0"/>
        <v>42491</v>
      </c>
      <c r="H17" s="13">
        <f t="shared" si="0"/>
        <v>42522</v>
      </c>
      <c r="I17" s="13">
        <f t="shared" si="0"/>
        <v>42552</v>
      </c>
      <c r="J17" s="13">
        <f t="shared" si="0"/>
        <v>42583</v>
      </c>
      <c r="K17" s="13">
        <f t="shared" si="0"/>
        <v>42614</v>
      </c>
      <c r="L17" s="13">
        <f t="shared" si="0"/>
        <v>42644</v>
      </c>
      <c r="M17" s="13">
        <f t="shared" si="0"/>
        <v>42675</v>
      </c>
      <c r="N17" s="13">
        <f t="shared" si="0"/>
        <v>42705</v>
      </c>
      <c r="O17" s="13">
        <f t="shared" si="0"/>
        <v>42736</v>
      </c>
      <c r="P17" s="13">
        <f t="shared" si="0"/>
        <v>42767</v>
      </c>
      <c r="Q17" s="13">
        <f t="shared" si="0"/>
        <v>42795</v>
      </c>
      <c r="R17" s="13">
        <f t="shared" si="0"/>
        <v>42826</v>
      </c>
      <c r="S17" s="13">
        <f t="shared" si="0"/>
        <v>42856</v>
      </c>
      <c r="T17" s="13">
        <f t="shared" si="0"/>
        <v>42887</v>
      </c>
      <c r="U17" s="13">
        <f t="shared" si="0"/>
        <v>42917</v>
      </c>
      <c r="V17" s="13">
        <f t="shared" si="0"/>
        <v>42948</v>
      </c>
      <c r="W17" s="13">
        <f t="shared" si="0"/>
        <v>42979</v>
      </c>
      <c r="X17" s="13">
        <f t="shared" si="0"/>
        <v>43009</v>
      </c>
      <c r="Y17" s="13">
        <f t="shared" si="0"/>
        <v>43040</v>
      </c>
      <c r="Z17" s="13">
        <f t="shared" si="0"/>
        <v>43070</v>
      </c>
      <c r="AA17" s="13">
        <f t="shared" si="0"/>
        <v>43101</v>
      </c>
      <c r="AB17" s="13">
        <f t="shared" si="0"/>
        <v>43132</v>
      </c>
      <c r="AC17" s="13">
        <f t="shared" si="0"/>
        <v>43160</v>
      </c>
      <c r="AD17" s="13">
        <f t="shared" si="0"/>
        <v>43191</v>
      </c>
      <c r="AE17" s="13">
        <f t="shared" si="0"/>
        <v>43221</v>
      </c>
      <c r="AF17" s="13">
        <f t="shared" si="0"/>
        <v>43252</v>
      </c>
      <c r="AG17" s="13">
        <f t="shared" si="0"/>
        <v>43282</v>
      </c>
      <c r="AH17" s="13">
        <f t="shared" si="0"/>
        <v>43313</v>
      </c>
      <c r="AI17" s="13">
        <f t="shared" si="0"/>
        <v>43344</v>
      </c>
      <c r="AJ17" s="13">
        <f t="shared" si="0"/>
        <v>43374</v>
      </c>
      <c r="AK17" s="13">
        <f t="shared" si="0"/>
        <v>43405</v>
      </c>
      <c r="AL17" s="13">
        <f t="shared" si="0"/>
        <v>43435</v>
      </c>
      <c r="AM17" s="13">
        <f t="shared" si="0"/>
        <v>43466</v>
      </c>
      <c r="AN17" s="13">
        <f t="shared" si="0"/>
        <v>43497</v>
      </c>
      <c r="AO17" s="13">
        <f t="shared" si="0"/>
        <v>43525</v>
      </c>
      <c r="AP17" s="13">
        <f t="shared" si="0"/>
        <v>43556</v>
      </c>
      <c r="AQ17" s="13">
        <f t="shared" si="0"/>
        <v>43586</v>
      </c>
      <c r="AR17" s="13">
        <f t="shared" si="0"/>
        <v>43617</v>
      </c>
      <c r="AS17" s="13">
        <f t="shared" si="0"/>
        <v>43647</v>
      </c>
      <c r="AT17" s="13">
        <f t="shared" si="0"/>
        <v>43678</v>
      </c>
      <c r="AU17" s="13">
        <f t="shared" si="0"/>
        <v>43709</v>
      </c>
      <c r="AV17" s="13">
        <f t="shared" si="0"/>
        <v>43739</v>
      </c>
      <c r="AW17" s="13">
        <f t="shared" si="0"/>
        <v>43770</v>
      </c>
      <c r="AX17" s="13">
        <f t="shared" si="0"/>
        <v>43800</v>
      </c>
      <c r="AY17" s="13">
        <f t="shared" si="0"/>
        <v>43831</v>
      </c>
      <c r="AZ17" s="13">
        <f t="shared" si="0"/>
        <v>43862</v>
      </c>
      <c r="BA17" s="13">
        <f t="shared" si="0"/>
        <v>43891</v>
      </c>
      <c r="BB17" s="13">
        <f t="shared" si="0"/>
        <v>43922</v>
      </c>
      <c r="BC17" s="13">
        <f t="shared" si="0"/>
        <v>43952</v>
      </c>
      <c r="BD17" s="13">
        <f t="shared" si="0"/>
        <v>43983</v>
      </c>
      <c r="BE17" s="13">
        <f t="shared" si="0"/>
        <v>44013</v>
      </c>
      <c r="BF17" s="13">
        <f t="shared" si="0"/>
        <v>44044</v>
      </c>
      <c r="BG17" s="13">
        <f t="shared" si="0"/>
        <v>44075</v>
      </c>
      <c r="BH17" s="13">
        <f t="shared" si="0"/>
        <v>44105</v>
      </c>
      <c r="BI17" s="13">
        <f t="shared" si="0"/>
        <v>44136</v>
      </c>
      <c r="BJ17" s="13">
        <f t="shared" si="0"/>
        <v>44166</v>
      </c>
      <c r="BK17" s="13">
        <f t="shared" si="0"/>
        <v>44197</v>
      </c>
      <c r="BL17" s="13">
        <f t="shared" si="0"/>
        <v>44228</v>
      </c>
      <c r="BM17" s="13">
        <f t="shared" si="0"/>
        <v>44256</v>
      </c>
      <c r="BN17" s="13">
        <f t="shared" si="0"/>
        <v>44287</v>
      </c>
      <c r="BO17" s="13">
        <f t="shared" ref="BO17:CQ17" si="1">SUM(BO15)</f>
        <v>44317</v>
      </c>
      <c r="BP17" s="13">
        <f t="shared" si="1"/>
        <v>44348</v>
      </c>
      <c r="BQ17" s="13">
        <f t="shared" si="1"/>
        <v>44378</v>
      </c>
      <c r="BR17" s="13">
        <f t="shared" si="1"/>
        <v>44409</v>
      </c>
      <c r="BS17" s="13">
        <f t="shared" si="1"/>
        <v>44440</v>
      </c>
      <c r="BT17" s="13">
        <f t="shared" si="1"/>
        <v>44470</v>
      </c>
      <c r="BU17" s="13">
        <f t="shared" si="1"/>
        <v>44501</v>
      </c>
      <c r="BV17" s="13">
        <f t="shared" si="1"/>
        <v>44531</v>
      </c>
      <c r="BW17" s="13">
        <f t="shared" si="1"/>
        <v>44562</v>
      </c>
      <c r="BX17" s="13">
        <f t="shared" si="1"/>
        <v>44593</v>
      </c>
      <c r="BY17" s="13">
        <f t="shared" si="1"/>
        <v>44621</v>
      </c>
      <c r="BZ17" s="13">
        <f t="shared" si="1"/>
        <v>44652</v>
      </c>
      <c r="CA17" s="13">
        <f t="shared" si="1"/>
        <v>44682</v>
      </c>
      <c r="CB17" s="13">
        <f t="shared" si="1"/>
        <v>44713</v>
      </c>
      <c r="CC17" s="13">
        <f t="shared" si="1"/>
        <v>44743</v>
      </c>
      <c r="CD17" s="13">
        <f t="shared" si="1"/>
        <v>44774</v>
      </c>
      <c r="CE17" s="13">
        <f t="shared" si="1"/>
        <v>44805</v>
      </c>
      <c r="CF17" s="13">
        <f t="shared" si="1"/>
        <v>44835</v>
      </c>
      <c r="CG17" s="13">
        <f t="shared" si="1"/>
        <v>44866</v>
      </c>
      <c r="CH17" s="13">
        <f t="shared" si="1"/>
        <v>44896</v>
      </c>
      <c r="CI17" s="13">
        <f t="shared" si="1"/>
        <v>44927</v>
      </c>
      <c r="CJ17" s="13">
        <f t="shared" si="1"/>
        <v>44958</v>
      </c>
      <c r="CK17" s="13">
        <f t="shared" si="1"/>
        <v>44986</v>
      </c>
      <c r="CL17" s="13">
        <f t="shared" si="1"/>
        <v>45017</v>
      </c>
      <c r="CM17" s="13">
        <f t="shared" si="1"/>
        <v>45047</v>
      </c>
      <c r="CN17" s="13">
        <f t="shared" si="1"/>
        <v>45078</v>
      </c>
      <c r="CO17" s="13">
        <f t="shared" si="1"/>
        <v>45108</v>
      </c>
      <c r="CP17" s="13">
        <f t="shared" si="1"/>
        <v>45139</v>
      </c>
      <c r="CQ17" s="13">
        <f t="shared" si="1"/>
        <v>45170</v>
      </c>
    </row>
    <row r="18" spans="1:95" s="12" customFormat="1" x14ac:dyDescent="0.25">
      <c r="A18" s="11" t="s">
        <v>198</v>
      </c>
      <c r="C18" s="12">
        <v>42793</v>
      </c>
      <c r="D18" s="12">
        <v>42794</v>
      </c>
      <c r="E18" s="12">
        <v>42825</v>
      </c>
      <c r="F18" s="12">
        <v>42855</v>
      </c>
      <c r="G18" s="12">
        <v>42886</v>
      </c>
      <c r="H18" s="12">
        <v>42916</v>
      </c>
      <c r="I18" s="12">
        <v>42947</v>
      </c>
      <c r="J18" s="12">
        <v>42978</v>
      </c>
      <c r="K18" s="12">
        <v>43008</v>
      </c>
      <c r="L18" s="12">
        <v>43039</v>
      </c>
      <c r="M18" s="12">
        <v>43069</v>
      </c>
      <c r="N18" s="12">
        <v>43100</v>
      </c>
      <c r="O18" s="12">
        <v>43131</v>
      </c>
      <c r="P18" s="12">
        <v>43159</v>
      </c>
      <c r="Q18" s="12">
        <v>43190</v>
      </c>
      <c r="R18" s="12">
        <v>43220</v>
      </c>
      <c r="S18" s="12">
        <v>43251</v>
      </c>
      <c r="T18" s="12">
        <v>43281</v>
      </c>
      <c r="U18" s="12">
        <v>43312</v>
      </c>
      <c r="V18" s="12">
        <v>43343</v>
      </c>
      <c r="W18" s="12">
        <v>43373</v>
      </c>
      <c r="X18" s="12">
        <v>43404</v>
      </c>
      <c r="Y18" s="12">
        <v>43434</v>
      </c>
      <c r="Z18" s="12">
        <v>43465</v>
      </c>
      <c r="AA18" s="12">
        <v>43496</v>
      </c>
      <c r="AB18" s="12">
        <v>43524</v>
      </c>
      <c r="AC18" s="12">
        <v>43555</v>
      </c>
      <c r="AD18" s="12">
        <v>43585</v>
      </c>
      <c r="AE18" s="12">
        <v>43616</v>
      </c>
      <c r="AF18" s="12">
        <v>43646</v>
      </c>
      <c r="AG18" s="12">
        <v>43677</v>
      </c>
      <c r="AH18" s="12">
        <v>43708</v>
      </c>
      <c r="AI18" s="12">
        <v>43738</v>
      </c>
      <c r="AJ18" s="12">
        <v>43769</v>
      </c>
      <c r="AK18" s="12">
        <v>43799</v>
      </c>
      <c r="AL18" s="12">
        <v>43830</v>
      </c>
      <c r="AM18" s="12">
        <v>43861</v>
      </c>
      <c r="AN18" s="12">
        <v>43890</v>
      </c>
      <c r="AO18" s="12">
        <v>43921</v>
      </c>
      <c r="AP18" s="12">
        <v>43951</v>
      </c>
      <c r="AQ18" s="12">
        <v>43982</v>
      </c>
      <c r="AR18" s="12">
        <v>44012</v>
      </c>
      <c r="AS18" s="12">
        <v>44043</v>
      </c>
      <c r="AT18" s="12">
        <v>44074</v>
      </c>
      <c r="AU18" s="12">
        <v>44104</v>
      </c>
      <c r="AV18" s="12">
        <v>44135</v>
      </c>
      <c r="AW18" s="12">
        <v>44165</v>
      </c>
      <c r="AX18" s="12">
        <v>44196</v>
      </c>
      <c r="AY18" s="12">
        <v>44227</v>
      </c>
      <c r="AZ18" s="12">
        <v>44255</v>
      </c>
      <c r="BA18" s="12">
        <v>44286</v>
      </c>
      <c r="BB18" s="12">
        <v>44316</v>
      </c>
      <c r="BC18" s="12">
        <v>44347</v>
      </c>
      <c r="BD18" s="12">
        <v>44377</v>
      </c>
      <c r="BE18" s="12">
        <v>44408</v>
      </c>
      <c r="BF18" s="12">
        <v>44439</v>
      </c>
      <c r="BG18" s="12">
        <v>44469</v>
      </c>
      <c r="BH18" s="12">
        <v>44500</v>
      </c>
      <c r="BI18" s="12">
        <v>44530</v>
      </c>
      <c r="BJ18" s="12">
        <v>44561</v>
      </c>
      <c r="BK18" s="12">
        <v>44592</v>
      </c>
      <c r="BL18" s="12">
        <v>44620</v>
      </c>
      <c r="BM18" s="12">
        <v>44651</v>
      </c>
      <c r="BN18" s="12">
        <v>44681</v>
      </c>
      <c r="BO18" s="12">
        <v>44712</v>
      </c>
      <c r="BP18" s="12">
        <v>44742</v>
      </c>
      <c r="BQ18" s="12">
        <v>44773</v>
      </c>
      <c r="BR18" s="12">
        <v>44804</v>
      </c>
      <c r="BS18" s="12">
        <v>44834</v>
      </c>
      <c r="BT18" s="12">
        <v>44865</v>
      </c>
      <c r="BU18" s="12">
        <v>44895</v>
      </c>
      <c r="BV18" s="12">
        <v>44926</v>
      </c>
      <c r="BW18" s="12">
        <v>44957</v>
      </c>
      <c r="BX18" s="12">
        <v>44985</v>
      </c>
      <c r="BY18" s="12">
        <v>45016</v>
      </c>
      <c r="BZ18" s="12">
        <v>45046</v>
      </c>
      <c r="CA18" s="12">
        <v>45077</v>
      </c>
      <c r="CB18" s="12">
        <v>45107</v>
      </c>
      <c r="CC18" s="12">
        <v>45138</v>
      </c>
      <c r="CD18" s="12">
        <v>45169</v>
      </c>
      <c r="CE18" s="12">
        <v>45199</v>
      </c>
      <c r="CF18" s="12">
        <v>45230</v>
      </c>
      <c r="CG18" s="12">
        <v>45260</v>
      </c>
      <c r="CH18" s="12">
        <v>45291</v>
      </c>
      <c r="CI18" s="12">
        <v>45322</v>
      </c>
      <c r="CJ18" s="12">
        <v>45351</v>
      </c>
      <c r="CK18" s="12">
        <v>45382</v>
      </c>
      <c r="CL18" s="12">
        <v>45412</v>
      </c>
      <c r="CM18" s="12">
        <v>45443</v>
      </c>
      <c r="CN18" s="12">
        <v>45473</v>
      </c>
      <c r="CO18" s="12">
        <v>45504</v>
      </c>
      <c r="CP18" s="12">
        <v>45535</v>
      </c>
      <c r="CQ18" s="12">
        <v>45565</v>
      </c>
    </row>
    <row r="19" spans="1:95" x14ac:dyDescent="0.25">
      <c r="A19" s="5" t="s">
        <v>197</v>
      </c>
      <c r="C19" s="14">
        <f t="shared" ref="C19:AH19" si="2">C18</f>
        <v>42793</v>
      </c>
      <c r="D19" s="14">
        <f t="shared" si="2"/>
        <v>42794</v>
      </c>
      <c r="E19" s="14">
        <f t="shared" si="2"/>
        <v>42825</v>
      </c>
      <c r="F19" s="14">
        <f t="shared" si="2"/>
        <v>42855</v>
      </c>
      <c r="G19" s="14">
        <f t="shared" si="2"/>
        <v>42886</v>
      </c>
      <c r="H19" s="14">
        <f t="shared" si="2"/>
        <v>42916</v>
      </c>
      <c r="I19" s="14">
        <f t="shared" si="2"/>
        <v>42947</v>
      </c>
      <c r="J19" s="14">
        <f t="shared" si="2"/>
        <v>42978</v>
      </c>
      <c r="K19" s="14">
        <f t="shared" si="2"/>
        <v>43008</v>
      </c>
      <c r="L19" s="14">
        <f t="shared" si="2"/>
        <v>43039</v>
      </c>
      <c r="M19" s="14">
        <f t="shared" si="2"/>
        <v>43069</v>
      </c>
      <c r="N19" s="14">
        <f t="shared" si="2"/>
        <v>43100</v>
      </c>
      <c r="O19" s="14">
        <f t="shared" si="2"/>
        <v>43131</v>
      </c>
      <c r="P19" s="14">
        <f t="shared" si="2"/>
        <v>43159</v>
      </c>
      <c r="Q19" s="14">
        <f t="shared" si="2"/>
        <v>43190</v>
      </c>
      <c r="R19" s="14">
        <f t="shared" si="2"/>
        <v>43220</v>
      </c>
      <c r="S19" s="14">
        <f t="shared" si="2"/>
        <v>43251</v>
      </c>
      <c r="T19" s="14">
        <f t="shared" si="2"/>
        <v>43281</v>
      </c>
      <c r="U19" s="14">
        <f t="shared" si="2"/>
        <v>43312</v>
      </c>
      <c r="V19" s="14">
        <f t="shared" si="2"/>
        <v>43343</v>
      </c>
      <c r="W19" s="14">
        <f t="shared" si="2"/>
        <v>43373</v>
      </c>
      <c r="X19" s="14">
        <f t="shared" si="2"/>
        <v>43404</v>
      </c>
      <c r="Y19" s="14">
        <f t="shared" si="2"/>
        <v>43434</v>
      </c>
      <c r="Z19" s="14">
        <f t="shared" si="2"/>
        <v>43465</v>
      </c>
      <c r="AA19" s="14">
        <f t="shared" si="2"/>
        <v>43496</v>
      </c>
      <c r="AB19" s="14">
        <f t="shared" si="2"/>
        <v>43524</v>
      </c>
      <c r="AC19" s="14">
        <f t="shared" si="2"/>
        <v>43555</v>
      </c>
      <c r="AD19" s="14">
        <f t="shared" si="2"/>
        <v>43585</v>
      </c>
      <c r="AE19" s="14">
        <f t="shared" si="2"/>
        <v>43616</v>
      </c>
      <c r="AF19" s="14">
        <f t="shared" si="2"/>
        <v>43646</v>
      </c>
      <c r="AG19" s="14">
        <f t="shared" si="2"/>
        <v>43677</v>
      </c>
      <c r="AH19" s="14">
        <f t="shared" si="2"/>
        <v>43708</v>
      </c>
      <c r="AI19" s="14">
        <f t="shared" ref="AI19:BN19" si="3">AI18</f>
        <v>43738</v>
      </c>
      <c r="AJ19" s="14">
        <f t="shared" si="3"/>
        <v>43769</v>
      </c>
      <c r="AK19" s="14">
        <f t="shared" si="3"/>
        <v>43799</v>
      </c>
      <c r="AL19" s="14">
        <f t="shared" si="3"/>
        <v>43830</v>
      </c>
      <c r="AM19" s="14">
        <f t="shared" si="3"/>
        <v>43861</v>
      </c>
      <c r="AN19" s="14">
        <f t="shared" si="3"/>
        <v>43890</v>
      </c>
      <c r="AO19" s="14">
        <f t="shared" si="3"/>
        <v>43921</v>
      </c>
      <c r="AP19" s="14">
        <f t="shared" si="3"/>
        <v>43951</v>
      </c>
      <c r="AQ19" s="14">
        <f t="shared" si="3"/>
        <v>43982</v>
      </c>
      <c r="AR19" s="14">
        <f t="shared" si="3"/>
        <v>44012</v>
      </c>
      <c r="AS19" s="14">
        <f t="shared" si="3"/>
        <v>44043</v>
      </c>
      <c r="AT19" s="14">
        <f t="shared" si="3"/>
        <v>44074</v>
      </c>
      <c r="AU19" s="14">
        <f t="shared" si="3"/>
        <v>44104</v>
      </c>
      <c r="AV19" s="14">
        <f t="shared" si="3"/>
        <v>44135</v>
      </c>
      <c r="AW19" s="14">
        <f t="shared" si="3"/>
        <v>44165</v>
      </c>
      <c r="AX19" s="14">
        <f t="shared" si="3"/>
        <v>44196</v>
      </c>
      <c r="AY19" s="14">
        <f t="shared" si="3"/>
        <v>44227</v>
      </c>
      <c r="AZ19" s="14">
        <f t="shared" si="3"/>
        <v>44255</v>
      </c>
      <c r="BA19" s="14">
        <f t="shared" si="3"/>
        <v>44286</v>
      </c>
      <c r="BB19" s="14">
        <f t="shared" si="3"/>
        <v>44316</v>
      </c>
      <c r="BC19" s="14">
        <f t="shared" si="3"/>
        <v>44347</v>
      </c>
      <c r="BD19" s="14">
        <f t="shared" si="3"/>
        <v>44377</v>
      </c>
      <c r="BE19" s="14">
        <f t="shared" si="3"/>
        <v>44408</v>
      </c>
      <c r="BF19" s="14">
        <f t="shared" si="3"/>
        <v>44439</v>
      </c>
      <c r="BG19" s="14">
        <f t="shared" si="3"/>
        <v>44469</v>
      </c>
      <c r="BH19" s="14">
        <f t="shared" si="3"/>
        <v>44500</v>
      </c>
      <c r="BI19" s="14">
        <f t="shared" si="3"/>
        <v>44530</v>
      </c>
      <c r="BJ19" s="14">
        <f t="shared" si="3"/>
        <v>44561</v>
      </c>
      <c r="BK19" s="14">
        <f t="shared" si="3"/>
        <v>44592</v>
      </c>
      <c r="BL19" s="14">
        <f t="shared" si="3"/>
        <v>44620</v>
      </c>
      <c r="BM19" s="14">
        <f t="shared" si="3"/>
        <v>44651</v>
      </c>
      <c r="BN19" s="14">
        <f t="shared" si="3"/>
        <v>44681</v>
      </c>
      <c r="BO19" s="14">
        <f t="shared" ref="BO19:CQ19" si="4">BO18</f>
        <v>44712</v>
      </c>
      <c r="BP19" s="14">
        <f t="shared" si="4"/>
        <v>44742</v>
      </c>
      <c r="BQ19" s="14">
        <f t="shared" si="4"/>
        <v>44773</v>
      </c>
      <c r="BR19" s="14">
        <f t="shared" si="4"/>
        <v>44804</v>
      </c>
      <c r="BS19" s="14">
        <f t="shared" si="4"/>
        <v>44834</v>
      </c>
      <c r="BT19" s="14">
        <f t="shared" si="4"/>
        <v>44865</v>
      </c>
      <c r="BU19" s="14">
        <f t="shared" si="4"/>
        <v>44895</v>
      </c>
      <c r="BV19" s="14">
        <f t="shared" si="4"/>
        <v>44926</v>
      </c>
      <c r="BW19" s="14">
        <f t="shared" si="4"/>
        <v>44957</v>
      </c>
      <c r="BX19" s="14">
        <f t="shared" si="4"/>
        <v>44985</v>
      </c>
      <c r="BY19" s="14">
        <f t="shared" si="4"/>
        <v>45016</v>
      </c>
      <c r="BZ19" s="14">
        <f t="shared" si="4"/>
        <v>45046</v>
      </c>
      <c r="CA19" s="14">
        <f t="shared" si="4"/>
        <v>45077</v>
      </c>
      <c r="CB19" s="14">
        <f t="shared" si="4"/>
        <v>45107</v>
      </c>
      <c r="CC19" s="14">
        <f t="shared" si="4"/>
        <v>45138</v>
      </c>
      <c r="CD19" s="14">
        <f t="shared" si="4"/>
        <v>45169</v>
      </c>
      <c r="CE19" s="14">
        <f t="shared" si="4"/>
        <v>45199</v>
      </c>
      <c r="CF19" s="14">
        <f t="shared" si="4"/>
        <v>45230</v>
      </c>
      <c r="CG19" s="14">
        <f t="shared" si="4"/>
        <v>45260</v>
      </c>
      <c r="CH19" s="14">
        <f t="shared" si="4"/>
        <v>45291</v>
      </c>
      <c r="CI19" s="14">
        <f t="shared" si="4"/>
        <v>45322</v>
      </c>
      <c r="CJ19" s="14">
        <f t="shared" si="4"/>
        <v>45351</v>
      </c>
      <c r="CK19" s="14">
        <f t="shared" si="4"/>
        <v>45382</v>
      </c>
      <c r="CL19" s="14">
        <f t="shared" si="4"/>
        <v>45412</v>
      </c>
      <c r="CM19" s="14">
        <f t="shared" si="4"/>
        <v>45443</v>
      </c>
      <c r="CN19" s="14">
        <f t="shared" si="4"/>
        <v>45473</v>
      </c>
      <c r="CO19" s="14">
        <f t="shared" si="4"/>
        <v>45504</v>
      </c>
      <c r="CP19" s="14">
        <f t="shared" si="4"/>
        <v>45535</v>
      </c>
      <c r="CQ19" s="14">
        <f t="shared" si="4"/>
        <v>45565</v>
      </c>
    </row>
    <row r="20" spans="1:95" s="16" customFormat="1" ht="21" x14ac:dyDescent="0.25">
      <c r="A20" s="15"/>
      <c r="C20" s="17"/>
      <c r="D20" s="17">
        <v>42401</v>
      </c>
      <c r="E20" s="17">
        <v>42461</v>
      </c>
      <c r="F20" s="17">
        <v>42491</v>
      </c>
      <c r="G20" s="17">
        <v>42522</v>
      </c>
      <c r="H20" s="17">
        <v>42552</v>
      </c>
      <c r="I20" s="17">
        <v>42583</v>
      </c>
      <c r="J20" s="17">
        <v>42614</v>
      </c>
      <c r="K20" s="17">
        <v>42644</v>
      </c>
      <c r="L20" s="17">
        <v>42675</v>
      </c>
      <c r="M20" s="17">
        <v>42705</v>
      </c>
      <c r="N20" s="17">
        <v>42736</v>
      </c>
      <c r="O20" s="17">
        <v>42767</v>
      </c>
      <c r="P20" s="17">
        <v>42795</v>
      </c>
      <c r="Q20" s="17">
        <v>42826</v>
      </c>
      <c r="R20" s="17">
        <v>42856</v>
      </c>
      <c r="S20" s="17">
        <v>42887</v>
      </c>
      <c r="T20" s="17">
        <v>42917</v>
      </c>
      <c r="U20" s="17">
        <v>42948</v>
      </c>
      <c r="V20" s="17">
        <v>42979</v>
      </c>
      <c r="W20" s="17">
        <v>43009</v>
      </c>
      <c r="X20" s="17">
        <v>43040</v>
      </c>
      <c r="Y20" s="17">
        <v>43070</v>
      </c>
      <c r="Z20" s="17">
        <v>43101</v>
      </c>
      <c r="AA20" s="17">
        <v>43132</v>
      </c>
      <c r="AB20" s="17">
        <v>43160</v>
      </c>
      <c r="AC20" s="17">
        <v>43191</v>
      </c>
      <c r="AD20" s="17">
        <v>43221</v>
      </c>
      <c r="AE20" s="17">
        <v>43252</v>
      </c>
      <c r="AF20" s="17">
        <v>43282</v>
      </c>
      <c r="AG20" s="17">
        <v>43313</v>
      </c>
      <c r="AH20" s="17">
        <v>43344</v>
      </c>
      <c r="AI20" s="17">
        <v>43374</v>
      </c>
      <c r="AJ20" s="17">
        <v>43405</v>
      </c>
      <c r="AK20" s="17">
        <v>43435</v>
      </c>
      <c r="AL20" s="17">
        <v>43466</v>
      </c>
      <c r="AM20" s="17">
        <v>43497</v>
      </c>
      <c r="AN20" s="17">
        <v>43525</v>
      </c>
      <c r="AO20" s="17">
        <v>43556</v>
      </c>
      <c r="AP20" s="17">
        <v>43586</v>
      </c>
      <c r="AQ20" s="17">
        <v>43617</v>
      </c>
      <c r="AR20" s="17">
        <v>43647</v>
      </c>
      <c r="AS20" s="17">
        <v>43678</v>
      </c>
      <c r="AT20" s="17">
        <v>43709</v>
      </c>
      <c r="AU20" s="17">
        <v>43739</v>
      </c>
      <c r="AV20" s="17">
        <v>43770</v>
      </c>
      <c r="AW20" s="17">
        <v>43800</v>
      </c>
      <c r="AX20" s="17">
        <v>43831</v>
      </c>
      <c r="AY20" s="17">
        <v>43862</v>
      </c>
      <c r="AZ20" s="17">
        <v>43891</v>
      </c>
      <c r="BA20" s="17">
        <v>43922</v>
      </c>
      <c r="BB20" s="17">
        <v>43952</v>
      </c>
      <c r="BC20" s="17">
        <v>43983</v>
      </c>
      <c r="BD20" s="17">
        <v>44013</v>
      </c>
      <c r="BE20" s="17">
        <v>44044</v>
      </c>
      <c r="BF20" s="17">
        <v>44075</v>
      </c>
      <c r="BG20" s="17">
        <v>44105</v>
      </c>
      <c r="BH20" s="17">
        <v>44136</v>
      </c>
      <c r="BI20" s="17">
        <v>44166</v>
      </c>
      <c r="BJ20" s="17">
        <v>44197</v>
      </c>
      <c r="BK20" s="17">
        <v>44228</v>
      </c>
      <c r="BL20" s="17">
        <v>44256</v>
      </c>
      <c r="BM20" s="17">
        <v>44287</v>
      </c>
      <c r="BN20" s="17">
        <v>44317</v>
      </c>
      <c r="BO20" s="17">
        <v>44348</v>
      </c>
      <c r="BP20" s="17">
        <v>44378</v>
      </c>
      <c r="BQ20" s="17">
        <v>44409</v>
      </c>
      <c r="BR20" s="17">
        <v>44440</v>
      </c>
      <c r="BS20" s="17">
        <v>44470</v>
      </c>
      <c r="BT20" s="17">
        <v>44501</v>
      </c>
      <c r="BU20" s="17">
        <v>44531</v>
      </c>
      <c r="BV20" s="17">
        <v>44562</v>
      </c>
      <c r="BW20" s="17">
        <v>44593</v>
      </c>
      <c r="BX20" s="17">
        <v>44621</v>
      </c>
      <c r="BY20" s="17">
        <v>44652</v>
      </c>
      <c r="BZ20" s="17">
        <v>44682</v>
      </c>
      <c r="CA20" s="17">
        <v>44713</v>
      </c>
      <c r="CB20" s="17">
        <v>44743</v>
      </c>
      <c r="CC20" s="17">
        <v>44774</v>
      </c>
      <c r="CD20" s="17">
        <v>44805</v>
      </c>
      <c r="CE20" s="17">
        <v>44835</v>
      </c>
      <c r="CF20" s="17">
        <v>44866</v>
      </c>
      <c r="CG20" s="17">
        <v>44896</v>
      </c>
      <c r="CH20" s="17">
        <v>44927</v>
      </c>
      <c r="CI20" s="17">
        <v>44958</v>
      </c>
      <c r="CJ20" s="17">
        <v>44986</v>
      </c>
      <c r="CK20" s="17">
        <v>45017</v>
      </c>
      <c r="CL20" s="17">
        <v>45047</v>
      </c>
      <c r="CM20" s="17">
        <v>45078</v>
      </c>
      <c r="CN20" s="17">
        <v>45108</v>
      </c>
      <c r="CO20" s="17">
        <v>45139</v>
      </c>
      <c r="CP20" s="17">
        <v>45170</v>
      </c>
      <c r="CQ20" s="17">
        <v>45200</v>
      </c>
    </row>
    <row r="21" spans="1:95" x14ac:dyDescent="0.25">
      <c r="A21" s="5"/>
      <c r="C21" s="1" t="s">
        <v>316</v>
      </c>
      <c r="D21" s="1" t="s">
        <v>317</v>
      </c>
      <c r="E21" s="1" t="s">
        <v>318</v>
      </c>
      <c r="F21" s="1" t="s">
        <v>319</v>
      </c>
      <c r="G21" s="1" t="s">
        <v>320</v>
      </c>
      <c r="H21" s="1" t="s">
        <v>321</v>
      </c>
      <c r="I21" s="1" t="s">
        <v>322</v>
      </c>
      <c r="J21" s="1" t="s">
        <v>323</v>
      </c>
      <c r="K21" s="1" t="s">
        <v>324</v>
      </c>
      <c r="L21" s="1" t="s">
        <v>325</v>
      </c>
      <c r="M21" s="1" t="s">
        <v>326</v>
      </c>
      <c r="N21" s="1" t="s">
        <v>327</v>
      </c>
      <c r="O21" s="1" t="s">
        <v>328</v>
      </c>
      <c r="P21" s="1" t="s">
        <v>329</v>
      </c>
      <c r="Q21" s="1" t="s">
        <v>330</v>
      </c>
      <c r="R21" s="1" t="s">
        <v>331</v>
      </c>
      <c r="S21" s="1" t="s">
        <v>332</v>
      </c>
      <c r="T21" s="1" t="s">
        <v>333</v>
      </c>
      <c r="U21" s="1" t="s">
        <v>334</v>
      </c>
      <c r="V21" s="1" t="s">
        <v>335</v>
      </c>
      <c r="W21" s="1" t="s">
        <v>336</v>
      </c>
      <c r="X21" s="1" t="s">
        <v>337</v>
      </c>
      <c r="Y21" s="1" t="s">
        <v>338</v>
      </c>
      <c r="Z21" s="1" t="s">
        <v>339</v>
      </c>
      <c r="AA21" s="1" t="s">
        <v>340</v>
      </c>
      <c r="AB21" s="1" t="s">
        <v>341</v>
      </c>
      <c r="AC21" s="1" t="s">
        <v>342</v>
      </c>
      <c r="AD21" s="1" t="s">
        <v>343</v>
      </c>
      <c r="AE21" s="1" t="s">
        <v>344</v>
      </c>
      <c r="AF21" s="1" t="s">
        <v>345</v>
      </c>
      <c r="AG21" s="1" t="s">
        <v>346</v>
      </c>
      <c r="AH21" s="1" t="s">
        <v>347</v>
      </c>
      <c r="AI21" s="1" t="s">
        <v>348</v>
      </c>
      <c r="AJ21" s="1" t="s">
        <v>349</v>
      </c>
      <c r="AK21" s="1" t="s">
        <v>350</v>
      </c>
      <c r="AL21" s="1" t="s">
        <v>351</v>
      </c>
      <c r="AM21" s="1" t="s">
        <v>352</v>
      </c>
      <c r="AN21" s="1" t="s">
        <v>353</v>
      </c>
      <c r="AO21" s="1" t="s">
        <v>354</v>
      </c>
      <c r="AP21" s="1" t="s">
        <v>355</v>
      </c>
      <c r="AQ21" s="1" t="s">
        <v>356</v>
      </c>
      <c r="AR21" s="1" t="s">
        <v>357</v>
      </c>
      <c r="AS21" s="1" t="s">
        <v>358</v>
      </c>
      <c r="AT21" s="1" t="s">
        <v>359</v>
      </c>
      <c r="AU21" s="1" t="s">
        <v>360</v>
      </c>
      <c r="AV21" s="1" t="s">
        <v>361</v>
      </c>
      <c r="AW21" s="1" t="s">
        <v>362</v>
      </c>
      <c r="AX21" s="1" t="s">
        <v>363</v>
      </c>
      <c r="AY21" s="1" t="s">
        <v>364</v>
      </c>
      <c r="AZ21" s="1" t="s">
        <v>365</v>
      </c>
      <c r="BA21" s="1" t="s">
        <v>366</v>
      </c>
      <c r="BB21" s="1" t="s">
        <v>367</v>
      </c>
      <c r="BC21" s="1" t="s">
        <v>368</v>
      </c>
      <c r="BD21" s="1" t="s">
        <v>369</v>
      </c>
      <c r="BE21" s="1" t="s">
        <v>370</v>
      </c>
      <c r="BF21" s="1" t="s">
        <v>371</v>
      </c>
      <c r="BG21" s="1" t="s">
        <v>372</v>
      </c>
      <c r="BH21" s="1" t="s">
        <v>373</v>
      </c>
      <c r="BI21" s="1" t="s">
        <v>374</v>
      </c>
      <c r="BJ21" s="1" t="s">
        <v>375</v>
      </c>
      <c r="BK21" s="1" t="s">
        <v>376</v>
      </c>
      <c r="BL21" s="1" t="s">
        <v>377</v>
      </c>
      <c r="BM21" s="1" t="s">
        <v>378</v>
      </c>
      <c r="BN21" s="1" t="s">
        <v>379</v>
      </c>
      <c r="BO21" s="1" t="s">
        <v>380</v>
      </c>
      <c r="BP21" s="1" t="s">
        <v>381</v>
      </c>
      <c r="BQ21" s="1" t="s">
        <v>382</v>
      </c>
      <c r="BR21" s="1" t="s">
        <v>383</v>
      </c>
      <c r="BS21" s="1" t="s">
        <v>384</v>
      </c>
      <c r="BT21" s="1" t="s">
        <v>385</v>
      </c>
      <c r="BU21" s="1" t="s">
        <v>386</v>
      </c>
      <c r="BV21" s="1" t="s">
        <v>387</v>
      </c>
      <c r="BW21" s="1" t="s">
        <v>388</v>
      </c>
      <c r="BX21" s="1" t="s">
        <v>389</v>
      </c>
      <c r="BY21" s="1" t="s">
        <v>390</v>
      </c>
      <c r="BZ21" s="1" t="s">
        <v>391</v>
      </c>
      <c r="CA21" s="1" t="s">
        <v>392</v>
      </c>
      <c r="CB21" s="1" t="s">
        <v>393</v>
      </c>
      <c r="CC21" s="1" t="s">
        <v>394</v>
      </c>
      <c r="CD21" s="1" t="s">
        <v>395</v>
      </c>
      <c r="CE21" s="1" t="s">
        <v>396</v>
      </c>
      <c r="CF21" s="1" t="s">
        <v>397</v>
      </c>
      <c r="CG21" s="1" t="s">
        <v>398</v>
      </c>
      <c r="CH21" s="1" t="s">
        <v>399</v>
      </c>
      <c r="CI21" s="1" t="s">
        <v>400</v>
      </c>
      <c r="CJ21" s="1" t="s">
        <v>401</v>
      </c>
      <c r="CK21" s="1" t="s">
        <v>402</v>
      </c>
      <c r="CL21" s="1" t="s">
        <v>403</v>
      </c>
      <c r="CM21" s="1" t="s">
        <v>404</v>
      </c>
      <c r="CN21" s="1" t="s">
        <v>405</v>
      </c>
      <c r="CO21" s="1" t="s">
        <v>406</v>
      </c>
      <c r="CP21" s="1" t="s">
        <v>407</v>
      </c>
      <c r="CQ21" s="1" t="s">
        <v>408</v>
      </c>
    </row>
    <row r="23" spans="1:95" s="19" customFormat="1" x14ac:dyDescent="0.25">
      <c r="A23" s="20" t="s">
        <v>205</v>
      </c>
      <c r="C23" s="19" t="s">
        <v>199</v>
      </c>
      <c r="D23" s="19" t="s">
        <v>200</v>
      </c>
      <c r="E23" s="19" t="s">
        <v>201</v>
      </c>
      <c r="F23" s="19" t="s">
        <v>202</v>
      </c>
      <c r="G23" s="19" t="s">
        <v>203</v>
      </c>
      <c r="H23" s="19" t="s">
        <v>204</v>
      </c>
      <c r="I23" s="19" t="s">
        <v>275</v>
      </c>
    </row>
    <row r="25" spans="1:95" x14ac:dyDescent="0.25">
      <c r="A25" s="5" t="s">
        <v>228</v>
      </c>
      <c r="B25" s="7"/>
      <c r="C25" s="1">
        <v>0</v>
      </c>
      <c r="D25" s="1">
        <v>1</v>
      </c>
      <c r="E25" s="1">
        <v>2</v>
      </c>
      <c r="F25" s="1">
        <v>3</v>
      </c>
      <c r="G25" s="1">
        <v>4</v>
      </c>
      <c r="H25" s="1">
        <v>5</v>
      </c>
      <c r="I25" s="1">
        <v>6</v>
      </c>
      <c r="J25" s="1">
        <v>7</v>
      </c>
      <c r="K25" s="1">
        <v>8</v>
      </c>
      <c r="L25" s="1">
        <v>9</v>
      </c>
      <c r="M25" s="1">
        <v>10</v>
      </c>
      <c r="N25" s="1" t="s">
        <v>233</v>
      </c>
    </row>
    <row r="27" spans="1:95" x14ac:dyDescent="0.25">
      <c r="A27" s="5" t="s">
        <v>229</v>
      </c>
      <c r="C27" s="1" t="s">
        <v>211</v>
      </c>
      <c r="D27" s="1" t="s">
        <v>212</v>
      </c>
      <c r="E27" s="1" t="s">
        <v>213</v>
      </c>
      <c r="F27" s="1" t="s">
        <v>214</v>
      </c>
      <c r="G27" s="1" t="s">
        <v>215</v>
      </c>
      <c r="H27" s="1" t="s">
        <v>216</v>
      </c>
      <c r="I27" s="1" t="s">
        <v>217</v>
      </c>
      <c r="J27" s="1" t="s">
        <v>218</v>
      </c>
      <c r="K27" s="1" t="s">
        <v>219</v>
      </c>
      <c r="L27" s="1" t="s">
        <v>220</v>
      </c>
      <c r="M27" s="1" t="s">
        <v>221</v>
      </c>
      <c r="N27" s="1" t="s">
        <v>222</v>
      </c>
      <c r="O27" s="1" t="s">
        <v>223</v>
      </c>
    </row>
    <row r="28" spans="1:95" x14ac:dyDescent="0.25">
      <c r="A28" s="5"/>
      <c r="C28" s="1" t="s">
        <v>287</v>
      </c>
      <c r="D28" s="1" t="s">
        <v>288</v>
      </c>
      <c r="E28" s="1" t="s">
        <v>289</v>
      </c>
      <c r="F28" s="1" t="s">
        <v>290</v>
      </c>
      <c r="G28" s="1" t="s">
        <v>233</v>
      </c>
      <c r="H28" s="1" t="s">
        <v>275</v>
      </c>
    </row>
    <row r="29" spans="1:95" x14ac:dyDescent="0.25">
      <c r="A29" s="5" t="s">
        <v>227</v>
      </c>
      <c r="C29" s="1" t="s">
        <v>224</v>
      </c>
      <c r="D29" s="1" t="s">
        <v>26</v>
      </c>
      <c r="E29" s="1" t="s">
        <v>21</v>
      </c>
      <c r="F29" s="1" t="s">
        <v>20</v>
      </c>
      <c r="G29" s="1" t="s">
        <v>225</v>
      </c>
      <c r="H29" s="1" t="s">
        <v>226</v>
      </c>
      <c r="I29" s="1" t="s">
        <v>51</v>
      </c>
    </row>
    <row r="30" spans="1:95" x14ac:dyDescent="0.25">
      <c r="A30" s="5" t="s">
        <v>254</v>
      </c>
      <c r="C30" s="1" t="s">
        <v>230</v>
      </c>
      <c r="D30" s="1" t="s">
        <v>231</v>
      </c>
      <c r="E30" s="1" t="s">
        <v>232</v>
      </c>
      <c r="F30" s="1" t="s">
        <v>256</v>
      </c>
      <c r="G30" s="1" t="s">
        <v>260</v>
      </c>
      <c r="H30" s="1" t="s">
        <v>257</v>
      </c>
      <c r="I30" s="1" t="s">
        <v>259</v>
      </c>
      <c r="J30" s="1" t="s">
        <v>258</v>
      </c>
      <c r="K30" s="1" t="s">
        <v>263</v>
      </c>
      <c r="L30" s="1" t="s">
        <v>261</v>
      </c>
      <c r="M30" s="1" t="s">
        <v>262</v>
      </c>
      <c r="N30" s="1" t="s">
        <v>255</v>
      </c>
    </row>
    <row r="31" spans="1:95" x14ac:dyDescent="0.25">
      <c r="A31" s="5" t="s">
        <v>239</v>
      </c>
      <c r="C31" s="1" t="s">
        <v>78</v>
      </c>
      <c r="D31" s="1" t="s">
        <v>234</v>
      </c>
      <c r="E31" s="1" t="s">
        <v>240</v>
      </c>
      <c r="F31" s="1" t="s">
        <v>241</v>
      </c>
      <c r="G31" s="1" t="s">
        <v>242</v>
      </c>
      <c r="H31" s="1" t="s">
        <v>243</v>
      </c>
      <c r="I31" s="1" t="s">
        <v>244</v>
      </c>
      <c r="J31" s="1" t="s">
        <v>245</v>
      </c>
      <c r="K31" s="1" t="s">
        <v>246</v>
      </c>
      <c r="L31" s="1" t="s">
        <v>247</v>
      </c>
      <c r="M31" s="1" t="s">
        <v>248</v>
      </c>
      <c r="N31" s="1" t="s">
        <v>249</v>
      </c>
      <c r="O31" s="1" t="s">
        <v>252</v>
      </c>
      <c r="P31" s="1" t="s">
        <v>250</v>
      </c>
      <c r="Q31" s="1" t="s">
        <v>251</v>
      </c>
      <c r="R31" s="1" t="s">
        <v>253</v>
      </c>
      <c r="S31" s="1" t="s">
        <v>256</v>
      </c>
      <c r="T31" s="1" t="s">
        <v>235</v>
      </c>
      <c r="U31" s="1" t="s">
        <v>233</v>
      </c>
      <c r="V31" s="1" t="s">
        <v>275</v>
      </c>
    </row>
    <row r="32" spans="1:95" x14ac:dyDescent="0.25">
      <c r="A32" s="5"/>
      <c r="C32" s="1" t="s">
        <v>269</v>
      </c>
      <c r="D32" s="1" t="s">
        <v>291</v>
      </c>
      <c r="E32" s="1" t="s">
        <v>233</v>
      </c>
      <c r="F32" s="1" t="s">
        <v>275</v>
      </c>
    </row>
    <row r="33" spans="1:37" x14ac:dyDescent="0.25">
      <c r="A33" s="5" t="s">
        <v>267</v>
      </c>
      <c r="C33" s="1" t="s">
        <v>276</v>
      </c>
      <c r="D33" s="1" t="s">
        <v>277</v>
      </c>
      <c r="E33" s="1" t="s">
        <v>233</v>
      </c>
    </row>
    <row r="34" spans="1:37" x14ac:dyDescent="0.25">
      <c r="A34" s="5" t="s">
        <v>268</v>
      </c>
      <c r="C34" s="1" t="s">
        <v>409</v>
      </c>
      <c r="D34" s="1" t="s">
        <v>276</v>
      </c>
      <c r="E34" s="1" t="s">
        <v>302</v>
      </c>
      <c r="F34" s="1" t="s">
        <v>1023</v>
      </c>
      <c r="G34" s="1" t="s">
        <v>303</v>
      </c>
      <c r="H34" s="1" t="s">
        <v>277</v>
      </c>
      <c r="I34" s="1" t="s">
        <v>233</v>
      </c>
    </row>
    <row r="35" spans="1:37" x14ac:dyDescent="0.25">
      <c r="A35" s="5" t="s">
        <v>109</v>
      </c>
      <c r="C35" s="1" t="s">
        <v>282</v>
      </c>
      <c r="D35" s="1" t="s">
        <v>285</v>
      </c>
      <c r="E35" s="1" t="s">
        <v>283</v>
      </c>
      <c r="F35" s="1" t="s">
        <v>284</v>
      </c>
      <c r="G35" s="1" t="s">
        <v>281</v>
      </c>
      <c r="H35" s="1" t="s">
        <v>1024</v>
      </c>
      <c r="I35" s="1" t="s">
        <v>286</v>
      </c>
      <c r="J35" s="1" t="s">
        <v>279</v>
      </c>
      <c r="K35" s="1" t="s">
        <v>280</v>
      </c>
      <c r="L35" s="1" t="s">
        <v>233</v>
      </c>
      <c r="M35" s="1" t="s">
        <v>275</v>
      </c>
    </row>
    <row r="36" spans="1:37" ht="31.5" x14ac:dyDescent="0.25">
      <c r="A36" s="5" t="s">
        <v>292</v>
      </c>
      <c r="C36" s="1" t="s">
        <v>27</v>
      </c>
      <c r="D36" s="1" t="s">
        <v>293</v>
      </c>
      <c r="E36" s="1" t="s">
        <v>300</v>
      </c>
      <c r="F36" s="1" t="s">
        <v>294</v>
      </c>
      <c r="G36" s="1" t="s">
        <v>295</v>
      </c>
      <c r="H36" s="1" t="s">
        <v>296</v>
      </c>
      <c r="I36" s="1" t="s">
        <v>297</v>
      </c>
      <c r="J36" s="10" t="s">
        <v>298</v>
      </c>
      <c r="K36" s="10" t="s">
        <v>301</v>
      </c>
      <c r="L36" s="1" t="s">
        <v>299</v>
      </c>
      <c r="M36" s="1" t="s">
        <v>291</v>
      </c>
      <c r="N36" s="1" t="s">
        <v>233</v>
      </c>
      <c r="O36" s="1" t="s">
        <v>275</v>
      </c>
    </row>
    <row r="37" spans="1:37" x14ac:dyDescent="0.25">
      <c r="A37" s="5" t="s">
        <v>273</v>
      </c>
      <c r="C37" s="1" t="s">
        <v>276</v>
      </c>
      <c r="D37" s="1" t="s">
        <v>277</v>
      </c>
      <c r="E37" s="1" t="s">
        <v>306</v>
      </c>
      <c r="F37" s="1" t="s">
        <v>305</v>
      </c>
      <c r="G37" s="1" t="s">
        <v>307</v>
      </c>
      <c r="H37" s="1" t="s">
        <v>233</v>
      </c>
      <c r="I37" s="1" t="s">
        <v>275</v>
      </c>
    </row>
    <row r="38" spans="1:37" x14ac:dyDescent="0.25">
      <c r="A38" s="5" t="s">
        <v>274</v>
      </c>
      <c r="C38" s="1" t="s">
        <v>276</v>
      </c>
      <c r="D38" s="1" t="s">
        <v>277</v>
      </c>
      <c r="E38" s="1" t="s">
        <v>306</v>
      </c>
      <c r="F38" s="1" t="s">
        <v>305</v>
      </c>
      <c r="G38" s="1" t="s">
        <v>307</v>
      </c>
      <c r="H38" s="1" t="s">
        <v>233</v>
      </c>
      <c r="I38" s="1" t="s">
        <v>275</v>
      </c>
    </row>
    <row r="39" spans="1:37" x14ac:dyDescent="0.25">
      <c r="A39" s="5" t="s">
        <v>309</v>
      </c>
      <c r="C39" s="1" t="s">
        <v>277</v>
      </c>
      <c r="D39" s="1" t="s">
        <v>310</v>
      </c>
      <c r="E39" s="1" t="s">
        <v>312</v>
      </c>
      <c r="F39" s="1" t="s">
        <v>313</v>
      </c>
      <c r="G39" s="1" t="s">
        <v>314</v>
      </c>
      <c r="H39" s="1" t="s">
        <v>311</v>
      </c>
      <c r="I39" s="1" t="s">
        <v>233</v>
      </c>
      <c r="J39" s="1" t="s">
        <v>275</v>
      </c>
    </row>
    <row r="41" spans="1:37" x14ac:dyDescent="0.25">
      <c r="A41" s="5" t="s">
        <v>410</v>
      </c>
      <c r="B41" s="7"/>
      <c r="C41" s="1">
        <v>0</v>
      </c>
      <c r="D41" s="1">
        <v>1</v>
      </c>
      <c r="E41" s="1">
        <v>2</v>
      </c>
      <c r="F41" s="1">
        <v>3</v>
      </c>
      <c r="G41" s="1">
        <v>4</v>
      </c>
      <c r="H41" s="1">
        <v>5</v>
      </c>
      <c r="I41" s="1">
        <v>6</v>
      </c>
      <c r="J41" s="1">
        <v>7</v>
      </c>
      <c r="K41" s="1">
        <v>8</v>
      </c>
      <c r="L41" s="1">
        <v>9</v>
      </c>
      <c r="M41" s="1">
        <v>10</v>
      </c>
      <c r="N41" s="1">
        <v>11</v>
      </c>
      <c r="O41" s="1">
        <v>12</v>
      </c>
    </row>
    <row r="43" spans="1:37" x14ac:dyDescent="0.25">
      <c r="A43" s="5" t="s">
        <v>411</v>
      </c>
      <c r="C43" s="1" t="s">
        <v>416</v>
      </c>
      <c r="D43" s="1" t="s">
        <v>418</v>
      </c>
      <c r="E43" s="1" t="s">
        <v>417</v>
      </c>
      <c r="F43" s="1" t="s">
        <v>413</v>
      </c>
    </row>
    <row r="45" spans="1:37" x14ac:dyDescent="0.25">
      <c r="A45" s="5" t="s">
        <v>415</v>
      </c>
      <c r="B45" s="7"/>
      <c r="C45" s="1">
        <v>2016</v>
      </c>
      <c r="D45" s="1">
        <v>2017</v>
      </c>
      <c r="E45" s="1">
        <v>2018</v>
      </c>
      <c r="F45" s="1">
        <v>2019</v>
      </c>
      <c r="G45" s="1">
        <v>2020</v>
      </c>
      <c r="H45" s="1">
        <v>2021</v>
      </c>
      <c r="I45" s="1">
        <v>2022</v>
      </c>
      <c r="J45" s="1">
        <v>2023</v>
      </c>
      <c r="K45" s="1">
        <v>2024</v>
      </c>
      <c r="L45" s="1">
        <v>2025</v>
      </c>
      <c r="Q45" s="1">
        <v>2032</v>
      </c>
      <c r="R45" s="1">
        <v>2033</v>
      </c>
      <c r="S45" s="1">
        <v>2034</v>
      </c>
      <c r="T45" s="1">
        <v>2014</v>
      </c>
      <c r="U45" s="1">
        <v>2015</v>
      </c>
      <c r="AF45" s="1">
        <v>2026</v>
      </c>
      <c r="AG45" s="1">
        <v>2027</v>
      </c>
      <c r="AH45" s="1">
        <v>2028</v>
      </c>
      <c r="AI45" s="1">
        <v>2029</v>
      </c>
      <c r="AJ45" s="1">
        <v>2030</v>
      </c>
      <c r="AK45" s="1">
        <v>2031</v>
      </c>
    </row>
    <row r="46" spans="1:37" x14ac:dyDescent="0.25">
      <c r="C46" s="18">
        <v>41640</v>
      </c>
      <c r="D46" s="18">
        <v>42005</v>
      </c>
      <c r="E46" s="18">
        <v>42370</v>
      </c>
      <c r="F46" s="18">
        <v>42736</v>
      </c>
      <c r="G46" s="18">
        <v>43101</v>
      </c>
      <c r="H46" s="18">
        <v>43466</v>
      </c>
      <c r="I46" s="18">
        <v>43831</v>
      </c>
      <c r="J46" s="18">
        <v>44197</v>
      </c>
      <c r="K46" s="18">
        <v>44562</v>
      </c>
      <c r="L46" s="18">
        <v>44927</v>
      </c>
      <c r="T46" s="18">
        <v>40909</v>
      </c>
      <c r="U46" s="18">
        <v>41275</v>
      </c>
      <c r="AF46" s="18">
        <v>45292</v>
      </c>
      <c r="AG46" s="18">
        <v>45658</v>
      </c>
      <c r="AH46" s="18">
        <v>46023</v>
      </c>
      <c r="AI46" s="18">
        <v>46388</v>
      </c>
    </row>
    <row r="47" spans="1:37" x14ac:dyDescent="0.25">
      <c r="C47" s="13">
        <v>41639.933333333298</v>
      </c>
      <c r="D47" s="13">
        <v>42005.166666666701</v>
      </c>
      <c r="E47" s="13">
        <v>42370</v>
      </c>
      <c r="F47" s="13">
        <v>42736</v>
      </c>
      <c r="G47" s="13">
        <v>43101</v>
      </c>
      <c r="H47" s="13">
        <v>43466</v>
      </c>
      <c r="I47" s="13">
        <v>43831</v>
      </c>
      <c r="J47" s="13">
        <v>44197</v>
      </c>
      <c r="K47" s="13">
        <v>44562</v>
      </c>
      <c r="L47" s="13">
        <v>44927</v>
      </c>
      <c r="T47" s="13">
        <v>40909.466666666704</v>
      </c>
      <c r="U47" s="13">
        <v>41274.699999999997</v>
      </c>
      <c r="AF47" s="13">
        <v>45292</v>
      </c>
      <c r="AG47" s="13">
        <v>45658</v>
      </c>
      <c r="AH47" s="13">
        <v>46023</v>
      </c>
      <c r="AI47" s="13">
        <v>46388</v>
      </c>
    </row>
    <row r="49" spans="1:407" x14ac:dyDescent="0.25">
      <c r="A49" s="5" t="s">
        <v>437</v>
      </c>
      <c r="B49" s="7"/>
      <c r="C49" s="1" t="s">
        <v>439</v>
      </c>
      <c r="D49" s="1" t="s">
        <v>438</v>
      </c>
    </row>
    <row r="51" spans="1:407" x14ac:dyDescent="0.25">
      <c r="A51" s="5" t="s">
        <v>799</v>
      </c>
      <c r="B51" s="7"/>
      <c r="C51" s="1" t="s">
        <v>440</v>
      </c>
      <c r="D51" s="1" t="s">
        <v>171</v>
      </c>
      <c r="E51" s="1" t="s">
        <v>441</v>
      </c>
      <c r="F51" s="1" t="s">
        <v>442</v>
      </c>
      <c r="G51" s="1" t="s">
        <v>443</v>
      </c>
      <c r="H51" s="1" t="s">
        <v>444</v>
      </c>
      <c r="I51" s="1" t="s">
        <v>445</v>
      </c>
      <c r="J51" s="1" t="s">
        <v>446</v>
      </c>
      <c r="K51" s="1" t="s">
        <v>447</v>
      </c>
      <c r="L51" s="1" t="s">
        <v>448</v>
      </c>
      <c r="M51" s="1" t="s">
        <v>449</v>
      </c>
      <c r="N51" s="1" t="s">
        <v>422</v>
      </c>
      <c r="O51" s="1" t="s">
        <v>450</v>
      </c>
      <c r="P51" s="1" t="s">
        <v>451</v>
      </c>
      <c r="Q51" s="1" t="s">
        <v>452</v>
      </c>
      <c r="R51" s="1" t="s">
        <v>453</v>
      </c>
      <c r="S51" s="1" t="s">
        <v>423</v>
      </c>
      <c r="T51" s="1" t="s">
        <v>454</v>
      </c>
      <c r="U51" s="1" t="s">
        <v>455</v>
      </c>
      <c r="V51" s="1" t="s">
        <v>173</v>
      </c>
      <c r="W51" s="1" t="s">
        <v>456</v>
      </c>
      <c r="X51" s="1" t="s">
        <v>427</v>
      </c>
      <c r="Y51" s="1" t="s">
        <v>457</v>
      </c>
      <c r="Z51" s="1" t="s">
        <v>458</v>
      </c>
      <c r="AA51" s="1" t="s">
        <v>459</v>
      </c>
      <c r="AB51" s="1" t="s">
        <v>460</v>
      </c>
      <c r="AC51" s="1" t="s">
        <v>461</v>
      </c>
      <c r="AD51" s="1" t="s">
        <v>462</v>
      </c>
      <c r="AE51" s="1" t="s">
        <v>175</v>
      </c>
      <c r="AF51" s="1" t="s">
        <v>463</v>
      </c>
      <c r="AG51" s="1" t="s">
        <v>464</v>
      </c>
      <c r="AH51" s="1" t="s">
        <v>465</v>
      </c>
      <c r="AI51" s="1" t="s">
        <v>466</v>
      </c>
      <c r="AJ51" s="1" t="s">
        <v>467</v>
      </c>
      <c r="AK51" s="1" t="s">
        <v>468</v>
      </c>
      <c r="AL51" s="1" t="s">
        <v>469</v>
      </c>
      <c r="AM51" s="1" t="s">
        <v>470</v>
      </c>
      <c r="AN51" s="1" t="s">
        <v>471</v>
      </c>
      <c r="AO51" s="1" t="s">
        <v>472</v>
      </c>
      <c r="AP51" s="1" t="s">
        <v>473</v>
      </c>
      <c r="AQ51" s="1" t="s">
        <v>474</v>
      </c>
      <c r="AR51" s="1" t="s">
        <v>475</v>
      </c>
      <c r="AS51" s="1" t="s">
        <v>476</v>
      </c>
      <c r="AT51" s="1" t="s">
        <v>477</v>
      </c>
      <c r="AU51" s="1" t="s">
        <v>478</v>
      </c>
      <c r="AV51" s="1" t="s">
        <v>479</v>
      </c>
      <c r="AW51" s="1" t="s">
        <v>480</v>
      </c>
      <c r="AX51" s="1" t="s">
        <v>481</v>
      </c>
      <c r="AY51" s="1" t="s">
        <v>482</v>
      </c>
      <c r="AZ51" s="1" t="s">
        <v>174</v>
      </c>
      <c r="BA51" s="1" t="s">
        <v>483</v>
      </c>
      <c r="BB51" s="1" t="s">
        <v>484</v>
      </c>
      <c r="BC51" s="1" t="s">
        <v>485</v>
      </c>
      <c r="BD51" s="1" t="s">
        <v>486</v>
      </c>
      <c r="BE51" s="1" t="s">
        <v>487</v>
      </c>
      <c r="BF51" s="1" t="s">
        <v>488</v>
      </c>
      <c r="BG51" s="1" t="s">
        <v>489</v>
      </c>
      <c r="BH51" s="1" t="s">
        <v>425</v>
      </c>
      <c r="BI51" s="1" t="s">
        <v>490</v>
      </c>
      <c r="BJ51" s="1" t="s">
        <v>491</v>
      </c>
      <c r="BK51" s="1" t="s">
        <v>492</v>
      </c>
      <c r="BL51" s="1" t="s">
        <v>170</v>
      </c>
      <c r="BM51" s="1" t="s">
        <v>90</v>
      </c>
      <c r="BN51" s="1" t="s">
        <v>80</v>
      </c>
      <c r="BO51" s="1" t="s">
        <v>420</v>
      </c>
      <c r="BP51" s="1" t="s">
        <v>79</v>
      </c>
      <c r="BQ51" s="1" t="s">
        <v>89</v>
      </c>
      <c r="BR51" s="1" t="s">
        <v>493</v>
      </c>
      <c r="BS51" s="1" t="s">
        <v>494</v>
      </c>
      <c r="BT51" s="1" t="s">
        <v>495</v>
      </c>
      <c r="BU51" s="1" t="s">
        <v>496</v>
      </c>
      <c r="BV51" s="1" t="s">
        <v>172</v>
      </c>
      <c r="BW51" s="1" t="s">
        <v>497</v>
      </c>
      <c r="BX51" s="1" t="s">
        <v>498</v>
      </c>
      <c r="BY51" s="1" t="s">
        <v>499</v>
      </c>
      <c r="BZ51" s="1" t="s">
        <v>500</v>
      </c>
      <c r="CA51" s="1" t="s">
        <v>501</v>
      </c>
      <c r="CB51" s="1" t="s">
        <v>502</v>
      </c>
      <c r="CC51" s="1" t="s">
        <v>503</v>
      </c>
      <c r="CD51" s="1" t="s">
        <v>504</v>
      </c>
      <c r="CE51" s="1" t="s">
        <v>505</v>
      </c>
      <c r="CF51" s="1" t="s">
        <v>506</v>
      </c>
      <c r="CG51" s="1" t="s">
        <v>507</v>
      </c>
      <c r="CH51" s="1" t="s">
        <v>508</v>
      </c>
      <c r="CI51" s="1" t="s">
        <v>509</v>
      </c>
      <c r="CJ51" s="1" t="s">
        <v>510</v>
      </c>
      <c r="CK51" s="1" t="s">
        <v>511</v>
      </c>
      <c r="CL51" s="1" t="s">
        <v>512</v>
      </c>
      <c r="CM51" s="1" t="s">
        <v>513</v>
      </c>
      <c r="CN51" s="1" t="s">
        <v>98</v>
      </c>
      <c r="CO51" s="1" t="s">
        <v>514</v>
      </c>
      <c r="CP51" s="1" t="s">
        <v>515</v>
      </c>
      <c r="CQ51" s="1" t="s">
        <v>433</v>
      </c>
      <c r="CR51" s="1" t="s">
        <v>516</v>
      </c>
      <c r="CS51" s="1" t="s">
        <v>517</v>
      </c>
      <c r="CT51" s="1" t="s">
        <v>518</v>
      </c>
      <c r="CU51" s="1" t="s">
        <v>519</v>
      </c>
      <c r="CV51" s="1" t="s">
        <v>520</v>
      </c>
      <c r="CW51" s="1" t="s">
        <v>521</v>
      </c>
      <c r="CX51" s="1" t="s">
        <v>522</v>
      </c>
      <c r="CY51" s="1" t="s">
        <v>523</v>
      </c>
      <c r="CZ51" s="1" t="s">
        <v>524</v>
      </c>
      <c r="DA51" s="1" t="s">
        <v>525</v>
      </c>
      <c r="DB51" s="1" t="s">
        <v>526</v>
      </c>
      <c r="DC51" s="1" t="s">
        <v>34</v>
      </c>
      <c r="DD51" s="1" t="s">
        <v>527</v>
      </c>
      <c r="DE51" s="1" t="s">
        <v>91</v>
      </c>
      <c r="DF51" s="1" t="s">
        <v>528</v>
      </c>
      <c r="DG51" s="1" t="s">
        <v>529</v>
      </c>
      <c r="DH51" s="1" t="s">
        <v>530</v>
      </c>
      <c r="DI51" s="1" t="s">
        <v>531</v>
      </c>
      <c r="DJ51" s="1" t="s">
        <v>532</v>
      </c>
      <c r="DK51" s="1" t="s">
        <v>533</v>
      </c>
      <c r="DL51" s="1" t="s">
        <v>534</v>
      </c>
      <c r="DM51" s="1" t="s">
        <v>535</v>
      </c>
      <c r="DN51" s="1" t="s">
        <v>536</v>
      </c>
      <c r="DO51" s="1" t="s">
        <v>537</v>
      </c>
      <c r="DP51" s="1" t="s">
        <v>538</v>
      </c>
      <c r="DQ51" s="1" t="s">
        <v>431</v>
      </c>
      <c r="DR51" s="1" t="s">
        <v>432</v>
      </c>
      <c r="DS51" s="1" t="s">
        <v>430</v>
      </c>
      <c r="DT51" s="1" t="s">
        <v>539</v>
      </c>
      <c r="DU51" s="1" t="s">
        <v>540</v>
      </c>
      <c r="DV51" s="1" t="s">
        <v>541</v>
      </c>
      <c r="DW51" s="1" t="s">
        <v>542</v>
      </c>
      <c r="DX51" s="1" t="s">
        <v>543</v>
      </c>
      <c r="DY51" s="1" t="s">
        <v>544</v>
      </c>
      <c r="DZ51" s="1" t="s">
        <v>545</v>
      </c>
      <c r="EA51" s="1" t="s">
        <v>97</v>
      </c>
      <c r="EB51" s="1" t="s">
        <v>546</v>
      </c>
      <c r="EC51" s="1" t="s">
        <v>547</v>
      </c>
      <c r="ED51" s="1" t="s">
        <v>548</v>
      </c>
      <c r="EE51" s="1" t="s">
        <v>549</v>
      </c>
      <c r="EF51" s="1" t="s">
        <v>550</v>
      </c>
      <c r="EG51" s="1" t="s">
        <v>551</v>
      </c>
      <c r="EH51" s="1" t="s">
        <v>552</v>
      </c>
      <c r="EI51" s="1" t="s">
        <v>553</v>
      </c>
      <c r="EJ51" s="1" t="s">
        <v>554</v>
      </c>
      <c r="EK51" s="1" t="s">
        <v>555</v>
      </c>
      <c r="EL51" s="1" t="s">
        <v>556</v>
      </c>
      <c r="EM51" s="1" t="s">
        <v>557</v>
      </c>
      <c r="EN51" s="1" t="s">
        <v>558</v>
      </c>
      <c r="EO51" s="1" t="s">
        <v>559</v>
      </c>
      <c r="EP51" s="1" t="s">
        <v>560</v>
      </c>
      <c r="EQ51" s="1" t="s">
        <v>561</v>
      </c>
      <c r="ER51" s="1" t="s">
        <v>562</v>
      </c>
      <c r="ES51" s="1" t="s">
        <v>563</v>
      </c>
      <c r="ET51" s="1" t="s">
        <v>564</v>
      </c>
      <c r="EU51" s="1" t="s">
        <v>565</v>
      </c>
      <c r="EV51" s="1" t="s">
        <v>566</v>
      </c>
      <c r="EW51" s="1" t="s">
        <v>567</v>
      </c>
      <c r="EX51" s="1" t="s">
        <v>568</v>
      </c>
      <c r="EY51" s="1" t="s">
        <v>569</v>
      </c>
      <c r="EZ51" s="1" t="s">
        <v>570</v>
      </c>
      <c r="FA51" s="1" t="s">
        <v>571</v>
      </c>
      <c r="FB51" s="1" t="s">
        <v>429</v>
      </c>
      <c r="FC51" s="1" t="s">
        <v>95</v>
      </c>
      <c r="FD51" s="1" t="s">
        <v>572</v>
      </c>
      <c r="FE51" s="1" t="s">
        <v>32</v>
      </c>
      <c r="FF51" s="1" t="s">
        <v>573</v>
      </c>
      <c r="FG51" s="1" t="s">
        <v>574</v>
      </c>
      <c r="FH51" s="1" t="s">
        <v>575</v>
      </c>
      <c r="FI51" s="1" t="s">
        <v>576</v>
      </c>
      <c r="FJ51" s="1" t="s">
        <v>577</v>
      </c>
      <c r="FK51" s="1" t="s">
        <v>428</v>
      </c>
      <c r="FL51" s="1" t="s">
        <v>578</v>
      </c>
      <c r="FM51" s="1" t="s">
        <v>579</v>
      </c>
      <c r="FN51" s="1" t="s">
        <v>580</v>
      </c>
      <c r="FO51" s="1" t="s">
        <v>581</v>
      </c>
      <c r="FP51" s="1" t="s">
        <v>582</v>
      </c>
      <c r="FQ51" s="1" t="s">
        <v>583</v>
      </c>
      <c r="FR51" s="1" t="s">
        <v>584</v>
      </c>
      <c r="FS51" s="1" t="s">
        <v>585</v>
      </c>
      <c r="FT51" s="1" t="s">
        <v>586</v>
      </c>
      <c r="FU51" s="1" t="s">
        <v>587</v>
      </c>
      <c r="FV51" s="1" t="s">
        <v>588</v>
      </c>
      <c r="FW51" s="1" t="s">
        <v>589</v>
      </c>
      <c r="FX51" s="1" t="s">
        <v>590</v>
      </c>
      <c r="FY51" s="1" t="s">
        <v>591</v>
      </c>
      <c r="FZ51" s="1" t="s">
        <v>592</v>
      </c>
      <c r="GA51" s="1" t="s">
        <v>593</v>
      </c>
      <c r="GB51" s="1" t="s">
        <v>594</v>
      </c>
      <c r="GC51" s="1" t="s">
        <v>595</v>
      </c>
      <c r="GD51" s="1" t="s">
        <v>596</v>
      </c>
      <c r="GE51" s="1" t="s">
        <v>597</v>
      </c>
      <c r="GF51" s="1" t="s">
        <v>598</v>
      </c>
      <c r="GG51" s="1" t="s">
        <v>599</v>
      </c>
      <c r="GH51" s="1" t="s">
        <v>600</v>
      </c>
      <c r="GI51" s="1" t="s">
        <v>601</v>
      </c>
      <c r="GJ51" s="1" t="s">
        <v>602</v>
      </c>
      <c r="GK51" s="1" t="s">
        <v>37</v>
      </c>
      <c r="GL51" s="1" t="s">
        <v>603</v>
      </c>
      <c r="GM51" s="1" t="s">
        <v>604</v>
      </c>
      <c r="GN51" s="1" t="s">
        <v>605</v>
      </c>
      <c r="GO51" s="1" t="s">
        <v>606</v>
      </c>
      <c r="GP51" s="1" t="s">
        <v>607</v>
      </c>
      <c r="GQ51" s="1" t="s">
        <v>608</v>
      </c>
      <c r="GR51" s="1" t="s">
        <v>609</v>
      </c>
      <c r="GS51" s="1" t="s">
        <v>610</v>
      </c>
      <c r="GT51" s="1" t="s">
        <v>611</v>
      </c>
      <c r="GU51" s="1" t="s">
        <v>612</v>
      </c>
      <c r="GV51" s="1" t="s">
        <v>613</v>
      </c>
      <c r="GW51" s="1" t="s">
        <v>614</v>
      </c>
      <c r="GX51" s="1" t="s">
        <v>615</v>
      </c>
      <c r="GY51" s="1" t="s">
        <v>93</v>
      </c>
      <c r="GZ51" s="1" t="s">
        <v>616</v>
      </c>
      <c r="HA51" s="1" t="s">
        <v>178</v>
      </c>
      <c r="HB51" s="1" t="s">
        <v>177</v>
      </c>
      <c r="HC51" s="1" t="s">
        <v>176</v>
      </c>
      <c r="HD51" s="1" t="s">
        <v>181</v>
      </c>
      <c r="HE51" s="1" t="s">
        <v>617</v>
      </c>
      <c r="HF51" s="1" t="s">
        <v>618</v>
      </c>
      <c r="HG51" s="1" t="s">
        <v>619</v>
      </c>
      <c r="HH51" s="1" t="s">
        <v>620</v>
      </c>
      <c r="HI51" s="1" t="s">
        <v>621</v>
      </c>
      <c r="HJ51" s="1" t="s">
        <v>622</v>
      </c>
      <c r="HK51" s="1" t="s">
        <v>623</v>
      </c>
      <c r="HL51" s="1" t="s">
        <v>624</v>
      </c>
      <c r="HM51" s="1" t="s">
        <v>625</v>
      </c>
      <c r="HN51" s="1" t="s">
        <v>31</v>
      </c>
      <c r="HO51" s="1" t="s">
        <v>626</v>
      </c>
      <c r="HP51" s="1" t="s">
        <v>627</v>
      </c>
      <c r="HQ51" s="1" t="s">
        <v>628</v>
      </c>
      <c r="HR51" s="1" t="s">
        <v>629</v>
      </c>
      <c r="HS51" s="1" t="s">
        <v>630</v>
      </c>
      <c r="HT51" s="1" t="s">
        <v>631</v>
      </c>
      <c r="HU51" s="1" t="s">
        <v>632</v>
      </c>
      <c r="HV51" s="1" t="s">
        <v>633</v>
      </c>
      <c r="HW51" s="1" t="s">
        <v>92</v>
      </c>
      <c r="HX51" s="1" t="s">
        <v>634</v>
      </c>
      <c r="HY51" s="1" t="s">
        <v>635</v>
      </c>
      <c r="HZ51" s="1" t="s">
        <v>636</v>
      </c>
      <c r="IA51" s="1" t="s">
        <v>637</v>
      </c>
      <c r="IB51" s="1" t="s">
        <v>638</v>
      </c>
      <c r="IC51" s="1" t="s">
        <v>639</v>
      </c>
      <c r="ID51" s="1" t="s">
        <v>640</v>
      </c>
      <c r="IE51" s="1" t="s">
        <v>641</v>
      </c>
      <c r="IF51" s="1" t="s">
        <v>642</v>
      </c>
      <c r="IG51" s="1" t="s">
        <v>643</v>
      </c>
      <c r="IH51" s="1" t="s">
        <v>644</v>
      </c>
      <c r="II51" s="1" t="s">
        <v>645</v>
      </c>
      <c r="IJ51" s="1" t="s">
        <v>646</v>
      </c>
      <c r="IK51" s="1" t="s">
        <v>647</v>
      </c>
      <c r="IL51" s="1" t="s">
        <v>648</v>
      </c>
      <c r="IM51" s="1" t="s">
        <v>649</v>
      </c>
      <c r="IN51" s="1" t="s">
        <v>650</v>
      </c>
      <c r="IO51" s="1" t="s">
        <v>651</v>
      </c>
      <c r="IP51" s="1" t="s">
        <v>652</v>
      </c>
      <c r="IQ51" s="1" t="s">
        <v>653</v>
      </c>
      <c r="IR51" s="1" t="s">
        <v>180</v>
      </c>
      <c r="IS51" s="1" t="s">
        <v>179</v>
      </c>
      <c r="IT51" s="1" t="s">
        <v>654</v>
      </c>
      <c r="IU51" s="1" t="s">
        <v>655</v>
      </c>
      <c r="IV51" s="1" t="s">
        <v>656</v>
      </c>
      <c r="IW51" s="1" t="s">
        <v>657</v>
      </c>
      <c r="IX51" s="1" t="s">
        <v>658</v>
      </c>
      <c r="IY51" s="1" t="s">
        <v>659</v>
      </c>
      <c r="IZ51" s="1" t="s">
        <v>182</v>
      </c>
      <c r="JA51" s="1" t="s">
        <v>660</v>
      </c>
      <c r="JB51" s="1" t="s">
        <v>661</v>
      </c>
      <c r="JC51" s="1" t="s">
        <v>436</v>
      </c>
      <c r="JD51" s="1" t="s">
        <v>662</v>
      </c>
      <c r="JE51" s="1" t="s">
        <v>663</v>
      </c>
      <c r="JF51" s="1" t="s">
        <v>664</v>
      </c>
      <c r="JG51" s="1" t="s">
        <v>665</v>
      </c>
      <c r="JH51" s="1" t="s">
        <v>666</v>
      </c>
      <c r="JI51" s="1" t="s">
        <v>667</v>
      </c>
      <c r="JJ51" s="1" t="s">
        <v>668</v>
      </c>
      <c r="JK51" s="1" t="s">
        <v>669</v>
      </c>
      <c r="JL51" s="1" t="s">
        <v>670</v>
      </c>
      <c r="JM51" s="1" t="s">
        <v>671</v>
      </c>
      <c r="JN51" s="1" t="s">
        <v>672</v>
      </c>
      <c r="JO51" s="1" t="s">
        <v>673</v>
      </c>
      <c r="JP51" s="1" t="s">
        <v>674</v>
      </c>
      <c r="JQ51" s="1" t="s">
        <v>675</v>
      </c>
      <c r="JR51" s="1" t="s">
        <v>676</v>
      </c>
      <c r="JS51" s="1" t="s">
        <v>677</v>
      </c>
      <c r="JT51" s="1" t="s">
        <v>678</v>
      </c>
      <c r="JU51" s="1" t="s">
        <v>679</v>
      </c>
      <c r="JV51" s="1" t="s">
        <v>680</v>
      </c>
      <c r="JW51" s="1" t="s">
        <v>681</v>
      </c>
      <c r="JX51" s="1" t="s">
        <v>682</v>
      </c>
      <c r="JY51" s="1" t="s">
        <v>683</v>
      </c>
      <c r="JZ51" s="1" t="s">
        <v>684</v>
      </c>
      <c r="KA51" s="1" t="s">
        <v>685</v>
      </c>
      <c r="KB51" s="1" t="s">
        <v>686</v>
      </c>
      <c r="KC51" s="1" t="s">
        <v>687</v>
      </c>
      <c r="KD51" s="1" t="s">
        <v>688</v>
      </c>
      <c r="KE51" s="1" t="s">
        <v>689</v>
      </c>
      <c r="KF51" s="1" t="s">
        <v>690</v>
      </c>
      <c r="KG51" s="1" t="s">
        <v>691</v>
      </c>
      <c r="KH51" s="1" t="s">
        <v>692</v>
      </c>
      <c r="KI51" s="1" t="s">
        <v>693</v>
      </c>
      <c r="KJ51" s="1" t="s">
        <v>694</v>
      </c>
      <c r="KK51" s="1" t="s">
        <v>695</v>
      </c>
      <c r="KL51" s="1" t="s">
        <v>696</v>
      </c>
      <c r="KM51" s="1" t="s">
        <v>697</v>
      </c>
      <c r="KN51" s="1" t="s">
        <v>698</v>
      </c>
      <c r="KO51" s="1" t="s">
        <v>699</v>
      </c>
      <c r="KP51" s="1" t="s">
        <v>700</v>
      </c>
      <c r="KQ51" s="1" t="s">
        <v>701</v>
      </c>
      <c r="KR51" s="1" t="s">
        <v>702</v>
      </c>
      <c r="KS51" s="1" t="s">
        <v>703</v>
      </c>
      <c r="KT51" s="1" t="s">
        <v>704</v>
      </c>
      <c r="KU51" s="1" t="s">
        <v>705</v>
      </c>
      <c r="KV51" s="1" t="s">
        <v>706</v>
      </c>
      <c r="KW51" s="1" t="s">
        <v>435</v>
      </c>
      <c r="KX51" s="1" t="s">
        <v>707</v>
      </c>
      <c r="KY51" s="1" t="s">
        <v>708</v>
      </c>
      <c r="KZ51" s="1" t="s">
        <v>709</v>
      </c>
      <c r="LA51" s="1" t="s">
        <v>710</v>
      </c>
      <c r="LB51" s="1" t="s">
        <v>711</v>
      </c>
      <c r="LC51" s="1" t="s">
        <v>434</v>
      </c>
      <c r="LD51" s="1" t="s">
        <v>712</v>
      </c>
      <c r="LE51" s="1" t="s">
        <v>713</v>
      </c>
      <c r="LF51" s="1" t="s">
        <v>714</v>
      </c>
      <c r="LG51" s="1" t="s">
        <v>715</v>
      </c>
      <c r="LH51" s="1" t="s">
        <v>716</v>
      </c>
      <c r="LI51" s="1" t="s">
        <v>717</v>
      </c>
      <c r="LJ51" s="1" t="s">
        <v>718</v>
      </c>
      <c r="LK51" s="1" t="s">
        <v>719</v>
      </c>
      <c r="LL51" s="1" t="s">
        <v>720</v>
      </c>
      <c r="LM51" s="1" t="s">
        <v>721</v>
      </c>
      <c r="LN51" s="1" t="s">
        <v>722</v>
      </c>
      <c r="LO51" s="1" t="s">
        <v>723</v>
      </c>
      <c r="LP51" s="1" t="s">
        <v>724</v>
      </c>
      <c r="LQ51" s="1" t="s">
        <v>725</v>
      </c>
      <c r="LR51" s="1" t="s">
        <v>726</v>
      </c>
      <c r="LS51" s="1" t="s">
        <v>727</v>
      </c>
      <c r="LT51" s="1" t="s">
        <v>728</v>
      </c>
      <c r="LU51" s="1" t="s">
        <v>729</v>
      </c>
      <c r="LV51" s="1" t="s">
        <v>730</v>
      </c>
      <c r="LW51" s="1" t="s">
        <v>731</v>
      </c>
      <c r="LX51" s="1" t="s">
        <v>732</v>
      </c>
      <c r="LY51" s="1" t="s">
        <v>733</v>
      </c>
      <c r="LZ51" s="1" t="s">
        <v>734</v>
      </c>
      <c r="MA51" s="1" t="s">
        <v>735</v>
      </c>
      <c r="MB51" s="1" t="s">
        <v>736</v>
      </c>
      <c r="MC51" s="1" t="s">
        <v>737</v>
      </c>
      <c r="MD51" s="1" t="s">
        <v>738</v>
      </c>
      <c r="ME51" s="1" t="s">
        <v>739</v>
      </c>
      <c r="MF51" s="1" t="s">
        <v>740</v>
      </c>
      <c r="MG51" s="1" t="s">
        <v>741</v>
      </c>
      <c r="MH51" s="1" t="s">
        <v>730</v>
      </c>
      <c r="MI51" s="1" t="s">
        <v>731</v>
      </c>
      <c r="MJ51" s="1" t="s">
        <v>732</v>
      </c>
      <c r="MK51" s="1" t="s">
        <v>733</v>
      </c>
      <c r="ML51" s="1" t="s">
        <v>734</v>
      </c>
      <c r="MM51" s="1" t="s">
        <v>742</v>
      </c>
      <c r="MN51" s="1" t="s">
        <v>743</v>
      </c>
      <c r="MO51" s="1" t="s">
        <v>744</v>
      </c>
      <c r="MP51" s="1" t="s">
        <v>745</v>
      </c>
      <c r="MQ51" s="1" t="s">
        <v>746</v>
      </c>
      <c r="MR51" s="1" t="s">
        <v>747</v>
      </c>
      <c r="MS51" s="1" t="s">
        <v>748</v>
      </c>
      <c r="MT51" s="1" t="s">
        <v>749</v>
      </c>
      <c r="MU51" s="1" t="s">
        <v>750</v>
      </c>
      <c r="MV51" s="1" t="s">
        <v>751</v>
      </c>
      <c r="MW51" s="1" t="s">
        <v>752</v>
      </c>
      <c r="MX51" s="1" t="s">
        <v>753</v>
      </c>
      <c r="MY51" s="1" t="s">
        <v>754</v>
      </c>
      <c r="MZ51" s="1" t="s">
        <v>755</v>
      </c>
      <c r="NA51" s="1" t="s">
        <v>756</v>
      </c>
      <c r="NB51" s="1" t="s">
        <v>757</v>
      </c>
      <c r="NC51" s="1" t="s">
        <v>758</v>
      </c>
      <c r="ND51" s="1" t="s">
        <v>759</v>
      </c>
      <c r="NE51" s="1" t="s">
        <v>760</v>
      </c>
      <c r="NF51" s="1" t="s">
        <v>761</v>
      </c>
      <c r="NG51" s="1" t="s">
        <v>762</v>
      </c>
      <c r="NH51" s="1" t="s">
        <v>763</v>
      </c>
      <c r="NI51" s="1" t="s">
        <v>764</v>
      </c>
      <c r="NJ51" s="1" t="s">
        <v>765</v>
      </c>
      <c r="NK51" s="1" t="s">
        <v>766</v>
      </c>
      <c r="NL51" s="1" t="s">
        <v>767</v>
      </c>
      <c r="NM51" s="1" t="s">
        <v>768</v>
      </c>
      <c r="NN51" s="1" t="s">
        <v>769</v>
      </c>
      <c r="NO51" s="1" t="s">
        <v>770</v>
      </c>
      <c r="NP51" s="1" t="s">
        <v>771</v>
      </c>
      <c r="NQ51" s="1" t="s">
        <v>772</v>
      </c>
      <c r="NR51" s="1" t="s">
        <v>773</v>
      </c>
      <c r="NS51" s="1" t="s">
        <v>774</v>
      </c>
      <c r="NT51" s="1" t="s">
        <v>775</v>
      </c>
      <c r="NU51" s="1" t="s">
        <v>776</v>
      </c>
      <c r="NV51" s="1" t="s">
        <v>777</v>
      </c>
      <c r="NW51" s="1" t="s">
        <v>778</v>
      </c>
      <c r="NX51" s="1" t="s">
        <v>779</v>
      </c>
      <c r="NY51" s="1" t="s">
        <v>780</v>
      </c>
      <c r="NZ51" s="1" t="s">
        <v>781</v>
      </c>
      <c r="OA51" s="1" t="s">
        <v>782</v>
      </c>
      <c r="OB51" s="1" t="s">
        <v>783</v>
      </c>
      <c r="OC51" s="1" t="s">
        <v>784</v>
      </c>
      <c r="OD51" s="1" t="s">
        <v>785</v>
      </c>
      <c r="OE51" s="1" t="s">
        <v>786</v>
      </c>
      <c r="OF51" s="1" t="s">
        <v>787</v>
      </c>
      <c r="OG51" s="1" t="s">
        <v>788</v>
      </c>
      <c r="OH51" s="1" t="s">
        <v>789</v>
      </c>
      <c r="OI51" s="1" t="s">
        <v>790</v>
      </c>
      <c r="OJ51" s="1" t="s">
        <v>791</v>
      </c>
      <c r="OK51" s="1" t="s">
        <v>792</v>
      </c>
      <c r="OL51" s="1" t="s">
        <v>793</v>
      </c>
      <c r="OM51" s="1" t="s">
        <v>794</v>
      </c>
      <c r="ON51" s="1" t="s">
        <v>795</v>
      </c>
      <c r="OO51" s="1" t="s">
        <v>796</v>
      </c>
      <c r="OP51" s="1" t="s">
        <v>797</v>
      </c>
      <c r="OQ51" s="1" t="s">
        <v>798</v>
      </c>
    </row>
    <row r="52" spans="1:407" x14ac:dyDescent="0.25">
      <c r="C52" s="1" t="s">
        <v>864</v>
      </c>
      <c r="D52" s="1" t="s">
        <v>865</v>
      </c>
      <c r="E52" s="1" t="s">
        <v>865</v>
      </c>
      <c r="F52" s="1" t="s">
        <v>865</v>
      </c>
      <c r="G52" s="1" t="s">
        <v>865</v>
      </c>
      <c r="H52" s="1" t="s">
        <v>866</v>
      </c>
      <c r="I52" s="1" t="s">
        <v>866</v>
      </c>
      <c r="J52" s="1" t="s">
        <v>866</v>
      </c>
      <c r="K52" s="1" t="s">
        <v>866</v>
      </c>
      <c r="L52" s="1" t="s">
        <v>800</v>
      </c>
      <c r="M52" s="1" t="s">
        <v>800</v>
      </c>
      <c r="N52" s="1" t="s">
        <v>800</v>
      </c>
      <c r="O52" s="1" t="s">
        <v>800</v>
      </c>
      <c r="P52" s="1" t="s">
        <v>800</v>
      </c>
      <c r="Q52" s="1" t="s">
        <v>800</v>
      </c>
      <c r="R52" s="1" t="s">
        <v>800</v>
      </c>
      <c r="S52" s="1" t="s">
        <v>800</v>
      </c>
      <c r="T52" s="1" t="s">
        <v>800</v>
      </c>
      <c r="U52" s="1" t="s">
        <v>867</v>
      </c>
      <c r="V52" s="1" t="s">
        <v>867</v>
      </c>
      <c r="W52" s="1" t="s">
        <v>867</v>
      </c>
      <c r="X52" s="1" t="s">
        <v>867</v>
      </c>
      <c r="Y52" s="1" t="s">
        <v>867</v>
      </c>
      <c r="Z52" s="1" t="s">
        <v>867</v>
      </c>
      <c r="AA52" s="1" t="s">
        <v>867</v>
      </c>
      <c r="AB52" s="1" t="s">
        <v>867</v>
      </c>
      <c r="AC52" s="1" t="s">
        <v>867</v>
      </c>
      <c r="AD52" s="1" t="s">
        <v>868</v>
      </c>
      <c r="AE52" s="1" t="s">
        <v>868</v>
      </c>
      <c r="AF52" s="1" t="s">
        <v>868</v>
      </c>
      <c r="AG52" s="1" t="s">
        <v>868</v>
      </c>
      <c r="AH52" s="1" t="s">
        <v>868</v>
      </c>
      <c r="AI52" s="1" t="s">
        <v>868</v>
      </c>
      <c r="AJ52" s="1" t="s">
        <v>868</v>
      </c>
      <c r="AK52" s="1" t="s">
        <v>868</v>
      </c>
      <c r="AL52" s="1" t="s">
        <v>868</v>
      </c>
      <c r="AM52" s="1" t="s">
        <v>869</v>
      </c>
      <c r="AN52" s="1" t="s">
        <v>869</v>
      </c>
      <c r="AO52" s="1" t="s">
        <v>869</v>
      </c>
      <c r="AP52" s="1" t="s">
        <v>869</v>
      </c>
      <c r="AQ52" s="1" t="s">
        <v>869</v>
      </c>
      <c r="AR52" s="1" t="s">
        <v>869</v>
      </c>
      <c r="AS52" s="1" t="s">
        <v>869</v>
      </c>
      <c r="AT52" s="1" t="s">
        <v>869</v>
      </c>
      <c r="AU52" s="1" t="s">
        <v>869</v>
      </c>
      <c r="AV52" s="1" t="s">
        <v>870</v>
      </c>
      <c r="AW52" s="1" t="s">
        <v>870</v>
      </c>
      <c r="AX52" s="1" t="s">
        <v>870</v>
      </c>
      <c r="AY52" s="1" t="s">
        <v>870</v>
      </c>
      <c r="AZ52" s="1" t="s">
        <v>870</v>
      </c>
      <c r="BA52" s="1" t="s">
        <v>870</v>
      </c>
      <c r="BB52" s="1" t="s">
        <v>870</v>
      </c>
      <c r="BC52" s="1" t="s">
        <v>870</v>
      </c>
      <c r="BD52" s="1" t="s">
        <v>870</v>
      </c>
      <c r="BE52" s="1" t="s">
        <v>871</v>
      </c>
      <c r="BF52" s="1" t="s">
        <v>872</v>
      </c>
      <c r="BG52" s="1" t="s">
        <v>873</v>
      </c>
      <c r="BH52" s="1" t="s">
        <v>874</v>
      </c>
      <c r="BI52" s="1" t="s">
        <v>875</v>
      </c>
      <c r="BJ52" s="1" t="s">
        <v>876</v>
      </c>
      <c r="BK52" s="1" t="s">
        <v>877</v>
      </c>
      <c r="BL52" s="1" t="s">
        <v>878</v>
      </c>
      <c r="BM52" s="1" t="s">
        <v>879</v>
      </c>
      <c r="BN52" s="1" t="s">
        <v>880</v>
      </c>
      <c r="BO52" s="1" t="s">
        <v>881</v>
      </c>
      <c r="BP52" s="1" t="s">
        <v>882</v>
      </c>
      <c r="BQ52" s="1" t="s">
        <v>883</v>
      </c>
      <c r="BR52" s="1" t="s">
        <v>884</v>
      </c>
      <c r="BS52" s="1" t="s">
        <v>885</v>
      </c>
      <c r="BT52" s="1" t="s">
        <v>886</v>
      </c>
      <c r="BU52" s="1" t="s">
        <v>887</v>
      </c>
      <c r="BV52" s="1" t="s">
        <v>888</v>
      </c>
      <c r="BW52" s="1" t="s">
        <v>889</v>
      </c>
      <c r="BX52" s="1" t="s">
        <v>890</v>
      </c>
      <c r="BY52" s="1" t="s">
        <v>891</v>
      </c>
      <c r="BZ52" s="1" t="s">
        <v>892</v>
      </c>
      <c r="CA52" s="1" t="s">
        <v>801</v>
      </c>
      <c r="CB52" s="1" t="s">
        <v>802</v>
      </c>
      <c r="CC52" s="1" t="s">
        <v>802</v>
      </c>
      <c r="CD52" s="1" t="s">
        <v>803</v>
      </c>
      <c r="CE52" s="1" t="s">
        <v>803</v>
      </c>
      <c r="CF52" s="1" t="s">
        <v>804</v>
      </c>
      <c r="CG52" s="1" t="s">
        <v>804</v>
      </c>
      <c r="CH52" s="1" t="s">
        <v>805</v>
      </c>
      <c r="CI52" s="1" t="s">
        <v>805</v>
      </c>
      <c r="CJ52" s="1" t="s">
        <v>806</v>
      </c>
      <c r="CK52" s="1" t="s">
        <v>806</v>
      </c>
      <c r="CL52" s="1" t="s">
        <v>807</v>
      </c>
      <c r="CM52" s="1" t="s">
        <v>808</v>
      </c>
      <c r="CN52" s="1" t="s">
        <v>808</v>
      </c>
      <c r="CO52" s="1" t="s">
        <v>808</v>
      </c>
      <c r="CP52" s="1" t="s">
        <v>808</v>
      </c>
      <c r="CQ52" s="1" t="s">
        <v>809</v>
      </c>
      <c r="CR52" s="1" t="s">
        <v>809</v>
      </c>
      <c r="CS52" s="1" t="s">
        <v>809</v>
      </c>
      <c r="CT52" s="1" t="s">
        <v>809</v>
      </c>
      <c r="CU52" s="1" t="s">
        <v>810</v>
      </c>
      <c r="CV52" s="1" t="s">
        <v>810</v>
      </c>
      <c r="CW52" s="1" t="s">
        <v>810</v>
      </c>
      <c r="CX52" s="1" t="s">
        <v>810</v>
      </c>
      <c r="CY52" s="1" t="s">
        <v>811</v>
      </c>
      <c r="CZ52" s="1" t="s">
        <v>811</v>
      </c>
      <c r="DA52" s="1" t="s">
        <v>811</v>
      </c>
      <c r="DB52" s="1" t="s">
        <v>811</v>
      </c>
      <c r="DC52" s="1" t="s">
        <v>812</v>
      </c>
      <c r="DD52" s="1" t="s">
        <v>812</v>
      </c>
      <c r="DE52" s="1" t="s">
        <v>812</v>
      </c>
      <c r="DF52" s="1" t="s">
        <v>812</v>
      </c>
      <c r="DG52" s="1" t="s">
        <v>812</v>
      </c>
      <c r="DH52" s="1" t="s">
        <v>812</v>
      </c>
      <c r="DI52" s="1" t="s">
        <v>812</v>
      </c>
      <c r="DJ52" s="1" t="s">
        <v>812</v>
      </c>
      <c r="DK52" s="1" t="s">
        <v>812</v>
      </c>
      <c r="DL52" s="1" t="s">
        <v>813</v>
      </c>
      <c r="DM52" s="1" t="s">
        <v>813</v>
      </c>
      <c r="DN52" s="1" t="s">
        <v>813</v>
      </c>
      <c r="DO52" s="1" t="s">
        <v>813</v>
      </c>
      <c r="DP52" s="1" t="s">
        <v>813</v>
      </c>
      <c r="DQ52" s="1" t="s">
        <v>813</v>
      </c>
      <c r="DR52" s="1" t="s">
        <v>813</v>
      </c>
      <c r="DS52" s="1" t="s">
        <v>813</v>
      </c>
      <c r="DT52" s="1" t="s">
        <v>813</v>
      </c>
      <c r="DU52" s="1" t="s">
        <v>814</v>
      </c>
      <c r="DV52" s="1" t="s">
        <v>814</v>
      </c>
      <c r="DW52" s="1" t="s">
        <v>814</v>
      </c>
      <c r="DX52" s="1" t="s">
        <v>814</v>
      </c>
      <c r="DY52" s="1" t="s">
        <v>814</v>
      </c>
      <c r="DZ52" s="1" t="s">
        <v>814</v>
      </c>
      <c r="EA52" s="1" t="s">
        <v>814</v>
      </c>
      <c r="EB52" s="1" t="s">
        <v>814</v>
      </c>
      <c r="EC52" s="1" t="s">
        <v>814</v>
      </c>
      <c r="ED52" s="1" t="s">
        <v>815</v>
      </c>
      <c r="EE52" s="1" t="s">
        <v>815</v>
      </c>
      <c r="EF52" s="1" t="s">
        <v>815</v>
      </c>
      <c r="EG52" s="1" t="s">
        <v>815</v>
      </c>
      <c r="EH52" s="1" t="s">
        <v>815</v>
      </c>
      <c r="EI52" s="1" t="s">
        <v>815</v>
      </c>
      <c r="EJ52" s="1" t="s">
        <v>815</v>
      </c>
      <c r="EK52" s="1" t="s">
        <v>815</v>
      </c>
      <c r="EL52" s="1" t="s">
        <v>815</v>
      </c>
      <c r="EM52" s="1" t="s">
        <v>816</v>
      </c>
      <c r="EN52" s="1" t="s">
        <v>816</v>
      </c>
      <c r="EO52" s="1" t="s">
        <v>816</v>
      </c>
      <c r="EP52" s="1" t="s">
        <v>816</v>
      </c>
      <c r="EQ52" s="1" t="s">
        <v>816</v>
      </c>
      <c r="ER52" s="1" t="s">
        <v>816</v>
      </c>
      <c r="ES52" s="1" t="s">
        <v>816</v>
      </c>
      <c r="ET52" s="1" t="s">
        <v>816</v>
      </c>
      <c r="EU52" s="1" t="s">
        <v>816</v>
      </c>
      <c r="EV52" s="1" t="s">
        <v>817</v>
      </c>
      <c r="EW52" s="1" t="s">
        <v>817</v>
      </c>
      <c r="EX52" s="1" t="s">
        <v>818</v>
      </c>
      <c r="EY52" s="1" t="s">
        <v>818</v>
      </c>
      <c r="EZ52" s="1" t="s">
        <v>819</v>
      </c>
      <c r="FA52" s="1" t="s">
        <v>819</v>
      </c>
      <c r="FB52" s="1" t="s">
        <v>820</v>
      </c>
      <c r="FC52" s="1" t="s">
        <v>821</v>
      </c>
      <c r="FD52" s="1" t="s">
        <v>821</v>
      </c>
      <c r="FE52" s="1" t="s">
        <v>821</v>
      </c>
      <c r="FF52" s="1" t="s">
        <v>821</v>
      </c>
      <c r="FG52" s="1" t="s">
        <v>821</v>
      </c>
      <c r="FH52" s="1" t="s">
        <v>821</v>
      </c>
      <c r="FI52" s="1" t="s">
        <v>821</v>
      </c>
      <c r="FJ52" s="1" t="s">
        <v>821</v>
      </c>
      <c r="FK52" s="1" t="s">
        <v>822</v>
      </c>
      <c r="FL52" s="1" t="s">
        <v>822</v>
      </c>
      <c r="FM52" s="1" t="s">
        <v>822</v>
      </c>
      <c r="FN52" s="1" t="s">
        <v>822</v>
      </c>
      <c r="FO52" s="1" t="s">
        <v>822</v>
      </c>
      <c r="FP52" s="1" t="s">
        <v>822</v>
      </c>
      <c r="FQ52" s="1" t="s">
        <v>822</v>
      </c>
      <c r="FR52" s="1" t="s">
        <v>822</v>
      </c>
      <c r="FS52" s="1" t="s">
        <v>823</v>
      </c>
      <c r="FT52" s="1" t="s">
        <v>823</v>
      </c>
      <c r="FU52" s="1" t="s">
        <v>823</v>
      </c>
      <c r="FV52" s="1" t="s">
        <v>823</v>
      </c>
      <c r="FW52" s="1" t="s">
        <v>823</v>
      </c>
      <c r="FX52" s="1" t="s">
        <v>823</v>
      </c>
      <c r="FY52" s="1" t="s">
        <v>823</v>
      </c>
      <c r="FZ52" s="1" t="s">
        <v>823</v>
      </c>
      <c r="GA52" s="1" t="s">
        <v>824</v>
      </c>
      <c r="GB52" s="1" t="s">
        <v>824</v>
      </c>
      <c r="GC52" s="1" t="s">
        <v>824</v>
      </c>
      <c r="GD52" s="1" t="s">
        <v>824</v>
      </c>
      <c r="GE52" s="1" t="s">
        <v>824</v>
      </c>
      <c r="GF52" s="1" t="s">
        <v>824</v>
      </c>
      <c r="GG52" s="1" t="s">
        <v>824</v>
      </c>
      <c r="GH52" s="1" t="s">
        <v>824</v>
      </c>
      <c r="GI52" s="1" t="s">
        <v>825</v>
      </c>
      <c r="GJ52" s="1" t="s">
        <v>825</v>
      </c>
      <c r="GK52" s="1" t="s">
        <v>825</v>
      </c>
      <c r="GL52" s="1" t="s">
        <v>825</v>
      </c>
      <c r="GM52" s="1" t="s">
        <v>825</v>
      </c>
      <c r="GN52" s="1" t="s">
        <v>825</v>
      </c>
      <c r="GO52" s="1" t="s">
        <v>825</v>
      </c>
      <c r="GP52" s="1" t="s">
        <v>825</v>
      </c>
      <c r="GQ52" s="1" t="s">
        <v>826</v>
      </c>
      <c r="GR52" s="1" t="s">
        <v>826</v>
      </c>
      <c r="GS52" s="1" t="s">
        <v>827</v>
      </c>
      <c r="GT52" s="1" t="s">
        <v>827</v>
      </c>
      <c r="GU52" s="1" t="s">
        <v>828</v>
      </c>
      <c r="GV52" s="1" t="s">
        <v>828</v>
      </c>
      <c r="GW52" s="1" t="s">
        <v>829</v>
      </c>
      <c r="GX52" s="1" t="s">
        <v>829</v>
      </c>
      <c r="GY52" s="1" t="s">
        <v>830</v>
      </c>
      <c r="GZ52" s="1" t="s">
        <v>830</v>
      </c>
      <c r="HA52" s="1" t="s">
        <v>893</v>
      </c>
      <c r="HB52" s="1" t="s">
        <v>894</v>
      </c>
      <c r="HC52" s="1" t="s">
        <v>895</v>
      </c>
      <c r="HD52" s="1" t="s">
        <v>896</v>
      </c>
      <c r="HE52" s="1" t="s">
        <v>897</v>
      </c>
      <c r="HF52" s="1" t="s">
        <v>897</v>
      </c>
      <c r="HG52" s="1" t="s">
        <v>897</v>
      </c>
      <c r="HH52" s="1" t="s">
        <v>898</v>
      </c>
      <c r="HI52" s="1" t="s">
        <v>898</v>
      </c>
      <c r="HJ52" s="1" t="s">
        <v>898</v>
      </c>
      <c r="HK52" s="1" t="s">
        <v>899</v>
      </c>
      <c r="HL52" s="1" t="s">
        <v>899</v>
      </c>
      <c r="HM52" s="1" t="s">
        <v>899</v>
      </c>
      <c r="HN52" s="1" t="s">
        <v>900</v>
      </c>
      <c r="HO52" s="1" t="s">
        <v>900</v>
      </c>
      <c r="HP52" s="1" t="s">
        <v>900</v>
      </c>
      <c r="HQ52" s="1" t="s">
        <v>901</v>
      </c>
      <c r="HR52" s="1" t="s">
        <v>901</v>
      </c>
      <c r="HS52" s="1" t="s">
        <v>901</v>
      </c>
      <c r="HT52" s="1" t="s">
        <v>902</v>
      </c>
      <c r="HU52" s="1" t="s">
        <v>902</v>
      </c>
      <c r="HV52" s="1" t="s">
        <v>902</v>
      </c>
      <c r="HW52" s="1" t="s">
        <v>903</v>
      </c>
      <c r="HX52" s="1" t="s">
        <v>903</v>
      </c>
      <c r="HY52" s="1" t="s">
        <v>903</v>
      </c>
      <c r="HZ52" s="1" t="s">
        <v>903</v>
      </c>
      <c r="IA52" s="1" t="s">
        <v>904</v>
      </c>
      <c r="IB52" s="1" t="s">
        <v>904</v>
      </c>
      <c r="IC52" s="1" t="s">
        <v>904</v>
      </c>
      <c r="ID52" s="1" t="s">
        <v>904</v>
      </c>
      <c r="IE52" s="1" t="s">
        <v>905</v>
      </c>
      <c r="IF52" s="1" t="s">
        <v>905</v>
      </c>
      <c r="IG52" s="1" t="s">
        <v>905</v>
      </c>
      <c r="IH52" s="1" t="s">
        <v>905</v>
      </c>
      <c r="II52" s="1" t="s">
        <v>906</v>
      </c>
      <c r="IJ52" s="1" t="s">
        <v>906</v>
      </c>
      <c r="IK52" s="1" t="s">
        <v>906</v>
      </c>
      <c r="IL52" s="1" t="s">
        <v>906</v>
      </c>
      <c r="IM52" s="1" t="s">
        <v>907</v>
      </c>
      <c r="IN52" s="1" t="s">
        <v>907</v>
      </c>
      <c r="IO52" s="1" t="s">
        <v>907</v>
      </c>
      <c r="IP52" s="1" t="s">
        <v>907</v>
      </c>
      <c r="IQ52" s="1" t="s">
        <v>908</v>
      </c>
      <c r="IR52" s="1" t="s">
        <v>909</v>
      </c>
      <c r="IS52" s="1" t="s">
        <v>910</v>
      </c>
      <c r="IT52" s="1" t="s">
        <v>911</v>
      </c>
      <c r="IU52" s="1" t="s">
        <v>912</v>
      </c>
      <c r="IV52" s="1" t="s">
        <v>913</v>
      </c>
      <c r="IW52" s="1" t="s">
        <v>914</v>
      </c>
      <c r="IX52" s="1" t="s">
        <v>915</v>
      </c>
      <c r="IY52" s="1" t="s">
        <v>916</v>
      </c>
      <c r="IZ52" s="1" t="s">
        <v>917</v>
      </c>
      <c r="JA52" s="1" t="s">
        <v>918</v>
      </c>
      <c r="JB52" s="1" t="s">
        <v>919</v>
      </c>
      <c r="JC52" s="1" t="s">
        <v>920</v>
      </c>
      <c r="JD52" s="1" t="s">
        <v>920</v>
      </c>
      <c r="JE52" s="1" t="s">
        <v>921</v>
      </c>
      <c r="JF52" s="1" t="s">
        <v>921</v>
      </c>
      <c r="JG52" s="1" t="s">
        <v>921</v>
      </c>
      <c r="JH52" s="1" t="s">
        <v>921</v>
      </c>
      <c r="JI52" s="1" t="s">
        <v>922</v>
      </c>
      <c r="JJ52" s="1" t="s">
        <v>922</v>
      </c>
      <c r="JK52" s="1" t="s">
        <v>922</v>
      </c>
      <c r="JL52" s="1" t="s">
        <v>922</v>
      </c>
      <c r="JM52" s="1" t="s">
        <v>923</v>
      </c>
      <c r="JN52" s="1" t="s">
        <v>923</v>
      </c>
      <c r="JO52" s="1" t="s">
        <v>923</v>
      </c>
      <c r="JP52" s="1" t="s">
        <v>923</v>
      </c>
      <c r="JQ52" s="1" t="s">
        <v>924</v>
      </c>
      <c r="JR52" s="1" t="s">
        <v>924</v>
      </c>
      <c r="JS52" s="1" t="s">
        <v>924</v>
      </c>
      <c r="JT52" s="1" t="s">
        <v>924</v>
      </c>
      <c r="JU52" s="1" t="s">
        <v>925</v>
      </c>
      <c r="JV52" s="1" t="s">
        <v>925</v>
      </c>
      <c r="JW52" s="1" t="s">
        <v>925</v>
      </c>
      <c r="JX52" s="1" t="s">
        <v>925</v>
      </c>
      <c r="JY52" s="1" t="s">
        <v>831</v>
      </c>
      <c r="JZ52" s="1" t="s">
        <v>832</v>
      </c>
      <c r="KA52" s="1" t="s">
        <v>833</v>
      </c>
      <c r="KB52" s="1" t="s">
        <v>834</v>
      </c>
      <c r="KC52" s="1" t="s">
        <v>835</v>
      </c>
      <c r="KD52" s="1" t="s">
        <v>836</v>
      </c>
      <c r="KE52" s="1" t="s">
        <v>837</v>
      </c>
      <c r="KF52" s="1" t="s">
        <v>838</v>
      </c>
      <c r="KG52" s="1" t="s">
        <v>839</v>
      </c>
      <c r="KH52" s="1" t="s">
        <v>840</v>
      </c>
      <c r="KI52" s="1" t="s">
        <v>841</v>
      </c>
      <c r="KJ52" s="1" t="s">
        <v>842</v>
      </c>
      <c r="KK52" s="1" t="s">
        <v>843</v>
      </c>
      <c r="KL52" s="1" t="s">
        <v>844</v>
      </c>
      <c r="KM52" s="1" t="s">
        <v>845</v>
      </c>
      <c r="KN52" s="1" t="s">
        <v>846</v>
      </c>
      <c r="KO52" s="1" t="s">
        <v>847</v>
      </c>
      <c r="KP52" s="1" t="s">
        <v>848</v>
      </c>
      <c r="KQ52" s="1" t="s">
        <v>849</v>
      </c>
      <c r="KR52" s="1" t="s">
        <v>850</v>
      </c>
      <c r="KS52" s="1" t="s">
        <v>851</v>
      </c>
      <c r="KT52" s="1" t="s">
        <v>848</v>
      </c>
      <c r="KU52" s="1" t="s">
        <v>849</v>
      </c>
      <c r="KV52" s="1" t="s">
        <v>850</v>
      </c>
      <c r="KW52" s="1" t="s">
        <v>851</v>
      </c>
      <c r="KX52" s="1" t="s">
        <v>852</v>
      </c>
      <c r="KY52" s="1" t="s">
        <v>853</v>
      </c>
      <c r="KZ52" s="1" t="s">
        <v>854</v>
      </c>
      <c r="LA52" s="1" t="s">
        <v>855</v>
      </c>
      <c r="LB52" s="1" t="s">
        <v>856</v>
      </c>
      <c r="LC52" s="1" t="s">
        <v>857</v>
      </c>
      <c r="LD52" s="1" t="s">
        <v>858</v>
      </c>
      <c r="LE52" s="1" t="s">
        <v>859</v>
      </c>
      <c r="LF52" s="1" t="s">
        <v>860</v>
      </c>
      <c r="LG52" s="1" t="s">
        <v>861</v>
      </c>
      <c r="LH52" s="1" t="s">
        <v>862</v>
      </c>
      <c r="LI52" s="1" t="s">
        <v>863</v>
      </c>
      <c r="LJ52" s="1" t="s">
        <v>926</v>
      </c>
      <c r="LK52" s="1" t="s">
        <v>927</v>
      </c>
      <c r="LL52" s="1" t="s">
        <v>928</v>
      </c>
      <c r="LM52" s="1" t="s">
        <v>929</v>
      </c>
      <c r="LN52" s="1" t="s">
        <v>930</v>
      </c>
      <c r="LO52" s="1" t="s">
        <v>931</v>
      </c>
      <c r="LP52" s="1" t="s">
        <v>932</v>
      </c>
      <c r="LQ52" s="1" t="s">
        <v>933</v>
      </c>
      <c r="LR52" s="1" t="s">
        <v>934</v>
      </c>
      <c r="LS52" s="1" t="s">
        <v>935</v>
      </c>
      <c r="LT52" s="1" t="s">
        <v>936</v>
      </c>
      <c r="LU52" s="1" t="s">
        <v>937</v>
      </c>
      <c r="LV52" s="1" t="s">
        <v>938</v>
      </c>
      <c r="LW52" s="1" t="s">
        <v>939</v>
      </c>
      <c r="LX52" s="1" t="s">
        <v>940</v>
      </c>
      <c r="LY52" s="1" t="s">
        <v>941</v>
      </c>
      <c r="LZ52" s="1" t="s">
        <v>942</v>
      </c>
      <c r="MA52" s="1" t="s">
        <v>943</v>
      </c>
      <c r="MB52" s="1" t="s">
        <v>944</v>
      </c>
      <c r="MC52" s="1" t="s">
        <v>945</v>
      </c>
      <c r="MD52" s="1" t="s">
        <v>946</v>
      </c>
      <c r="ME52" s="1" t="s">
        <v>947</v>
      </c>
      <c r="MF52" s="1" t="s">
        <v>948</v>
      </c>
      <c r="MG52" s="1" t="s">
        <v>949</v>
      </c>
      <c r="MH52" s="1" t="s">
        <v>950</v>
      </c>
      <c r="MI52" s="1" t="s">
        <v>951</v>
      </c>
      <c r="MJ52" s="1" t="s">
        <v>952</v>
      </c>
      <c r="MK52" s="1" t="s">
        <v>953</v>
      </c>
      <c r="ML52" s="1" t="s">
        <v>954</v>
      </c>
      <c r="MM52" s="1" t="s">
        <v>955</v>
      </c>
      <c r="MN52" s="1" t="s">
        <v>956</v>
      </c>
      <c r="MO52" s="1" t="s">
        <v>957</v>
      </c>
      <c r="MP52" s="1" t="s">
        <v>958</v>
      </c>
      <c r="MQ52" s="1" t="s">
        <v>959</v>
      </c>
      <c r="MR52" s="1" t="s">
        <v>960</v>
      </c>
      <c r="MS52" s="1" t="s">
        <v>961</v>
      </c>
      <c r="MT52" s="1" t="s">
        <v>962</v>
      </c>
      <c r="MU52" s="1" t="s">
        <v>963</v>
      </c>
      <c r="MV52" s="1" t="s">
        <v>964</v>
      </c>
      <c r="MW52" s="1" t="s">
        <v>965</v>
      </c>
      <c r="MX52" s="1" t="s">
        <v>966</v>
      </c>
      <c r="MY52" s="1" t="s">
        <v>967</v>
      </c>
      <c r="MZ52" s="1" t="s">
        <v>968</v>
      </c>
      <c r="NA52" s="1" t="s">
        <v>969</v>
      </c>
      <c r="NB52" s="1" t="s">
        <v>970</v>
      </c>
      <c r="NC52" s="1" t="s">
        <v>971</v>
      </c>
      <c r="ND52" s="1" t="s">
        <v>972</v>
      </c>
      <c r="NE52" s="1" t="s">
        <v>973</v>
      </c>
      <c r="NF52" s="1" t="s">
        <v>974</v>
      </c>
      <c r="NG52" s="1" t="s">
        <v>975</v>
      </c>
      <c r="NH52" s="1" t="s">
        <v>976</v>
      </c>
      <c r="NI52" s="1" t="s">
        <v>977</v>
      </c>
      <c r="NJ52" s="1" t="s">
        <v>978</v>
      </c>
      <c r="NK52" s="1" t="s">
        <v>979</v>
      </c>
      <c r="NL52" s="1" t="s">
        <v>980</v>
      </c>
      <c r="NM52" s="1" t="s">
        <v>981</v>
      </c>
      <c r="NN52" s="1" t="s">
        <v>982</v>
      </c>
      <c r="NO52" s="1" t="s">
        <v>983</v>
      </c>
      <c r="NP52" s="1" t="s">
        <v>984</v>
      </c>
      <c r="NQ52" s="1" t="s">
        <v>985</v>
      </c>
      <c r="NR52" s="1" t="s">
        <v>986</v>
      </c>
      <c r="NS52" s="1" t="s">
        <v>987</v>
      </c>
      <c r="NT52" s="1" t="s">
        <v>988</v>
      </c>
      <c r="NU52" s="1" t="s">
        <v>989</v>
      </c>
      <c r="NV52" s="1" t="s">
        <v>990</v>
      </c>
      <c r="NW52" s="1" t="s">
        <v>991</v>
      </c>
      <c r="NX52" s="1" t="s">
        <v>992</v>
      </c>
      <c r="NY52" s="1" t="s">
        <v>993</v>
      </c>
      <c r="NZ52" s="1" t="s">
        <v>993</v>
      </c>
      <c r="OA52" s="1" t="s">
        <v>994</v>
      </c>
      <c r="OB52" s="1" t="s">
        <v>994</v>
      </c>
      <c r="OC52" s="1" t="s">
        <v>995</v>
      </c>
      <c r="OD52" s="1" t="s">
        <v>995</v>
      </c>
      <c r="OE52" s="1" t="s">
        <v>996</v>
      </c>
      <c r="OF52" s="1" t="s">
        <v>996</v>
      </c>
      <c r="OG52" s="1" t="s">
        <v>997</v>
      </c>
      <c r="OH52" s="1" t="s">
        <v>997</v>
      </c>
      <c r="OI52" s="1" t="s">
        <v>998</v>
      </c>
      <c r="OJ52" s="1" t="s">
        <v>998</v>
      </c>
      <c r="OK52" s="1" t="s">
        <v>999</v>
      </c>
      <c r="OL52" s="1" t="s">
        <v>1000</v>
      </c>
      <c r="OM52" s="1" t="s">
        <v>1001</v>
      </c>
      <c r="ON52" s="1" t="s">
        <v>1002</v>
      </c>
      <c r="OO52" s="1" t="s">
        <v>1003</v>
      </c>
      <c r="OP52" s="1" t="s">
        <v>1004</v>
      </c>
      <c r="OQ52" s="1" t="s">
        <v>1005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Q41"/>
  <sheetViews>
    <sheetView workbookViewId="0">
      <selection activeCell="I2" sqref="I2:J21"/>
    </sheetView>
  </sheetViews>
  <sheetFormatPr baseColWidth="10" defaultColWidth="9.140625" defaultRowHeight="15" x14ac:dyDescent="0.25"/>
  <cols>
    <col min="1" max="1" width="15.7109375" style="122" customWidth="1"/>
    <col min="2" max="2" width="10.7109375" style="122" customWidth="1"/>
    <col min="3" max="3" width="11.7109375" style="122" customWidth="1"/>
    <col min="4" max="4" width="18.7109375" style="154" customWidth="1"/>
    <col min="5" max="6" width="15.7109375" style="122" customWidth="1"/>
    <col min="7" max="7" width="10.7109375" style="122" customWidth="1"/>
    <col min="8" max="8" width="11.7109375" style="122" customWidth="1"/>
    <col min="9" max="9" width="18.7109375" style="122" customWidth="1"/>
    <col min="10" max="10" width="15.7109375" style="122" customWidth="1"/>
    <col min="11" max="13" width="9.140625" style="122"/>
    <col min="14" max="14" width="9" style="122" customWidth="1"/>
    <col min="18" max="16384" width="9.140625" style="122"/>
  </cols>
  <sheetData>
    <row r="1" spans="1:10" ht="24.75" customHeight="1" thickBot="1" x14ac:dyDescent="0.3">
      <c r="A1" s="415" t="s">
        <v>1075</v>
      </c>
      <c r="B1" s="416"/>
      <c r="C1" s="416"/>
      <c r="D1" s="416"/>
      <c r="E1" s="417"/>
      <c r="F1" s="418" t="s">
        <v>1076</v>
      </c>
      <c r="G1" s="419"/>
      <c r="H1" s="419"/>
      <c r="I1" s="416"/>
      <c r="J1" s="417"/>
    </row>
    <row r="2" spans="1:10" ht="15" customHeight="1" x14ac:dyDescent="0.25">
      <c r="A2" s="420" t="s">
        <v>25</v>
      </c>
      <c r="B2" s="423" t="s">
        <v>1077</v>
      </c>
      <c r="C2" s="426">
        <v>92658</v>
      </c>
      <c r="D2" s="123" t="s">
        <v>75</v>
      </c>
      <c r="E2" s="124" t="s">
        <v>1078</v>
      </c>
      <c r="F2" s="428" t="s">
        <v>15</v>
      </c>
      <c r="G2" s="431"/>
      <c r="H2" s="434">
        <v>68261</v>
      </c>
      <c r="I2" s="159" t="s">
        <v>75</v>
      </c>
      <c r="J2" s="160" t="s">
        <v>1079</v>
      </c>
    </row>
    <row r="3" spans="1:10" ht="15" customHeight="1" thickBot="1" x14ac:dyDescent="0.3">
      <c r="A3" s="421"/>
      <c r="B3" s="424"/>
      <c r="C3" s="427"/>
      <c r="D3" s="125" t="s">
        <v>1080</v>
      </c>
      <c r="E3" s="126" t="s">
        <v>1081</v>
      </c>
      <c r="F3" s="429"/>
      <c r="G3" s="432"/>
      <c r="H3" s="435"/>
      <c r="I3" s="161" t="s">
        <v>1082</v>
      </c>
      <c r="J3" s="162" t="s">
        <v>1083</v>
      </c>
    </row>
    <row r="4" spans="1:10" ht="15" customHeight="1" x14ac:dyDescent="0.25">
      <c r="A4" s="421"/>
      <c r="B4" s="424"/>
      <c r="C4" s="427"/>
      <c r="D4" s="125" t="s">
        <v>1084</v>
      </c>
      <c r="E4" s="126" t="s">
        <v>1085</v>
      </c>
      <c r="F4" s="429"/>
      <c r="G4" s="432"/>
      <c r="H4" s="435"/>
      <c r="I4" s="159" t="s">
        <v>1086</v>
      </c>
      <c r="J4" s="160" t="s">
        <v>1087</v>
      </c>
    </row>
    <row r="5" spans="1:10" ht="15" customHeight="1" thickBot="1" x14ac:dyDescent="0.3">
      <c r="A5" s="421"/>
      <c r="B5" s="424"/>
      <c r="C5" s="427"/>
      <c r="D5" s="125" t="s">
        <v>1088</v>
      </c>
      <c r="E5" s="126" t="s">
        <v>1089</v>
      </c>
      <c r="F5" s="430"/>
      <c r="G5" s="433"/>
      <c r="H5" s="436"/>
      <c r="I5" s="161"/>
      <c r="J5" s="162"/>
    </row>
    <row r="6" spans="1:10" ht="15" customHeight="1" thickBot="1" x14ac:dyDescent="0.3">
      <c r="A6" s="421"/>
      <c r="B6" s="424"/>
      <c r="C6" s="427"/>
      <c r="D6" s="127" t="s">
        <v>1090</v>
      </c>
      <c r="E6" s="128" t="s">
        <v>1091</v>
      </c>
      <c r="F6" s="437" t="s">
        <v>38</v>
      </c>
      <c r="G6" s="440"/>
      <c r="H6" s="443" t="s">
        <v>1092</v>
      </c>
      <c r="I6" s="167" t="s">
        <v>1163</v>
      </c>
      <c r="J6" s="168" t="s">
        <v>1162</v>
      </c>
    </row>
    <row r="7" spans="1:10" ht="15" customHeight="1" thickBot="1" x14ac:dyDescent="0.3">
      <c r="A7" s="421"/>
      <c r="B7" s="424"/>
      <c r="C7" s="446">
        <v>79170</v>
      </c>
      <c r="D7" s="129" t="s">
        <v>1095</v>
      </c>
      <c r="E7" s="130" t="s">
        <v>1096</v>
      </c>
      <c r="F7" s="438"/>
      <c r="G7" s="441"/>
      <c r="H7" s="444"/>
      <c r="I7" s="169"/>
      <c r="J7" s="170"/>
    </row>
    <row r="8" spans="1:10" ht="15" customHeight="1" thickBot="1" x14ac:dyDescent="0.3">
      <c r="A8" s="421"/>
      <c r="B8" s="424"/>
      <c r="C8" s="446"/>
      <c r="D8" s="127" t="s">
        <v>100</v>
      </c>
      <c r="E8" s="128" t="s">
        <v>1097</v>
      </c>
      <c r="F8" s="438"/>
      <c r="G8" s="441"/>
      <c r="H8" s="444"/>
      <c r="I8" s="167" t="s">
        <v>1093</v>
      </c>
      <c r="J8" s="168" t="s">
        <v>1094</v>
      </c>
    </row>
    <row r="9" spans="1:10" ht="15" customHeight="1" thickBot="1" x14ac:dyDescent="0.3">
      <c r="A9" s="421"/>
      <c r="B9" s="424"/>
      <c r="C9" s="446"/>
      <c r="D9" s="129" t="s">
        <v>1098</v>
      </c>
      <c r="E9" s="130" t="s">
        <v>1099</v>
      </c>
      <c r="F9" s="439"/>
      <c r="G9" s="442"/>
      <c r="H9" s="445"/>
      <c r="I9" s="169"/>
      <c r="J9" s="170"/>
    </row>
    <row r="10" spans="1:10" ht="15" customHeight="1" x14ac:dyDescent="0.25">
      <c r="A10" s="421"/>
      <c r="B10" s="424"/>
      <c r="C10" s="446"/>
      <c r="D10" s="125" t="s">
        <v>1100</v>
      </c>
      <c r="E10" s="126" t="s">
        <v>1101</v>
      </c>
      <c r="F10" s="448" t="s">
        <v>19</v>
      </c>
      <c r="G10" s="451"/>
      <c r="H10" s="454">
        <v>42634</v>
      </c>
      <c r="I10" s="163" t="s">
        <v>1102</v>
      </c>
      <c r="J10" s="164" t="s">
        <v>1103</v>
      </c>
    </row>
    <row r="11" spans="1:10" ht="15" customHeight="1" thickBot="1" x14ac:dyDescent="0.3">
      <c r="A11" s="422"/>
      <c r="B11" s="425"/>
      <c r="C11" s="447"/>
      <c r="D11" s="127" t="s">
        <v>84</v>
      </c>
      <c r="E11" s="128" t="s">
        <v>1104</v>
      </c>
      <c r="F11" s="449"/>
      <c r="G11" s="452"/>
      <c r="H11" s="455"/>
      <c r="I11" s="165" t="s">
        <v>1105</v>
      </c>
      <c r="J11" s="166" t="s">
        <v>1106</v>
      </c>
    </row>
    <row r="12" spans="1:10" ht="15" customHeight="1" thickBot="1" x14ac:dyDescent="0.3">
      <c r="A12" s="457" t="s">
        <v>18</v>
      </c>
      <c r="B12" s="481"/>
      <c r="C12" s="484" t="s">
        <v>1107</v>
      </c>
      <c r="D12" s="131" t="s">
        <v>75</v>
      </c>
      <c r="E12" s="132" t="s">
        <v>1108</v>
      </c>
      <c r="F12" s="449"/>
      <c r="G12" s="452"/>
      <c r="H12" s="455"/>
      <c r="I12" s="163" t="s">
        <v>1109</v>
      </c>
      <c r="J12" s="164" t="s">
        <v>1110</v>
      </c>
    </row>
    <row r="13" spans="1:10" ht="15" customHeight="1" thickBot="1" x14ac:dyDescent="0.3">
      <c r="A13" s="458"/>
      <c r="B13" s="482"/>
      <c r="C13" s="485"/>
      <c r="D13" s="133" t="s">
        <v>1111</v>
      </c>
      <c r="E13" s="134" t="s">
        <v>1112</v>
      </c>
      <c r="F13" s="450"/>
      <c r="G13" s="453"/>
      <c r="H13" s="456"/>
      <c r="I13" s="165"/>
      <c r="J13" s="166"/>
    </row>
    <row r="14" spans="1:10" ht="15" customHeight="1" x14ac:dyDescent="0.25">
      <c r="A14" s="458"/>
      <c r="B14" s="482"/>
      <c r="C14" s="485"/>
      <c r="D14" s="135" t="s">
        <v>1113</v>
      </c>
      <c r="E14" s="136" t="s">
        <v>1114</v>
      </c>
      <c r="F14" s="487" t="s">
        <v>1115</v>
      </c>
      <c r="G14" s="490"/>
      <c r="H14" s="478" t="s">
        <v>1116</v>
      </c>
      <c r="I14" s="171" t="s">
        <v>75</v>
      </c>
      <c r="J14" s="172" t="s">
        <v>1117</v>
      </c>
    </row>
    <row r="15" spans="1:10" ht="15" customHeight="1" x14ac:dyDescent="0.25">
      <c r="A15" s="458"/>
      <c r="B15" s="482"/>
      <c r="C15" s="485"/>
      <c r="D15" s="155" t="s">
        <v>1118</v>
      </c>
      <c r="E15" s="156" t="s">
        <v>1119</v>
      </c>
      <c r="F15" s="488"/>
      <c r="G15" s="491"/>
      <c r="H15" s="479"/>
      <c r="I15" s="173"/>
      <c r="J15" s="174"/>
    </row>
    <row r="16" spans="1:10" ht="15" customHeight="1" thickBot="1" x14ac:dyDescent="0.3">
      <c r="A16" s="459"/>
      <c r="B16" s="483"/>
      <c r="C16" s="486"/>
      <c r="D16" s="157"/>
      <c r="E16" s="158"/>
      <c r="F16" s="488"/>
      <c r="G16" s="491"/>
      <c r="H16" s="479"/>
      <c r="I16" s="173"/>
      <c r="J16" s="174"/>
    </row>
    <row r="17" spans="1:10" ht="15" customHeight="1" thickBot="1" x14ac:dyDescent="0.3">
      <c r="A17" s="466" t="s">
        <v>11</v>
      </c>
      <c r="B17" s="469"/>
      <c r="C17" s="472">
        <v>50524</v>
      </c>
      <c r="D17" s="137" t="s">
        <v>1120</v>
      </c>
      <c r="E17" s="138" t="s">
        <v>1121</v>
      </c>
      <c r="F17" s="489"/>
      <c r="G17" s="492"/>
      <c r="H17" s="480"/>
      <c r="I17" s="175"/>
      <c r="J17" s="176"/>
    </row>
    <row r="18" spans="1:10" ht="15" customHeight="1" x14ac:dyDescent="0.25">
      <c r="A18" s="467"/>
      <c r="B18" s="470"/>
      <c r="C18" s="473"/>
      <c r="D18" s="139" t="s">
        <v>1122</v>
      </c>
      <c r="E18" s="140" t="s">
        <v>1123</v>
      </c>
      <c r="F18" s="475" t="s">
        <v>1124</v>
      </c>
      <c r="G18" s="493"/>
      <c r="H18" s="460" t="s">
        <v>1125</v>
      </c>
      <c r="I18" s="177" t="s">
        <v>75</v>
      </c>
      <c r="J18" s="178" t="s">
        <v>1126</v>
      </c>
    </row>
    <row r="19" spans="1:10" ht="15" customHeight="1" x14ac:dyDescent="0.25">
      <c r="A19" s="467"/>
      <c r="B19" s="470"/>
      <c r="C19" s="473"/>
      <c r="D19" s="141" t="s">
        <v>94</v>
      </c>
      <c r="E19" s="142" t="s">
        <v>1127</v>
      </c>
      <c r="F19" s="476"/>
      <c r="G19" s="494"/>
      <c r="H19" s="461"/>
      <c r="I19" s="179"/>
      <c r="J19" s="180"/>
    </row>
    <row r="20" spans="1:10" ht="15" customHeight="1" thickBot="1" x14ac:dyDescent="0.3">
      <c r="A20" s="467"/>
      <c r="B20" s="470"/>
      <c r="C20" s="473"/>
      <c r="D20" s="143" t="s">
        <v>1128</v>
      </c>
      <c r="E20" s="144" t="s">
        <v>1129</v>
      </c>
      <c r="F20" s="476"/>
      <c r="G20" s="494"/>
      <c r="H20" s="461"/>
      <c r="I20" s="179"/>
      <c r="J20" s="180"/>
    </row>
    <row r="21" spans="1:10" ht="15" customHeight="1" thickBot="1" x14ac:dyDescent="0.3">
      <c r="A21" s="468"/>
      <c r="B21" s="471"/>
      <c r="C21" s="474"/>
      <c r="D21" s="145" t="s">
        <v>1130</v>
      </c>
      <c r="E21" s="146" t="s">
        <v>1131</v>
      </c>
      <c r="F21" s="477"/>
      <c r="G21" s="495"/>
      <c r="H21" s="462"/>
      <c r="I21" s="181"/>
      <c r="J21" s="182"/>
    </row>
    <row r="22" spans="1:10" ht="15" customHeight="1" thickBot="1" x14ac:dyDescent="0.3">
      <c r="A22" s="147"/>
      <c r="B22" s="147"/>
      <c r="C22" s="147"/>
      <c r="D22" s="147"/>
      <c r="E22" s="148"/>
      <c r="F22" s="148"/>
      <c r="G22" s="148"/>
      <c r="H22" s="148"/>
      <c r="I22" s="148"/>
      <c r="J22" s="148"/>
    </row>
    <row r="23" spans="1:10" ht="15" customHeight="1" thickBot="1" x14ac:dyDescent="0.3">
      <c r="A23" s="463" t="s">
        <v>1132</v>
      </c>
      <c r="B23" s="464"/>
      <c r="C23" s="464"/>
      <c r="D23" s="464"/>
      <c r="E23" s="465"/>
      <c r="F23" s="463" t="s">
        <v>1133</v>
      </c>
      <c r="G23" s="464"/>
      <c r="H23" s="464"/>
      <c r="I23" s="464"/>
      <c r="J23" s="465"/>
    </row>
    <row r="24" spans="1:10" ht="15" customHeight="1" x14ac:dyDescent="0.25">
      <c r="A24" s="496" t="s">
        <v>1134</v>
      </c>
      <c r="B24" s="497"/>
      <c r="C24" s="497"/>
      <c r="D24" s="498"/>
      <c r="E24" s="149" t="s">
        <v>1135</v>
      </c>
      <c r="F24" s="499" t="s">
        <v>1136</v>
      </c>
      <c r="G24" s="497"/>
      <c r="H24" s="500" t="s">
        <v>1137</v>
      </c>
      <c r="I24" s="501"/>
      <c r="J24" s="502"/>
    </row>
    <row r="25" spans="1:10" ht="15" customHeight="1" x14ac:dyDescent="0.25">
      <c r="A25" s="503" t="s">
        <v>78</v>
      </c>
      <c r="B25" s="504"/>
      <c r="C25" s="504"/>
      <c r="D25" s="505"/>
      <c r="E25" s="150" t="s">
        <v>1138</v>
      </c>
      <c r="F25" s="506" t="s">
        <v>1139</v>
      </c>
      <c r="G25" s="504"/>
      <c r="H25" s="507" t="s">
        <v>1140</v>
      </c>
      <c r="I25" s="508"/>
      <c r="J25" s="509"/>
    </row>
    <row r="26" spans="1:10" ht="15" customHeight="1" thickBot="1" x14ac:dyDescent="0.3">
      <c r="A26" s="510" t="s">
        <v>1141</v>
      </c>
      <c r="B26" s="511"/>
      <c r="C26" s="511"/>
      <c r="D26" s="512"/>
      <c r="E26" s="151" t="s">
        <v>1142</v>
      </c>
      <c r="F26" s="506" t="s">
        <v>1143</v>
      </c>
      <c r="G26" s="504"/>
      <c r="H26" s="507" t="s">
        <v>1144</v>
      </c>
      <c r="I26" s="508"/>
      <c r="J26" s="509"/>
    </row>
    <row r="27" spans="1:10" ht="15" customHeight="1" x14ac:dyDescent="0.25">
      <c r="A27" s="496" t="s">
        <v>1145</v>
      </c>
      <c r="B27" s="497"/>
      <c r="C27" s="497"/>
      <c r="D27" s="498"/>
      <c r="E27" s="149" t="s">
        <v>1146</v>
      </c>
      <c r="F27" s="506" t="s">
        <v>1147</v>
      </c>
      <c r="G27" s="504"/>
      <c r="H27" s="507" t="s">
        <v>1148</v>
      </c>
      <c r="I27" s="508"/>
      <c r="J27" s="509"/>
    </row>
    <row r="28" spans="1:10" ht="15" customHeight="1" thickBot="1" x14ac:dyDescent="0.3">
      <c r="A28" s="510" t="s">
        <v>1149</v>
      </c>
      <c r="B28" s="511"/>
      <c r="C28" s="511"/>
      <c r="D28" s="512"/>
      <c r="E28" s="151" t="s">
        <v>1150</v>
      </c>
      <c r="F28" s="524" t="s">
        <v>1151</v>
      </c>
      <c r="G28" s="511"/>
      <c r="H28" s="525" t="s">
        <v>1152</v>
      </c>
      <c r="I28" s="526"/>
      <c r="J28" s="527"/>
    </row>
    <row r="29" spans="1:10" ht="15" customHeight="1" thickBot="1" x14ac:dyDescent="0.3">
      <c r="A29" s="528" t="s">
        <v>1153</v>
      </c>
      <c r="B29" s="517"/>
      <c r="C29" s="517"/>
      <c r="D29" s="529"/>
      <c r="E29" s="152" t="s">
        <v>1154</v>
      </c>
      <c r="F29" s="530" t="s">
        <v>1155</v>
      </c>
      <c r="G29" s="531"/>
      <c r="H29" s="531"/>
      <c r="I29" s="531"/>
      <c r="J29" s="532"/>
    </row>
    <row r="30" spans="1:10" ht="15" customHeight="1" thickBot="1" x14ac:dyDescent="0.3">
      <c r="A30" s="513" t="s">
        <v>1156</v>
      </c>
      <c r="B30" s="514"/>
      <c r="C30" s="514"/>
      <c r="D30" s="515"/>
      <c r="E30" s="153" t="s">
        <v>1157</v>
      </c>
      <c r="F30" s="516" t="s">
        <v>1158</v>
      </c>
      <c r="G30" s="517"/>
      <c r="H30" s="518" t="s">
        <v>1159</v>
      </c>
      <c r="I30" s="519"/>
      <c r="J30" s="520"/>
    </row>
    <row r="31" spans="1:10" ht="15" customHeight="1" thickBot="1" x14ac:dyDescent="0.3">
      <c r="A31" s="510"/>
      <c r="B31" s="511"/>
      <c r="C31" s="511"/>
      <c r="D31" s="512"/>
      <c r="E31" s="151" t="s">
        <v>1160</v>
      </c>
      <c r="F31" s="516" t="s">
        <v>1161</v>
      </c>
      <c r="G31" s="517"/>
      <c r="H31" s="521">
        <v>3311</v>
      </c>
      <c r="I31" s="522"/>
      <c r="J31" s="523"/>
    </row>
    <row r="32" spans="1:10" ht="15" customHeight="1" x14ac:dyDescent="0.25">
      <c r="D32" s="122"/>
    </row>
    <row r="33" spans="1:4" ht="15" customHeight="1" x14ac:dyDescent="0.25">
      <c r="D33" s="122"/>
    </row>
    <row r="34" spans="1:4" ht="15" customHeight="1" x14ac:dyDescent="0.25">
      <c r="D34" s="122"/>
    </row>
    <row r="35" spans="1:4" ht="15" customHeight="1" x14ac:dyDescent="0.25">
      <c r="D35" s="122"/>
    </row>
    <row r="36" spans="1:4" ht="15" customHeight="1" x14ac:dyDescent="0.25">
      <c r="D36" s="122"/>
    </row>
    <row r="37" spans="1:4" ht="15" customHeight="1" x14ac:dyDescent="0.25">
      <c r="D37" s="122"/>
    </row>
    <row r="38" spans="1:4" ht="15" customHeight="1" x14ac:dyDescent="0.25">
      <c r="A38" s="147"/>
      <c r="B38" s="147"/>
      <c r="C38" s="147"/>
      <c r="D38" s="147"/>
    </row>
    <row r="39" spans="1:4" ht="15" customHeight="1" x14ac:dyDescent="0.25">
      <c r="D39" s="122"/>
    </row>
    <row r="40" spans="1:4" ht="15" customHeight="1" x14ac:dyDescent="0.25">
      <c r="D40" s="122"/>
    </row>
    <row r="41" spans="1:4" ht="15" customHeight="1" x14ac:dyDescent="0.25">
      <c r="D41" s="122"/>
    </row>
  </sheetData>
  <mergeCells count="51">
    <mergeCell ref="A28:D28"/>
    <mergeCell ref="F28:G28"/>
    <mergeCell ref="H28:J28"/>
    <mergeCell ref="A29:D29"/>
    <mergeCell ref="F29:J29"/>
    <mergeCell ref="A30:D31"/>
    <mergeCell ref="F30:G30"/>
    <mergeCell ref="H30:J30"/>
    <mergeCell ref="F31:G31"/>
    <mergeCell ref="H31:J31"/>
    <mergeCell ref="A26:D26"/>
    <mergeCell ref="F26:G26"/>
    <mergeCell ref="H26:J26"/>
    <mergeCell ref="A27:D27"/>
    <mergeCell ref="F27:G27"/>
    <mergeCell ref="H27:J27"/>
    <mergeCell ref="A24:D24"/>
    <mergeCell ref="F24:G24"/>
    <mergeCell ref="H24:J24"/>
    <mergeCell ref="A25:D25"/>
    <mergeCell ref="F25:G25"/>
    <mergeCell ref="H25:J25"/>
    <mergeCell ref="H18:H21"/>
    <mergeCell ref="A23:E23"/>
    <mergeCell ref="F23:J23"/>
    <mergeCell ref="A17:A21"/>
    <mergeCell ref="B17:B21"/>
    <mergeCell ref="C17:C21"/>
    <mergeCell ref="F18:F21"/>
    <mergeCell ref="H14:H17"/>
    <mergeCell ref="B12:B16"/>
    <mergeCell ref="C12:C16"/>
    <mergeCell ref="F14:F17"/>
    <mergeCell ref="G14:G17"/>
    <mergeCell ref="G18:G21"/>
    <mergeCell ref="A1:E1"/>
    <mergeCell ref="F1:J1"/>
    <mergeCell ref="A2:A11"/>
    <mergeCell ref="B2:B11"/>
    <mergeCell ref="C2:C6"/>
    <mergeCell ref="F2:F5"/>
    <mergeCell ref="G2:G5"/>
    <mergeCell ref="H2:H5"/>
    <mergeCell ref="F6:F9"/>
    <mergeCell ref="G6:G9"/>
    <mergeCell ref="H6:H9"/>
    <mergeCell ref="C7:C11"/>
    <mergeCell ref="F10:F13"/>
    <mergeCell ref="G10:G13"/>
    <mergeCell ref="H10:H13"/>
    <mergeCell ref="A12:A1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OP22"/>
  <sheetViews>
    <sheetView zoomScale="85" zoomScaleNormal="85" workbookViewId="0">
      <pane xSplit="1" topLeftCell="OD1" activePane="topRight" state="frozen"/>
      <selection pane="topRight" activeCell="A13" sqref="A13:XFD13"/>
    </sheetView>
  </sheetViews>
  <sheetFormatPr baseColWidth="10" defaultRowHeight="15" x14ac:dyDescent="0.25"/>
  <cols>
    <col min="1" max="1" width="18.5703125" bestFit="1" customWidth="1"/>
    <col min="2" max="2" width="15.5703125" bestFit="1" customWidth="1"/>
    <col min="3" max="3" width="13.42578125" bestFit="1" customWidth="1"/>
    <col min="4" max="4" width="16.28515625" bestFit="1" customWidth="1"/>
    <col min="5" max="5" width="17.42578125" bestFit="1" customWidth="1"/>
    <col min="6" max="6" width="20.28515625" bestFit="1" customWidth="1"/>
    <col min="7" max="8" width="15.42578125" bestFit="1" customWidth="1"/>
    <col min="9" max="9" width="16.42578125" bestFit="1" customWidth="1"/>
    <col min="10" max="10" width="18.28515625" bestFit="1" customWidth="1"/>
    <col min="11" max="11" width="12.42578125" bestFit="1" customWidth="1"/>
    <col min="12" max="12" width="15.28515625" bestFit="1" customWidth="1"/>
    <col min="13" max="14" width="18.28515625" bestFit="1" customWidth="1"/>
    <col min="15" max="15" width="15.28515625" bestFit="1" customWidth="1"/>
    <col min="16" max="17" width="18.28515625" bestFit="1" customWidth="1"/>
    <col min="18" max="18" width="15.7109375" bestFit="1" customWidth="1"/>
    <col min="19" max="19" width="15.42578125" bestFit="1" customWidth="1"/>
    <col min="20" max="20" width="12.42578125" bestFit="1" customWidth="1"/>
    <col min="21" max="21" width="15.28515625" bestFit="1" customWidth="1"/>
    <col min="22" max="23" width="18.28515625" bestFit="1" customWidth="1"/>
    <col min="24" max="24" width="15.28515625" bestFit="1" customWidth="1"/>
    <col min="25" max="26" width="18.28515625" bestFit="1" customWidth="1"/>
    <col min="27" max="28" width="15.42578125" bestFit="1" customWidth="1"/>
    <col min="29" max="29" width="12.42578125" bestFit="1" customWidth="1"/>
    <col min="30" max="30" width="15.28515625" bestFit="1" customWidth="1"/>
    <col min="31" max="32" width="18.28515625" bestFit="1" customWidth="1"/>
    <col min="33" max="33" width="15.28515625" bestFit="1" customWidth="1"/>
    <col min="34" max="35" width="18.28515625" bestFit="1" customWidth="1"/>
    <col min="36" max="37" width="15.42578125" bestFit="1" customWidth="1"/>
    <col min="38" max="38" width="12.7109375" customWidth="1"/>
    <col min="39" max="39" width="15.28515625" bestFit="1" customWidth="1"/>
    <col min="40" max="41" width="18.28515625" bestFit="1" customWidth="1"/>
    <col min="42" max="42" width="15.28515625" bestFit="1" customWidth="1"/>
    <col min="43" max="44" width="18.28515625" bestFit="1" customWidth="1"/>
    <col min="45" max="46" width="15.42578125" bestFit="1" customWidth="1"/>
    <col min="47" max="47" width="13.140625" customWidth="1"/>
    <col min="48" max="48" width="15.28515625" bestFit="1" customWidth="1"/>
    <col min="49" max="50" width="18.28515625" bestFit="1" customWidth="1"/>
    <col min="51" max="51" width="15.28515625" bestFit="1" customWidth="1"/>
    <col min="52" max="53" width="18.28515625" bestFit="1" customWidth="1"/>
    <col min="54" max="55" width="15.42578125" bestFit="1" customWidth="1"/>
    <col min="56" max="57" width="12.140625" customWidth="1"/>
    <col min="58" max="58" width="17.42578125" bestFit="1" customWidth="1"/>
    <col min="59" max="59" width="12.140625" customWidth="1"/>
    <col min="60" max="60" width="17.42578125" bestFit="1" customWidth="1"/>
    <col min="61" max="61" width="12.140625" customWidth="1"/>
    <col min="62" max="62" width="17.42578125" bestFit="1" customWidth="1"/>
    <col min="63" max="64" width="13.28515625" customWidth="1"/>
    <col min="65" max="71" width="12.42578125" customWidth="1"/>
    <col min="72" max="77" width="15.28515625" bestFit="1" customWidth="1"/>
    <col min="78" max="79" width="12.85546875" customWidth="1"/>
    <col min="80" max="80" width="17.42578125" bestFit="1" customWidth="1"/>
    <col min="81" max="81" width="12.85546875" customWidth="1"/>
    <col min="82" max="82" width="17.42578125" bestFit="1" customWidth="1"/>
    <col min="83" max="83" width="12.85546875" customWidth="1"/>
    <col min="84" max="84" width="17.42578125" bestFit="1" customWidth="1"/>
    <col min="85" max="85" width="12.85546875" customWidth="1"/>
    <col min="86" max="86" width="17.42578125" bestFit="1" customWidth="1"/>
    <col min="87" max="87" width="12.85546875" customWidth="1"/>
    <col min="88" max="88" width="17.42578125" bestFit="1" customWidth="1"/>
    <col min="89" max="90" width="12.42578125" customWidth="1"/>
    <col min="91" max="91" width="15.7109375" customWidth="1"/>
    <col min="92" max="92" width="17.42578125" bestFit="1" customWidth="1"/>
    <col min="93" max="93" width="15.28515625" bestFit="1" customWidth="1"/>
    <col min="94" max="94" width="12.42578125" customWidth="1"/>
    <col min="95" max="95" width="15.7109375" customWidth="1"/>
    <col min="96" max="96" width="17.42578125" bestFit="1" customWidth="1"/>
    <col min="97" max="97" width="15.28515625" bestFit="1" customWidth="1"/>
    <col min="98" max="98" width="12.42578125" customWidth="1"/>
    <col min="99" max="99" width="15.7109375" customWidth="1"/>
    <col min="100" max="100" width="17.42578125" bestFit="1" customWidth="1"/>
    <col min="101" max="101" width="15.28515625" bestFit="1" customWidth="1"/>
    <col min="102" max="102" width="12.42578125" customWidth="1"/>
    <col min="103" max="103" width="15.7109375" customWidth="1"/>
    <col min="104" max="104" width="17.42578125" bestFit="1" customWidth="1"/>
    <col min="105" max="105" width="15.28515625" bestFit="1" customWidth="1"/>
    <col min="106" max="106" width="12.5703125" customWidth="1"/>
    <col min="107" max="108" width="17" bestFit="1" customWidth="1"/>
    <col min="109" max="112" width="20.140625" bestFit="1" customWidth="1"/>
    <col min="113" max="114" width="15.5703125" customWidth="1"/>
    <col min="115" max="115" width="12.5703125" customWidth="1"/>
    <col min="116" max="117" width="17" bestFit="1" customWidth="1"/>
    <col min="118" max="121" width="20.140625" bestFit="1" customWidth="1"/>
    <col min="122" max="123" width="15.5703125" customWidth="1"/>
    <col min="124" max="124" width="12.5703125" customWidth="1"/>
    <col min="125" max="126" width="17" bestFit="1" customWidth="1"/>
    <col min="127" max="130" width="20.140625" bestFit="1" customWidth="1"/>
    <col min="131" max="132" width="15.5703125" customWidth="1"/>
    <col min="133" max="133" width="12.5703125" customWidth="1"/>
    <col min="134" max="135" width="17" bestFit="1" customWidth="1"/>
    <col min="136" max="139" width="20.140625" bestFit="1" customWidth="1"/>
    <col min="140" max="141" width="15.5703125" customWidth="1"/>
    <col min="142" max="142" width="12.5703125" customWidth="1"/>
    <col min="143" max="144" width="17" bestFit="1" customWidth="1"/>
    <col min="145" max="148" width="20.140625" bestFit="1" customWidth="1"/>
    <col min="149" max="156" width="15.5703125" customWidth="1"/>
    <col min="157" max="157" width="12.42578125" customWidth="1"/>
    <col min="158" max="158" width="10.42578125" customWidth="1"/>
    <col min="159" max="159" width="15.28515625" bestFit="1" customWidth="1"/>
    <col min="160" max="160" width="12.5703125" customWidth="1"/>
    <col min="161" max="161" width="11.7109375" customWidth="1"/>
    <col min="162" max="162" width="17.140625" bestFit="1" customWidth="1"/>
    <col min="163" max="163" width="16.28515625" bestFit="1" customWidth="1"/>
    <col min="164" max="164" width="19.140625" bestFit="1" customWidth="1"/>
    <col min="165" max="165" width="15.28515625" bestFit="1" customWidth="1"/>
    <col min="166" max="166" width="10.42578125" customWidth="1"/>
    <col min="167" max="167" width="15.28515625" bestFit="1" customWidth="1"/>
    <col min="168" max="168" width="12.5703125" customWidth="1"/>
    <col min="169" max="169" width="11.7109375" customWidth="1"/>
    <col min="170" max="170" width="17.140625" bestFit="1" customWidth="1"/>
    <col min="171" max="171" width="16.28515625" bestFit="1" customWidth="1"/>
    <col min="172" max="172" width="19.140625" bestFit="1" customWidth="1"/>
    <col min="173" max="173" width="15.28515625" bestFit="1" customWidth="1"/>
    <col min="174" max="174" width="10.42578125" customWidth="1"/>
    <col min="175" max="175" width="15.28515625" bestFit="1" customWidth="1"/>
    <col min="176" max="176" width="12.5703125" customWidth="1"/>
    <col min="177" max="177" width="11.7109375" customWidth="1"/>
    <col min="178" max="178" width="17.140625" bestFit="1" customWidth="1"/>
    <col min="179" max="179" width="16.28515625" bestFit="1" customWidth="1"/>
    <col min="180" max="180" width="19.140625" bestFit="1" customWidth="1"/>
    <col min="181" max="181" width="15.28515625" bestFit="1" customWidth="1"/>
    <col min="182" max="182" width="10.42578125" customWidth="1"/>
    <col min="183" max="183" width="15.28515625" bestFit="1" customWidth="1"/>
    <col min="184" max="184" width="12.5703125" customWidth="1"/>
    <col min="185" max="185" width="11.7109375" customWidth="1"/>
    <col min="186" max="186" width="17.140625" bestFit="1" customWidth="1"/>
    <col min="187" max="187" width="16.28515625" bestFit="1" customWidth="1"/>
    <col min="188" max="188" width="19.140625" bestFit="1" customWidth="1"/>
    <col min="189" max="189" width="15.28515625" bestFit="1" customWidth="1"/>
    <col min="190" max="190" width="10.42578125" customWidth="1"/>
    <col min="191" max="191" width="15.28515625" bestFit="1" customWidth="1"/>
    <col min="192" max="192" width="12.5703125" customWidth="1"/>
    <col min="193" max="193" width="11.7109375" customWidth="1"/>
    <col min="194" max="194" width="17.140625" bestFit="1" customWidth="1"/>
    <col min="195" max="195" width="16.28515625" bestFit="1" customWidth="1"/>
    <col min="196" max="196" width="19.140625" bestFit="1" customWidth="1"/>
    <col min="197" max="253" width="15.28515625" bestFit="1" customWidth="1"/>
    <col min="254" max="260" width="15.85546875" bestFit="1" customWidth="1"/>
    <col min="261" max="261" width="11.7109375" bestFit="1" customWidth="1"/>
    <col min="262" max="263" width="12.28515625" bestFit="1" customWidth="1"/>
    <col min="264" max="265" width="12.28515625" customWidth="1"/>
    <col min="266" max="266" width="12.42578125" customWidth="1"/>
    <col min="267" max="267" width="12.5703125" customWidth="1"/>
    <col min="284" max="290" width="12.42578125" bestFit="1" customWidth="1"/>
    <col min="291" max="296" width="15.42578125" bestFit="1" customWidth="1"/>
    <col min="297" max="297" width="23.85546875" bestFit="1" customWidth="1"/>
    <col min="298" max="300" width="15.42578125" bestFit="1" customWidth="1"/>
    <col min="301" max="304" width="18.42578125" bestFit="1" customWidth="1"/>
    <col min="305" max="308" width="18.7109375" bestFit="1" customWidth="1"/>
    <col min="309" max="309" width="17.140625" bestFit="1" customWidth="1"/>
    <col min="310" max="310" width="16" bestFit="1" customWidth="1"/>
    <col min="311" max="311" width="15.42578125" bestFit="1" customWidth="1"/>
    <col min="312" max="312" width="17.42578125" bestFit="1" customWidth="1"/>
    <col min="313" max="320" width="15.28515625" bestFit="1" customWidth="1"/>
    <col min="321" max="328" width="14.28515625" customWidth="1"/>
    <col min="329" max="329" width="15.28515625" bestFit="1" customWidth="1"/>
    <col min="330" max="331" width="14.28515625" customWidth="1"/>
    <col min="332" max="332" width="17" bestFit="1" customWidth="1"/>
    <col min="333" max="341" width="14.28515625" customWidth="1"/>
    <col min="342" max="344" width="14.85546875" bestFit="1" customWidth="1"/>
    <col min="345" max="349" width="15.42578125" bestFit="1" customWidth="1"/>
    <col min="350" max="351" width="14.28515625" customWidth="1"/>
    <col min="352" max="356" width="15.42578125" bestFit="1" customWidth="1"/>
    <col min="357" max="361" width="14.28515625" customWidth="1"/>
    <col min="362" max="366" width="15.42578125" bestFit="1" customWidth="1"/>
    <col min="367" max="377" width="14.28515625" customWidth="1"/>
    <col min="378" max="380" width="18.28515625" bestFit="1" customWidth="1"/>
    <col min="381" max="381" width="14.28515625" customWidth="1"/>
    <col min="382" max="383" width="17.42578125" bestFit="1" customWidth="1"/>
    <col min="384" max="384" width="14.28515625" customWidth="1"/>
    <col min="385" max="385" width="18.28515625" bestFit="1" customWidth="1"/>
    <col min="386" max="386" width="14.28515625" customWidth="1"/>
    <col min="387" max="387" width="17.42578125" customWidth="1"/>
    <col min="388" max="399" width="14.28515625" customWidth="1"/>
    <col min="400" max="400" width="15.28515625" bestFit="1" customWidth="1"/>
    <col min="401" max="403" width="15.7109375" bestFit="1" customWidth="1"/>
    <col min="404" max="406" width="14.28515625" customWidth="1"/>
  </cols>
  <sheetData>
    <row r="1" spans="1:406" s="206" customFormat="1" ht="17.25" x14ac:dyDescent="0.25">
      <c r="A1" s="187" t="s">
        <v>1171</v>
      </c>
      <c r="B1" s="188" t="s">
        <v>440</v>
      </c>
      <c r="C1" s="188" t="s">
        <v>171</v>
      </c>
      <c r="D1" s="188" t="s">
        <v>441</v>
      </c>
      <c r="E1" s="188" t="s">
        <v>442</v>
      </c>
      <c r="F1" s="188" t="s">
        <v>443</v>
      </c>
      <c r="G1" s="189" t="s">
        <v>444</v>
      </c>
      <c r="H1" s="189" t="s">
        <v>445</v>
      </c>
      <c r="I1" s="189" t="s">
        <v>446</v>
      </c>
      <c r="J1" s="189" t="s">
        <v>447</v>
      </c>
      <c r="K1" s="189" t="s">
        <v>448</v>
      </c>
      <c r="L1" s="189" t="s">
        <v>449</v>
      </c>
      <c r="M1" s="189" t="s">
        <v>422</v>
      </c>
      <c r="N1" s="189" t="s">
        <v>450</v>
      </c>
      <c r="O1" s="189" t="s">
        <v>451</v>
      </c>
      <c r="P1" s="189" t="s">
        <v>452</v>
      </c>
      <c r="Q1" s="189" t="s">
        <v>453</v>
      </c>
      <c r="R1" s="189" t="s">
        <v>423</v>
      </c>
      <c r="S1" s="189" t="s">
        <v>454</v>
      </c>
      <c r="T1" s="189" t="s">
        <v>455</v>
      </c>
      <c r="U1" s="189" t="s">
        <v>173</v>
      </c>
      <c r="V1" s="189" t="s">
        <v>456</v>
      </c>
      <c r="W1" s="189" t="s">
        <v>427</v>
      </c>
      <c r="X1" s="189" t="s">
        <v>457</v>
      </c>
      <c r="Y1" s="189" t="s">
        <v>458</v>
      </c>
      <c r="Z1" s="189" t="s">
        <v>459</v>
      </c>
      <c r="AA1" s="189" t="s">
        <v>460</v>
      </c>
      <c r="AB1" s="189" t="s">
        <v>461</v>
      </c>
      <c r="AC1" s="189" t="s">
        <v>462</v>
      </c>
      <c r="AD1" s="189" t="s">
        <v>175</v>
      </c>
      <c r="AE1" s="189" t="s">
        <v>463</v>
      </c>
      <c r="AF1" s="189" t="s">
        <v>464</v>
      </c>
      <c r="AG1" s="189" t="s">
        <v>465</v>
      </c>
      <c r="AH1" s="189" t="s">
        <v>466</v>
      </c>
      <c r="AI1" s="189" t="s">
        <v>467</v>
      </c>
      <c r="AJ1" s="189" t="s">
        <v>468</v>
      </c>
      <c r="AK1" s="189" t="s">
        <v>469</v>
      </c>
      <c r="AL1" s="189" t="s">
        <v>470</v>
      </c>
      <c r="AM1" s="189" t="s">
        <v>471</v>
      </c>
      <c r="AN1" s="189" t="s">
        <v>472</v>
      </c>
      <c r="AO1" s="189" t="s">
        <v>473</v>
      </c>
      <c r="AP1" s="189" t="s">
        <v>474</v>
      </c>
      <c r="AQ1" s="189" t="s">
        <v>475</v>
      </c>
      <c r="AR1" s="189" t="s">
        <v>476</v>
      </c>
      <c r="AS1" s="189" t="s">
        <v>477</v>
      </c>
      <c r="AT1" s="189" t="s">
        <v>478</v>
      </c>
      <c r="AU1" s="189" t="s">
        <v>479</v>
      </c>
      <c r="AV1" s="189" t="s">
        <v>480</v>
      </c>
      <c r="AW1" s="189" t="s">
        <v>481</v>
      </c>
      <c r="AX1" s="189" t="s">
        <v>482</v>
      </c>
      <c r="AY1" s="189" t="s">
        <v>174</v>
      </c>
      <c r="AZ1" s="189" t="s">
        <v>483</v>
      </c>
      <c r="BA1" s="189" t="s">
        <v>484</v>
      </c>
      <c r="BB1" s="189" t="s">
        <v>485</v>
      </c>
      <c r="BC1" s="189" t="s">
        <v>486</v>
      </c>
      <c r="BD1" s="188" t="s">
        <v>487</v>
      </c>
      <c r="BE1" s="188" t="s">
        <v>488</v>
      </c>
      <c r="BF1" s="188" t="s">
        <v>489</v>
      </c>
      <c r="BG1" s="188" t="s">
        <v>425</v>
      </c>
      <c r="BH1" s="188" t="s">
        <v>490</v>
      </c>
      <c r="BI1" s="188" t="s">
        <v>491</v>
      </c>
      <c r="BJ1" s="188" t="s">
        <v>492</v>
      </c>
      <c r="BK1" s="188" t="s">
        <v>170</v>
      </c>
      <c r="BL1" s="188" t="s">
        <v>90</v>
      </c>
      <c r="BM1" s="188" t="s">
        <v>80</v>
      </c>
      <c r="BN1" s="188" t="s">
        <v>420</v>
      </c>
      <c r="BO1" s="188" t="s">
        <v>79</v>
      </c>
      <c r="BP1" s="188" t="s">
        <v>89</v>
      </c>
      <c r="BQ1" s="188" t="s">
        <v>493</v>
      </c>
      <c r="BR1" s="188" t="s">
        <v>494</v>
      </c>
      <c r="BS1" s="188" t="s">
        <v>495</v>
      </c>
      <c r="BT1" s="188" t="s">
        <v>496</v>
      </c>
      <c r="BU1" s="188" t="s">
        <v>172</v>
      </c>
      <c r="BV1" s="188" t="s">
        <v>497</v>
      </c>
      <c r="BW1" s="188" t="s">
        <v>498</v>
      </c>
      <c r="BX1" s="188" t="s">
        <v>499</v>
      </c>
      <c r="BY1" s="188" t="s">
        <v>500</v>
      </c>
      <c r="BZ1" s="190" t="s">
        <v>501</v>
      </c>
      <c r="CA1" s="191" t="s">
        <v>502</v>
      </c>
      <c r="CB1" s="191" t="s">
        <v>503</v>
      </c>
      <c r="CC1" s="191" t="s">
        <v>504</v>
      </c>
      <c r="CD1" s="191" t="s">
        <v>505</v>
      </c>
      <c r="CE1" s="191" t="s">
        <v>506</v>
      </c>
      <c r="CF1" s="191" t="s">
        <v>507</v>
      </c>
      <c r="CG1" s="191" t="s">
        <v>508</v>
      </c>
      <c r="CH1" s="191" t="s">
        <v>509</v>
      </c>
      <c r="CI1" s="191" t="s">
        <v>510</v>
      </c>
      <c r="CJ1" s="191" t="s">
        <v>511</v>
      </c>
      <c r="CK1" s="190" t="s">
        <v>512</v>
      </c>
      <c r="CL1" s="191" t="s">
        <v>513</v>
      </c>
      <c r="CM1" s="191" t="s">
        <v>98</v>
      </c>
      <c r="CN1" s="191" t="s">
        <v>514</v>
      </c>
      <c r="CO1" s="191" t="s">
        <v>515</v>
      </c>
      <c r="CP1" s="191" t="s">
        <v>433</v>
      </c>
      <c r="CQ1" s="191" t="s">
        <v>516</v>
      </c>
      <c r="CR1" s="191" t="s">
        <v>517</v>
      </c>
      <c r="CS1" s="191" t="s">
        <v>518</v>
      </c>
      <c r="CT1" s="191" t="s">
        <v>519</v>
      </c>
      <c r="CU1" s="191" t="s">
        <v>520</v>
      </c>
      <c r="CV1" s="191" t="s">
        <v>521</v>
      </c>
      <c r="CW1" s="191" t="s">
        <v>522</v>
      </c>
      <c r="CX1" s="191" t="s">
        <v>523</v>
      </c>
      <c r="CY1" s="191" t="s">
        <v>524</v>
      </c>
      <c r="CZ1" s="191" t="s">
        <v>525</v>
      </c>
      <c r="DA1" s="191" t="s">
        <v>526</v>
      </c>
      <c r="DB1" s="191" t="s">
        <v>34</v>
      </c>
      <c r="DC1" s="191" t="s">
        <v>527</v>
      </c>
      <c r="DD1" s="191" t="s">
        <v>91</v>
      </c>
      <c r="DE1" s="191" t="s">
        <v>528</v>
      </c>
      <c r="DF1" s="191" t="s">
        <v>529</v>
      </c>
      <c r="DG1" s="191" t="s">
        <v>530</v>
      </c>
      <c r="DH1" s="191" t="s">
        <v>531</v>
      </c>
      <c r="DI1" s="191" t="s">
        <v>532</v>
      </c>
      <c r="DJ1" s="191" t="s">
        <v>533</v>
      </c>
      <c r="DK1" s="191" t="s">
        <v>534</v>
      </c>
      <c r="DL1" s="191" t="s">
        <v>535</v>
      </c>
      <c r="DM1" s="191" t="s">
        <v>536</v>
      </c>
      <c r="DN1" s="191" t="s">
        <v>537</v>
      </c>
      <c r="DO1" s="191" t="s">
        <v>538</v>
      </c>
      <c r="DP1" s="191" t="s">
        <v>431</v>
      </c>
      <c r="DQ1" s="191" t="s">
        <v>432</v>
      </c>
      <c r="DR1" s="191" t="s">
        <v>430</v>
      </c>
      <c r="DS1" s="191" t="s">
        <v>539</v>
      </c>
      <c r="DT1" s="191" t="s">
        <v>540</v>
      </c>
      <c r="DU1" s="191" t="s">
        <v>541</v>
      </c>
      <c r="DV1" s="191" t="s">
        <v>542</v>
      </c>
      <c r="DW1" s="191" t="s">
        <v>543</v>
      </c>
      <c r="DX1" s="191" t="s">
        <v>544</v>
      </c>
      <c r="DY1" s="191" t="s">
        <v>545</v>
      </c>
      <c r="DZ1" s="191" t="s">
        <v>97</v>
      </c>
      <c r="EA1" s="191" t="s">
        <v>546</v>
      </c>
      <c r="EB1" s="191" t="s">
        <v>547</v>
      </c>
      <c r="EC1" s="191" t="s">
        <v>548</v>
      </c>
      <c r="ED1" s="191" t="s">
        <v>549</v>
      </c>
      <c r="EE1" s="191" t="s">
        <v>550</v>
      </c>
      <c r="EF1" s="191" t="s">
        <v>551</v>
      </c>
      <c r="EG1" s="191" t="s">
        <v>552</v>
      </c>
      <c r="EH1" s="191" t="s">
        <v>553</v>
      </c>
      <c r="EI1" s="191" t="s">
        <v>554</v>
      </c>
      <c r="EJ1" s="191" t="s">
        <v>555</v>
      </c>
      <c r="EK1" s="191" t="s">
        <v>556</v>
      </c>
      <c r="EL1" s="191" t="s">
        <v>557</v>
      </c>
      <c r="EM1" s="191" t="s">
        <v>558</v>
      </c>
      <c r="EN1" s="191" t="s">
        <v>559</v>
      </c>
      <c r="EO1" s="191" t="s">
        <v>560</v>
      </c>
      <c r="EP1" s="191" t="s">
        <v>561</v>
      </c>
      <c r="EQ1" s="191" t="s">
        <v>562</v>
      </c>
      <c r="ER1" s="191" t="s">
        <v>563</v>
      </c>
      <c r="ES1" s="191" t="s">
        <v>564</v>
      </c>
      <c r="ET1" s="191" t="s">
        <v>565</v>
      </c>
      <c r="EU1" s="191" t="s">
        <v>566</v>
      </c>
      <c r="EV1" s="191" t="s">
        <v>567</v>
      </c>
      <c r="EW1" s="191" t="s">
        <v>568</v>
      </c>
      <c r="EX1" s="191" t="s">
        <v>569</v>
      </c>
      <c r="EY1" s="191" t="s">
        <v>570</v>
      </c>
      <c r="EZ1" s="191" t="s">
        <v>571</v>
      </c>
      <c r="FA1" s="192" t="s">
        <v>429</v>
      </c>
      <c r="FB1" s="192" t="s">
        <v>95</v>
      </c>
      <c r="FC1" s="192" t="s">
        <v>572</v>
      </c>
      <c r="FD1" s="192" t="s">
        <v>32</v>
      </c>
      <c r="FE1" s="192" t="s">
        <v>573</v>
      </c>
      <c r="FF1" s="192" t="s">
        <v>574</v>
      </c>
      <c r="FG1" s="192" t="s">
        <v>575</v>
      </c>
      <c r="FH1" s="192" t="s">
        <v>576</v>
      </c>
      <c r="FI1" s="192" t="s">
        <v>577</v>
      </c>
      <c r="FJ1" s="192" t="s">
        <v>428</v>
      </c>
      <c r="FK1" s="192" t="s">
        <v>578</v>
      </c>
      <c r="FL1" s="192" t="s">
        <v>579</v>
      </c>
      <c r="FM1" s="192" t="s">
        <v>580</v>
      </c>
      <c r="FN1" s="192" t="s">
        <v>581</v>
      </c>
      <c r="FO1" s="192" t="s">
        <v>582</v>
      </c>
      <c r="FP1" s="192" t="s">
        <v>583</v>
      </c>
      <c r="FQ1" s="192" t="s">
        <v>584</v>
      </c>
      <c r="FR1" s="192" t="s">
        <v>585</v>
      </c>
      <c r="FS1" s="192" t="s">
        <v>586</v>
      </c>
      <c r="FT1" s="192" t="s">
        <v>587</v>
      </c>
      <c r="FU1" s="192" t="s">
        <v>588</v>
      </c>
      <c r="FV1" s="192" t="s">
        <v>589</v>
      </c>
      <c r="FW1" s="192" t="s">
        <v>590</v>
      </c>
      <c r="FX1" s="192" t="s">
        <v>591</v>
      </c>
      <c r="FY1" s="192" t="s">
        <v>592</v>
      </c>
      <c r="FZ1" s="192" t="s">
        <v>593</v>
      </c>
      <c r="GA1" s="192" t="s">
        <v>594</v>
      </c>
      <c r="GB1" s="192" t="s">
        <v>595</v>
      </c>
      <c r="GC1" s="192" t="s">
        <v>596</v>
      </c>
      <c r="GD1" s="192" t="s">
        <v>597</v>
      </c>
      <c r="GE1" s="192" t="s">
        <v>598</v>
      </c>
      <c r="GF1" s="192" t="s">
        <v>599</v>
      </c>
      <c r="GG1" s="192" t="s">
        <v>600</v>
      </c>
      <c r="GH1" s="192" t="s">
        <v>601</v>
      </c>
      <c r="GI1" s="192" t="s">
        <v>602</v>
      </c>
      <c r="GJ1" s="192" t="s">
        <v>37</v>
      </c>
      <c r="GK1" s="192" t="s">
        <v>603</v>
      </c>
      <c r="GL1" s="192" t="s">
        <v>604</v>
      </c>
      <c r="GM1" s="192" t="s">
        <v>605</v>
      </c>
      <c r="GN1" s="192" t="s">
        <v>606</v>
      </c>
      <c r="GO1" s="192" t="s">
        <v>607</v>
      </c>
      <c r="GP1" s="192" t="s">
        <v>608</v>
      </c>
      <c r="GQ1" s="192" t="s">
        <v>609</v>
      </c>
      <c r="GR1" s="192" t="s">
        <v>610</v>
      </c>
      <c r="GS1" s="192" t="s">
        <v>611</v>
      </c>
      <c r="GT1" s="192" t="s">
        <v>612</v>
      </c>
      <c r="GU1" s="192" t="s">
        <v>613</v>
      </c>
      <c r="GV1" s="192" t="s">
        <v>614</v>
      </c>
      <c r="GW1" s="192" t="s">
        <v>615</v>
      </c>
      <c r="GX1" s="192" t="s">
        <v>93</v>
      </c>
      <c r="GY1" s="192" t="s">
        <v>616</v>
      </c>
      <c r="GZ1" s="193" t="s">
        <v>178</v>
      </c>
      <c r="HA1" s="193" t="s">
        <v>177</v>
      </c>
      <c r="HB1" s="193" t="s">
        <v>176</v>
      </c>
      <c r="HC1" s="193" t="s">
        <v>181</v>
      </c>
      <c r="HD1" s="193" t="s">
        <v>617</v>
      </c>
      <c r="HE1" s="193" t="s">
        <v>618</v>
      </c>
      <c r="HF1" s="193" t="s">
        <v>619</v>
      </c>
      <c r="HG1" s="193" t="s">
        <v>620</v>
      </c>
      <c r="HH1" s="193" t="s">
        <v>621</v>
      </c>
      <c r="HI1" s="193" t="s">
        <v>622</v>
      </c>
      <c r="HJ1" s="193" t="s">
        <v>623</v>
      </c>
      <c r="HK1" s="193" t="s">
        <v>624</v>
      </c>
      <c r="HL1" s="193" t="s">
        <v>625</v>
      </c>
      <c r="HM1" s="193" t="s">
        <v>31</v>
      </c>
      <c r="HN1" s="193" t="s">
        <v>626</v>
      </c>
      <c r="HO1" s="193" t="s">
        <v>627</v>
      </c>
      <c r="HP1" s="193" t="s">
        <v>628</v>
      </c>
      <c r="HQ1" s="193" t="s">
        <v>629</v>
      </c>
      <c r="HR1" s="193" t="s">
        <v>630</v>
      </c>
      <c r="HS1" s="193" t="s">
        <v>631</v>
      </c>
      <c r="HT1" s="193" t="s">
        <v>632</v>
      </c>
      <c r="HU1" s="193" t="s">
        <v>633</v>
      </c>
      <c r="HV1" s="193" t="s">
        <v>92</v>
      </c>
      <c r="HW1" s="193" t="s">
        <v>634</v>
      </c>
      <c r="HX1" s="193" t="s">
        <v>635</v>
      </c>
      <c r="HY1" s="193" t="s">
        <v>636</v>
      </c>
      <c r="HZ1" s="193" t="s">
        <v>637</v>
      </c>
      <c r="IA1" s="193" t="s">
        <v>638</v>
      </c>
      <c r="IB1" s="193" t="s">
        <v>639</v>
      </c>
      <c r="IC1" s="193" t="s">
        <v>640</v>
      </c>
      <c r="ID1" s="193" t="s">
        <v>641</v>
      </c>
      <c r="IE1" s="193" t="s">
        <v>642</v>
      </c>
      <c r="IF1" s="193" t="s">
        <v>643</v>
      </c>
      <c r="IG1" s="193" t="s">
        <v>644</v>
      </c>
      <c r="IH1" s="193" t="s">
        <v>645</v>
      </c>
      <c r="II1" s="193" t="s">
        <v>646</v>
      </c>
      <c r="IJ1" s="193" t="s">
        <v>647</v>
      </c>
      <c r="IK1" s="193" t="s">
        <v>648</v>
      </c>
      <c r="IL1" s="193" t="s">
        <v>649</v>
      </c>
      <c r="IM1" s="193" t="s">
        <v>650</v>
      </c>
      <c r="IN1" s="193" t="s">
        <v>651</v>
      </c>
      <c r="IO1" s="193" t="s">
        <v>652</v>
      </c>
      <c r="IP1" s="193" t="s">
        <v>653</v>
      </c>
      <c r="IQ1" s="193" t="s">
        <v>180</v>
      </c>
      <c r="IR1" s="193" t="s">
        <v>179</v>
      </c>
      <c r="IS1" s="193" t="s">
        <v>654</v>
      </c>
      <c r="IT1" s="193" t="s">
        <v>655</v>
      </c>
      <c r="IU1" s="193" t="s">
        <v>656</v>
      </c>
      <c r="IV1" s="193" t="s">
        <v>657</v>
      </c>
      <c r="IW1" s="193" t="s">
        <v>658</v>
      </c>
      <c r="IX1" s="193" t="s">
        <v>659</v>
      </c>
      <c r="IY1" s="193" t="s">
        <v>182</v>
      </c>
      <c r="IZ1" s="193" t="s">
        <v>660</v>
      </c>
      <c r="JA1" s="194" t="s">
        <v>661</v>
      </c>
      <c r="JB1" s="194" t="s">
        <v>436</v>
      </c>
      <c r="JC1" s="194" t="s">
        <v>662</v>
      </c>
      <c r="JD1" s="194" t="s">
        <v>663</v>
      </c>
      <c r="JE1" s="194" t="s">
        <v>664</v>
      </c>
      <c r="JF1" s="194" t="s">
        <v>665</v>
      </c>
      <c r="JG1" s="194" t="s">
        <v>666</v>
      </c>
      <c r="JH1" s="194" t="s">
        <v>667</v>
      </c>
      <c r="JI1" s="194" t="s">
        <v>668</v>
      </c>
      <c r="JJ1" s="194" t="s">
        <v>669</v>
      </c>
      <c r="JK1" s="194" t="s">
        <v>670</v>
      </c>
      <c r="JL1" s="194" t="s">
        <v>671</v>
      </c>
      <c r="JM1" s="194" t="s">
        <v>672</v>
      </c>
      <c r="JN1" s="194" t="s">
        <v>673</v>
      </c>
      <c r="JO1" s="194" t="s">
        <v>674</v>
      </c>
      <c r="JP1" s="194" t="s">
        <v>675</v>
      </c>
      <c r="JQ1" s="194" t="s">
        <v>676</v>
      </c>
      <c r="JR1" s="194" t="s">
        <v>677</v>
      </c>
      <c r="JS1" s="194" t="s">
        <v>678</v>
      </c>
      <c r="JT1" s="194" t="s">
        <v>679</v>
      </c>
      <c r="JU1" s="194" t="s">
        <v>680</v>
      </c>
      <c r="JV1" s="194" t="s">
        <v>681</v>
      </c>
      <c r="JW1" s="194" t="s">
        <v>682</v>
      </c>
      <c r="JX1" s="195" t="s">
        <v>683</v>
      </c>
      <c r="JY1" s="195" t="s">
        <v>684</v>
      </c>
      <c r="JZ1" s="195" t="s">
        <v>685</v>
      </c>
      <c r="KA1" s="195" t="s">
        <v>686</v>
      </c>
      <c r="KB1" s="195" t="s">
        <v>687</v>
      </c>
      <c r="KC1" s="195" t="s">
        <v>688</v>
      </c>
      <c r="KD1" s="195" t="s">
        <v>689</v>
      </c>
      <c r="KE1" s="195" t="s">
        <v>1172</v>
      </c>
      <c r="KF1" s="195" t="s">
        <v>1029</v>
      </c>
      <c r="KG1" s="195" t="s">
        <v>1173</v>
      </c>
      <c r="KH1" s="195" t="s">
        <v>1174</v>
      </c>
      <c r="KI1" s="195" t="s">
        <v>1175</v>
      </c>
      <c r="KJ1" s="195" t="s">
        <v>1030</v>
      </c>
      <c r="KK1" s="195" t="s">
        <v>696</v>
      </c>
      <c r="KL1" s="195" t="s">
        <v>697</v>
      </c>
      <c r="KM1" s="195" t="s">
        <v>698</v>
      </c>
      <c r="KN1" s="195" t="s">
        <v>699</v>
      </c>
      <c r="KO1" s="196" t="s">
        <v>700</v>
      </c>
      <c r="KP1" s="196" t="s">
        <v>701</v>
      </c>
      <c r="KQ1" s="196" t="s">
        <v>702</v>
      </c>
      <c r="KR1" s="196" t="s">
        <v>703</v>
      </c>
      <c r="KS1" s="196" t="s">
        <v>704</v>
      </c>
      <c r="KT1" s="196" t="s">
        <v>705</v>
      </c>
      <c r="KU1" s="196" t="s">
        <v>706</v>
      </c>
      <c r="KV1" s="196" t="s">
        <v>435</v>
      </c>
      <c r="KW1" s="196" t="s">
        <v>707</v>
      </c>
      <c r="KX1" s="196" t="s">
        <v>708</v>
      </c>
      <c r="KY1" s="196" t="s">
        <v>709</v>
      </c>
      <c r="KZ1" s="196" t="s">
        <v>710</v>
      </c>
      <c r="LA1" s="196" t="s">
        <v>711</v>
      </c>
      <c r="LB1" s="196" t="s">
        <v>434</v>
      </c>
      <c r="LC1" s="196" t="s">
        <v>712</v>
      </c>
      <c r="LD1" s="196" t="s">
        <v>713</v>
      </c>
      <c r="LE1" s="196" t="s">
        <v>714</v>
      </c>
      <c r="LF1" s="196" t="s">
        <v>715</v>
      </c>
      <c r="LG1" s="196" t="s">
        <v>716</v>
      </c>
      <c r="LH1" s="196" t="s">
        <v>717</v>
      </c>
      <c r="LI1" s="197" t="s">
        <v>718</v>
      </c>
      <c r="LJ1" s="197" t="s">
        <v>719</v>
      </c>
      <c r="LK1" s="197" t="s">
        <v>720</v>
      </c>
      <c r="LL1" s="197" t="s">
        <v>721</v>
      </c>
      <c r="LM1" s="198" t="s">
        <v>722</v>
      </c>
      <c r="LN1" s="198" t="s">
        <v>723</v>
      </c>
      <c r="LO1" s="198" t="s">
        <v>724</v>
      </c>
      <c r="LP1" s="198" t="s">
        <v>725</v>
      </c>
      <c r="LQ1" s="198" t="s">
        <v>726</v>
      </c>
      <c r="LR1" s="198" t="s">
        <v>727</v>
      </c>
      <c r="LS1" s="198" t="s">
        <v>728</v>
      </c>
      <c r="LT1" s="198" t="s">
        <v>729</v>
      </c>
      <c r="LU1" s="197" t="s">
        <v>730</v>
      </c>
      <c r="LV1" s="197" t="s">
        <v>731</v>
      </c>
      <c r="LW1" s="197" t="s">
        <v>732</v>
      </c>
      <c r="LX1" s="197" t="s">
        <v>733</v>
      </c>
      <c r="LY1" s="197" t="s">
        <v>734</v>
      </c>
      <c r="LZ1" s="197" t="s">
        <v>735</v>
      </c>
      <c r="MA1" s="197" t="s">
        <v>736</v>
      </c>
      <c r="MB1" s="197" t="s">
        <v>737</v>
      </c>
      <c r="MC1" s="197" t="s">
        <v>738</v>
      </c>
      <c r="MD1" s="197" t="s">
        <v>739</v>
      </c>
      <c r="ME1" s="197" t="s">
        <v>740</v>
      </c>
      <c r="MF1" s="197" t="s">
        <v>741</v>
      </c>
      <c r="MG1" s="199" t="s">
        <v>730</v>
      </c>
      <c r="MH1" s="199" t="s">
        <v>731</v>
      </c>
      <c r="MI1" s="199" t="s">
        <v>732</v>
      </c>
      <c r="MJ1" s="199" t="s">
        <v>733</v>
      </c>
      <c r="MK1" s="199" t="s">
        <v>734</v>
      </c>
      <c r="ML1" s="197" t="s">
        <v>742</v>
      </c>
      <c r="MM1" s="197" t="s">
        <v>743</v>
      </c>
      <c r="MN1" s="199" t="s">
        <v>744</v>
      </c>
      <c r="MO1" s="199" t="s">
        <v>745</v>
      </c>
      <c r="MP1" s="199" t="s">
        <v>746</v>
      </c>
      <c r="MQ1" s="199" t="s">
        <v>747</v>
      </c>
      <c r="MR1" s="199" t="s">
        <v>748</v>
      </c>
      <c r="MS1" s="197" t="s">
        <v>749</v>
      </c>
      <c r="MT1" s="197" t="s">
        <v>750</v>
      </c>
      <c r="MU1" s="197" t="s">
        <v>751</v>
      </c>
      <c r="MV1" s="197" t="s">
        <v>752</v>
      </c>
      <c r="MW1" s="197" t="s">
        <v>753</v>
      </c>
      <c r="MX1" s="199" t="s">
        <v>754</v>
      </c>
      <c r="MY1" s="199" t="s">
        <v>755</v>
      </c>
      <c r="MZ1" s="199" t="s">
        <v>756</v>
      </c>
      <c r="NA1" s="199" t="s">
        <v>757</v>
      </c>
      <c r="NB1" s="199" t="s">
        <v>758</v>
      </c>
      <c r="NC1" s="200" t="s">
        <v>759</v>
      </c>
      <c r="ND1" s="201" t="s">
        <v>760</v>
      </c>
      <c r="NE1" s="201" t="s">
        <v>761</v>
      </c>
      <c r="NF1" s="201" t="s">
        <v>762</v>
      </c>
      <c r="NG1" s="201" t="s">
        <v>763</v>
      </c>
      <c r="NH1" s="200" t="s">
        <v>764</v>
      </c>
      <c r="NI1" s="201" t="s">
        <v>765</v>
      </c>
      <c r="NJ1" s="201" t="s">
        <v>766</v>
      </c>
      <c r="NK1" s="201" t="s">
        <v>767</v>
      </c>
      <c r="NL1" s="201" t="s">
        <v>768</v>
      </c>
      <c r="NM1" s="200" t="s">
        <v>769</v>
      </c>
      <c r="NN1" s="201" t="s">
        <v>770</v>
      </c>
      <c r="NO1" s="201" t="s">
        <v>771</v>
      </c>
      <c r="NP1" s="201" t="s">
        <v>772</v>
      </c>
      <c r="NQ1" s="200" t="s">
        <v>773</v>
      </c>
      <c r="NR1" s="201" t="s">
        <v>774</v>
      </c>
      <c r="NS1" s="201" t="s">
        <v>775</v>
      </c>
      <c r="NT1" s="200" t="s">
        <v>776</v>
      </c>
      <c r="NU1" s="201" t="s">
        <v>777</v>
      </c>
      <c r="NV1" s="200" t="s">
        <v>778</v>
      </c>
      <c r="NW1" s="201" t="s">
        <v>779</v>
      </c>
      <c r="NX1" s="202" t="s">
        <v>780</v>
      </c>
      <c r="NY1" s="202" t="s">
        <v>781</v>
      </c>
      <c r="NZ1" s="202" t="s">
        <v>782</v>
      </c>
      <c r="OA1" s="202" t="s">
        <v>783</v>
      </c>
      <c r="OB1" s="202" t="s">
        <v>784</v>
      </c>
      <c r="OC1" s="202" t="s">
        <v>785</v>
      </c>
      <c r="OD1" s="202" t="s">
        <v>786</v>
      </c>
      <c r="OE1" s="202" t="s">
        <v>787</v>
      </c>
      <c r="OF1" s="202" t="s">
        <v>788</v>
      </c>
      <c r="OG1" s="202" t="s">
        <v>789</v>
      </c>
      <c r="OH1" s="202" t="s">
        <v>790</v>
      </c>
      <c r="OI1" s="202" t="s">
        <v>791</v>
      </c>
      <c r="OJ1" s="203" t="s">
        <v>792</v>
      </c>
      <c r="OK1" s="204" t="s">
        <v>793</v>
      </c>
      <c r="OL1" s="204" t="s">
        <v>794</v>
      </c>
      <c r="OM1" s="204" t="s">
        <v>795</v>
      </c>
      <c r="ON1" s="205" t="s">
        <v>796</v>
      </c>
      <c r="OO1" s="205" t="s">
        <v>797</v>
      </c>
      <c r="OP1" s="205" t="s">
        <v>798</v>
      </c>
    </row>
    <row r="2" spans="1:406" s="209" customFormat="1" ht="50.25" customHeight="1" x14ac:dyDescent="0.25">
      <c r="A2" s="187" t="s">
        <v>1171</v>
      </c>
      <c r="B2" s="188" t="s">
        <v>1176</v>
      </c>
      <c r="C2" s="188" t="s">
        <v>1177</v>
      </c>
      <c r="D2" s="188" t="s">
        <v>1177</v>
      </c>
      <c r="E2" s="188" t="s">
        <v>1177</v>
      </c>
      <c r="F2" s="188" t="s">
        <v>1177</v>
      </c>
      <c r="G2" s="188" t="s">
        <v>1178</v>
      </c>
      <c r="H2" s="188" t="s">
        <v>1178</v>
      </c>
      <c r="I2" s="188" t="s">
        <v>1178</v>
      </c>
      <c r="J2" s="188" t="s">
        <v>1178</v>
      </c>
      <c r="K2" s="189" t="s">
        <v>1179</v>
      </c>
      <c r="L2" s="189" t="s">
        <v>1179</v>
      </c>
      <c r="M2" s="189" t="s">
        <v>1179</v>
      </c>
      <c r="N2" s="189" t="s">
        <v>1179</v>
      </c>
      <c r="O2" s="189" t="s">
        <v>1179</v>
      </c>
      <c r="P2" s="189" t="s">
        <v>1179</v>
      </c>
      <c r="Q2" s="189" t="s">
        <v>1179</v>
      </c>
      <c r="R2" s="189" t="s">
        <v>1179</v>
      </c>
      <c r="S2" s="189" t="s">
        <v>1179</v>
      </c>
      <c r="T2" s="189" t="s">
        <v>1180</v>
      </c>
      <c r="U2" s="189" t="s">
        <v>1180</v>
      </c>
      <c r="V2" s="189" t="s">
        <v>1180</v>
      </c>
      <c r="W2" s="189" t="s">
        <v>1180</v>
      </c>
      <c r="X2" s="189" t="s">
        <v>1180</v>
      </c>
      <c r="Y2" s="189" t="s">
        <v>1180</v>
      </c>
      <c r="Z2" s="189" t="s">
        <v>1180</v>
      </c>
      <c r="AA2" s="189" t="s">
        <v>1180</v>
      </c>
      <c r="AB2" s="189" t="s">
        <v>1180</v>
      </c>
      <c r="AC2" s="189" t="s">
        <v>1181</v>
      </c>
      <c r="AD2" s="189" t="s">
        <v>1181</v>
      </c>
      <c r="AE2" s="189" t="s">
        <v>1181</v>
      </c>
      <c r="AF2" s="189" t="s">
        <v>1181</v>
      </c>
      <c r="AG2" s="189" t="s">
        <v>1181</v>
      </c>
      <c r="AH2" s="189" t="s">
        <v>1181</v>
      </c>
      <c r="AI2" s="189" t="s">
        <v>1181</v>
      </c>
      <c r="AJ2" s="189" t="s">
        <v>1181</v>
      </c>
      <c r="AK2" s="189" t="s">
        <v>1181</v>
      </c>
      <c r="AL2" s="189" t="s">
        <v>1182</v>
      </c>
      <c r="AM2" s="189" t="s">
        <v>1182</v>
      </c>
      <c r="AN2" s="189" t="s">
        <v>1182</v>
      </c>
      <c r="AO2" s="189" t="s">
        <v>1182</v>
      </c>
      <c r="AP2" s="189" t="s">
        <v>1182</v>
      </c>
      <c r="AQ2" s="189" t="s">
        <v>1182</v>
      </c>
      <c r="AR2" s="189" t="s">
        <v>1182</v>
      </c>
      <c r="AS2" s="189" t="s">
        <v>1182</v>
      </c>
      <c r="AT2" s="189" t="s">
        <v>1182</v>
      </c>
      <c r="AU2" s="189" t="s">
        <v>1183</v>
      </c>
      <c r="AV2" s="189" t="s">
        <v>1183</v>
      </c>
      <c r="AW2" s="189" t="s">
        <v>1183</v>
      </c>
      <c r="AX2" s="189" t="s">
        <v>1183</v>
      </c>
      <c r="AY2" s="189" t="s">
        <v>1183</v>
      </c>
      <c r="AZ2" s="189" t="s">
        <v>1183</v>
      </c>
      <c r="BA2" s="189" t="s">
        <v>1183</v>
      </c>
      <c r="BB2" s="189" t="s">
        <v>1183</v>
      </c>
      <c r="BC2" s="189" t="s">
        <v>1183</v>
      </c>
      <c r="BD2" s="188" t="s">
        <v>1184</v>
      </c>
      <c r="BE2" s="188" t="s">
        <v>1185</v>
      </c>
      <c r="BF2" s="188" t="s">
        <v>1186</v>
      </c>
      <c r="BG2" s="188" t="s">
        <v>1187</v>
      </c>
      <c r="BH2" s="188" t="s">
        <v>1188</v>
      </c>
      <c r="BI2" s="188" t="s">
        <v>1189</v>
      </c>
      <c r="BJ2" s="188" t="s">
        <v>1190</v>
      </c>
      <c r="BK2" s="188" t="s">
        <v>1191</v>
      </c>
      <c r="BL2" s="188" t="s">
        <v>1192</v>
      </c>
      <c r="BM2" s="188" t="s">
        <v>1193</v>
      </c>
      <c r="BN2" s="188" t="s">
        <v>1194</v>
      </c>
      <c r="BO2" s="188" t="s">
        <v>1195</v>
      </c>
      <c r="BP2" s="188" t="s">
        <v>1196</v>
      </c>
      <c r="BQ2" s="188" t="s">
        <v>1197</v>
      </c>
      <c r="BR2" s="188" t="s">
        <v>1198</v>
      </c>
      <c r="BS2" s="188" t="s">
        <v>1199</v>
      </c>
      <c r="BT2" s="188" t="s">
        <v>1200</v>
      </c>
      <c r="BU2" s="188" t="s">
        <v>1201</v>
      </c>
      <c r="BV2" s="188" t="s">
        <v>1202</v>
      </c>
      <c r="BW2" s="188" t="s">
        <v>1203</v>
      </c>
      <c r="BX2" s="188" t="s">
        <v>1204</v>
      </c>
      <c r="BY2" s="188" t="s">
        <v>1205</v>
      </c>
      <c r="BZ2" s="190" t="s">
        <v>1206</v>
      </c>
      <c r="CA2" s="190" t="s">
        <v>1207</v>
      </c>
      <c r="CB2" s="190" t="s">
        <v>1207</v>
      </c>
      <c r="CC2" s="190" t="s">
        <v>1208</v>
      </c>
      <c r="CD2" s="190" t="s">
        <v>1208</v>
      </c>
      <c r="CE2" s="190" t="s">
        <v>1209</v>
      </c>
      <c r="CF2" s="190" t="s">
        <v>1209</v>
      </c>
      <c r="CG2" s="190" t="s">
        <v>1210</v>
      </c>
      <c r="CH2" s="190" t="s">
        <v>1210</v>
      </c>
      <c r="CI2" s="190" t="s">
        <v>1211</v>
      </c>
      <c r="CJ2" s="190" t="s">
        <v>1211</v>
      </c>
      <c r="CK2" s="190" t="s">
        <v>1212</v>
      </c>
      <c r="CL2" s="190" t="s">
        <v>1213</v>
      </c>
      <c r="CM2" s="190" t="s">
        <v>1213</v>
      </c>
      <c r="CN2" s="190" t="s">
        <v>1213</v>
      </c>
      <c r="CO2" s="190" t="s">
        <v>1213</v>
      </c>
      <c r="CP2" s="190" t="s">
        <v>1214</v>
      </c>
      <c r="CQ2" s="190" t="s">
        <v>1214</v>
      </c>
      <c r="CR2" s="190" t="s">
        <v>1214</v>
      </c>
      <c r="CS2" s="190" t="s">
        <v>1214</v>
      </c>
      <c r="CT2" s="190" t="s">
        <v>1215</v>
      </c>
      <c r="CU2" s="190" t="s">
        <v>1215</v>
      </c>
      <c r="CV2" s="190" t="s">
        <v>1215</v>
      </c>
      <c r="CW2" s="190" t="s">
        <v>1215</v>
      </c>
      <c r="CX2" s="190" t="s">
        <v>1216</v>
      </c>
      <c r="CY2" s="190" t="s">
        <v>1216</v>
      </c>
      <c r="CZ2" s="190" t="s">
        <v>1216</v>
      </c>
      <c r="DA2" s="190" t="s">
        <v>1216</v>
      </c>
      <c r="DB2" s="191" t="s">
        <v>1217</v>
      </c>
      <c r="DC2" s="191" t="s">
        <v>1217</v>
      </c>
      <c r="DD2" s="191" t="s">
        <v>1217</v>
      </c>
      <c r="DE2" s="191" t="s">
        <v>1217</v>
      </c>
      <c r="DF2" s="191" t="s">
        <v>1217</v>
      </c>
      <c r="DG2" s="191" t="s">
        <v>1217</v>
      </c>
      <c r="DH2" s="191" t="s">
        <v>1217</v>
      </c>
      <c r="DI2" s="191" t="s">
        <v>1217</v>
      </c>
      <c r="DJ2" s="191" t="s">
        <v>1217</v>
      </c>
      <c r="DK2" s="191" t="s">
        <v>1218</v>
      </c>
      <c r="DL2" s="191" t="s">
        <v>1218</v>
      </c>
      <c r="DM2" s="191" t="s">
        <v>1218</v>
      </c>
      <c r="DN2" s="191" t="s">
        <v>1218</v>
      </c>
      <c r="DO2" s="191" t="s">
        <v>1218</v>
      </c>
      <c r="DP2" s="191" t="s">
        <v>1218</v>
      </c>
      <c r="DQ2" s="191" t="s">
        <v>1218</v>
      </c>
      <c r="DR2" s="191" t="s">
        <v>1218</v>
      </c>
      <c r="DS2" s="191" t="s">
        <v>1218</v>
      </c>
      <c r="DT2" s="191" t="s">
        <v>1219</v>
      </c>
      <c r="DU2" s="191" t="s">
        <v>1219</v>
      </c>
      <c r="DV2" s="191" t="s">
        <v>1219</v>
      </c>
      <c r="DW2" s="191" t="s">
        <v>1219</v>
      </c>
      <c r="DX2" s="191" t="s">
        <v>1219</v>
      </c>
      <c r="DY2" s="191" t="s">
        <v>1219</v>
      </c>
      <c r="DZ2" s="191" t="s">
        <v>1219</v>
      </c>
      <c r="EA2" s="191" t="s">
        <v>1219</v>
      </c>
      <c r="EB2" s="191" t="s">
        <v>1219</v>
      </c>
      <c r="EC2" s="191" t="s">
        <v>1220</v>
      </c>
      <c r="ED2" s="191" t="s">
        <v>1220</v>
      </c>
      <c r="EE2" s="191" t="s">
        <v>1220</v>
      </c>
      <c r="EF2" s="191" t="s">
        <v>1220</v>
      </c>
      <c r="EG2" s="191" t="s">
        <v>1220</v>
      </c>
      <c r="EH2" s="191" t="s">
        <v>1220</v>
      </c>
      <c r="EI2" s="191" t="s">
        <v>1220</v>
      </c>
      <c r="EJ2" s="191" t="s">
        <v>1220</v>
      </c>
      <c r="EK2" s="191" t="s">
        <v>1220</v>
      </c>
      <c r="EL2" s="191" t="s">
        <v>1221</v>
      </c>
      <c r="EM2" s="191" t="s">
        <v>1221</v>
      </c>
      <c r="EN2" s="191" t="s">
        <v>1221</v>
      </c>
      <c r="EO2" s="191" t="s">
        <v>1221</v>
      </c>
      <c r="EP2" s="191" t="s">
        <v>1221</v>
      </c>
      <c r="EQ2" s="191" t="s">
        <v>1221</v>
      </c>
      <c r="ER2" s="191" t="s">
        <v>1221</v>
      </c>
      <c r="ES2" s="191" t="s">
        <v>1221</v>
      </c>
      <c r="ET2" s="191" t="s">
        <v>1221</v>
      </c>
      <c r="EU2" s="191" t="s">
        <v>1222</v>
      </c>
      <c r="EV2" s="191" t="s">
        <v>1222</v>
      </c>
      <c r="EW2" s="191" t="s">
        <v>1223</v>
      </c>
      <c r="EX2" s="191" t="s">
        <v>1223</v>
      </c>
      <c r="EY2" s="191" t="s">
        <v>1224</v>
      </c>
      <c r="EZ2" s="191" t="s">
        <v>1224</v>
      </c>
      <c r="FA2" s="192" t="s">
        <v>1225</v>
      </c>
      <c r="FB2" s="207" t="s">
        <v>1226</v>
      </c>
      <c r="FC2" s="207" t="s">
        <v>1226</v>
      </c>
      <c r="FD2" s="207" t="s">
        <v>1226</v>
      </c>
      <c r="FE2" s="207" t="s">
        <v>1226</v>
      </c>
      <c r="FF2" s="207" t="s">
        <v>1226</v>
      </c>
      <c r="FG2" s="207" t="s">
        <v>1226</v>
      </c>
      <c r="FH2" s="207" t="s">
        <v>1226</v>
      </c>
      <c r="FI2" s="207" t="s">
        <v>1226</v>
      </c>
      <c r="FJ2" s="207" t="s">
        <v>1227</v>
      </c>
      <c r="FK2" s="207" t="s">
        <v>1227</v>
      </c>
      <c r="FL2" s="207" t="s">
        <v>1227</v>
      </c>
      <c r="FM2" s="207" t="s">
        <v>1227</v>
      </c>
      <c r="FN2" s="207" t="s">
        <v>1227</v>
      </c>
      <c r="FO2" s="207" t="s">
        <v>1227</v>
      </c>
      <c r="FP2" s="207" t="s">
        <v>1227</v>
      </c>
      <c r="FQ2" s="207" t="s">
        <v>1227</v>
      </c>
      <c r="FR2" s="207" t="s">
        <v>1228</v>
      </c>
      <c r="FS2" s="207" t="s">
        <v>1228</v>
      </c>
      <c r="FT2" s="207" t="s">
        <v>1228</v>
      </c>
      <c r="FU2" s="207" t="s">
        <v>1228</v>
      </c>
      <c r="FV2" s="207" t="s">
        <v>1228</v>
      </c>
      <c r="FW2" s="207" t="s">
        <v>1228</v>
      </c>
      <c r="FX2" s="207" t="s">
        <v>1228</v>
      </c>
      <c r="FY2" s="207" t="s">
        <v>1228</v>
      </c>
      <c r="FZ2" s="207" t="s">
        <v>1229</v>
      </c>
      <c r="GA2" s="207" t="s">
        <v>1229</v>
      </c>
      <c r="GB2" s="207" t="s">
        <v>1229</v>
      </c>
      <c r="GC2" s="207" t="s">
        <v>1229</v>
      </c>
      <c r="GD2" s="207" t="s">
        <v>1229</v>
      </c>
      <c r="GE2" s="207" t="s">
        <v>1229</v>
      </c>
      <c r="GF2" s="207" t="s">
        <v>1229</v>
      </c>
      <c r="GG2" s="207" t="s">
        <v>1229</v>
      </c>
      <c r="GH2" s="207" t="s">
        <v>1230</v>
      </c>
      <c r="GI2" s="207" t="s">
        <v>1230</v>
      </c>
      <c r="GJ2" s="207" t="s">
        <v>1230</v>
      </c>
      <c r="GK2" s="207" t="s">
        <v>1230</v>
      </c>
      <c r="GL2" s="207" t="s">
        <v>1230</v>
      </c>
      <c r="GM2" s="207" t="s">
        <v>1230</v>
      </c>
      <c r="GN2" s="207" t="s">
        <v>1230</v>
      </c>
      <c r="GO2" s="207" t="s">
        <v>1230</v>
      </c>
      <c r="GP2" s="207" t="s">
        <v>1231</v>
      </c>
      <c r="GQ2" s="207" t="s">
        <v>1231</v>
      </c>
      <c r="GR2" s="207" t="s">
        <v>1232</v>
      </c>
      <c r="GS2" s="207" t="s">
        <v>1232</v>
      </c>
      <c r="GT2" s="207" t="s">
        <v>1233</v>
      </c>
      <c r="GU2" s="207" t="s">
        <v>1233</v>
      </c>
      <c r="GV2" s="207" t="s">
        <v>1234</v>
      </c>
      <c r="GW2" s="207" t="s">
        <v>1234</v>
      </c>
      <c r="GX2" s="207" t="s">
        <v>1235</v>
      </c>
      <c r="GY2" s="207" t="s">
        <v>1235</v>
      </c>
      <c r="GZ2" s="193" t="s">
        <v>1236</v>
      </c>
      <c r="HA2" s="193" t="s">
        <v>1237</v>
      </c>
      <c r="HB2" s="193" t="s">
        <v>1238</v>
      </c>
      <c r="HC2" s="193" t="s">
        <v>1239</v>
      </c>
      <c r="HD2" s="193" t="s">
        <v>1240</v>
      </c>
      <c r="HE2" s="193" t="s">
        <v>1240</v>
      </c>
      <c r="HF2" s="193" t="s">
        <v>1240</v>
      </c>
      <c r="HG2" s="193" t="s">
        <v>1241</v>
      </c>
      <c r="HH2" s="193" t="s">
        <v>1241</v>
      </c>
      <c r="HI2" s="193" t="s">
        <v>1241</v>
      </c>
      <c r="HJ2" s="193" t="s">
        <v>1242</v>
      </c>
      <c r="HK2" s="193" t="s">
        <v>1242</v>
      </c>
      <c r="HL2" s="193" t="s">
        <v>1242</v>
      </c>
      <c r="HM2" s="193" t="s">
        <v>1243</v>
      </c>
      <c r="HN2" s="193" t="s">
        <v>1243</v>
      </c>
      <c r="HO2" s="193" t="s">
        <v>1243</v>
      </c>
      <c r="HP2" s="193" t="s">
        <v>1244</v>
      </c>
      <c r="HQ2" s="193" t="s">
        <v>1244</v>
      </c>
      <c r="HR2" s="193" t="s">
        <v>1244</v>
      </c>
      <c r="HS2" s="193" t="s">
        <v>1245</v>
      </c>
      <c r="HT2" s="193" t="s">
        <v>1245</v>
      </c>
      <c r="HU2" s="193" t="s">
        <v>1245</v>
      </c>
      <c r="HV2" s="193" t="s">
        <v>1246</v>
      </c>
      <c r="HW2" s="193" t="s">
        <v>1246</v>
      </c>
      <c r="HX2" s="193" t="s">
        <v>1246</v>
      </c>
      <c r="HY2" s="193" t="s">
        <v>1246</v>
      </c>
      <c r="HZ2" s="193" t="s">
        <v>1247</v>
      </c>
      <c r="IA2" s="193" t="s">
        <v>1247</v>
      </c>
      <c r="IB2" s="193" t="s">
        <v>1247</v>
      </c>
      <c r="IC2" s="193" t="s">
        <v>1247</v>
      </c>
      <c r="ID2" s="193" t="s">
        <v>1248</v>
      </c>
      <c r="IE2" s="193" t="s">
        <v>1248</v>
      </c>
      <c r="IF2" s="193" t="s">
        <v>1248</v>
      </c>
      <c r="IG2" s="193" t="s">
        <v>1248</v>
      </c>
      <c r="IH2" s="193" t="s">
        <v>1249</v>
      </c>
      <c r="II2" s="193" t="s">
        <v>1249</v>
      </c>
      <c r="IJ2" s="193" t="s">
        <v>1249</v>
      </c>
      <c r="IK2" s="193" t="s">
        <v>1249</v>
      </c>
      <c r="IL2" s="193" t="s">
        <v>1250</v>
      </c>
      <c r="IM2" s="193" t="s">
        <v>1250</v>
      </c>
      <c r="IN2" s="193" t="s">
        <v>1250</v>
      </c>
      <c r="IO2" s="193" t="s">
        <v>1250</v>
      </c>
      <c r="IP2" s="193" t="s">
        <v>1251</v>
      </c>
      <c r="IQ2" s="193" t="s">
        <v>1252</v>
      </c>
      <c r="IR2" s="193" t="s">
        <v>1253</v>
      </c>
      <c r="IS2" s="193" t="s">
        <v>1254</v>
      </c>
      <c r="IT2" s="193" t="s">
        <v>1255</v>
      </c>
      <c r="IU2" s="193" t="s">
        <v>1256</v>
      </c>
      <c r="IV2" s="193" t="s">
        <v>1257</v>
      </c>
      <c r="IW2" s="193" t="s">
        <v>1258</v>
      </c>
      <c r="IX2" s="193" t="s">
        <v>1259</v>
      </c>
      <c r="IY2" s="193" t="s">
        <v>1260</v>
      </c>
      <c r="IZ2" s="193" t="s">
        <v>1261</v>
      </c>
      <c r="JA2" s="208" t="s">
        <v>1262</v>
      </c>
      <c r="JB2" s="208" t="s">
        <v>1263</v>
      </c>
      <c r="JC2" s="208" t="s">
        <v>1263</v>
      </c>
      <c r="JD2" s="208" t="s">
        <v>1264</v>
      </c>
      <c r="JE2" s="208" t="s">
        <v>1264</v>
      </c>
      <c r="JF2" s="208" t="s">
        <v>1264</v>
      </c>
      <c r="JG2" s="208" t="s">
        <v>1264</v>
      </c>
      <c r="JH2" s="208" t="s">
        <v>1265</v>
      </c>
      <c r="JI2" s="208" t="s">
        <v>1265</v>
      </c>
      <c r="JJ2" s="208" t="s">
        <v>1265</v>
      </c>
      <c r="JK2" s="208" t="s">
        <v>1265</v>
      </c>
      <c r="JL2" s="208" t="s">
        <v>1266</v>
      </c>
      <c r="JM2" s="208" t="s">
        <v>1266</v>
      </c>
      <c r="JN2" s="208" t="s">
        <v>1266</v>
      </c>
      <c r="JO2" s="208" t="s">
        <v>1266</v>
      </c>
      <c r="JP2" s="208" t="s">
        <v>1267</v>
      </c>
      <c r="JQ2" s="208" t="s">
        <v>1267</v>
      </c>
      <c r="JR2" s="208" t="s">
        <v>1267</v>
      </c>
      <c r="JS2" s="208" t="s">
        <v>1267</v>
      </c>
      <c r="JT2" s="208" t="s">
        <v>1268</v>
      </c>
      <c r="JU2" s="208" t="s">
        <v>1268</v>
      </c>
      <c r="JV2" s="208" t="s">
        <v>1268</v>
      </c>
      <c r="JW2" s="208" t="s">
        <v>1268</v>
      </c>
      <c r="JX2" s="195" t="s">
        <v>1269</v>
      </c>
      <c r="JY2" s="195" t="s">
        <v>1270</v>
      </c>
      <c r="JZ2" s="195" t="s">
        <v>1271</v>
      </c>
      <c r="KA2" s="195" t="s">
        <v>1272</v>
      </c>
      <c r="KB2" s="195" t="s">
        <v>1273</v>
      </c>
      <c r="KC2" s="195" t="s">
        <v>1274</v>
      </c>
      <c r="KD2" s="195" t="s">
        <v>1275</v>
      </c>
      <c r="KE2" s="195" t="s">
        <v>1276</v>
      </c>
      <c r="KF2" s="195" t="s">
        <v>1277</v>
      </c>
      <c r="KG2" s="195" t="s">
        <v>1278</v>
      </c>
      <c r="KH2" s="195" t="s">
        <v>1279</v>
      </c>
      <c r="KI2" s="195" t="s">
        <v>1280</v>
      </c>
      <c r="KJ2" s="195" t="s">
        <v>1281</v>
      </c>
      <c r="KK2" s="195" t="s">
        <v>1282</v>
      </c>
      <c r="KL2" s="195" t="s">
        <v>1283</v>
      </c>
      <c r="KM2" s="195" t="s">
        <v>1284</v>
      </c>
      <c r="KN2" s="195" t="s">
        <v>1285</v>
      </c>
      <c r="KO2" s="196" t="s">
        <v>1286</v>
      </c>
      <c r="KP2" s="196" t="s">
        <v>1287</v>
      </c>
      <c r="KQ2" s="196" t="s">
        <v>1288</v>
      </c>
      <c r="KR2" s="196" t="s">
        <v>1289</v>
      </c>
      <c r="KS2" s="196" t="s">
        <v>1286</v>
      </c>
      <c r="KT2" s="196" t="s">
        <v>1287</v>
      </c>
      <c r="KU2" s="196" t="s">
        <v>1288</v>
      </c>
      <c r="KV2" s="196" t="s">
        <v>1289</v>
      </c>
      <c r="KW2" s="196" t="s">
        <v>1290</v>
      </c>
      <c r="KX2" s="196" t="s">
        <v>1291</v>
      </c>
      <c r="KY2" s="196" t="s">
        <v>1292</v>
      </c>
      <c r="KZ2" s="196" t="s">
        <v>1293</v>
      </c>
      <c r="LA2" s="196" t="s">
        <v>1294</v>
      </c>
      <c r="LB2" s="196" t="s">
        <v>1295</v>
      </c>
      <c r="LC2" s="196" t="s">
        <v>1296</v>
      </c>
      <c r="LD2" s="196" t="s">
        <v>1297</v>
      </c>
      <c r="LE2" s="196" t="s">
        <v>1298</v>
      </c>
      <c r="LF2" s="196" t="s">
        <v>1299</v>
      </c>
      <c r="LG2" s="196" t="s">
        <v>1300</v>
      </c>
      <c r="LH2" s="196" t="s">
        <v>1301</v>
      </c>
      <c r="LI2" s="197" t="s">
        <v>1302</v>
      </c>
      <c r="LJ2" s="197" t="s">
        <v>1303</v>
      </c>
      <c r="LK2" s="197" t="s">
        <v>1304</v>
      </c>
      <c r="LL2" s="197" t="s">
        <v>1305</v>
      </c>
      <c r="LM2" s="198" t="s">
        <v>1306</v>
      </c>
      <c r="LN2" s="198" t="s">
        <v>1307</v>
      </c>
      <c r="LO2" s="198" t="s">
        <v>1308</v>
      </c>
      <c r="LP2" s="198" t="s">
        <v>1309</v>
      </c>
      <c r="LQ2" s="198" t="s">
        <v>1310</v>
      </c>
      <c r="LR2" s="198" t="s">
        <v>1311</v>
      </c>
      <c r="LS2" s="198" t="s">
        <v>1312</v>
      </c>
      <c r="LT2" s="198" t="s">
        <v>1313</v>
      </c>
      <c r="LU2" s="197" t="s">
        <v>1314</v>
      </c>
      <c r="LV2" s="197" t="s">
        <v>1315</v>
      </c>
      <c r="LW2" s="197" t="s">
        <v>1316</v>
      </c>
      <c r="LX2" s="197" t="s">
        <v>1317</v>
      </c>
      <c r="LY2" s="197" t="s">
        <v>1318</v>
      </c>
      <c r="LZ2" s="197" t="s">
        <v>1319</v>
      </c>
      <c r="MA2" s="197" t="s">
        <v>1320</v>
      </c>
      <c r="MB2" s="197" t="s">
        <v>1321</v>
      </c>
      <c r="MC2" s="197" t="s">
        <v>1322</v>
      </c>
      <c r="MD2" s="197" t="s">
        <v>1323</v>
      </c>
      <c r="ME2" s="197" t="s">
        <v>1324</v>
      </c>
      <c r="MF2" s="197" t="s">
        <v>1325</v>
      </c>
      <c r="MG2" s="199" t="s">
        <v>1326</v>
      </c>
      <c r="MH2" s="199" t="s">
        <v>1327</v>
      </c>
      <c r="MI2" s="199" t="s">
        <v>1328</v>
      </c>
      <c r="MJ2" s="199" t="s">
        <v>1329</v>
      </c>
      <c r="MK2" s="199" t="s">
        <v>1330</v>
      </c>
      <c r="ML2" s="197" t="s">
        <v>1331</v>
      </c>
      <c r="MM2" s="197" t="s">
        <v>1332</v>
      </c>
      <c r="MN2" s="199" t="s">
        <v>1333</v>
      </c>
      <c r="MO2" s="199" t="s">
        <v>1334</v>
      </c>
      <c r="MP2" s="199" t="s">
        <v>1335</v>
      </c>
      <c r="MQ2" s="199" t="s">
        <v>1336</v>
      </c>
      <c r="MR2" s="199" t="s">
        <v>1337</v>
      </c>
      <c r="MS2" s="197" t="s">
        <v>1338</v>
      </c>
      <c r="MT2" s="197" t="s">
        <v>1339</v>
      </c>
      <c r="MU2" s="197" t="s">
        <v>1340</v>
      </c>
      <c r="MV2" s="197" t="s">
        <v>1341</v>
      </c>
      <c r="MW2" s="197" t="s">
        <v>1342</v>
      </c>
      <c r="MX2" s="199" t="s">
        <v>1343</v>
      </c>
      <c r="MY2" s="199" t="s">
        <v>1344</v>
      </c>
      <c r="MZ2" s="199" t="s">
        <v>1345</v>
      </c>
      <c r="NA2" s="199" t="s">
        <v>1346</v>
      </c>
      <c r="NB2" s="199" t="s">
        <v>1347</v>
      </c>
      <c r="NC2" s="200" t="s">
        <v>1348</v>
      </c>
      <c r="ND2" s="201" t="s">
        <v>1349</v>
      </c>
      <c r="NE2" s="201" t="s">
        <v>1350</v>
      </c>
      <c r="NF2" s="201" t="s">
        <v>1351</v>
      </c>
      <c r="NG2" s="201" t="s">
        <v>1352</v>
      </c>
      <c r="NH2" s="200" t="s">
        <v>1353</v>
      </c>
      <c r="NI2" s="201" t="s">
        <v>1354</v>
      </c>
      <c r="NJ2" s="201" t="s">
        <v>1355</v>
      </c>
      <c r="NK2" s="201" t="s">
        <v>1356</v>
      </c>
      <c r="NL2" s="201" t="s">
        <v>1357</v>
      </c>
      <c r="NM2" s="200" t="s">
        <v>1358</v>
      </c>
      <c r="NN2" s="201" t="s">
        <v>1359</v>
      </c>
      <c r="NO2" s="201" t="s">
        <v>1360</v>
      </c>
      <c r="NP2" s="201" t="s">
        <v>1361</v>
      </c>
      <c r="NQ2" s="200" t="s">
        <v>1362</v>
      </c>
      <c r="NR2" s="201" t="s">
        <v>1363</v>
      </c>
      <c r="NS2" s="201" t="s">
        <v>1364</v>
      </c>
      <c r="NT2" s="200" t="s">
        <v>1365</v>
      </c>
      <c r="NU2" s="201" t="s">
        <v>1366</v>
      </c>
      <c r="NV2" s="200" t="s">
        <v>1367</v>
      </c>
      <c r="NW2" s="201" t="s">
        <v>1368</v>
      </c>
      <c r="NX2" s="202" t="s">
        <v>1369</v>
      </c>
      <c r="NY2" s="202" t="s">
        <v>1369</v>
      </c>
      <c r="NZ2" s="202" t="s">
        <v>1370</v>
      </c>
      <c r="OA2" s="202" t="s">
        <v>1370</v>
      </c>
      <c r="OB2" s="202" t="s">
        <v>1371</v>
      </c>
      <c r="OC2" s="202" t="s">
        <v>1371</v>
      </c>
      <c r="OD2" s="202" t="s">
        <v>1372</v>
      </c>
      <c r="OE2" s="202" t="s">
        <v>1372</v>
      </c>
      <c r="OF2" s="202" t="s">
        <v>1373</v>
      </c>
      <c r="OG2" s="202" t="s">
        <v>1373</v>
      </c>
      <c r="OH2" s="202" t="s">
        <v>1374</v>
      </c>
      <c r="OI2" s="202" t="s">
        <v>1374</v>
      </c>
      <c r="OJ2" s="203" t="s">
        <v>1375</v>
      </c>
      <c r="OK2" s="204" t="s">
        <v>1376</v>
      </c>
      <c r="OL2" s="204" t="s">
        <v>1377</v>
      </c>
      <c r="OM2" s="204" t="s">
        <v>1378</v>
      </c>
      <c r="ON2" s="205" t="s">
        <v>1379</v>
      </c>
      <c r="OO2" s="205" t="s">
        <v>1380</v>
      </c>
      <c r="OP2" s="205" t="s">
        <v>1381</v>
      </c>
    </row>
    <row r="3" spans="1:406" ht="23.25" x14ac:dyDescent="0.25">
      <c r="A3" s="210" t="s">
        <v>1382</v>
      </c>
      <c r="B3" s="211" t="s">
        <v>85</v>
      </c>
      <c r="C3" s="211" t="s">
        <v>85</v>
      </c>
      <c r="D3" s="211" t="s">
        <v>85</v>
      </c>
      <c r="E3" s="211" t="s">
        <v>85</v>
      </c>
      <c r="F3" s="211" t="s">
        <v>85</v>
      </c>
      <c r="G3" s="211" t="s">
        <v>85</v>
      </c>
      <c r="H3" s="211" t="s">
        <v>85</v>
      </c>
      <c r="I3" s="211" t="s">
        <v>85</v>
      </c>
      <c r="J3" s="211" t="s">
        <v>85</v>
      </c>
      <c r="K3" s="211" t="s">
        <v>85</v>
      </c>
      <c r="L3" s="211" t="s">
        <v>85</v>
      </c>
      <c r="M3" s="211" t="s">
        <v>85</v>
      </c>
      <c r="N3" s="211" t="s">
        <v>85</v>
      </c>
      <c r="O3" s="211" t="s">
        <v>85</v>
      </c>
      <c r="P3" s="211" t="s">
        <v>85</v>
      </c>
      <c r="Q3" s="211" t="s">
        <v>85</v>
      </c>
      <c r="R3" s="211" t="s">
        <v>85</v>
      </c>
      <c r="S3" s="211" t="s">
        <v>85</v>
      </c>
      <c r="T3" s="211" t="s">
        <v>85</v>
      </c>
      <c r="U3" s="211" t="s">
        <v>85</v>
      </c>
      <c r="V3" s="211" t="s">
        <v>85</v>
      </c>
      <c r="W3" s="211" t="s">
        <v>85</v>
      </c>
      <c r="X3" s="211" t="s">
        <v>85</v>
      </c>
      <c r="Y3" s="211" t="s">
        <v>85</v>
      </c>
      <c r="Z3" s="211" t="s">
        <v>85</v>
      </c>
      <c r="AA3" s="211" t="s">
        <v>85</v>
      </c>
      <c r="AB3" s="211" t="s">
        <v>85</v>
      </c>
      <c r="AC3" s="211" t="s">
        <v>85</v>
      </c>
      <c r="AD3" s="211" t="s">
        <v>85</v>
      </c>
      <c r="AE3" s="211" t="s">
        <v>85</v>
      </c>
      <c r="AF3" s="211" t="s">
        <v>85</v>
      </c>
      <c r="AG3" s="211" t="s">
        <v>85</v>
      </c>
      <c r="AH3" s="211" t="s">
        <v>85</v>
      </c>
      <c r="AI3" s="211" t="s">
        <v>85</v>
      </c>
      <c r="AJ3" s="211" t="s">
        <v>85</v>
      </c>
      <c r="AK3" s="211" t="s">
        <v>85</v>
      </c>
      <c r="AL3" s="211" t="s">
        <v>85</v>
      </c>
      <c r="AM3" s="211" t="s">
        <v>85</v>
      </c>
      <c r="AN3" s="211" t="s">
        <v>85</v>
      </c>
      <c r="AO3" s="211" t="s">
        <v>85</v>
      </c>
      <c r="AP3" s="211" t="s">
        <v>85</v>
      </c>
      <c r="AQ3" s="211" t="s">
        <v>85</v>
      </c>
      <c r="AR3" s="211" t="s">
        <v>85</v>
      </c>
      <c r="AS3" s="211" t="s">
        <v>85</v>
      </c>
      <c r="AT3" s="211" t="s">
        <v>85</v>
      </c>
      <c r="AU3" s="211" t="s">
        <v>85</v>
      </c>
      <c r="AV3" s="211" t="s">
        <v>85</v>
      </c>
      <c r="AW3" s="211" t="s">
        <v>85</v>
      </c>
      <c r="AX3" s="211" t="s">
        <v>85</v>
      </c>
      <c r="AY3" s="211" t="s">
        <v>85</v>
      </c>
      <c r="AZ3" s="211" t="s">
        <v>85</v>
      </c>
      <c r="BA3" s="211" t="s">
        <v>85</v>
      </c>
      <c r="BB3" s="211" t="s">
        <v>85</v>
      </c>
      <c r="BC3" s="211" t="s">
        <v>85</v>
      </c>
      <c r="BD3" s="211" t="s">
        <v>85</v>
      </c>
      <c r="BE3" s="211" t="s">
        <v>85</v>
      </c>
      <c r="BF3" s="211" t="s">
        <v>85</v>
      </c>
      <c r="BG3" s="211" t="s">
        <v>85</v>
      </c>
      <c r="BH3" s="211" t="s">
        <v>85</v>
      </c>
      <c r="BI3" s="211" t="s">
        <v>85</v>
      </c>
      <c r="BJ3" s="211" t="s">
        <v>85</v>
      </c>
      <c r="BK3" s="211" t="s">
        <v>85</v>
      </c>
      <c r="BL3" s="211" t="s">
        <v>85</v>
      </c>
      <c r="BM3" s="211" t="s">
        <v>85</v>
      </c>
      <c r="BN3" s="211" t="s">
        <v>85</v>
      </c>
      <c r="BO3" s="211" t="s">
        <v>85</v>
      </c>
      <c r="BP3" s="211" t="s">
        <v>85</v>
      </c>
      <c r="BQ3" s="211" t="s">
        <v>85</v>
      </c>
      <c r="BR3" s="211" t="s">
        <v>85</v>
      </c>
      <c r="BS3" s="211" t="s">
        <v>85</v>
      </c>
      <c r="BT3" s="211" t="s">
        <v>85</v>
      </c>
      <c r="BU3" s="211" t="s">
        <v>85</v>
      </c>
      <c r="BV3" s="211" t="s">
        <v>85</v>
      </c>
      <c r="BW3" s="211" t="s">
        <v>85</v>
      </c>
      <c r="BX3" s="211" t="s">
        <v>85</v>
      </c>
      <c r="BY3" s="211" t="s">
        <v>85</v>
      </c>
      <c r="BZ3" s="211" t="s">
        <v>85</v>
      </c>
      <c r="CA3" s="211" t="s">
        <v>85</v>
      </c>
      <c r="CB3" s="211" t="s">
        <v>85</v>
      </c>
      <c r="CC3" s="211" t="s">
        <v>85</v>
      </c>
      <c r="CD3" s="211" t="s">
        <v>85</v>
      </c>
      <c r="CE3" s="211" t="s">
        <v>85</v>
      </c>
      <c r="CF3" s="211" t="s">
        <v>85</v>
      </c>
      <c r="CG3" s="211" t="s">
        <v>85</v>
      </c>
      <c r="CH3" s="211" t="s">
        <v>85</v>
      </c>
      <c r="CI3" s="211" t="s">
        <v>85</v>
      </c>
      <c r="CJ3" s="211" t="s">
        <v>85</v>
      </c>
      <c r="CK3" s="211" t="s">
        <v>85</v>
      </c>
      <c r="CL3" s="211" t="s">
        <v>85</v>
      </c>
      <c r="CM3" s="211" t="s">
        <v>85</v>
      </c>
      <c r="CN3" s="211" t="s">
        <v>85</v>
      </c>
      <c r="CO3" s="211" t="s">
        <v>85</v>
      </c>
      <c r="CP3" s="211" t="s">
        <v>85</v>
      </c>
      <c r="CQ3" s="211" t="s">
        <v>85</v>
      </c>
      <c r="CR3" s="211" t="s">
        <v>85</v>
      </c>
      <c r="CS3" s="211" t="s">
        <v>85</v>
      </c>
      <c r="CT3" s="211" t="s">
        <v>85</v>
      </c>
      <c r="CU3" s="211" t="s">
        <v>85</v>
      </c>
      <c r="CV3" s="211" t="s">
        <v>85</v>
      </c>
      <c r="CW3" s="211" t="s">
        <v>85</v>
      </c>
      <c r="CX3" s="211" t="s">
        <v>85</v>
      </c>
      <c r="CY3" s="211" t="s">
        <v>85</v>
      </c>
      <c r="CZ3" s="211" t="s">
        <v>85</v>
      </c>
      <c r="DA3" s="211" t="s">
        <v>85</v>
      </c>
      <c r="DB3" s="211" t="s">
        <v>85</v>
      </c>
      <c r="DC3" s="211" t="s">
        <v>85</v>
      </c>
      <c r="DD3" s="211" t="s">
        <v>85</v>
      </c>
      <c r="DE3" s="211" t="s">
        <v>85</v>
      </c>
      <c r="DF3" s="211" t="s">
        <v>85</v>
      </c>
      <c r="DG3" s="211" t="s">
        <v>85</v>
      </c>
      <c r="DH3" s="211" t="s">
        <v>85</v>
      </c>
      <c r="DI3" s="211" t="s">
        <v>85</v>
      </c>
      <c r="DJ3" s="211" t="s">
        <v>85</v>
      </c>
      <c r="DK3" s="211" t="s">
        <v>85</v>
      </c>
      <c r="DL3" s="211" t="s">
        <v>85</v>
      </c>
      <c r="DM3" s="211" t="s">
        <v>85</v>
      </c>
      <c r="DN3" s="211" t="s">
        <v>85</v>
      </c>
      <c r="DO3" s="211" t="s">
        <v>85</v>
      </c>
      <c r="DP3" s="211" t="s">
        <v>85</v>
      </c>
      <c r="DQ3" s="211" t="s">
        <v>85</v>
      </c>
      <c r="DR3" s="211" t="s">
        <v>85</v>
      </c>
      <c r="DS3" s="211" t="s">
        <v>85</v>
      </c>
      <c r="DT3" s="211" t="s">
        <v>85</v>
      </c>
      <c r="DU3" s="211" t="s">
        <v>85</v>
      </c>
      <c r="DV3" s="211" t="s">
        <v>85</v>
      </c>
      <c r="DW3" s="211" t="s">
        <v>85</v>
      </c>
      <c r="DX3" s="211" t="s">
        <v>85</v>
      </c>
      <c r="DY3" s="211" t="s">
        <v>85</v>
      </c>
      <c r="DZ3" s="211" t="s">
        <v>85</v>
      </c>
      <c r="EA3" s="211" t="s">
        <v>85</v>
      </c>
      <c r="EB3" s="211" t="s">
        <v>85</v>
      </c>
      <c r="EC3" s="211" t="s">
        <v>85</v>
      </c>
      <c r="ED3" s="211" t="s">
        <v>85</v>
      </c>
      <c r="EE3" s="211" t="s">
        <v>85</v>
      </c>
      <c r="EF3" s="211" t="s">
        <v>85</v>
      </c>
      <c r="EG3" s="211" t="s">
        <v>85</v>
      </c>
      <c r="EH3" s="211" t="s">
        <v>85</v>
      </c>
      <c r="EI3" s="211" t="s">
        <v>85</v>
      </c>
      <c r="EJ3" s="211" t="s">
        <v>85</v>
      </c>
      <c r="EK3" s="211" t="s">
        <v>85</v>
      </c>
      <c r="EL3" s="211" t="s">
        <v>85</v>
      </c>
      <c r="EM3" s="211" t="s">
        <v>85</v>
      </c>
      <c r="EN3" s="211" t="s">
        <v>85</v>
      </c>
      <c r="EO3" s="211" t="s">
        <v>85</v>
      </c>
      <c r="EP3" s="211" t="s">
        <v>85</v>
      </c>
      <c r="EQ3" s="211" t="s">
        <v>85</v>
      </c>
      <c r="ER3" s="211" t="s">
        <v>85</v>
      </c>
      <c r="ES3" s="211" t="s">
        <v>85</v>
      </c>
      <c r="ET3" s="211" t="s">
        <v>85</v>
      </c>
      <c r="EU3" s="211" t="s">
        <v>85</v>
      </c>
      <c r="EV3" s="211" t="s">
        <v>85</v>
      </c>
      <c r="EW3" s="211" t="s">
        <v>85</v>
      </c>
      <c r="EX3" s="211" t="s">
        <v>85</v>
      </c>
      <c r="EY3" s="211" t="s">
        <v>85</v>
      </c>
      <c r="EZ3" s="211" t="s">
        <v>85</v>
      </c>
      <c r="FA3" s="211" t="s">
        <v>85</v>
      </c>
      <c r="FB3" s="211" t="s">
        <v>85</v>
      </c>
      <c r="FC3" s="211" t="s">
        <v>85</v>
      </c>
      <c r="FD3" s="211" t="s">
        <v>85</v>
      </c>
      <c r="FE3" s="211" t="s">
        <v>85</v>
      </c>
      <c r="FF3" s="211" t="s">
        <v>85</v>
      </c>
      <c r="FG3" s="211" t="s">
        <v>85</v>
      </c>
      <c r="FH3" s="211" t="s">
        <v>85</v>
      </c>
      <c r="FI3" s="211" t="s">
        <v>85</v>
      </c>
      <c r="FJ3" s="211" t="s">
        <v>85</v>
      </c>
      <c r="FK3" s="211" t="s">
        <v>85</v>
      </c>
      <c r="FL3" s="211" t="s">
        <v>85</v>
      </c>
      <c r="FM3" s="211" t="s">
        <v>85</v>
      </c>
      <c r="FN3" s="211" t="s">
        <v>85</v>
      </c>
      <c r="FO3" s="211" t="s">
        <v>85</v>
      </c>
      <c r="FP3" s="211" t="s">
        <v>85</v>
      </c>
      <c r="FQ3" s="211" t="s">
        <v>85</v>
      </c>
      <c r="FR3" s="211" t="s">
        <v>85</v>
      </c>
      <c r="FS3" s="211" t="s">
        <v>85</v>
      </c>
      <c r="FT3" s="211" t="s">
        <v>85</v>
      </c>
      <c r="FU3" s="211" t="s">
        <v>85</v>
      </c>
      <c r="FV3" s="211" t="s">
        <v>85</v>
      </c>
      <c r="FW3" s="211" t="s">
        <v>85</v>
      </c>
      <c r="FX3" s="211" t="s">
        <v>85</v>
      </c>
      <c r="FY3" s="211" t="s">
        <v>85</v>
      </c>
      <c r="FZ3" s="211" t="s">
        <v>85</v>
      </c>
      <c r="GA3" s="211" t="s">
        <v>85</v>
      </c>
      <c r="GB3" s="211" t="s">
        <v>85</v>
      </c>
      <c r="GC3" s="211" t="s">
        <v>85</v>
      </c>
      <c r="GD3" s="211" t="s">
        <v>85</v>
      </c>
      <c r="GE3" s="211" t="s">
        <v>85</v>
      </c>
      <c r="GF3" s="211" t="s">
        <v>85</v>
      </c>
      <c r="GG3" s="211" t="s">
        <v>85</v>
      </c>
      <c r="GH3" s="211" t="s">
        <v>85</v>
      </c>
      <c r="GI3" s="211" t="s">
        <v>85</v>
      </c>
      <c r="GJ3" s="211" t="s">
        <v>85</v>
      </c>
      <c r="GK3" s="211" t="s">
        <v>85</v>
      </c>
      <c r="GL3" s="211" t="s">
        <v>85</v>
      </c>
      <c r="GM3" s="211" t="s">
        <v>85</v>
      </c>
      <c r="GN3" s="211" t="s">
        <v>85</v>
      </c>
      <c r="GO3" s="211" t="s">
        <v>85</v>
      </c>
      <c r="GP3" s="211" t="s">
        <v>85</v>
      </c>
      <c r="GQ3" s="211" t="s">
        <v>85</v>
      </c>
      <c r="GR3" s="211" t="s">
        <v>85</v>
      </c>
      <c r="GS3" s="211" t="s">
        <v>85</v>
      </c>
      <c r="GT3" s="211" t="s">
        <v>85</v>
      </c>
      <c r="GU3" s="211" t="s">
        <v>85</v>
      </c>
      <c r="GV3" s="211" t="s">
        <v>85</v>
      </c>
      <c r="GW3" s="211" t="s">
        <v>85</v>
      </c>
      <c r="GX3" s="211" t="s">
        <v>85</v>
      </c>
      <c r="GY3" s="211" t="s">
        <v>85</v>
      </c>
      <c r="GZ3" s="211" t="s">
        <v>85</v>
      </c>
      <c r="HA3" s="211" t="s">
        <v>85</v>
      </c>
      <c r="HB3" s="211" t="s">
        <v>85</v>
      </c>
      <c r="HC3" s="211" t="s">
        <v>85</v>
      </c>
      <c r="HD3" s="211" t="s">
        <v>85</v>
      </c>
      <c r="HE3" s="211" t="s">
        <v>85</v>
      </c>
      <c r="HF3" s="211" t="s">
        <v>85</v>
      </c>
      <c r="HG3" s="211" t="s">
        <v>85</v>
      </c>
      <c r="HH3" s="211" t="s">
        <v>85</v>
      </c>
      <c r="HI3" s="211" t="s">
        <v>85</v>
      </c>
      <c r="HJ3" s="211" t="s">
        <v>85</v>
      </c>
      <c r="HK3" s="211" t="s">
        <v>85</v>
      </c>
      <c r="HL3" s="211" t="s">
        <v>85</v>
      </c>
      <c r="HM3" s="211" t="s">
        <v>85</v>
      </c>
      <c r="HN3" s="211" t="s">
        <v>85</v>
      </c>
      <c r="HO3" s="211" t="s">
        <v>85</v>
      </c>
      <c r="HP3" s="211" t="s">
        <v>85</v>
      </c>
      <c r="HQ3" s="211" t="s">
        <v>85</v>
      </c>
      <c r="HR3" s="211" t="s">
        <v>85</v>
      </c>
      <c r="HS3" s="211" t="s">
        <v>85</v>
      </c>
      <c r="HT3" s="211" t="s">
        <v>85</v>
      </c>
      <c r="HU3" s="211" t="s">
        <v>85</v>
      </c>
      <c r="HV3" s="211" t="s">
        <v>85</v>
      </c>
      <c r="HW3" s="211" t="s">
        <v>85</v>
      </c>
      <c r="HX3" s="211" t="s">
        <v>85</v>
      </c>
      <c r="HY3" s="211" t="s">
        <v>85</v>
      </c>
      <c r="HZ3" s="211" t="s">
        <v>85</v>
      </c>
      <c r="IA3" s="211" t="s">
        <v>85</v>
      </c>
      <c r="IB3" s="211" t="s">
        <v>85</v>
      </c>
      <c r="IC3" s="211" t="s">
        <v>85</v>
      </c>
      <c r="ID3" s="211" t="s">
        <v>85</v>
      </c>
      <c r="IE3" s="211" t="s">
        <v>85</v>
      </c>
      <c r="IF3" s="211" t="s">
        <v>85</v>
      </c>
      <c r="IG3" s="211" t="s">
        <v>85</v>
      </c>
      <c r="IH3" s="211" t="s">
        <v>85</v>
      </c>
      <c r="II3" s="211" t="s">
        <v>85</v>
      </c>
      <c r="IJ3" s="211" t="s">
        <v>85</v>
      </c>
      <c r="IK3" s="211" t="s">
        <v>85</v>
      </c>
      <c r="IL3" s="211" t="s">
        <v>85</v>
      </c>
      <c r="IM3" s="211" t="s">
        <v>85</v>
      </c>
      <c r="IN3" s="211" t="s">
        <v>85</v>
      </c>
      <c r="IO3" s="211" t="s">
        <v>85</v>
      </c>
      <c r="IP3" s="211" t="s">
        <v>85</v>
      </c>
      <c r="IQ3" s="211" t="s">
        <v>85</v>
      </c>
      <c r="IR3" s="211" t="s">
        <v>85</v>
      </c>
      <c r="IS3" s="211" t="s">
        <v>85</v>
      </c>
      <c r="IT3" s="211" t="s">
        <v>85</v>
      </c>
      <c r="IU3" s="211" t="s">
        <v>85</v>
      </c>
      <c r="IV3" s="211" t="s">
        <v>85</v>
      </c>
      <c r="IW3" s="211" t="s">
        <v>85</v>
      </c>
      <c r="IX3" s="211" t="s">
        <v>85</v>
      </c>
      <c r="IY3" s="211" t="s">
        <v>85</v>
      </c>
      <c r="IZ3" s="211" t="s">
        <v>85</v>
      </c>
      <c r="JA3" s="211" t="s">
        <v>85</v>
      </c>
      <c r="JB3" s="211" t="s">
        <v>85</v>
      </c>
      <c r="JC3" s="211" t="s">
        <v>85</v>
      </c>
      <c r="JD3" s="211" t="s">
        <v>85</v>
      </c>
      <c r="JE3" s="211" t="s">
        <v>85</v>
      </c>
      <c r="JF3" s="211" t="s">
        <v>85</v>
      </c>
      <c r="JG3" s="211" t="s">
        <v>85</v>
      </c>
      <c r="JH3" s="211" t="s">
        <v>85</v>
      </c>
      <c r="JI3" s="211" t="s">
        <v>85</v>
      </c>
      <c r="JJ3" s="211" t="s">
        <v>85</v>
      </c>
      <c r="JK3" s="211" t="s">
        <v>85</v>
      </c>
      <c r="JL3" s="211" t="s">
        <v>85</v>
      </c>
      <c r="JM3" s="211" t="s">
        <v>85</v>
      </c>
      <c r="JN3" s="211" t="s">
        <v>85</v>
      </c>
      <c r="JO3" s="211" t="s">
        <v>85</v>
      </c>
      <c r="JP3" s="211" t="s">
        <v>85</v>
      </c>
      <c r="JQ3" s="211" t="s">
        <v>85</v>
      </c>
      <c r="JR3" s="211" t="s">
        <v>85</v>
      </c>
      <c r="JS3" s="211" t="s">
        <v>85</v>
      </c>
      <c r="JT3" s="211" t="s">
        <v>85</v>
      </c>
      <c r="JU3" s="211" t="s">
        <v>85</v>
      </c>
      <c r="JV3" s="211" t="s">
        <v>85</v>
      </c>
      <c r="JW3" s="211" t="s">
        <v>85</v>
      </c>
      <c r="JX3" s="211" t="s">
        <v>85</v>
      </c>
      <c r="JY3" s="211" t="s">
        <v>85</v>
      </c>
      <c r="JZ3" s="211" t="s">
        <v>85</v>
      </c>
      <c r="KA3" s="211" t="s">
        <v>85</v>
      </c>
      <c r="KB3" s="211" t="s">
        <v>85</v>
      </c>
      <c r="KC3" s="211" t="s">
        <v>85</v>
      </c>
      <c r="KD3" s="211" t="s">
        <v>85</v>
      </c>
      <c r="KE3" s="211" t="s">
        <v>85</v>
      </c>
      <c r="KF3" s="211" t="s">
        <v>85</v>
      </c>
      <c r="KG3" s="211" t="s">
        <v>85</v>
      </c>
      <c r="KH3" s="211" t="s">
        <v>85</v>
      </c>
      <c r="KI3" s="211" t="s">
        <v>85</v>
      </c>
      <c r="KJ3" s="211" t="s">
        <v>85</v>
      </c>
      <c r="KK3" s="211" t="s">
        <v>85</v>
      </c>
      <c r="KL3" s="211" t="s">
        <v>85</v>
      </c>
      <c r="KM3" s="211" t="s">
        <v>85</v>
      </c>
      <c r="KN3" s="211" t="s">
        <v>85</v>
      </c>
      <c r="KO3" s="211" t="s">
        <v>85</v>
      </c>
      <c r="KP3" s="211" t="s">
        <v>85</v>
      </c>
      <c r="KQ3" s="211" t="s">
        <v>85</v>
      </c>
      <c r="KR3" s="211" t="s">
        <v>85</v>
      </c>
      <c r="KS3" s="211" t="s">
        <v>85</v>
      </c>
      <c r="KT3" s="211" t="s">
        <v>85</v>
      </c>
      <c r="KU3" s="211" t="s">
        <v>85</v>
      </c>
      <c r="KV3" s="211" t="s">
        <v>85</v>
      </c>
      <c r="KW3" s="211" t="s">
        <v>85</v>
      </c>
      <c r="KX3" s="211" t="s">
        <v>85</v>
      </c>
      <c r="KY3" s="211" t="s">
        <v>85</v>
      </c>
      <c r="KZ3" s="211" t="s">
        <v>85</v>
      </c>
      <c r="LA3" s="211" t="s">
        <v>85</v>
      </c>
      <c r="LB3" s="211" t="s">
        <v>85</v>
      </c>
      <c r="LC3" s="211" t="s">
        <v>85</v>
      </c>
      <c r="LD3" s="211" t="s">
        <v>85</v>
      </c>
      <c r="LE3" s="211" t="s">
        <v>85</v>
      </c>
      <c r="LF3" s="211" t="s">
        <v>85</v>
      </c>
      <c r="LG3" s="211" t="s">
        <v>85</v>
      </c>
      <c r="LH3" s="211" t="s">
        <v>85</v>
      </c>
      <c r="LI3" s="211" t="s">
        <v>85</v>
      </c>
      <c r="LJ3" s="211" t="s">
        <v>85</v>
      </c>
      <c r="LK3" s="211" t="s">
        <v>85</v>
      </c>
      <c r="LL3" s="211" t="s">
        <v>85</v>
      </c>
      <c r="LM3" s="211" t="s">
        <v>85</v>
      </c>
      <c r="LN3" s="211" t="s">
        <v>85</v>
      </c>
      <c r="LO3" s="211" t="s">
        <v>85</v>
      </c>
      <c r="LP3" s="211" t="s">
        <v>85</v>
      </c>
      <c r="LQ3" s="211" t="s">
        <v>85</v>
      </c>
      <c r="LR3" s="211" t="s">
        <v>85</v>
      </c>
      <c r="LS3" s="211" t="s">
        <v>85</v>
      </c>
      <c r="LT3" s="211" t="s">
        <v>85</v>
      </c>
      <c r="LU3" s="211" t="s">
        <v>85</v>
      </c>
      <c r="LV3" s="211" t="s">
        <v>85</v>
      </c>
      <c r="LW3" s="211" t="s">
        <v>85</v>
      </c>
      <c r="LX3" s="211" t="s">
        <v>85</v>
      </c>
      <c r="LY3" s="211" t="s">
        <v>85</v>
      </c>
      <c r="LZ3" s="211" t="s">
        <v>85</v>
      </c>
      <c r="MA3" s="211" t="s">
        <v>85</v>
      </c>
      <c r="MB3" s="211" t="s">
        <v>85</v>
      </c>
      <c r="MC3" s="211" t="s">
        <v>85</v>
      </c>
      <c r="MD3" s="211" t="s">
        <v>85</v>
      </c>
      <c r="ME3" s="211" t="s">
        <v>85</v>
      </c>
      <c r="MF3" s="211" t="s">
        <v>85</v>
      </c>
      <c r="MG3" s="211" t="s">
        <v>85</v>
      </c>
      <c r="MH3" s="211" t="s">
        <v>85</v>
      </c>
      <c r="MI3" s="211" t="s">
        <v>85</v>
      </c>
      <c r="MJ3" s="211" t="s">
        <v>85</v>
      </c>
      <c r="MK3" s="211" t="s">
        <v>85</v>
      </c>
      <c r="ML3" s="211" t="s">
        <v>85</v>
      </c>
      <c r="MM3" s="211" t="s">
        <v>85</v>
      </c>
      <c r="MN3" s="211" t="s">
        <v>85</v>
      </c>
      <c r="MO3" s="211" t="s">
        <v>85</v>
      </c>
      <c r="MP3" s="211" t="s">
        <v>85</v>
      </c>
      <c r="MQ3" s="211" t="s">
        <v>85</v>
      </c>
      <c r="MR3" s="211" t="s">
        <v>85</v>
      </c>
      <c r="MS3" s="211" t="s">
        <v>85</v>
      </c>
      <c r="MT3" s="211" t="s">
        <v>85</v>
      </c>
      <c r="MU3" s="211" t="s">
        <v>85</v>
      </c>
      <c r="MV3" s="211" t="s">
        <v>85</v>
      </c>
      <c r="MW3" s="211" t="s">
        <v>85</v>
      </c>
      <c r="MX3" s="211" t="s">
        <v>85</v>
      </c>
      <c r="MY3" s="211" t="s">
        <v>85</v>
      </c>
      <c r="MZ3" s="211" t="s">
        <v>85</v>
      </c>
      <c r="NA3" s="211" t="s">
        <v>85</v>
      </c>
      <c r="NB3" s="211" t="s">
        <v>85</v>
      </c>
      <c r="NC3" s="211" t="s">
        <v>85</v>
      </c>
      <c r="ND3" s="211" t="s">
        <v>85</v>
      </c>
      <c r="NE3" s="211" t="s">
        <v>85</v>
      </c>
      <c r="NF3" s="211" t="s">
        <v>85</v>
      </c>
      <c r="NG3" s="211" t="s">
        <v>85</v>
      </c>
      <c r="NH3" s="211" t="s">
        <v>85</v>
      </c>
      <c r="NI3" s="211" t="s">
        <v>85</v>
      </c>
      <c r="NJ3" s="211" t="s">
        <v>85</v>
      </c>
      <c r="NK3" s="211" t="s">
        <v>85</v>
      </c>
      <c r="NL3" s="211" t="s">
        <v>85</v>
      </c>
      <c r="NM3" s="211" t="s">
        <v>85</v>
      </c>
      <c r="NN3" s="211" t="s">
        <v>85</v>
      </c>
      <c r="NO3" s="211" t="s">
        <v>85</v>
      </c>
      <c r="NP3" s="211" t="s">
        <v>85</v>
      </c>
      <c r="NQ3" s="211" t="s">
        <v>85</v>
      </c>
      <c r="NR3" s="211" t="s">
        <v>85</v>
      </c>
      <c r="NS3" s="211" t="s">
        <v>85</v>
      </c>
      <c r="NT3" s="211" t="s">
        <v>85</v>
      </c>
      <c r="NU3" s="211" t="s">
        <v>85</v>
      </c>
      <c r="NV3" s="211" t="s">
        <v>85</v>
      </c>
      <c r="NW3" s="211" t="s">
        <v>85</v>
      </c>
      <c r="NX3" s="211" t="s">
        <v>85</v>
      </c>
      <c r="NY3" s="211" t="s">
        <v>85</v>
      </c>
      <c r="NZ3" s="211" t="s">
        <v>85</v>
      </c>
      <c r="OA3" s="211" t="s">
        <v>85</v>
      </c>
      <c r="OB3" s="211" t="s">
        <v>85</v>
      </c>
      <c r="OC3" s="211" t="s">
        <v>85</v>
      </c>
      <c r="OD3" s="211" t="s">
        <v>85</v>
      </c>
      <c r="OE3" s="211" t="s">
        <v>85</v>
      </c>
      <c r="OF3" s="211" t="s">
        <v>85</v>
      </c>
      <c r="OG3" s="211" t="s">
        <v>85</v>
      </c>
      <c r="OH3" s="211" t="s">
        <v>85</v>
      </c>
      <c r="OI3" s="211" t="s">
        <v>85</v>
      </c>
      <c r="OJ3" s="211" t="s">
        <v>85</v>
      </c>
      <c r="OK3" s="211" t="s">
        <v>85</v>
      </c>
      <c r="OL3" s="211" t="s">
        <v>85</v>
      </c>
      <c r="OM3" s="211" t="s">
        <v>85</v>
      </c>
      <c r="ON3" s="211" t="s">
        <v>85</v>
      </c>
      <c r="OO3" s="211" t="s">
        <v>85</v>
      </c>
      <c r="OP3" s="211" t="s">
        <v>85</v>
      </c>
    </row>
    <row r="4" spans="1:406" x14ac:dyDescent="0.25">
      <c r="A4" s="212" t="s">
        <v>1383</v>
      </c>
      <c r="B4" s="213">
        <v>2</v>
      </c>
      <c r="C4" s="213">
        <v>1</v>
      </c>
      <c r="D4" s="213">
        <v>1</v>
      </c>
      <c r="E4" s="213">
        <v>1</v>
      </c>
      <c r="F4" s="213">
        <v>1</v>
      </c>
      <c r="G4" s="213">
        <v>1</v>
      </c>
      <c r="H4" s="213">
        <v>1</v>
      </c>
      <c r="I4" s="213">
        <v>1</v>
      </c>
      <c r="J4" s="213">
        <v>1</v>
      </c>
      <c r="K4" s="213">
        <v>1.25</v>
      </c>
      <c r="L4" s="213">
        <v>1.25</v>
      </c>
      <c r="M4" s="213">
        <v>1.25</v>
      </c>
      <c r="N4" s="213">
        <v>1.25</v>
      </c>
      <c r="O4" s="213">
        <v>1.25</v>
      </c>
      <c r="P4" s="213">
        <v>1.25</v>
      </c>
      <c r="Q4" s="213">
        <v>1.25</v>
      </c>
      <c r="R4" s="213">
        <v>1.25</v>
      </c>
      <c r="S4" s="213">
        <v>1.25</v>
      </c>
      <c r="T4" s="213">
        <v>1.5</v>
      </c>
      <c r="U4" s="213">
        <v>1.5</v>
      </c>
      <c r="V4" s="213">
        <v>1.5</v>
      </c>
      <c r="W4" s="213">
        <v>1.5</v>
      </c>
      <c r="X4" s="213">
        <v>1.5</v>
      </c>
      <c r="Y4" s="213">
        <v>1.5</v>
      </c>
      <c r="Z4" s="213">
        <v>1.5</v>
      </c>
      <c r="AA4" s="213">
        <v>1.5</v>
      </c>
      <c r="AB4" s="213">
        <v>1.5</v>
      </c>
      <c r="AC4" s="213">
        <v>2</v>
      </c>
      <c r="AD4" s="213">
        <v>2</v>
      </c>
      <c r="AE4" s="213">
        <v>2</v>
      </c>
      <c r="AF4" s="213">
        <v>2</v>
      </c>
      <c r="AG4" s="213">
        <v>2</v>
      </c>
      <c r="AH4" s="213">
        <v>2</v>
      </c>
      <c r="AI4" s="213">
        <v>2</v>
      </c>
      <c r="AJ4" s="213">
        <v>2</v>
      </c>
      <c r="AK4" s="213">
        <v>2</v>
      </c>
      <c r="AL4" s="213">
        <v>3</v>
      </c>
      <c r="AM4" s="213">
        <v>3</v>
      </c>
      <c r="AN4" s="213">
        <v>3</v>
      </c>
      <c r="AO4" s="213">
        <v>3</v>
      </c>
      <c r="AP4" s="213">
        <v>3</v>
      </c>
      <c r="AQ4" s="213">
        <v>3</v>
      </c>
      <c r="AR4" s="213">
        <v>3</v>
      </c>
      <c r="AS4" s="213">
        <v>3</v>
      </c>
      <c r="AT4" s="213">
        <v>3</v>
      </c>
      <c r="AU4" s="213">
        <v>3.5</v>
      </c>
      <c r="AV4" s="213">
        <v>3.5</v>
      </c>
      <c r="AW4" s="213">
        <v>3.5</v>
      </c>
      <c r="AX4" s="213">
        <v>3.5</v>
      </c>
      <c r="AY4" s="213">
        <v>3.5</v>
      </c>
      <c r="AZ4" s="213">
        <v>3.5</v>
      </c>
      <c r="BA4" s="213">
        <v>3.5</v>
      </c>
      <c r="BB4" s="213">
        <v>3.5</v>
      </c>
      <c r="BC4" s="213">
        <v>3.5</v>
      </c>
      <c r="BD4" s="213">
        <v>1</v>
      </c>
      <c r="BE4" s="213">
        <v>1.25</v>
      </c>
      <c r="BF4" s="213">
        <v>2.5</v>
      </c>
      <c r="BG4" s="213">
        <v>1.5</v>
      </c>
      <c r="BH4" s="213">
        <v>3</v>
      </c>
      <c r="BI4" s="213">
        <v>2</v>
      </c>
      <c r="BJ4" s="213">
        <v>3.5</v>
      </c>
      <c r="BK4" s="213">
        <v>3</v>
      </c>
      <c r="BL4" s="213">
        <v>3.5</v>
      </c>
      <c r="BM4" s="213">
        <v>1</v>
      </c>
      <c r="BN4" s="213">
        <v>1.3</v>
      </c>
      <c r="BO4" s="213">
        <v>1.8</v>
      </c>
      <c r="BP4" s="213">
        <v>2.5</v>
      </c>
      <c r="BQ4" s="213">
        <v>3.5</v>
      </c>
      <c r="BR4" s="213">
        <v>5</v>
      </c>
      <c r="BS4" s="213">
        <v>5</v>
      </c>
      <c r="BT4" s="213">
        <v>1</v>
      </c>
      <c r="BU4" s="213">
        <v>1.25</v>
      </c>
      <c r="BV4" s="213">
        <v>1.5</v>
      </c>
      <c r="BW4" s="213">
        <v>2</v>
      </c>
      <c r="BX4" s="213">
        <v>2.5</v>
      </c>
      <c r="BY4" s="213">
        <v>3</v>
      </c>
      <c r="BZ4" s="213">
        <v>1</v>
      </c>
      <c r="CA4" s="213">
        <v>1.25</v>
      </c>
      <c r="CB4" s="213">
        <v>1.75</v>
      </c>
      <c r="CC4" s="213">
        <v>1.5</v>
      </c>
      <c r="CD4" s="213">
        <v>2</v>
      </c>
      <c r="CE4" s="213">
        <v>1.75</v>
      </c>
      <c r="CF4" s="213">
        <v>2.25</v>
      </c>
      <c r="CG4" s="213">
        <v>2</v>
      </c>
      <c r="CH4" s="213">
        <v>2.5</v>
      </c>
      <c r="CI4" s="213">
        <v>2.5</v>
      </c>
      <c r="CJ4" s="213">
        <v>3</v>
      </c>
      <c r="CK4" s="213">
        <v>1</v>
      </c>
      <c r="CL4" s="213">
        <v>1.25</v>
      </c>
      <c r="CM4" s="213">
        <v>1.25</v>
      </c>
      <c r="CN4" s="213">
        <v>1.75</v>
      </c>
      <c r="CO4" s="213">
        <v>1.75</v>
      </c>
      <c r="CP4" s="213">
        <v>1.5</v>
      </c>
      <c r="CQ4" s="213">
        <v>1.5</v>
      </c>
      <c r="CR4" s="213">
        <v>2</v>
      </c>
      <c r="CS4" s="213">
        <v>2</v>
      </c>
      <c r="CT4" s="213">
        <v>2</v>
      </c>
      <c r="CU4" s="213">
        <v>2</v>
      </c>
      <c r="CV4" s="213">
        <v>2.5</v>
      </c>
      <c r="CW4" s="213">
        <v>2.5</v>
      </c>
      <c r="CX4" s="213">
        <v>2.5</v>
      </c>
      <c r="CY4" s="213">
        <v>2.5</v>
      </c>
      <c r="CZ4" s="213">
        <v>3</v>
      </c>
      <c r="DA4" s="213">
        <v>3</v>
      </c>
      <c r="DB4" s="213">
        <v>1.5</v>
      </c>
      <c r="DC4" s="213">
        <v>1.5</v>
      </c>
      <c r="DD4" s="213">
        <v>1.5</v>
      </c>
      <c r="DE4" s="213">
        <v>2</v>
      </c>
      <c r="DF4" s="213">
        <v>2.5</v>
      </c>
      <c r="DG4" s="213">
        <v>2</v>
      </c>
      <c r="DH4" s="213">
        <v>2.5</v>
      </c>
      <c r="DI4" s="213">
        <v>2</v>
      </c>
      <c r="DJ4" s="213">
        <v>2.5</v>
      </c>
      <c r="DK4" s="213">
        <v>2</v>
      </c>
      <c r="DL4" s="213">
        <v>2</v>
      </c>
      <c r="DM4" s="213">
        <v>2</v>
      </c>
      <c r="DN4" s="213">
        <v>2.5</v>
      </c>
      <c r="DO4" s="213">
        <v>3</v>
      </c>
      <c r="DP4" s="213">
        <v>2.5</v>
      </c>
      <c r="DQ4" s="213">
        <v>3</v>
      </c>
      <c r="DR4" s="213">
        <v>2.5</v>
      </c>
      <c r="DS4" s="213">
        <v>3</v>
      </c>
      <c r="DT4" s="213">
        <v>2.5</v>
      </c>
      <c r="DU4" s="213">
        <v>2.5</v>
      </c>
      <c r="DV4" s="213">
        <v>2.5</v>
      </c>
      <c r="DW4" s="213">
        <v>3</v>
      </c>
      <c r="DX4" s="213">
        <v>3.5</v>
      </c>
      <c r="DY4" s="213">
        <v>3</v>
      </c>
      <c r="DZ4" s="213">
        <v>3.5</v>
      </c>
      <c r="EA4" s="213">
        <v>3</v>
      </c>
      <c r="EB4" s="213">
        <v>3.5</v>
      </c>
      <c r="EC4" s="213">
        <v>3</v>
      </c>
      <c r="ED4" s="213">
        <v>3</v>
      </c>
      <c r="EE4" s="213">
        <v>3</v>
      </c>
      <c r="EF4" s="213">
        <v>3.5</v>
      </c>
      <c r="EG4" s="213">
        <v>4</v>
      </c>
      <c r="EH4" s="213">
        <v>3.5</v>
      </c>
      <c r="EI4" s="213">
        <v>4</v>
      </c>
      <c r="EJ4" s="213">
        <v>3.5</v>
      </c>
      <c r="EK4" s="213">
        <v>4</v>
      </c>
      <c r="EL4" s="213">
        <v>4</v>
      </c>
      <c r="EM4" s="213">
        <v>4</v>
      </c>
      <c r="EN4" s="213">
        <v>4</v>
      </c>
      <c r="EO4" s="213">
        <v>4.5</v>
      </c>
      <c r="EP4" s="213">
        <v>5</v>
      </c>
      <c r="EQ4" s="213">
        <v>4.5</v>
      </c>
      <c r="ER4" s="213">
        <v>5</v>
      </c>
      <c r="ES4" s="213">
        <v>4.5</v>
      </c>
      <c r="ET4" s="213">
        <v>5</v>
      </c>
      <c r="EU4" s="213">
        <v>1.5</v>
      </c>
      <c r="EV4" s="213">
        <v>2</v>
      </c>
      <c r="EW4" s="213">
        <v>2.5</v>
      </c>
      <c r="EX4" s="213">
        <v>3</v>
      </c>
      <c r="EY4" s="213">
        <v>1</v>
      </c>
      <c r="EZ4" s="213">
        <v>1.5</v>
      </c>
      <c r="FA4" s="213">
        <v>1</v>
      </c>
      <c r="FB4" s="213">
        <v>1</v>
      </c>
      <c r="FC4" s="213">
        <v>1</v>
      </c>
      <c r="FD4" s="213">
        <v>1</v>
      </c>
      <c r="FE4" s="213">
        <v>1.5</v>
      </c>
      <c r="FF4" s="213">
        <v>1</v>
      </c>
      <c r="FG4" s="213">
        <v>1.5</v>
      </c>
      <c r="FH4" s="213">
        <v>1.5</v>
      </c>
      <c r="FI4" s="213">
        <v>1.5</v>
      </c>
      <c r="FJ4" s="213">
        <v>1.25</v>
      </c>
      <c r="FK4" s="213">
        <v>1.25</v>
      </c>
      <c r="FL4" s="213">
        <v>1.25</v>
      </c>
      <c r="FM4" s="213">
        <v>1.75</v>
      </c>
      <c r="FN4" s="213">
        <v>1.25</v>
      </c>
      <c r="FO4" s="213">
        <v>1.75</v>
      </c>
      <c r="FP4" s="213">
        <v>1.75</v>
      </c>
      <c r="FQ4" s="213">
        <v>1.75</v>
      </c>
      <c r="FR4" s="213">
        <v>1.5</v>
      </c>
      <c r="FS4" s="213">
        <v>1.5</v>
      </c>
      <c r="FT4" s="213">
        <v>1.5</v>
      </c>
      <c r="FU4" s="213">
        <v>2</v>
      </c>
      <c r="FV4" s="213">
        <v>1.5</v>
      </c>
      <c r="FW4" s="213">
        <v>2</v>
      </c>
      <c r="FX4" s="213">
        <v>2</v>
      </c>
      <c r="FY4" s="213">
        <v>2</v>
      </c>
      <c r="FZ4" s="213">
        <v>2</v>
      </c>
      <c r="GA4" s="213">
        <v>2</v>
      </c>
      <c r="GB4" s="213">
        <v>2</v>
      </c>
      <c r="GC4" s="213">
        <v>2.5</v>
      </c>
      <c r="GD4" s="213">
        <v>2</v>
      </c>
      <c r="GE4" s="213">
        <v>2.5</v>
      </c>
      <c r="GF4" s="213">
        <v>2.5</v>
      </c>
      <c r="GG4" s="213">
        <v>2.5</v>
      </c>
      <c r="GH4" s="213">
        <v>3</v>
      </c>
      <c r="GI4" s="213">
        <v>3</v>
      </c>
      <c r="GJ4" s="213">
        <v>3</v>
      </c>
      <c r="GK4" s="213">
        <v>3.5</v>
      </c>
      <c r="GL4" s="213">
        <v>3</v>
      </c>
      <c r="GM4" s="213">
        <v>3.5</v>
      </c>
      <c r="GN4" s="213">
        <v>3.5</v>
      </c>
      <c r="GO4" s="213">
        <v>3.5</v>
      </c>
      <c r="GP4" s="213">
        <v>1.5</v>
      </c>
      <c r="GQ4" s="213">
        <v>1.5</v>
      </c>
      <c r="GR4" s="213">
        <v>2</v>
      </c>
      <c r="GS4" s="213">
        <v>2</v>
      </c>
      <c r="GT4" s="213">
        <v>2.5</v>
      </c>
      <c r="GU4" s="213">
        <v>2.5</v>
      </c>
      <c r="GV4" s="213">
        <v>3</v>
      </c>
      <c r="GW4" s="213">
        <v>3</v>
      </c>
      <c r="GX4" s="213">
        <v>4</v>
      </c>
      <c r="GY4" s="213">
        <v>4</v>
      </c>
      <c r="GZ4" s="213">
        <v>1</v>
      </c>
      <c r="HA4" s="213">
        <v>1.5</v>
      </c>
      <c r="HB4" s="213">
        <v>2</v>
      </c>
      <c r="HC4" s="213">
        <v>2.25</v>
      </c>
      <c r="HD4" s="213">
        <v>1</v>
      </c>
      <c r="HE4" s="213">
        <v>1</v>
      </c>
      <c r="HF4" s="213">
        <v>1</v>
      </c>
      <c r="HG4" s="213">
        <v>1.2</v>
      </c>
      <c r="HH4" s="213">
        <v>1.2</v>
      </c>
      <c r="HI4" s="213">
        <v>1.2</v>
      </c>
      <c r="HJ4" s="213">
        <v>1.4</v>
      </c>
      <c r="HK4" s="213">
        <v>1.4</v>
      </c>
      <c r="HL4" s="213">
        <v>1.4</v>
      </c>
      <c r="HM4" s="213">
        <v>1.65</v>
      </c>
      <c r="HN4" s="213">
        <v>1.65</v>
      </c>
      <c r="HO4" s="213">
        <v>1.65</v>
      </c>
      <c r="HP4" s="213">
        <v>1.9</v>
      </c>
      <c r="HQ4" s="213">
        <v>1.9</v>
      </c>
      <c r="HR4" s="213">
        <v>1.9</v>
      </c>
      <c r="HS4" s="213">
        <v>2.15</v>
      </c>
      <c r="HT4" s="213">
        <v>2.15</v>
      </c>
      <c r="HU4" s="213">
        <v>2.15</v>
      </c>
      <c r="HV4" s="213">
        <v>1</v>
      </c>
      <c r="HW4" s="213">
        <v>1</v>
      </c>
      <c r="HX4" s="213">
        <v>1</v>
      </c>
      <c r="HY4" s="213">
        <v>1</v>
      </c>
      <c r="HZ4" s="213">
        <v>1.3</v>
      </c>
      <c r="IA4" s="213">
        <v>1.3</v>
      </c>
      <c r="IB4" s="213">
        <v>1.3</v>
      </c>
      <c r="IC4" s="213">
        <v>1.3</v>
      </c>
      <c r="ID4" s="213">
        <v>1.7</v>
      </c>
      <c r="IE4" s="213">
        <v>1.7</v>
      </c>
      <c r="IF4" s="213">
        <v>1.7</v>
      </c>
      <c r="IG4" s="213">
        <v>1.7</v>
      </c>
      <c r="IH4" s="213">
        <v>2.5</v>
      </c>
      <c r="II4" s="213">
        <v>2.5</v>
      </c>
      <c r="IJ4" s="213">
        <v>2.5</v>
      </c>
      <c r="IK4" s="213">
        <v>2.5</v>
      </c>
      <c r="IL4" s="213">
        <v>3</v>
      </c>
      <c r="IM4" s="213">
        <v>3</v>
      </c>
      <c r="IN4" s="213">
        <v>3</v>
      </c>
      <c r="IO4" s="213">
        <v>3</v>
      </c>
      <c r="IP4" s="213">
        <v>1</v>
      </c>
      <c r="IQ4" s="213">
        <v>1.25</v>
      </c>
      <c r="IR4" s="213">
        <v>1.5</v>
      </c>
      <c r="IS4" s="213">
        <v>2</v>
      </c>
      <c r="IT4" s="213">
        <v>1</v>
      </c>
      <c r="IU4" s="213">
        <v>1.25</v>
      </c>
      <c r="IV4" s="213">
        <v>1.5</v>
      </c>
      <c r="IW4" s="213">
        <v>2</v>
      </c>
      <c r="IX4" s="213">
        <v>2.25</v>
      </c>
      <c r="IY4" s="213">
        <v>2.5</v>
      </c>
      <c r="IZ4" s="213">
        <v>3</v>
      </c>
      <c r="JA4" s="213">
        <v>1.5</v>
      </c>
      <c r="JB4" s="213">
        <v>1</v>
      </c>
      <c r="JC4" s="213">
        <v>1.25</v>
      </c>
      <c r="JD4" s="213">
        <v>1.5</v>
      </c>
      <c r="JE4" s="213">
        <v>1.75</v>
      </c>
      <c r="JF4" s="213">
        <v>1.5</v>
      </c>
      <c r="JG4" s="213">
        <v>1.75</v>
      </c>
      <c r="JH4" s="213">
        <v>1.25</v>
      </c>
      <c r="JI4" s="213">
        <v>1.5</v>
      </c>
      <c r="JJ4" s="213">
        <v>1.25</v>
      </c>
      <c r="JK4" s="213">
        <v>1.5</v>
      </c>
      <c r="JL4" s="213">
        <v>1.5</v>
      </c>
      <c r="JM4" s="213">
        <v>1.75</v>
      </c>
      <c r="JN4" s="213">
        <v>1.5</v>
      </c>
      <c r="JO4" s="213">
        <v>1.75</v>
      </c>
      <c r="JP4" s="213">
        <v>2</v>
      </c>
      <c r="JQ4" s="213">
        <v>2.25</v>
      </c>
      <c r="JR4" s="213">
        <v>2</v>
      </c>
      <c r="JS4" s="213">
        <v>2.25</v>
      </c>
      <c r="JT4" s="213">
        <v>2</v>
      </c>
      <c r="JU4" s="213">
        <v>2.25</v>
      </c>
      <c r="JV4" s="213">
        <v>2</v>
      </c>
      <c r="JW4" s="213">
        <v>2.25</v>
      </c>
      <c r="JX4" s="213">
        <v>1.5</v>
      </c>
      <c r="JY4" s="213">
        <v>1.75</v>
      </c>
      <c r="JZ4" s="213">
        <v>2</v>
      </c>
      <c r="KA4" s="213">
        <v>2.5</v>
      </c>
      <c r="KB4" s="213">
        <v>3</v>
      </c>
      <c r="KC4" s="213">
        <v>3.5</v>
      </c>
      <c r="KD4" s="213">
        <v>4</v>
      </c>
      <c r="KE4" s="213">
        <v>1</v>
      </c>
      <c r="KF4" s="213">
        <v>1</v>
      </c>
      <c r="KG4" s="213">
        <v>1.25</v>
      </c>
      <c r="KH4" s="213">
        <v>1.5</v>
      </c>
      <c r="KI4" s="213">
        <v>1.75</v>
      </c>
      <c r="KJ4" s="213">
        <v>2</v>
      </c>
      <c r="KK4" s="213">
        <v>1</v>
      </c>
      <c r="KL4" s="213">
        <v>1.5</v>
      </c>
      <c r="KM4" s="213">
        <v>2</v>
      </c>
      <c r="KN4" s="213">
        <v>2.5</v>
      </c>
      <c r="KO4" s="213">
        <v>1</v>
      </c>
      <c r="KP4" s="213">
        <v>1.25</v>
      </c>
      <c r="KQ4" s="213">
        <v>1.5</v>
      </c>
      <c r="KR4" s="213">
        <v>1.75</v>
      </c>
      <c r="KS4" s="213">
        <v>1</v>
      </c>
      <c r="KT4" s="213">
        <v>1.25</v>
      </c>
      <c r="KU4" s="213">
        <v>1.5</v>
      </c>
      <c r="KV4" s="213">
        <v>1.75</v>
      </c>
      <c r="KW4" s="213">
        <v>2</v>
      </c>
      <c r="KX4" s="213">
        <v>2.5</v>
      </c>
      <c r="KY4" s="213">
        <v>3</v>
      </c>
      <c r="KZ4" s="213">
        <v>3.5</v>
      </c>
      <c r="LA4" s="213">
        <v>1.25</v>
      </c>
      <c r="LB4" s="213">
        <v>1.5</v>
      </c>
      <c r="LC4" s="213">
        <v>1.75</v>
      </c>
      <c r="LD4" s="213">
        <v>2</v>
      </c>
      <c r="LE4" s="213">
        <v>2.5</v>
      </c>
      <c r="LF4" s="213">
        <v>1</v>
      </c>
      <c r="LG4" s="213">
        <v>1</v>
      </c>
      <c r="LH4" s="213">
        <v>1</v>
      </c>
      <c r="LI4" s="213">
        <v>1</v>
      </c>
      <c r="LJ4" s="213">
        <v>2</v>
      </c>
      <c r="LK4" s="213">
        <v>3</v>
      </c>
      <c r="LL4" s="213">
        <v>4.5</v>
      </c>
      <c r="LM4" s="214" t="s">
        <v>1384</v>
      </c>
      <c r="LN4" s="214" t="s">
        <v>1384</v>
      </c>
      <c r="LO4" s="214" t="s">
        <v>1384</v>
      </c>
      <c r="LP4" s="214" t="s">
        <v>1384</v>
      </c>
      <c r="LQ4" s="214" t="s">
        <v>1384</v>
      </c>
      <c r="LR4" s="214" t="s">
        <v>1384</v>
      </c>
      <c r="LS4" s="214" t="s">
        <v>1384</v>
      </c>
      <c r="LT4" s="214" t="s">
        <v>1384</v>
      </c>
      <c r="LU4" s="213" t="s">
        <v>1385</v>
      </c>
      <c r="LV4" s="213" t="s">
        <v>1385</v>
      </c>
      <c r="LW4" s="213" t="s">
        <v>1385</v>
      </c>
      <c r="LX4" s="213" t="s">
        <v>1385</v>
      </c>
      <c r="LY4" s="213" t="s">
        <v>1385</v>
      </c>
      <c r="LZ4" s="213" t="s">
        <v>1385</v>
      </c>
      <c r="MA4" s="213" t="s">
        <v>1385</v>
      </c>
      <c r="MB4" s="213" t="s">
        <v>1385</v>
      </c>
      <c r="MC4" s="213" t="s">
        <v>1385</v>
      </c>
      <c r="MD4" s="213" t="s">
        <v>1385</v>
      </c>
      <c r="ME4" s="213" t="s">
        <v>1385</v>
      </c>
      <c r="MF4" s="213" t="s">
        <v>1385</v>
      </c>
      <c r="MG4" s="213">
        <v>0.25</v>
      </c>
      <c r="MH4" s="213">
        <v>0.5</v>
      </c>
      <c r="MI4" s="213">
        <v>0.75</v>
      </c>
      <c r="MJ4" s="213">
        <v>1</v>
      </c>
      <c r="MK4" s="213">
        <v>1.25</v>
      </c>
      <c r="ML4" s="213">
        <v>1</v>
      </c>
      <c r="MM4" s="213">
        <v>1.5</v>
      </c>
      <c r="MN4" s="213">
        <v>0</v>
      </c>
      <c r="MO4" s="213">
        <v>0</v>
      </c>
      <c r="MP4" s="213">
        <v>0</v>
      </c>
      <c r="MQ4" s="213">
        <v>0</v>
      </c>
      <c r="MR4" s="213">
        <v>0</v>
      </c>
      <c r="MS4" s="213">
        <v>1.7</v>
      </c>
      <c r="MT4" s="213">
        <v>2.7</v>
      </c>
      <c r="MU4" s="213">
        <v>3.7</v>
      </c>
      <c r="MV4" s="213" t="s">
        <v>1385</v>
      </c>
      <c r="MW4" s="213" t="s">
        <v>1385</v>
      </c>
      <c r="MX4" s="213">
        <v>0.25</v>
      </c>
      <c r="MY4" s="213">
        <v>0.5</v>
      </c>
      <c r="MZ4" s="213">
        <v>0.75</v>
      </c>
      <c r="NA4" s="213">
        <v>1</v>
      </c>
      <c r="NB4" s="213">
        <v>1.25</v>
      </c>
      <c r="NC4" s="213">
        <v>1</v>
      </c>
      <c r="ND4" s="214" t="s">
        <v>1384</v>
      </c>
      <c r="NE4" s="214" t="s">
        <v>1384</v>
      </c>
      <c r="NF4" s="214" t="s">
        <v>1384</v>
      </c>
      <c r="NG4" s="214" t="s">
        <v>1384</v>
      </c>
      <c r="NH4" s="213">
        <v>1.5</v>
      </c>
      <c r="NI4" s="214" t="s">
        <v>1384</v>
      </c>
      <c r="NJ4" s="214" t="s">
        <v>1384</v>
      </c>
      <c r="NK4" s="214" t="s">
        <v>1384</v>
      </c>
      <c r="NL4" s="214" t="s">
        <v>1384</v>
      </c>
      <c r="NM4" s="214" t="s">
        <v>1384</v>
      </c>
      <c r="NN4" s="214" t="s">
        <v>1384</v>
      </c>
      <c r="NO4" s="214" t="s">
        <v>1384</v>
      </c>
      <c r="NP4" s="214" t="s">
        <v>1384</v>
      </c>
      <c r="NQ4" s="214" t="s">
        <v>1384</v>
      </c>
      <c r="NR4" s="214" t="s">
        <v>1384</v>
      </c>
      <c r="NS4" s="214" t="s">
        <v>1384</v>
      </c>
      <c r="NT4" s="214" t="s">
        <v>1384</v>
      </c>
      <c r="NU4" s="214" t="s">
        <v>1384</v>
      </c>
      <c r="NV4" s="214" t="s">
        <v>1384</v>
      </c>
      <c r="NW4" s="214" t="s">
        <v>1384</v>
      </c>
      <c r="NX4" s="213">
        <v>1</v>
      </c>
      <c r="NY4" s="213">
        <v>1</v>
      </c>
      <c r="NZ4" s="213">
        <v>1.5</v>
      </c>
      <c r="OA4" s="213">
        <v>1.5</v>
      </c>
      <c r="OB4" s="213">
        <v>2</v>
      </c>
      <c r="OC4" s="213">
        <v>2</v>
      </c>
      <c r="OD4" s="213">
        <v>2.5</v>
      </c>
      <c r="OE4" s="213">
        <v>2.5</v>
      </c>
      <c r="OF4" s="213">
        <v>3</v>
      </c>
      <c r="OG4" s="213">
        <v>3</v>
      </c>
      <c r="OH4" s="213">
        <v>4</v>
      </c>
      <c r="OI4" s="213">
        <v>4</v>
      </c>
      <c r="OJ4" s="213"/>
      <c r="OK4" s="213">
        <v>0.5</v>
      </c>
      <c r="OL4" s="213">
        <v>1</v>
      </c>
      <c r="OM4" s="213">
        <v>2</v>
      </c>
      <c r="ON4" s="213"/>
      <c r="OO4" s="213"/>
      <c r="OP4" s="213"/>
    </row>
    <row r="5" spans="1:406" ht="30" x14ac:dyDescent="0.25">
      <c r="A5" s="212" t="s">
        <v>1386</v>
      </c>
      <c r="B5" s="213">
        <v>2</v>
      </c>
      <c r="C5" s="213">
        <v>1</v>
      </c>
      <c r="D5" s="213">
        <v>1</v>
      </c>
      <c r="E5" s="213">
        <v>1</v>
      </c>
      <c r="F5" s="213">
        <v>1</v>
      </c>
      <c r="G5" s="213">
        <v>1</v>
      </c>
      <c r="H5" s="213">
        <v>1</v>
      </c>
      <c r="I5" s="213">
        <v>1</v>
      </c>
      <c r="J5" s="213">
        <v>1</v>
      </c>
      <c r="K5" s="213">
        <v>1.05</v>
      </c>
      <c r="L5" s="213">
        <v>1.05</v>
      </c>
      <c r="M5" s="213">
        <v>1.05</v>
      </c>
      <c r="N5" s="213">
        <v>1.05</v>
      </c>
      <c r="O5" s="213">
        <v>1.05</v>
      </c>
      <c r="P5" s="213">
        <v>1.05</v>
      </c>
      <c r="Q5" s="213">
        <v>1.05</v>
      </c>
      <c r="R5" s="213">
        <v>1.05</v>
      </c>
      <c r="S5" s="213">
        <v>1.05</v>
      </c>
      <c r="T5" s="213">
        <v>1.3</v>
      </c>
      <c r="U5" s="213">
        <v>1.3</v>
      </c>
      <c r="V5" s="213">
        <v>1.3</v>
      </c>
      <c r="W5" s="213">
        <v>1.3</v>
      </c>
      <c r="X5" s="213">
        <v>1.3</v>
      </c>
      <c r="Y5" s="213">
        <v>1.3</v>
      </c>
      <c r="Z5" s="213">
        <v>1.3</v>
      </c>
      <c r="AA5" s="213">
        <v>1.3</v>
      </c>
      <c r="AB5" s="213">
        <v>1.3</v>
      </c>
      <c r="AC5" s="213">
        <v>1.8</v>
      </c>
      <c r="AD5" s="213">
        <v>1.8</v>
      </c>
      <c r="AE5" s="213">
        <v>1.8</v>
      </c>
      <c r="AF5" s="213">
        <v>1.8</v>
      </c>
      <c r="AG5" s="213">
        <v>1.8</v>
      </c>
      <c r="AH5" s="213">
        <v>1.8</v>
      </c>
      <c r="AI5" s="213">
        <v>1.8</v>
      </c>
      <c r="AJ5" s="213">
        <v>1.8</v>
      </c>
      <c r="AK5" s="213">
        <v>1.8</v>
      </c>
      <c r="AL5" s="213">
        <v>2</v>
      </c>
      <c r="AM5" s="213">
        <v>2</v>
      </c>
      <c r="AN5" s="213">
        <v>2</v>
      </c>
      <c r="AO5" s="213">
        <v>2</v>
      </c>
      <c r="AP5" s="213">
        <v>2</v>
      </c>
      <c r="AQ5" s="213">
        <v>2</v>
      </c>
      <c r="AR5" s="213">
        <v>2</v>
      </c>
      <c r="AS5" s="213">
        <v>2</v>
      </c>
      <c r="AT5" s="213">
        <v>2</v>
      </c>
      <c r="AU5" s="213">
        <v>2</v>
      </c>
      <c r="AV5" s="213">
        <v>2</v>
      </c>
      <c r="AW5" s="213">
        <v>2</v>
      </c>
      <c r="AX5" s="213">
        <v>2</v>
      </c>
      <c r="AY5" s="213">
        <v>2</v>
      </c>
      <c r="AZ5" s="213">
        <v>2</v>
      </c>
      <c r="BA5" s="213">
        <v>2</v>
      </c>
      <c r="BB5" s="213">
        <v>2</v>
      </c>
      <c r="BC5" s="213">
        <v>2</v>
      </c>
      <c r="BD5" s="213">
        <v>1</v>
      </c>
      <c r="BE5" s="213">
        <v>1.25</v>
      </c>
      <c r="BF5" s="213">
        <v>2.5</v>
      </c>
      <c r="BG5" s="213">
        <v>1.5</v>
      </c>
      <c r="BH5" s="213">
        <v>3</v>
      </c>
      <c r="BI5" s="213">
        <v>2</v>
      </c>
      <c r="BJ5" s="213">
        <v>3.5</v>
      </c>
      <c r="BK5" s="213">
        <v>2</v>
      </c>
      <c r="BL5" s="213">
        <v>2</v>
      </c>
      <c r="BM5" s="213">
        <v>1</v>
      </c>
      <c r="BN5" s="213">
        <v>1.1000000000000001</v>
      </c>
      <c r="BO5" s="213">
        <v>1.6</v>
      </c>
      <c r="BP5" s="213">
        <v>2</v>
      </c>
      <c r="BQ5" s="213">
        <v>2</v>
      </c>
      <c r="BR5" s="213">
        <v>2</v>
      </c>
      <c r="BS5" s="213">
        <v>2</v>
      </c>
      <c r="BT5" s="213">
        <v>1</v>
      </c>
      <c r="BU5" s="213">
        <v>1</v>
      </c>
      <c r="BV5" s="213">
        <v>1.25</v>
      </c>
      <c r="BW5" s="213">
        <v>1.5</v>
      </c>
      <c r="BX5" s="213">
        <v>2</v>
      </c>
      <c r="BY5" s="213">
        <v>2</v>
      </c>
      <c r="BZ5" s="213">
        <v>1</v>
      </c>
      <c r="CA5" s="213">
        <v>1.05</v>
      </c>
      <c r="CB5" s="213">
        <v>1.05</v>
      </c>
      <c r="CC5" s="213">
        <v>1.3</v>
      </c>
      <c r="CD5" s="213">
        <v>1.3</v>
      </c>
      <c r="CE5" s="213">
        <v>1.55</v>
      </c>
      <c r="CF5" s="213">
        <v>1.55</v>
      </c>
      <c r="CG5" s="213">
        <v>1.8</v>
      </c>
      <c r="CH5" s="213">
        <v>1.8</v>
      </c>
      <c r="CI5" s="213">
        <v>2</v>
      </c>
      <c r="CJ5" s="213">
        <v>2</v>
      </c>
      <c r="CK5" s="213">
        <v>1</v>
      </c>
      <c r="CL5" s="213">
        <v>1.05</v>
      </c>
      <c r="CM5" s="213">
        <v>1.05</v>
      </c>
      <c r="CN5" s="213">
        <v>1.55</v>
      </c>
      <c r="CO5" s="213">
        <v>1.55</v>
      </c>
      <c r="CP5" s="213">
        <v>1.3</v>
      </c>
      <c r="CQ5" s="213">
        <v>1.3</v>
      </c>
      <c r="CR5" s="213">
        <v>1.8</v>
      </c>
      <c r="CS5" s="213">
        <v>1.8</v>
      </c>
      <c r="CT5" s="213">
        <v>1.8</v>
      </c>
      <c r="CU5" s="213">
        <v>1.8</v>
      </c>
      <c r="CV5" s="213">
        <v>2</v>
      </c>
      <c r="CW5" s="213">
        <v>2</v>
      </c>
      <c r="CX5" s="213">
        <v>2</v>
      </c>
      <c r="CY5" s="213">
        <v>2</v>
      </c>
      <c r="CZ5" s="213">
        <v>2</v>
      </c>
      <c r="DA5" s="213">
        <v>2</v>
      </c>
      <c r="DB5" s="213">
        <v>1.3</v>
      </c>
      <c r="DC5" s="213">
        <v>1.3</v>
      </c>
      <c r="DD5" s="213">
        <v>1.3</v>
      </c>
      <c r="DE5" s="213">
        <v>1.8</v>
      </c>
      <c r="DF5" s="213">
        <v>2</v>
      </c>
      <c r="DG5" s="213">
        <v>1.8</v>
      </c>
      <c r="DH5" s="213">
        <v>2</v>
      </c>
      <c r="DI5" s="213">
        <v>1.8</v>
      </c>
      <c r="DJ5" s="213">
        <v>2</v>
      </c>
      <c r="DK5" s="213">
        <v>1.8</v>
      </c>
      <c r="DL5" s="213">
        <v>1.8</v>
      </c>
      <c r="DM5" s="213">
        <v>1.8</v>
      </c>
      <c r="DN5" s="213">
        <v>2</v>
      </c>
      <c r="DO5" s="213">
        <v>2</v>
      </c>
      <c r="DP5" s="213">
        <v>2</v>
      </c>
      <c r="DQ5" s="213">
        <v>2</v>
      </c>
      <c r="DR5" s="213">
        <v>2</v>
      </c>
      <c r="DS5" s="213">
        <v>2</v>
      </c>
      <c r="DT5" s="213">
        <v>2</v>
      </c>
      <c r="DU5" s="213">
        <v>2</v>
      </c>
      <c r="DV5" s="213">
        <v>2</v>
      </c>
      <c r="DW5" s="213">
        <v>2</v>
      </c>
      <c r="DX5" s="213">
        <v>2</v>
      </c>
      <c r="DY5" s="213">
        <v>2</v>
      </c>
      <c r="DZ5" s="213">
        <v>2</v>
      </c>
      <c r="EA5" s="213">
        <v>2</v>
      </c>
      <c r="EB5" s="213">
        <v>2</v>
      </c>
      <c r="EC5" s="213">
        <v>2</v>
      </c>
      <c r="ED5" s="213">
        <v>2</v>
      </c>
      <c r="EE5" s="213">
        <v>2</v>
      </c>
      <c r="EF5" s="213">
        <v>2</v>
      </c>
      <c r="EG5" s="213">
        <v>2</v>
      </c>
      <c r="EH5" s="213">
        <v>2</v>
      </c>
      <c r="EI5" s="213">
        <v>2</v>
      </c>
      <c r="EJ5" s="213">
        <v>2</v>
      </c>
      <c r="EK5" s="213">
        <v>2</v>
      </c>
      <c r="EL5" s="213">
        <v>2</v>
      </c>
      <c r="EM5" s="213">
        <v>2</v>
      </c>
      <c r="EN5" s="213">
        <v>2</v>
      </c>
      <c r="EO5" s="213">
        <v>2</v>
      </c>
      <c r="EP5" s="213">
        <v>2</v>
      </c>
      <c r="EQ5" s="213">
        <v>2</v>
      </c>
      <c r="ER5" s="213">
        <v>2</v>
      </c>
      <c r="ES5" s="213">
        <v>2</v>
      </c>
      <c r="ET5" s="213">
        <v>2</v>
      </c>
      <c r="EU5" s="213">
        <v>1.5</v>
      </c>
      <c r="EV5" s="213">
        <v>1.8</v>
      </c>
      <c r="EW5" s="213">
        <v>2.5</v>
      </c>
      <c r="EX5" s="213">
        <v>3</v>
      </c>
      <c r="EY5" s="213">
        <v>1</v>
      </c>
      <c r="EZ5" s="213">
        <v>1.3</v>
      </c>
      <c r="FA5" s="213">
        <v>1</v>
      </c>
      <c r="FB5" s="213">
        <v>1</v>
      </c>
      <c r="FC5" s="213">
        <v>1</v>
      </c>
      <c r="FD5" s="213">
        <v>1</v>
      </c>
      <c r="FE5" s="213">
        <v>1.2</v>
      </c>
      <c r="FF5" s="213">
        <v>1</v>
      </c>
      <c r="FG5" s="213">
        <v>1.2</v>
      </c>
      <c r="FH5" s="213">
        <v>1.2</v>
      </c>
      <c r="FI5" s="213">
        <v>1.2</v>
      </c>
      <c r="FJ5" s="213">
        <v>1.05</v>
      </c>
      <c r="FK5" s="213">
        <v>1.05</v>
      </c>
      <c r="FL5" s="213">
        <v>1.05</v>
      </c>
      <c r="FM5" s="213">
        <v>1.25</v>
      </c>
      <c r="FN5" s="213">
        <v>1.05</v>
      </c>
      <c r="FO5" s="213">
        <v>1.25</v>
      </c>
      <c r="FP5" s="213">
        <v>1.25</v>
      </c>
      <c r="FQ5" s="213">
        <v>1.25</v>
      </c>
      <c r="FR5" s="213">
        <v>1.3</v>
      </c>
      <c r="FS5" s="213">
        <v>1.3</v>
      </c>
      <c r="FT5" s="213">
        <v>1.3</v>
      </c>
      <c r="FU5" s="213">
        <v>1.5</v>
      </c>
      <c r="FV5" s="213">
        <v>1.3</v>
      </c>
      <c r="FW5" s="213">
        <v>1.5</v>
      </c>
      <c r="FX5" s="213">
        <v>1.5</v>
      </c>
      <c r="FY5" s="213">
        <v>1.5</v>
      </c>
      <c r="FZ5" s="213">
        <v>1.8</v>
      </c>
      <c r="GA5" s="213">
        <v>1.8</v>
      </c>
      <c r="GB5" s="213">
        <v>1.8</v>
      </c>
      <c r="GC5" s="213">
        <v>2</v>
      </c>
      <c r="GD5" s="213">
        <v>1.8</v>
      </c>
      <c r="GE5" s="213">
        <v>2</v>
      </c>
      <c r="GF5" s="213">
        <v>2</v>
      </c>
      <c r="GG5" s="213">
        <v>2</v>
      </c>
      <c r="GH5" s="213">
        <v>2</v>
      </c>
      <c r="GI5" s="213">
        <v>2</v>
      </c>
      <c r="GJ5" s="213">
        <v>2</v>
      </c>
      <c r="GK5" s="213">
        <v>2</v>
      </c>
      <c r="GL5" s="213">
        <v>2</v>
      </c>
      <c r="GM5" s="213">
        <v>2</v>
      </c>
      <c r="GN5" s="213">
        <v>2</v>
      </c>
      <c r="GO5" s="213">
        <v>2</v>
      </c>
      <c r="GP5" s="213">
        <v>1.25</v>
      </c>
      <c r="GQ5" s="213">
        <v>1.25</v>
      </c>
      <c r="GR5" s="213">
        <v>1.75</v>
      </c>
      <c r="GS5" s="213">
        <v>1.75</v>
      </c>
      <c r="GT5" s="213">
        <v>2</v>
      </c>
      <c r="GU5" s="213">
        <v>2</v>
      </c>
      <c r="GV5" s="213">
        <v>2</v>
      </c>
      <c r="GW5" s="213">
        <v>2</v>
      </c>
      <c r="GX5" s="213">
        <v>2</v>
      </c>
      <c r="GY5" s="213">
        <v>2</v>
      </c>
      <c r="GZ5" s="213">
        <v>1</v>
      </c>
      <c r="HA5" s="213">
        <v>1.3</v>
      </c>
      <c r="HB5" s="213">
        <v>1.8</v>
      </c>
      <c r="HC5" s="213">
        <v>2</v>
      </c>
      <c r="HD5" s="213">
        <v>1</v>
      </c>
      <c r="HE5" s="213">
        <v>1</v>
      </c>
      <c r="HF5" s="213">
        <v>1</v>
      </c>
      <c r="HG5" s="213">
        <v>1</v>
      </c>
      <c r="HH5" s="213">
        <v>1</v>
      </c>
      <c r="HI5" s="213">
        <v>1</v>
      </c>
      <c r="HJ5" s="213">
        <v>1.2</v>
      </c>
      <c r="HK5" s="213">
        <v>1.2</v>
      </c>
      <c r="HL5" s="213">
        <v>1.2</v>
      </c>
      <c r="HM5" s="213">
        <v>1.45</v>
      </c>
      <c r="HN5" s="213">
        <v>1.45</v>
      </c>
      <c r="HO5" s="213">
        <v>1.45</v>
      </c>
      <c r="HP5" s="213">
        <v>1.7</v>
      </c>
      <c r="HQ5" s="213">
        <v>1.7</v>
      </c>
      <c r="HR5" s="213">
        <v>1.7</v>
      </c>
      <c r="HS5" s="213">
        <v>1.95</v>
      </c>
      <c r="HT5" s="213">
        <v>1.95</v>
      </c>
      <c r="HU5" s="213">
        <v>1.95</v>
      </c>
      <c r="HV5" s="213">
        <v>1</v>
      </c>
      <c r="HW5" s="213">
        <v>1</v>
      </c>
      <c r="HX5" s="213">
        <v>1</v>
      </c>
      <c r="HY5" s="213">
        <v>1</v>
      </c>
      <c r="HZ5" s="213">
        <v>1</v>
      </c>
      <c r="IA5" s="213">
        <v>1</v>
      </c>
      <c r="IB5" s="213">
        <v>1</v>
      </c>
      <c r="IC5" s="213">
        <v>1</v>
      </c>
      <c r="ID5" s="213">
        <v>1.5</v>
      </c>
      <c r="IE5" s="213">
        <v>1.5</v>
      </c>
      <c r="IF5" s="213">
        <v>1.5</v>
      </c>
      <c r="IG5" s="213">
        <v>1.5</v>
      </c>
      <c r="IH5" s="213">
        <v>2</v>
      </c>
      <c r="II5" s="213">
        <v>2</v>
      </c>
      <c r="IJ5" s="213">
        <v>2</v>
      </c>
      <c r="IK5" s="213">
        <v>2</v>
      </c>
      <c r="IL5" s="213">
        <v>2</v>
      </c>
      <c r="IM5" s="213">
        <v>2</v>
      </c>
      <c r="IN5" s="213">
        <v>2</v>
      </c>
      <c r="IO5" s="213">
        <v>2</v>
      </c>
      <c r="IP5" s="213">
        <v>1</v>
      </c>
      <c r="IQ5" s="213">
        <v>1</v>
      </c>
      <c r="IR5" s="213">
        <v>1</v>
      </c>
      <c r="IS5" s="213">
        <v>1.4</v>
      </c>
      <c r="IT5" s="213">
        <v>1</v>
      </c>
      <c r="IU5" s="213">
        <v>1.05</v>
      </c>
      <c r="IV5" s="213">
        <v>1.3</v>
      </c>
      <c r="IW5" s="213">
        <v>1.8</v>
      </c>
      <c r="IX5" s="213">
        <v>2</v>
      </c>
      <c r="IY5" s="213">
        <v>2</v>
      </c>
      <c r="IZ5" s="213">
        <v>2</v>
      </c>
      <c r="JA5" s="213">
        <v>1.3</v>
      </c>
      <c r="JB5" s="213">
        <v>1</v>
      </c>
      <c r="JC5" s="213">
        <v>1.25</v>
      </c>
      <c r="JD5" s="213">
        <v>1.3</v>
      </c>
      <c r="JE5" s="213">
        <v>1.55</v>
      </c>
      <c r="JF5" s="213">
        <v>1.3</v>
      </c>
      <c r="JG5" s="213">
        <v>1.55</v>
      </c>
      <c r="JH5" s="213">
        <v>1.05</v>
      </c>
      <c r="JI5" s="213">
        <v>1.3</v>
      </c>
      <c r="JJ5" s="213">
        <v>1.05</v>
      </c>
      <c r="JK5" s="213">
        <v>1.3</v>
      </c>
      <c r="JL5" s="213">
        <v>1.3</v>
      </c>
      <c r="JM5" s="213">
        <v>1.55</v>
      </c>
      <c r="JN5" s="213">
        <v>1.3</v>
      </c>
      <c r="JO5" s="213">
        <v>1.55</v>
      </c>
      <c r="JP5" s="213">
        <v>1.8</v>
      </c>
      <c r="JQ5" s="213">
        <v>2.0499999999999998</v>
      </c>
      <c r="JR5" s="213">
        <v>1.8</v>
      </c>
      <c r="JS5" s="213">
        <v>2.0499999999999998</v>
      </c>
      <c r="JT5" s="213">
        <v>1.8</v>
      </c>
      <c r="JU5" s="213">
        <v>2.0499999999999998</v>
      </c>
      <c r="JV5" s="213">
        <v>1.8</v>
      </c>
      <c r="JW5" s="213">
        <v>2.0499999999999998</v>
      </c>
      <c r="JX5" s="213">
        <v>1.5</v>
      </c>
      <c r="JY5" s="213">
        <v>1.75</v>
      </c>
      <c r="JZ5" s="213">
        <v>2</v>
      </c>
      <c r="KA5" s="213">
        <v>2.5</v>
      </c>
      <c r="KB5" s="213">
        <v>3</v>
      </c>
      <c r="KC5" s="213">
        <v>3.5</v>
      </c>
      <c r="KD5" s="213">
        <v>4</v>
      </c>
      <c r="KE5" s="213">
        <v>1</v>
      </c>
      <c r="KF5" s="213">
        <v>1</v>
      </c>
      <c r="KG5" s="213">
        <v>1.05</v>
      </c>
      <c r="KH5" s="213">
        <v>1.3</v>
      </c>
      <c r="KI5" s="213">
        <v>1.55</v>
      </c>
      <c r="KJ5" s="213">
        <v>1.8</v>
      </c>
      <c r="KK5" s="213">
        <v>1</v>
      </c>
      <c r="KL5" s="213">
        <v>1.5</v>
      </c>
      <c r="KM5" s="213">
        <v>2</v>
      </c>
      <c r="KN5" s="213">
        <v>2.5</v>
      </c>
      <c r="KO5" s="213">
        <v>1</v>
      </c>
      <c r="KP5" s="213">
        <v>1</v>
      </c>
      <c r="KQ5" s="213">
        <v>1.25</v>
      </c>
      <c r="KR5" s="213">
        <v>1.5</v>
      </c>
      <c r="KS5" s="213">
        <v>1</v>
      </c>
      <c r="KT5" s="213">
        <v>1</v>
      </c>
      <c r="KU5" s="213">
        <v>1.25</v>
      </c>
      <c r="KV5" s="213">
        <v>1.5</v>
      </c>
      <c r="KW5" s="213">
        <v>1.25</v>
      </c>
      <c r="KX5" s="213">
        <v>1.5</v>
      </c>
      <c r="KY5" s="213">
        <v>1.75</v>
      </c>
      <c r="KZ5" s="213">
        <v>2</v>
      </c>
      <c r="LA5" s="213">
        <v>1</v>
      </c>
      <c r="LB5" s="213">
        <v>1.25</v>
      </c>
      <c r="LC5" s="213">
        <v>1.5</v>
      </c>
      <c r="LD5" s="213">
        <v>1.75</v>
      </c>
      <c r="LE5" s="213">
        <v>2</v>
      </c>
      <c r="LF5" s="213">
        <v>1</v>
      </c>
      <c r="LG5" s="213">
        <v>1</v>
      </c>
      <c r="LH5" s="213">
        <v>1</v>
      </c>
      <c r="LI5" s="213">
        <v>1</v>
      </c>
      <c r="LJ5" s="213">
        <v>2</v>
      </c>
      <c r="LK5" s="213">
        <v>2</v>
      </c>
      <c r="LL5" s="213">
        <v>2</v>
      </c>
      <c r="LM5" s="213">
        <v>2</v>
      </c>
      <c r="LN5" s="213">
        <v>2</v>
      </c>
      <c r="LO5" s="213">
        <v>2</v>
      </c>
      <c r="LP5" s="213">
        <v>2</v>
      </c>
      <c r="LQ5" s="213">
        <v>5.8</v>
      </c>
      <c r="LR5" s="213">
        <v>5.8</v>
      </c>
      <c r="LS5" s="213">
        <v>5.8</v>
      </c>
      <c r="LT5" s="213">
        <v>6.8</v>
      </c>
      <c r="LU5" s="213">
        <v>2</v>
      </c>
      <c r="LV5" s="213">
        <v>2</v>
      </c>
      <c r="LW5" s="213">
        <v>2</v>
      </c>
      <c r="LX5" s="213">
        <v>2</v>
      </c>
      <c r="LY5" s="213">
        <v>2</v>
      </c>
      <c r="LZ5" s="213">
        <v>2</v>
      </c>
      <c r="MA5" s="213">
        <v>2</v>
      </c>
      <c r="MB5" s="213">
        <v>2</v>
      </c>
      <c r="MC5" s="213">
        <v>2</v>
      </c>
      <c r="MD5" s="213" t="s">
        <v>1387</v>
      </c>
      <c r="ME5" s="213">
        <v>2</v>
      </c>
      <c r="MF5" s="213">
        <v>2</v>
      </c>
      <c r="MG5" s="213">
        <v>0.25</v>
      </c>
      <c r="MH5" s="213">
        <v>0.5</v>
      </c>
      <c r="MI5" s="213">
        <v>0.75</v>
      </c>
      <c r="MJ5" s="213">
        <v>1</v>
      </c>
      <c r="MK5" s="213">
        <v>1.25</v>
      </c>
      <c r="ML5" s="213">
        <v>1</v>
      </c>
      <c r="MM5" s="213">
        <v>1.5</v>
      </c>
      <c r="MN5" s="213">
        <v>0</v>
      </c>
      <c r="MO5" s="213">
        <v>0</v>
      </c>
      <c r="MP5" s="213">
        <v>0</v>
      </c>
      <c r="MQ5" s="213">
        <v>0</v>
      </c>
      <c r="MR5" s="213">
        <v>0</v>
      </c>
      <c r="MS5" s="213">
        <v>1.5</v>
      </c>
      <c r="MT5" s="213">
        <v>2</v>
      </c>
      <c r="MU5" s="213">
        <v>2</v>
      </c>
      <c r="MV5" s="213">
        <v>2</v>
      </c>
      <c r="MW5" s="213">
        <v>2</v>
      </c>
      <c r="MX5" s="213">
        <v>0.25</v>
      </c>
      <c r="MY5" s="213">
        <v>0.5</v>
      </c>
      <c r="MZ5" s="213">
        <v>0.75</v>
      </c>
      <c r="NA5" s="213">
        <v>1</v>
      </c>
      <c r="NB5" s="213">
        <v>1.25</v>
      </c>
      <c r="NC5" s="213">
        <v>1</v>
      </c>
      <c r="ND5" s="213">
        <v>4.8</v>
      </c>
      <c r="NE5" s="213">
        <v>4.8</v>
      </c>
      <c r="NF5" s="213">
        <v>4.8</v>
      </c>
      <c r="NG5" s="214" t="s">
        <v>1384</v>
      </c>
      <c r="NH5" s="213">
        <v>1</v>
      </c>
      <c r="NI5" s="213">
        <v>4.3</v>
      </c>
      <c r="NJ5" s="213">
        <v>4.3</v>
      </c>
      <c r="NK5" s="213">
        <v>4.3</v>
      </c>
      <c r="NL5" s="214" t="s">
        <v>1384</v>
      </c>
      <c r="NM5" s="213">
        <v>2.8</v>
      </c>
      <c r="NN5" s="213">
        <v>3.8</v>
      </c>
      <c r="NO5" s="213">
        <v>3.8</v>
      </c>
      <c r="NP5" s="214" t="s">
        <v>1384</v>
      </c>
      <c r="NQ5" s="213">
        <v>2.8</v>
      </c>
      <c r="NR5" s="213">
        <v>3.8</v>
      </c>
      <c r="NS5" s="214" t="s">
        <v>1384</v>
      </c>
      <c r="NT5" s="213">
        <v>2.8</v>
      </c>
      <c r="NU5" s="214" t="s">
        <v>1384</v>
      </c>
      <c r="NV5" s="213">
        <v>2.8</v>
      </c>
      <c r="NW5" s="214" t="s">
        <v>1384</v>
      </c>
      <c r="NX5" s="213">
        <v>1</v>
      </c>
      <c r="NY5" s="213">
        <v>1</v>
      </c>
      <c r="NZ5" s="213">
        <v>1.25</v>
      </c>
      <c r="OA5" s="213">
        <v>1.25</v>
      </c>
      <c r="OB5" s="213">
        <v>1.75</v>
      </c>
      <c r="OC5" s="213">
        <v>1.75</v>
      </c>
      <c r="OD5" s="213">
        <v>2</v>
      </c>
      <c r="OE5" s="213">
        <v>2</v>
      </c>
      <c r="OF5" s="213">
        <v>2</v>
      </c>
      <c r="OG5" s="213">
        <v>2</v>
      </c>
      <c r="OH5" s="213">
        <v>2</v>
      </c>
      <c r="OI5" s="213">
        <v>2</v>
      </c>
      <c r="OJ5" s="213"/>
      <c r="OK5" s="213">
        <v>0.5</v>
      </c>
      <c r="OL5" s="213">
        <v>1</v>
      </c>
      <c r="OM5" s="213">
        <v>2</v>
      </c>
      <c r="ON5" s="213"/>
      <c r="OO5" s="213"/>
      <c r="OP5" s="213"/>
    </row>
    <row r="6" spans="1:406" s="216" customFormat="1" x14ac:dyDescent="0.25">
      <c r="A6" s="215" t="s">
        <v>1388</v>
      </c>
      <c r="B6" s="214" t="s">
        <v>1384</v>
      </c>
      <c r="C6" s="214" t="s">
        <v>1384</v>
      </c>
      <c r="D6" s="214" t="s">
        <v>1384</v>
      </c>
      <c r="E6" s="214" t="s">
        <v>1384</v>
      </c>
      <c r="F6" s="214" t="s">
        <v>1384</v>
      </c>
      <c r="G6" s="214" t="s">
        <v>1384</v>
      </c>
      <c r="H6" s="214" t="s">
        <v>1384</v>
      </c>
      <c r="I6" s="214" t="s">
        <v>1384</v>
      </c>
      <c r="J6" s="214" t="s">
        <v>1384</v>
      </c>
      <c r="K6" s="214" t="s">
        <v>1384</v>
      </c>
      <c r="L6" s="214" t="s">
        <v>1384</v>
      </c>
      <c r="M6" s="214" t="s">
        <v>1384</v>
      </c>
      <c r="N6" s="214" t="s">
        <v>1384</v>
      </c>
      <c r="O6" s="214" t="s">
        <v>1384</v>
      </c>
      <c r="P6" s="214" t="s">
        <v>1384</v>
      </c>
      <c r="Q6" s="214" t="s">
        <v>1384</v>
      </c>
      <c r="R6" s="214" t="s">
        <v>1384</v>
      </c>
      <c r="S6" s="214" t="s">
        <v>1384</v>
      </c>
      <c r="T6" s="214" t="s">
        <v>1384</v>
      </c>
      <c r="U6" s="214" t="s">
        <v>1384</v>
      </c>
      <c r="V6" s="214" t="s">
        <v>1384</v>
      </c>
      <c r="W6" s="214" t="s">
        <v>1384</v>
      </c>
      <c r="X6" s="214" t="s">
        <v>1384</v>
      </c>
      <c r="Y6" s="214" t="s">
        <v>1384</v>
      </c>
      <c r="Z6" s="214" t="s">
        <v>1384</v>
      </c>
      <c r="AA6" s="214" t="s">
        <v>1384</v>
      </c>
      <c r="AB6" s="214" t="s">
        <v>1384</v>
      </c>
      <c r="AC6" s="214" t="s">
        <v>1384</v>
      </c>
      <c r="AD6" s="214" t="s">
        <v>1384</v>
      </c>
      <c r="AE6" s="214" t="s">
        <v>1384</v>
      </c>
      <c r="AF6" s="214" t="s">
        <v>1384</v>
      </c>
      <c r="AG6" s="214" t="s">
        <v>1384</v>
      </c>
      <c r="AH6" s="214" t="s">
        <v>1384</v>
      </c>
      <c r="AI6" s="214" t="s">
        <v>1384</v>
      </c>
      <c r="AJ6" s="214" t="s">
        <v>1384</v>
      </c>
      <c r="AK6" s="214" t="s">
        <v>1384</v>
      </c>
      <c r="AL6" s="214" t="s">
        <v>1384</v>
      </c>
      <c r="AM6" s="214" t="s">
        <v>1384</v>
      </c>
      <c r="AN6" s="214" t="s">
        <v>1384</v>
      </c>
      <c r="AO6" s="214" t="s">
        <v>1384</v>
      </c>
      <c r="AP6" s="214" t="s">
        <v>1384</v>
      </c>
      <c r="AQ6" s="214" t="s">
        <v>1384</v>
      </c>
      <c r="AR6" s="214" t="s">
        <v>1384</v>
      </c>
      <c r="AS6" s="214" t="s">
        <v>1384</v>
      </c>
      <c r="AT6" s="214" t="s">
        <v>1384</v>
      </c>
      <c r="AU6" s="214" t="s">
        <v>1384</v>
      </c>
      <c r="AV6" s="214" t="s">
        <v>1384</v>
      </c>
      <c r="AW6" s="214" t="s">
        <v>1384</v>
      </c>
      <c r="AX6" s="214" t="s">
        <v>1384</v>
      </c>
      <c r="AY6" s="214" t="s">
        <v>1384</v>
      </c>
      <c r="AZ6" s="214" t="s">
        <v>1384</v>
      </c>
      <c r="BA6" s="214" t="s">
        <v>1384</v>
      </c>
      <c r="BB6" s="214" t="s">
        <v>1384</v>
      </c>
      <c r="BC6" s="214" t="s">
        <v>1384</v>
      </c>
      <c r="BD6" s="214" t="s">
        <v>1384</v>
      </c>
      <c r="BE6" s="214" t="s">
        <v>1384</v>
      </c>
      <c r="BF6" s="214" t="s">
        <v>1384</v>
      </c>
      <c r="BG6" s="214" t="s">
        <v>1384</v>
      </c>
      <c r="BH6" s="214" t="s">
        <v>1384</v>
      </c>
      <c r="BI6" s="214" t="s">
        <v>1384</v>
      </c>
      <c r="BJ6" s="214" t="s">
        <v>1384</v>
      </c>
      <c r="BK6" s="214" t="s">
        <v>1384</v>
      </c>
      <c r="BL6" s="214" t="s">
        <v>1384</v>
      </c>
      <c r="BM6" s="214" t="s">
        <v>1384</v>
      </c>
      <c r="BN6" s="214" t="s">
        <v>1384</v>
      </c>
      <c r="BO6" s="214" t="s">
        <v>1384</v>
      </c>
      <c r="BP6" s="214" t="s">
        <v>1384</v>
      </c>
      <c r="BQ6" s="214" t="s">
        <v>1384</v>
      </c>
      <c r="BR6" s="214" t="s">
        <v>1384</v>
      </c>
      <c r="BS6" s="214" t="s">
        <v>1384</v>
      </c>
      <c r="BT6" s="214" t="s">
        <v>1384</v>
      </c>
      <c r="BU6" s="214" t="s">
        <v>1384</v>
      </c>
      <c r="BV6" s="214" t="s">
        <v>1384</v>
      </c>
      <c r="BW6" s="214" t="s">
        <v>1384</v>
      </c>
      <c r="BX6" s="214" t="s">
        <v>1384</v>
      </c>
      <c r="BY6" s="214" t="s">
        <v>1384</v>
      </c>
      <c r="BZ6" s="214" t="s">
        <v>1384</v>
      </c>
      <c r="CA6" s="214" t="s">
        <v>1384</v>
      </c>
      <c r="CB6" s="214" t="s">
        <v>1384</v>
      </c>
      <c r="CC6" s="214" t="s">
        <v>1384</v>
      </c>
      <c r="CD6" s="214" t="s">
        <v>1384</v>
      </c>
      <c r="CE6" s="214" t="s">
        <v>1384</v>
      </c>
      <c r="CF6" s="214" t="s">
        <v>1384</v>
      </c>
      <c r="CG6" s="214" t="s">
        <v>1384</v>
      </c>
      <c r="CH6" s="214" t="s">
        <v>1384</v>
      </c>
      <c r="CI6" s="214" t="s">
        <v>1384</v>
      </c>
      <c r="CJ6" s="214" t="s">
        <v>1384</v>
      </c>
      <c r="CK6" s="214" t="s">
        <v>1384</v>
      </c>
      <c r="CL6" s="214" t="s">
        <v>1384</v>
      </c>
      <c r="CM6" s="214" t="s">
        <v>1384</v>
      </c>
      <c r="CN6" s="214" t="s">
        <v>1384</v>
      </c>
      <c r="CO6" s="214" t="s">
        <v>1384</v>
      </c>
      <c r="CP6" s="214" t="s">
        <v>1384</v>
      </c>
      <c r="CQ6" s="214" t="s">
        <v>1384</v>
      </c>
      <c r="CR6" s="214" t="s">
        <v>1384</v>
      </c>
      <c r="CS6" s="214" t="s">
        <v>1384</v>
      </c>
      <c r="CT6" s="214" t="s">
        <v>1384</v>
      </c>
      <c r="CU6" s="214" t="s">
        <v>1384</v>
      </c>
      <c r="CV6" s="214" t="s">
        <v>1384</v>
      </c>
      <c r="CW6" s="214" t="s">
        <v>1384</v>
      </c>
      <c r="CX6" s="214" t="s">
        <v>1384</v>
      </c>
      <c r="CY6" s="214" t="s">
        <v>1384</v>
      </c>
      <c r="CZ6" s="214" t="s">
        <v>1384</v>
      </c>
      <c r="DA6" s="214" t="s">
        <v>1384</v>
      </c>
      <c r="DB6" s="214" t="s">
        <v>1384</v>
      </c>
      <c r="DC6" s="214" t="s">
        <v>1384</v>
      </c>
      <c r="DD6" s="214" t="s">
        <v>1384</v>
      </c>
      <c r="DE6" s="214" t="s">
        <v>1384</v>
      </c>
      <c r="DF6" s="214" t="s">
        <v>1384</v>
      </c>
      <c r="DG6" s="214" t="s">
        <v>1384</v>
      </c>
      <c r="DH6" s="214" t="s">
        <v>1384</v>
      </c>
      <c r="DI6" s="214" t="s">
        <v>1384</v>
      </c>
      <c r="DJ6" s="214" t="s">
        <v>1384</v>
      </c>
      <c r="DK6" s="214" t="s">
        <v>1384</v>
      </c>
      <c r="DL6" s="214" t="s">
        <v>1384</v>
      </c>
      <c r="DM6" s="214" t="s">
        <v>1384</v>
      </c>
      <c r="DN6" s="214" t="s">
        <v>1384</v>
      </c>
      <c r="DO6" s="214" t="s">
        <v>1384</v>
      </c>
      <c r="DP6" s="214" t="s">
        <v>1384</v>
      </c>
      <c r="DQ6" s="214" t="s">
        <v>1384</v>
      </c>
      <c r="DR6" s="214" t="s">
        <v>1384</v>
      </c>
      <c r="DS6" s="214" t="s">
        <v>1384</v>
      </c>
      <c r="DT6" s="214" t="s">
        <v>1384</v>
      </c>
      <c r="DU6" s="214" t="s">
        <v>1384</v>
      </c>
      <c r="DV6" s="214" t="s">
        <v>1384</v>
      </c>
      <c r="DW6" s="214" t="s">
        <v>1384</v>
      </c>
      <c r="DX6" s="214" t="s">
        <v>1384</v>
      </c>
      <c r="DY6" s="214" t="s">
        <v>1384</v>
      </c>
      <c r="DZ6" s="214" t="s">
        <v>1384</v>
      </c>
      <c r="EA6" s="214" t="s">
        <v>1384</v>
      </c>
      <c r="EB6" s="214" t="s">
        <v>1384</v>
      </c>
      <c r="EC6" s="214" t="s">
        <v>1384</v>
      </c>
      <c r="ED6" s="214" t="s">
        <v>1384</v>
      </c>
      <c r="EE6" s="214" t="s">
        <v>1384</v>
      </c>
      <c r="EF6" s="214" t="s">
        <v>1384</v>
      </c>
      <c r="EG6" s="214" t="s">
        <v>1384</v>
      </c>
      <c r="EH6" s="214" t="s">
        <v>1384</v>
      </c>
      <c r="EI6" s="214" t="s">
        <v>1384</v>
      </c>
      <c r="EJ6" s="214" t="s">
        <v>1384</v>
      </c>
      <c r="EK6" s="214" t="s">
        <v>1384</v>
      </c>
      <c r="EL6" s="214" t="s">
        <v>1384</v>
      </c>
      <c r="EM6" s="214" t="s">
        <v>1384</v>
      </c>
      <c r="EN6" s="214" t="s">
        <v>1384</v>
      </c>
      <c r="EO6" s="214" t="s">
        <v>1384</v>
      </c>
      <c r="EP6" s="214" t="s">
        <v>1384</v>
      </c>
      <c r="EQ6" s="214" t="s">
        <v>1384</v>
      </c>
      <c r="ER6" s="214" t="s">
        <v>1384</v>
      </c>
      <c r="ES6" s="214" t="s">
        <v>1384</v>
      </c>
      <c r="ET6" s="214" t="s">
        <v>1384</v>
      </c>
      <c r="EU6" s="214" t="s">
        <v>1384</v>
      </c>
      <c r="EV6" s="214" t="s">
        <v>1384</v>
      </c>
      <c r="EW6" s="214" t="s">
        <v>1384</v>
      </c>
      <c r="EX6" s="214" t="s">
        <v>1384</v>
      </c>
      <c r="EY6" s="214" t="s">
        <v>1384</v>
      </c>
      <c r="EZ6" s="214" t="s">
        <v>1384</v>
      </c>
      <c r="FA6" s="214" t="s">
        <v>1384</v>
      </c>
      <c r="FB6" s="214" t="s">
        <v>1384</v>
      </c>
      <c r="FC6" s="214" t="s">
        <v>1384</v>
      </c>
      <c r="FD6" s="214" t="s">
        <v>1384</v>
      </c>
      <c r="FE6" s="214" t="s">
        <v>1384</v>
      </c>
      <c r="FF6" s="214" t="s">
        <v>1384</v>
      </c>
      <c r="FG6" s="214" t="s">
        <v>1384</v>
      </c>
      <c r="FH6" s="214" t="s">
        <v>1384</v>
      </c>
      <c r="FI6" s="214" t="s">
        <v>1384</v>
      </c>
      <c r="FJ6" s="214" t="s">
        <v>1384</v>
      </c>
      <c r="FK6" s="214" t="s">
        <v>1384</v>
      </c>
      <c r="FL6" s="214" t="s">
        <v>1384</v>
      </c>
      <c r="FM6" s="214" t="s">
        <v>1384</v>
      </c>
      <c r="FN6" s="214" t="s">
        <v>1384</v>
      </c>
      <c r="FO6" s="214" t="s">
        <v>1384</v>
      </c>
      <c r="FP6" s="214" t="s">
        <v>1384</v>
      </c>
      <c r="FQ6" s="214" t="s">
        <v>1384</v>
      </c>
      <c r="FR6" s="214" t="s">
        <v>1384</v>
      </c>
      <c r="FS6" s="214" t="s">
        <v>1384</v>
      </c>
      <c r="FT6" s="214" t="s">
        <v>1384</v>
      </c>
      <c r="FU6" s="214" t="s">
        <v>1384</v>
      </c>
      <c r="FV6" s="214" t="s">
        <v>1384</v>
      </c>
      <c r="FW6" s="214" t="s">
        <v>1384</v>
      </c>
      <c r="FX6" s="214" t="s">
        <v>1384</v>
      </c>
      <c r="FY6" s="214" t="s">
        <v>1384</v>
      </c>
      <c r="FZ6" s="214" t="s">
        <v>1384</v>
      </c>
      <c r="GA6" s="214" t="s">
        <v>1384</v>
      </c>
      <c r="GB6" s="214" t="s">
        <v>1384</v>
      </c>
      <c r="GC6" s="214" t="s">
        <v>1384</v>
      </c>
      <c r="GD6" s="214" t="s">
        <v>1384</v>
      </c>
      <c r="GE6" s="214" t="s">
        <v>1384</v>
      </c>
      <c r="GF6" s="214" t="s">
        <v>1384</v>
      </c>
      <c r="GG6" s="214" t="s">
        <v>1384</v>
      </c>
      <c r="GH6" s="214" t="s">
        <v>1384</v>
      </c>
      <c r="GI6" s="214" t="s">
        <v>1384</v>
      </c>
      <c r="GJ6" s="214" t="s">
        <v>1384</v>
      </c>
      <c r="GK6" s="214" t="s">
        <v>1384</v>
      </c>
      <c r="GL6" s="214" t="s">
        <v>1384</v>
      </c>
      <c r="GM6" s="214" t="s">
        <v>1384</v>
      </c>
      <c r="GN6" s="214" t="s">
        <v>1384</v>
      </c>
      <c r="GO6" s="214" t="s">
        <v>1384</v>
      </c>
      <c r="GP6" s="214" t="s">
        <v>1384</v>
      </c>
      <c r="GQ6" s="214" t="s">
        <v>1384</v>
      </c>
      <c r="GR6" s="214" t="s">
        <v>1384</v>
      </c>
      <c r="GS6" s="214" t="s">
        <v>1384</v>
      </c>
      <c r="GT6" s="214" t="s">
        <v>1384</v>
      </c>
      <c r="GU6" s="214" t="s">
        <v>1384</v>
      </c>
      <c r="GV6" s="214" t="s">
        <v>1384</v>
      </c>
      <c r="GW6" s="214" t="s">
        <v>1384</v>
      </c>
      <c r="GX6" s="214" t="s">
        <v>1384</v>
      </c>
      <c r="GY6" s="214" t="s">
        <v>1384</v>
      </c>
      <c r="GZ6" s="214" t="s">
        <v>1389</v>
      </c>
      <c r="HA6" s="214" t="s">
        <v>1389</v>
      </c>
      <c r="HB6" s="214" t="s">
        <v>1389</v>
      </c>
      <c r="HC6" s="214" t="s">
        <v>1389</v>
      </c>
      <c r="HD6" s="214" t="s">
        <v>1389</v>
      </c>
      <c r="HE6" s="214" t="s">
        <v>1389</v>
      </c>
      <c r="HF6" s="214" t="s">
        <v>1389</v>
      </c>
      <c r="HG6" s="214" t="s">
        <v>1390</v>
      </c>
      <c r="HH6" s="214" t="s">
        <v>1390</v>
      </c>
      <c r="HI6" s="214" t="s">
        <v>1390</v>
      </c>
      <c r="HJ6" s="214" t="s">
        <v>1391</v>
      </c>
      <c r="HK6" s="214" t="s">
        <v>1391</v>
      </c>
      <c r="HL6" s="214" t="s">
        <v>1391</v>
      </c>
      <c r="HM6" s="214" t="s">
        <v>1392</v>
      </c>
      <c r="HN6" s="214" t="s">
        <v>1392</v>
      </c>
      <c r="HO6" s="214" t="s">
        <v>1392</v>
      </c>
      <c r="HP6" s="214" t="s">
        <v>1393</v>
      </c>
      <c r="HQ6" s="214" t="s">
        <v>1393</v>
      </c>
      <c r="HR6" s="214" t="s">
        <v>1393</v>
      </c>
      <c r="HS6" s="214" t="s">
        <v>1394</v>
      </c>
      <c r="HT6" s="214" t="s">
        <v>1394</v>
      </c>
      <c r="HU6" s="214" t="s">
        <v>1394</v>
      </c>
      <c r="HV6" s="214" t="s">
        <v>1389</v>
      </c>
      <c r="HW6" s="214" t="s">
        <v>1389</v>
      </c>
      <c r="HX6" s="214" t="s">
        <v>1389</v>
      </c>
      <c r="HY6" s="214" t="s">
        <v>1389</v>
      </c>
      <c r="HZ6" s="214" t="s">
        <v>1389</v>
      </c>
      <c r="IA6" s="214" t="s">
        <v>1389</v>
      </c>
      <c r="IB6" s="214" t="s">
        <v>1389</v>
      </c>
      <c r="IC6" s="214" t="s">
        <v>1389</v>
      </c>
      <c r="ID6" s="214" t="s">
        <v>1389</v>
      </c>
      <c r="IE6" s="214" t="s">
        <v>1389</v>
      </c>
      <c r="IF6" s="214" t="s">
        <v>1389</v>
      </c>
      <c r="IG6" s="214" t="s">
        <v>1389</v>
      </c>
      <c r="IH6" s="214" t="s">
        <v>1389</v>
      </c>
      <c r="II6" s="214" t="s">
        <v>1389</v>
      </c>
      <c r="IJ6" s="214" t="s">
        <v>1389</v>
      </c>
      <c r="IK6" s="214" t="s">
        <v>1389</v>
      </c>
      <c r="IL6" s="214" t="s">
        <v>1389</v>
      </c>
      <c r="IM6" s="214" t="s">
        <v>1389</v>
      </c>
      <c r="IN6" s="214" t="s">
        <v>1389</v>
      </c>
      <c r="IO6" s="214" t="s">
        <v>1389</v>
      </c>
      <c r="IP6" s="214" t="s">
        <v>1389</v>
      </c>
      <c r="IQ6" s="214" t="s">
        <v>1395</v>
      </c>
      <c r="IR6" s="214" t="s">
        <v>1396</v>
      </c>
      <c r="IS6" s="214" t="s">
        <v>1397</v>
      </c>
      <c r="IT6" s="214" t="s">
        <v>1389</v>
      </c>
      <c r="IU6" s="214" t="s">
        <v>1398</v>
      </c>
      <c r="IV6" s="214" t="s">
        <v>1396</v>
      </c>
      <c r="IW6" s="214" t="s">
        <v>1397</v>
      </c>
      <c r="IX6" s="214" t="s">
        <v>1399</v>
      </c>
      <c r="IY6" s="214" t="s">
        <v>1400</v>
      </c>
      <c r="IZ6" s="214" t="s">
        <v>1401</v>
      </c>
      <c r="JA6" s="214" t="s">
        <v>1384</v>
      </c>
      <c r="JB6" s="214" t="s">
        <v>1384</v>
      </c>
      <c r="JC6" s="214" t="s">
        <v>1384</v>
      </c>
      <c r="JD6" s="214" t="s">
        <v>1384</v>
      </c>
      <c r="JE6" s="214" t="s">
        <v>1384</v>
      </c>
      <c r="JF6" s="214" t="s">
        <v>1384</v>
      </c>
      <c r="JG6" s="214" t="s">
        <v>1384</v>
      </c>
      <c r="JH6" s="214" t="s">
        <v>1384</v>
      </c>
      <c r="JI6" s="214" t="s">
        <v>1384</v>
      </c>
      <c r="JJ6" s="214" t="s">
        <v>1384</v>
      </c>
      <c r="JK6" s="214" t="s">
        <v>1384</v>
      </c>
      <c r="JL6" s="214" t="s">
        <v>1384</v>
      </c>
      <c r="JM6" s="214" t="s">
        <v>1384</v>
      </c>
      <c r="JN6" s="214" t="s">
        <v>1384</v>
      </c>
      <c r="JO6" s="214" t="s">
        <v>1384</v>
      </c>
      <c r="JP6" s="214" t="s">
        <v>1384</v>
      </c>
      <c r="JQ6" s="214" t="s">
        <v>1384</v>
      </c>
      <c r="JR6" s="214" t="s">
        <v>1384</v>
      </c>
      <c r="JS6" s="214" t="s">
        <v>1384</v>
      </c>
      <c r="JT6" s="214" t="s">
        <v>1384</v>
      </c>
      <c r="JU6" s="214" t="s">
        <v>1384</v>
      </c>
      <c r="JV6" s="214" t="s">
        <v>1384</v>
      </c>
      <c r="JW6" s="214" t="s">
        <v>1384</v>
      </c>
      <c r="JX6" s="214" t="s">
        <v>1389</v>
      </c>
      <c r="JY6" s="214" t="s">
        <v>1396</v>
      </c>
      <c r="JZ6" s="214" t="s">
        <v>1397</v>
      </c>
      <c r="KA6" s="214" t="s">
        <v>1400</v>
      </c>
      <c r="KB6" s="214" t="s">
        <v>1401</v>
      </c>
      <c r="KC6" s="214" t="s">
        <v>1402</v>
      </c>
      <c r="KD6" s="214" t="s">
        <v>1403</v>
      </c>
      <c r="KE6" s="214" t="s">
        <v>1389</v>
      </c>
      <c r="KF6" s="214" t="s">
        <v>1389</v>
      </c>
      <c r="KG6" s="214" t="s">
        <v>1398</v>
      </c>
      <c r="KH6" s="214" t="s">
        <v>1396</v>
      </c>
      <c r="KI6" s="214" t="s">
        <v>1404</v>
      </c>
      <c r="KJ6" s="214" t="s">
        <v>1397</v>
      </c>
      <c r="KK6" s="214" t="s">
        <v>1389</v>
      </c>
      <c r="KL6" s="214" t="s">
        <v>1396</v>
      </c>
      <c r="KM6" s="214" t="s">
        <v>1397</v>
      </c>
      <c r="KN6" s="214" t="s">
        <v>1400</v>
      </c>
      <c r="KO6" s="214" t="s">
        <v>1384</v>
      </c>
      <c r="KP6" s="214" t="s">
        <v>1384</v>
      </c>
      <c r="KQ6" s="214" t="s">
        <v>1384</v>
      </c>
      <c r="KR6" s="214" t="s">
        <v>1384</v>
      </c>
      <c r="KS6" s="214" t="s">
        <v>1384</v>
      </c>
      <c r="KT6" s="214" t="s">
        <v>1384</v>
      </c>
      <c r="KU6" s="214" t="s">
        <v>1384</v>
      </c>
      <c r="KV6" s="214" t="s">
        <v>1384</v>
      </c>
      <c r="KW6" s="214" t="s">
        <v>1384</v>
      </c>
      <c r="KX6" s="214" t="s">
        <v>1384</v>
      </c>
      <c r="KY6" s="214" t="s">
        <v>1384</v>
      </c>
      <c r="KZ6" s="214" t="s">
        <v>1384</v>
      </c>
      <c r="LA6" s="214" t="s">
        <v>1384</v>
      </c>
      <c r="LB6" s="214" t="s">
        <v>1384</v>
      </c>
      <c r="LC6" s="214" t="s">
        <v>1384</v>
      </c>
      <c r="LD6" s="214" t="s">
        <v>1384</v>
      </c>
      <c r="LE6" s="214" t="s">
        <v>1384</v>
      </c>
      <c r="LF6" s="214" t="s">
        <v>1389</v>
      </c>
      <c r="LG6" s="214" t="s">
        <v>1389</v>
      </c>
      <c r="LH6" s="214" t="s">
        <v>1389</v>
      </c>
      <c r="LI6" s="214" t="s">
        <v>1389</v>
      </c>
      <c r="LJ6" s="214" t="s">
        <v>1397</v>
      </c>
      <c r="LK6" s="214" t="s">
        <v>1401</v>
      </c>
      <c r="LL6" s="214" t="s">
        <v>1405</v>
      </c>
      <c r="LM6" s="214" t="s">
        <v>1384</v>
      </c>
      <c r="LN6" s="214" t="s">
        <v>1384</v>
      </c>
      <c r="LO6" s="214" t="s">
        <v>1384</v>
      </c>
      <c r="LP6" s="214" t="s">
        <v>1384</v>
      </c>
      <c r="LQ6" s="214" t="s">
        <v>1384</v>
      </c>
      <c r="LR6" s="214" t="s">
        <v>1384</v>
      </c>
      <c r="LS6" s="214" t="s">
        <v>1384</v>
      </c>
      <c r="LT6" s="214" t="s">
        <v>1384</v>
      </c>
      <c r="LU6" s="214" t="s">
        <v>1385</v>
      </c>
      <c r="LV6" s="214" t="s">
        <v>1385</v>
      </c>
      <c r="LW6" s="214" t="s">
        <v>1385</v>
      </c>
      <c r="LX6" s="214" t="s">
        <v>1385</v>
      </c>
      <c r="LY6" s="214" t="s">
        <v>1385</v>
      </c>
      <c r="LZ6" s="214" t="s">
        <v>1385</v>
      </c>
      <c r="MA6" s="214" t="s">
        <v>1385</v>
      </c>
      <c r="MB6" s="214" t="s">
        <v>1385</v>
      </c>
      <c r="MC6" s="214" t="s">
        <v>1385</v>
      </c>
      <c r="MD6" s="214" t="s">
        <v>1385</v>
      </c>
      <c r="ME6" s="214" t="s">
        <v>1385</v>
      </c>
      <c r="MF6" s="214" t="s">
        <v>1385</v>
      </c>
      <c r="MG6" s="214" t="s">
        <v>1385</v>
      </c>
      <c r="MH6" s="214" t="s">
        <v>1385</v>
      </c>
      <c r="MI6" s="214" t="s">
        <v>1385</v>
      </c>
      <c r="MJ6" s="214" t="s">
        <v>1385</v>
      </c>
      <c r="MK6" s="214" t="s">
        <v>1385</v>
      </c>
      <c r="ML6" s="214" t="s">
        <v>1389</v>
      </c>
      <c r="MM6" s="214" t="s">
        <v>1396</v>
      </c>
      <c r="MN6" s="214" t="s">
        <v>1385</v>
      </c>
      <c r="MO6" s="214" t="s">
        <v>1385</v>
      </c>
      <c r="MP6" s="214" t="s">
        <v>1385</v>
      </c>
      <c r="MQ6" s="214" t="s">
        <v>1385</v>
      </c>
      <c r="MR6" s="214" t="s">
        <v>1385</v>
      </c>
      <c r="MS6" s="214" t="s">
        <v>1385</v>
      </c>
      <c r="MT6" s="214" t="s">
        <v>1385</v>
      </c>
      <c r="MU6" s="214" t="s">
        <v>1385</v>
      </c>
      <c r="MV6" s="214" t="s">
        <v>1385</v>
      </c>
      <c r="MW6" s="214" t="s">
        <v>1385</v>
      </c>
      <c r="MX6" s="214" t="s">
        <v>1385</v>
      </c>
      <c r="MY6" s="214" t="s">
        <v>1385</v>
      </c>
      <c r="MZ6" s="214" t="s">
        <v>1385</v>
      </c>
      <c r="NA6" s="214" t="s">
        <v>1385</v>
      </c>
      <c r="NB6" s="214" t="s">
        <v>1385</v>
      </c>
      <c r="NC6" s="214" t="s">
        <v>1384</v>
      </c>
      <c r="ND6" s="214" t="s">
        <v>1384</v>
      </c>
      <c r="NE6" s="214" t="s">
        <v>1384</v>
      </c>
      <c r="NF6" s="214" t="s">
        <v>1384</v>
      </c>
      <c r="NG6" s="214" t="s">
        <v>1384</v>
      </c>
      <c r="NH6" s="214" t="s">
        <v>1384</v>
      </c>
      <c r="NI6" s="214" t="s">
        <v>1384</v>
      </c>
      <c r="NJ6" s="214" t="s">
        <v>1384</v>
      </c>
      <c r="NK6" s="214" t="s">
        <v>1384</v>
      </c>
      <c r="NL6" s="214" t="s">
        <v>1384</v>
      </c>
      <c r="NM6" s="214" t="s">
        <v>1384</v>
      </c>
      <c r="NN6" s="214" t="s">
        <v>1384</v>
      </c>
      <c r="NO6" s="214" t="s">
        <v>1384</v>
      </c>
      <c r="NP6" s="214" t="s">
        <v>1384</v>
      </c>
      <c r="NQ6" s="214" t="s">
        <v>1384</v>
      </c>
      <c r="NR6" s="214" t="s">
        <v>1384</v>
      </c>
      <c r="NS6" s="214" t="s">
        <v>1384</v>
      </c>
      <c r="NT6" s="214" t="s">
        <v>1384</v>
      </c>
      <c r="NU6" s="214" t="s">
        <v>1384</v>
      </c>
      <c r="NV6" s="214" t="s">
        <v>1384</v>
      </c>
      <c r="NW6" s="214" t="s">
        <v>1384</v>
      </c>
      <c r="NX6" s="214" t="s">
        <v>1385</v>
      </c>
      <c r="NY6" s="214" t="s">
        <v>1385</v>
      </c>
      <c r="NZ6" s="214" t="s">
        <v>1385</v>
      </c>
      <c r="OA6" s="214" t="s">
        <v>1385</v>
      </c>
      <c r="OB6" s="214" t="s">
        <v>1385</v>
      </c>
      <c r="OC6" s="214" t="s">
        <v>1385</v>
      </c>
      <c r="OD6" s="214" t="s">
        <v>1385</v>
      </c>
      <c r="OE6" s="214" t="s">
        <v>1385</v>
      </c>
      <c r="OF6" s="214" t="s">
        <v>1385</v>
      </c>
      <c r="OG6" s="214" t="s">
        <v>1385</v>
      </c>
      <c r="OH6" s="214" t="s">
        <v>1385</v>
      </c>
      <c r="OI6" s="214" t="s">
        <v>1385</v>
      </c>
      <c r="OJ6" s="214"/>
      <c r="OK6" s="214" t="s">
        <v>1385</v>
      </c>
      <c r="OL6" s="214" t="s">
        <v>1385</v>
      </c>
      <c r="OM6" s="214" t="s">
        <v>1385</v>
      </c>
      <c r="ON6" s="214"/>
      <c r="OO6" s="214"/>
      <c r="OP6" s="214"/>
    </row>
    <row r="7" spans="1:406" s="216" customFormat="1" x14ac:dyDescent="0.25">
      <c r="A7" s="215" t="s">
        <v>1406</v>
      </c>
      <c r="B7" s="214" t="s">
        <v>1384</v>
      </c>
      <c r="C7" s="214" t="s">
        <v>1384</v>
      </c>
      <c r="D7" s="214" t="s">
        <v>1384</v>
      </c>
      <c r="E7" s="214" t="s">
        <v>1384</v>
      </c>
      <c r="F7" s="214" t="s">
        <v>1384</v>
      </c>
      <c r="G7" s="214" t="s">
        <v>1384</v>
      </c>
      <c r="H7" s="214" t="s">
        <v>1384</v>
      </c>
      <c r="I7" s="214" t="s">
        <v>1384</v>
      </c>
      <c r="J7" s="214" t="s">
        <v>1384</v>
      </c>
      <c r="K7" s="214" t="s">
        <v>1384</v>
      </c>
      <c r="L7" s="214" t="s">
        <v>1384</v>
      </c>
      <c r="M7" s="214" t="s">
        <v>1384</v>
      </c>
      <c r="N7" s="214" t="s">
        <v>1384</v>
      </c>
      <c r="O7" s="214" t="s">
        <v>1384</v>
      </c>
      <c r="P7" s="214" t="s">
        <v>1384</v>
      </c>
      <c r="Q7" s="214" t="s">
        <v>1384</v>
      </c>
      <c r="R7" s="214" t="s">
        <v>1384</v>
      </c>
      <c r="S7" s="214" t="s">
        <v>1384</v>
      </c>
      <c r="T7" s="214" t="s">
        <v>1384</v>
      </c>
      <c r="U7" s="214" t="s">
        <v>1384</v>
      </c>
      <c r="V7" s="214" t="s">
        <v>1384</v>
      </c>
      <c r="W7" s="214" t="s">
        <v>1384</v>
      </c>
      <c r="X7" s="214" t="s">
        <v>1384</v>
      </c>
      <c r="Y7" s="214" t="s">
        <v>1384</v>
      </c>
      <c r="Z7" s="214" t="s">
        <v>1384</v>
      </c>
      <c r="AA7" s="214" t="s">
        <v>1384</v>
      </c>
      <c r="AB7" s="214" t="s">
        <v>1384</v>
      </c>
      <c r="AC7" s="214" t="s">
        <v>1384</v>
      </c>
      <c r="AD7" s="214" t="s">
        <v>1384</v>
      </c>
      <c r="AE7" s="214" t="s">
        <v>1384</v>
      </c>
      <c r="AF7" s="214" t="s">
        <v>1384</v>
      </c>
      <c r="AG7" s="214" t="s">
        <v>1384</v>
      </c>
      <c r="AH7" s="214" t="s">
        <v>1384</v>
      </c>
      <c r="AI7" s="214" t="s">
        <v>1384</v>
      </c>
      <c r="AJ7" s="214" t="s">
        <v>1384</v>
      </c>
      <c r="AK7" s="214" t="s">
        <v>1384</v>
      </c>
      <c r="AL7" s="214" t="s">
        <v>1384</v>
      </c>
      <c r="AM7" s="214" t="s">
        <v>1384</v>
      </c>
      <c r="AN7" s="214" t="s">
        <v>1384</v>
      </c>
      <c r="AO7" s="214" t="s">
        <v>1384</v>
      </c>
      <c r="AP7" s="214" t="s">
        <v>1384</v>
      </c>
      <c r="AQ7" s="214" t="s">
        <v>1384</v>
      </c>
      <c r="AR7" s="214" t="s">
        <v>1384</v>
      </c>
      <c r="AS7" s="214" t="s">
        <v>1384</v>
      </c>
      <c r="AT7" s="214" t="s">
        <v>1384</v>
      </c>
      <c r="AU7" s="214" t="s">
        <v>1384</v>
      </c>
      <c r="AV7" s="214" t="s">
        <v>1384</v>
      </c>
      <c r="AW7" s="214" t="s">
        <v>1384</v>
      </c>
      <c r="AX7" s="214" t="s">
        <v>1384</v>
      </c>
      <c r="AY7" s="214" t="s">
        <v>1384</v>
      </c>
      <c r="AZ7" s="214" t="s">
        <v>1384</v>
      </c>
      <c r="BA7" s="214" t="s">
        <v>1384</v>
      </c>
      <c r="BB7" s="214" t="s">
        <v>1384</v>
      </c>
      <c r="BC7" s="214" t="s">
        <v>1384</v>
      </c>
      <c r="BD7" s="214" t="s">
        <v>1384</v>
      </c>
      <c r="BE7" s="214" t="s">
        <v>1384</v>
      </c>
      <c r="BF7" s="214" t="s">
        <v>1384</v>
      </c>
      <c r="BG7" s="214" t="s">
        <v>1384</v>
      </c>
      <c r="BH7" s="214" t="s">
        <v>1384</v>
      </c>
      <c r="BI7" s="214" t="s">
        <v>1384</v>
      </c>
      <c r="BJ7" s="214" t="s">
        <v>1384</v>
      </c>
      <c r="BK7" s="214" t="s">
        <v>1384</v>
      </c>
      <c r="BL7" s="214" t="s">
        <v>1384</v>
      </c>
      <c r="BM7" s="214" t="s">
        <v>1384</v>
      </c>
      <c r="BN7" s="214" t="s">
        <v>1384</v>
      </c>
      <c r="BO7" s="214" t="s">
        <v>1384</v>
      </c>
      <c r="BP7" s="214" t="s">
        <v>1384</v>
      </c>
      <c r="BQ7" s="214" t="s">
        <v>1384</v>
      </c>
      <c r="BR7" s="214" t="s">
        <v>1384</v>
      </c>
      <c r="BS7" s="214" t="s">
        <v>1384</v>
      </c>
      <c r="BT7" s="214" t="s">
        <v>1384</v>
      </c>
      <c r="BU7" s="214" t="s">
        <v>1384</v>
      </c>
      <c r="BV7" s="214" t="s">
        <v>1384</v>
      </c>
      <c r="BW7" s="214" t="s">
        <v>1384</v>
      </c>
      <c r="BX7" s="214" t="s">
        <v>1384</v>
      </c>
      <c r="BY7" s="214" t="s">
        <v>1384</v>
      </c>
      <c r="BZ7" s="214" t="s">
        <v>1384</v>
      </c>
      <c r="CA7" s="214" t="s">
        <v>1384</v>
      </c>
      <c r="CB7" s="214" t="s">
        <v>1384</v>
      </c>
      <c r="CC7" s="214" t="s">
        <v>1384</v>
      </c>
      <c r="CD7" s="214" t="s">
        <v>1384</v>
      </c>
      <c r="CE7" s="214" t="s">
        <v>1384</v>
      </c>
      <c r="CF7" s="214" t="s">
        <v>1384</v>
      </c>
      <c r="CG7" s="214" t="s">
        <v>1384</v>
      </c>
      <c r="CH7" s="214" t="s">
        <v>1384</v>
      </c>
      <c r="CI7" s="214" t="s">
        <v>1384</v>
      </c>
      <c r="CJ7" s="214" t="s">
        <v>1384</v>
      </c>
      <c r="CK7" s="214" t="s">
        <v>1384</v>
      </c>
      <c r="CL7" s="214" t="s">
        <v>1384</v>
      </c>
      <c r="CM7" s="214" t="s">
        <v>1384</v>
      </c>
      <c r="CN7" s="214" t="s">
        <v>1384</v>
      </c>
      <c r="CO7" s="214" t="s">
        <v>1384</v>
      </c>
      <c r="CP7" s="214" t="s">
        <v>1384</v>
      </c>
      <c r="CQ7" s="214" t="s">
        <v>1384</v>
      </c>
      <c r="CR7" s="214" t="s">
        <v>1384</v>
      </c>
      <c r="CS7" s="214" t="s">
        <v>1384</v>
      </c>
      <c r="CT7" s="214" t="s">
        <v>1384</v>
      </c>
      <c r="CU7" s="214" t="s">
        <v>1384</v>
      </c>
      <c r="CV7" s="214" t="s">
        <v>1384</v>
      </c>
      <c r="CW7" s="214" t="s">
        <v>1384</v>
      </c>
      <c r="CX7" s="214" t="s">
        <v>1384</v>
      </c>
      <c r="CY7" s="214" t="s">
        <v>1384</v>
      </c>
      <c r="CZ7" s="214" t="s">
        <v>1384</v>
      </c>
      <c r="DA7" s="214" t="s">
        <v>1384</v>
      </c>
      <c r="DB7" s="214" t="s">
        <v>1384</v>
      </c>
      <c r="DC7" s="214" t="s">
        <v>1384</v>
      </c>
      <c r="DD7" s="214" t="s">
        <v>1384</v>
      </c>
      <c r="DE7" s="214" t="s">
        <v>1384</v>
      </c>
      <c r="DF7" s="214" t="s">
        <v>1384</v>
      </c>
      <c r="DG7" s="214" t="s">
        <v>1384</v>
      </c>
      <c r="DH7" s="214" t="s">
        <v>1384</v>
      </c>
      <c r="DI7" s="214" t="s">
        <v>1384</v>
      </c>
      <c r="DJ7" s="214" t="s">
        <v>1384</v>
      </c>
      <c r="DK7" s="214" t="s">
        <v>1384</v>
      </c>
      <c r="DL7" s="214" t="s">
        <v>1384</v>
      </c>
      <c r="DM7" s="214" t="s">
        <v>1384</v>
      </c>
      <c r="DN7" s="214" t="s">
        <v>1384</v>
      </c>
      <c r="DO7" s="214" t="s">
        <v>1384</v>
      </c>
      <c r="DP7" s="214" t="s">
        <v>1384</v>
      </c>
      <c r="DQ7" s="214" t="s">
        <v>1384</v>
      </c>
      <c r="DR7" s="214" t="s">
        <v>1384</v>
      </c>
      <c r="DS7" s="214" t="s">
        <v>1384</v>
      </c>
      <c r="DT7" s="214" t="s">
        <v>1384</v>
      </c>
      <c r="DU7" s="214" t="s">
        <v>1384</v>
      </c>
      <c r="DV7" s="214" t="s">
        <v>1384</v>
      </c>
      <c r="DW7" s="214" t="s">
        <v>1384</v>
      </c>
      <c r="DX7" s="214" t="s">
        <v>1384</v>
      </c>
      <c r="DY7" s="214" t="s">
        <v>1384</v>
      </c>
      <c r="DZ7" s="214" t="s">
        <v>1384</v>
      </c>
      <c r="EA7" s="214" t="s">
        <v>1384</v>
      </c>
      <c r="EB7" s="214" t="s">
        <v>1384</v>
      </c>
      <c r="EC7" s="214" t="s">
        <v>1384</v>
      </c>
      <c r="ED7" s="214" t="s">
        <v>1384</v>
      </c>
      <c r="EE7" s="214" t="s">
        <v>1384</v>
      </c>
      <c r="EF7" s="214" t="s">
        <v>1384</v>
      </c>
      <c r="EG7" s="214" t="s">
        <v>1384</v>
      </c>
      <c r="EH7" s="214" t="s">
        <v>1384</v>
      </c>
      <c r="EI7" s="214" t="s">
        <v>1384</v>
      </c>
      <c r="EJ7" s="214" t="s">
        <v>1384</v>
      </c>
      <c r="EK7" s="214" t="s">
        <v>1384</v>
      </c>
      <c r="EL7" s="214" t="s">
        <v>1384</v>
      </c>
      <c r="EM7" s="214" t="s">
        <v>1384</v>
      </c>
      <c r="EN7" s="214" t="s">
        <v>1384</v>
      </c>
      <c r="EO7" s="214" t="s">
        <v>1384</v>
      </c>
      <c r="EP7" s="214" t="s">
        <v>1384</v>
      </c>
      <c r="EQ7" s="214" t="s">
        <v>1384</v>
      </c>
      <c r="ER7" s="214" t="s">
        <v>1384</v>
      </c>
      <c r="ES7" s="214" t="s">
        <v>1384</v>
      </c>
      <c r="ET7" s="214" t="s">
        <v>1384</v>
      </c>
      <c r="EU7" s="214" t="s">
        <v>1384</v>
      </c>
      <c r="EV7" s="214" t="s">
        <v>1384</v>
      </c>
      <c r="EW7" s="214" t="s">
        <v>1384</v>
      </c>
      <c r="EX7" s="214" t="s">
        <v>1384</v>
      </c>
      <c r="EY7" s="214" t="s">
        <v>1384</v>
      </c>
      <c r="EZ7" s="214" t="s">
        <v>1384</v>
      </c>
      <c r="FA7" s="214" t="s">
        <v>1384</v>
      </c>
      <c r="FB7" s="214" t="s">
        <v>1384</v>
      </c>
      <c r="FC7" s="214" t="s">
        <v>1384</v>
      </c>
      <c r="FD7" s="214" t="s">
        <v>1384</v>
      </c>
      <c r="FE7" s="214" t="s">
        <v>1384</v>
      </c>
      <c r="FF7" s="214" t="s">
        <v>1384</v>
      </c>
      <c r="FG7" s="214" t="s">
        <v>1384</v>
      </c>
      <c r="FH7" s="214" t="s">
        <v>1384</v>
      </c>
      <c r="FI7" s="214" t="s">
        <v>1384</v>
      </c>
      <c r="FJ7" s="214" t="s">
        <v>1384</v>
      </c>
      <c r="FK7" s="214" t="s">
        <v>1384</v>
      </c>
      <c r="FL7" s="214" t="s">
        <v>1384</v>
      </c>
      <c r="FM7" s="214" t="s">
        <v>1384</v>
      </c>
      <c r="FN7" s="214" t="s">
        <v>1384</v>
      </c>
      <c r="FO7" s="214" t="s">
        <v>1384</v>
      </c>
      <c r="FP7" s="214" t="s">
        <v>1384</v>
      </c>
      <c r="FQ7" s="214" t="s">
        <v>1384</v>
      </c>
      <c r="FR7" s="214" t="s">
        <v>1384</v>
      </c>
      <c r="FS7" s="214" t="s">
        <v>1384</v>
      </c>
      <c r="FT7" s="214" t="s">
        <v>1384</v>
      </c>
      <c r="FU7" s="214" t="s">
        <v>1384</v>
      </c>
      <c r="FV7" s="214" t="s">
        <v>1384</v>
      </c>
      <c r="FW7" s="214" t="s">
        <v>1384</v>
      </c>
      <c r="FX7" s="214" t="s">
        <v>1384</v>
      </c>
      <c r="FY7" s="214" t="s">
        <v>1384</v>
      </c>
      <c r="FZ7" s="214" t="s">
        <v>1384</v>
      </c>
      <c r="GA7" s="214" t="s">
        <v>1384</v>
      </c>
      <c r="GB7" s="214" t="s">
        <v>1384</v>
      </c>
      <c r="GC7" s="214" t="s">
        <v>1384</v>
      </c>
      <c r="GD7" s="214" t="s">
        <v>1384</v>
      </c>
      <c r="GE7" s="214" t="s">
        <v>1384</v>
      </c>
      <c r="GF7" s="214" t="s">
        <v>1384</v>
      </c>
      <c r="GG7" s="214" t="s">
        <v>1384</v>
      </c>
      <c r="GH7" s="214" t="s">
        <v>1384</v>
      </c>
      <c r="GI7" s="214" t="s">
        <v>1384</v>
      </c>
      <c r="GJ7" s="214" t="s">
        <v>1384</v>
      </c>
      <c r="GK7" s="214" t="s">
        <v>1384</v>
      </c>
      <c r="GL7" s="214" t="s">
        <v>1384</v>
      </c>
      <c r="GM7" s="214" t="s">
        <v>1384</v>
      </c>
      <c r="GN7" s="214" t="s">
        <v>1384</v>
      </c>
      <c r="GO7" s="214" t="s">
        <v>1384</v>
      </c>
      <c r="GP7" s="214" t="s">
        <v>1384</v>
      </c>
      <c r="GQ7" s="214" t="s">
        <v>1384</v>
      </c>
      <c r="GR7" s="214" t="s">
        <v>1384</v>
      </c>
      <c r="GS7" s="214" t="s">
        <v>1384</v>
      </c>
      <c r="GT7" s="214" t="s">
        <v>1384</v>
      </c>
      <c r="GU7" s="214" t="s">
        <v>1384</v>
      </c>
      <c r="GV7" s="214" t="s">
        <v>1384</v>
      </c>
      <c r="GW7" s="214" t="s">
        <v>1384</v>
      </c>
      <c r="GX7" s="214" t="s">
        <v>1384</v>
      </c>
      <c r="GY7" s="214" t="s">
        <v>1384</v>
      </c>
      <c r="GZ7" s="214" t="s">
        <v>1384</v>
      </c>
      <c r="HA7" s="214" t="s">
        <v>1384</v>
      </c>
      <c r="HB7" s="214" t="s">
        <v>1384</v>
      </c>
      <c r="HC7" s="214" t="s">
        <v>1384</v>
      </c>
      <c r="HD7" s="214" t="s">
        <v>1384</v>
      </c>
      <c r="HE7" s="214" t="s">
        <v>1384</v>
      </c>
      <c r="HF7" s="214" t="s">
        <v>1384</v>
      </c>
      <c r="HG7" s="214" t="s">
        <v>1384</v>
      </c>
      <c r="HH7" s="214" t="s">
        <v>1384</v>
      </c>
      <c r="HI7" s="214" t="s">
        <v>1384</v>
      </c>
      <c r="HJ7" s="214" t="s">
        <v>1384</v>
      </c>
      <c r="HK7" s="214" t="s">
        <v>1384</v>
      </c>
      <c r="HL7" s="214" t="s">
        <v>1384</v>
      </c>
      <c r="HM7" s="214" t="s">
        <v>1384</v>
      </c>
      <c r="HN7" s="214" t="s">
        <v>1384</v>
      </c>
      <c r="HO7" s="214" t="s">
        <v>1384</v>
      </c>
      <c r="HP7" s="214" t="s">
        <v>1384</v>
      </c>
      <c r="HQ7" s="214" t="s">
        <v>1384</v>
      </c>
      <c r="HR7" s="214" t="s">
        <v>1384</v>
      </c>
      <c r="HS7" s="214" t="s">
        <v>1384</v>
      </c>
      <c r="HT7" s="214" t="s">
        <v>1384</v>
      </c>
      <c r="HU7" s="214" t="s">
        <v>1384</v>
      </c>
      <c r="HV7" s="214" t="s">
        <v>1384</v>
      </c>
      <c r="HW7" s="214" t="s">
        <v>1384</v>
      </c>
      <c r="HX7" s="214" t="s">
        <v>1384</v>
      </c>
      <c r="HY7" s="214" t="s">
        <v>1384</v>
      </c>
      <c r="HZ7" s="214" t="s">
        <v>1384</v>
      </c>
      <c r="IA7" s="214" t="s">
        <v>1384</v>
      </c>
      <c r="IB7" s="214" t="s">
        <v>1384</v>
      </c>
      <c r="IC7" s="214" t="s">
        <v>1384</v>
      </c>
      <c r="ID7" s="214" t="s">
        <v>1384</v>
      </c>
      <c r="IE7" s="214" t="s">
        <v>1384</v>
      </c>
      <c r="IF7" s="214" t="s">
        <v>1384</v>
      </c>
      <c r="IG7" s="214" t="s">
        <v>1384</v>
      </c>
      <c r="IH7" s="214" t="s">
        <v>1384</v>
      </c>
      <c r="II7" s="214" t="s">
        <v>1384</v>
      </c>
      <c r="IJ7" s="214" t="s">
        <v>1384</v>
      </c>
      <c r="IK7" s="214" t="s">
        <v>1384</v>
      </c>
      <c r="IL7" s="214" t="s">
        <v>1384</v>
      </c>
      <c r="IM7" s="214" t="s">
        <v>1384</v>
      </c>
      <c r="IN7" s="214" t="s">
        <v>1384</v>
      </c>
      <c r="IO7" s="214" t="s">
        <v>1384</v>
      </c>
      <c r="IP7" s="214" t="s">
        <v>1384</v>
      </c>
      <c r="IQ7" s="214" t="s">
        <v>1384</v>
      </c>
      <c r="IR7" s="214" t="s">
        <v>1384</v>
      </c>
      <c r="IS7" s="214" t="s">
        <v>1384</v>
      </c>
      <c r="IT7" s="214" t="s">
        <v>1384</v>
      </c>
      <c r="IU7" s="214" t="s">
        <v>1384</v>
      </c>
      <c r="IV7" s="214" t="s">
        <v>1384</v>
      </c>
      <c r="IW7" s="214" t="s">
        <v>1384</v>
      </c>
      <c r="IX7" s="214" t="s">
        <v>1384</v>
      </c>
      <c r="IY7" s="214" t="s">
        <v>1384</v>
      </c>
      <c r="IZ7" s="214" t="s">
        <v>1384</v>
      </c>
      <c r="JA7" s="214" t="s">
        <v>1384</v>
      </c>
      <c r="JB7" s="214" t="s">
        <v>1384</v>
      </c>
      <c r="JC7" s="214" t="s">
        <v>1384</v>
      </c>
      <c r="JD7" s="214" t="s">
        <v>1384</v>
      </c>
      <c r="JE7" s="214" t="s">
        <v>1384</v>
      </c>
      <c r="JF7" s="214" t="s">
        <v>1384</v>
      </c>
      <c r="JG7" s="214" t="s">
        <v>1384</v>
      </c>
      <c r="JH7" s="214" t="s">
        <v>1384</v>
      </c>
      <c r="JI7" s="214" t="s">
        <v>1384</v>
      </c>
      <c r="JJ7" s="214" t="s">
        <v>1384</v>
      </c>
      <c r="JK7" s="214" t="s">
        <v>1384</v>
      </c>
      <c r="JL7" s="214" t="s">
        <v>1384</v>
      </c>
      <c r="JM7" s="214" t="s">
        <v>1384</v>
      </c>
      <c r="JN7" s="214" t="s">
        <v>1384</v>
      </c>
      <c r="JO7" s="214" t="s">
        <v>1384</v>
      </c>
      <c r="JP7" s="214" t="s">
        <v>1384</v>
      </c>
      <c r="JQ7" s="214" t="s">
        <v>1384</v>
      </c>
      <c r="JR7" s="214" t="s">
        <v>1384</v>
      </c>
      <c r="JS7" s="214" t="s">
        <v>1384</v>
      </c>
      <c r="JT7" s="214" t="s">
        <v>1384</v>
      </c>
      <c r="JU7" s="214" t="s">
        <v>1384</v>
      </c>
      <c r="JV7" s="214" t="s">
        <v>1384</v>
      </c>
      <c r="JW7" s="214" t="s">
        <v>1384</v>
      </c>
      <c r="JX7" s="214" t="s">
        <v>1384</v>
      </c>
      <c r="JY7" s="214" t="s">
        <v>1384</v>
      </c>
      <c r="JZ7" s="214" t="s">
        <v>1384</v>
      </c>
      <c r="KA7" s="214" t="s">
        <v>1384</v>
      </c>
      <c r="KB7" s="214" t="s">
        <v>1384</v>
      </c>
      <c r="KC7" s="214" t="s">
        <v>1384</v>
      </c>
      <c r="KD7" s="214" t="s">
        <v>1384</v>
      </c>
      <c r="KE7" s="214" t="s">
        <v>1384</v>
      </c>
      <c r="KF7" s="214" t="s">
        <v>1384</v>
      </c>
      <c r="KG7" s="214" t="s">
        <v>1384</v>
      </c>
      <c r="KH7" s="214" t="s">
        <v>1384</v>
      </c>
      <c r="KI7" s="214" t="s">
        <v>1384</v>
      </c>
      <c r="KJ7" s="214" t="s">
        <v>1384</v>
      </c>
      <c r="KK7" s="214" t="s">
        <v>1384</v>
      </c>
      <c r="KL7" s="214" t="s">
        <v>1384</v>
      </c>
      <c r="KM7" s="214" t="s">
        <v>1384</v>
      </c>
      <c r="KN7" s="214" t="s">
        <v>1384</v>
      </c>
      <c r="KO7" s="214" t="s">
        <v>1384</v>
      </c>
      <c r="KP7" s="214" t="s">
        <v>1384</v>
      </c>
      <c r="KQ7" s="214" t="s">
        <v>1384</v>
      </c>
      <c r="KR7" s="214" t="s">
        <v>1384</v>
      </c>
      <c r="KS7" s="214" t="s">
        <v>1384</v>
      </c>
      <c r="KT7" s="214" t="s">
        <v>1384</v>
      </c>
      <c r="KU7" s="214" t="s">
        <v>1384</v>
      </c>
      <c r="KV7" s="214" t="s">
        <v>1384</v>
      </c>
      <c r="KW7" s="214" t="s">
        <v>1384</v>
      </c>
      <c r="KX7" s="214" t="s">
        <v>1384</v>
      </c>
      <c r="KY7" s="214" t="s">
        <v>1384</v>
      </c>
      <c r="KZ7" s="214" t="s">
        <v>1384</v>
      </c>
      <c r="LA7" s="214" t="s">
        <v>1384</v>
      </c>
      <c r="LB7" s="214" t="s">
        <v>1384</v>
      </c>
      <c r="LC7" s="214" t="s">
        <v>1384</v>
      </c>
      <c r="LD7" s="214" t="s">
        <v>1384</v>
      </c>
      <c r="LE7" s="214" t="s">
        <v>1384</v>
      </c>
      <c r="LF7" s="214" t="s">
        <v>1384</v>
      </c>
      <c r="LG7" s="214" t="s">
        <v>1384</v>
      </c>
      <c r="LH7" s="214" t="s">
        <v>1384</v>
      </c>
      <c r="LI7" s="214" t="s">
        <v>1384</v>
      </c>
      <c r="LJ7" s="214" t="s">
        <v>1384</v>
      </c>
      <c r="LK7" s="214" t="s">
        <v>1384</v>
      </c>
      <c r="LL7" s="214" t="s">
        <v>1384</v>
      </c>
      <c r="LM7" s="214" t="s">
        <v>1384</v>
      </c>
      <c r="LN7" s="214" t="s">
        <v>1384</v>
      </c>
      <c r="LO7" s="214" t="s">
        <v>1384</v>
      </c>
      <c r="LP7" s="214" t="s">
        <v>1384</v>
      </c>
      <c r="LQ7" s="214" t="s">
        <v>1384</v>
      </c>
      <c r="LR7" s="214" t="s">
        <v>1384</v>
      </c>
      <c r="LS7" s="214" t="s">
        <v>1384</v>
      </c>
      <c r="LT7" s="214" t="s">
        <v>1384</v>
      </c>
      <c r="LU7" s="214" t="s">
        <v>1385</v>
      </c>
      <c r="LV7" s="214" t="s">
        <v>1385</v>
      </c>
      <c r="LW7" s="214" t="s">
        <v>1385</v>
      </c>
      <c r="LX7" s="214" t="s">
        <v>1385</v>
      </c>
      <c r="LY7" s="214" t="s">
        <v>1385</v>
      </c>
      <c r="LZ7" s="214" t="s">
        <v>1385</v>
      </c>
      <c r="MA7" s="214" t="s">
        <v>1385</v>
      </c>
      <c r="MB7" s="214" t="s">
        <v>1385</v>
      </c>
      <c r="MC7" s="214" t="s">
        <v>1385</v>
      </c>
      <c r="MD7" s="214" t="s">
        <v>1385</v>
      </c>
      <c r="ME7" s="214" t="s">
        <v>1385</v>
      </c>
      <c r="MF7" s="214" t="s">
        <v>1385</v>
      </c>
      <c r="MG7" s="214" t="s">
        <v>1385</v>
      </c>
      <c r="MH7" s="214" t="s">
        <v>1385</v>
      </c>
      <c r="MI7" s="214" t="s">
        <v>1385</v>
      </c>
      <c r="MJ7" s="214" t="s">
        <v>1385</v>
      </c>
      <c r="MK7" s="214" t="s">
        <v>1385</v>
      </c>
      <c r="ML7" s="214" t="s">
        <v>1385</v>
      </c>
      <c r="MM7" s="214" t="s">
        <v>1385</v>
      </c>
      <c r="MN7" s="214" t="s">
        <v>1385</v>
      </c>
      <c r="MO7" s="214" t="s">
        <v>1385</v>
      </c>
      <c r="MP7" s="214" t="s">
        <v>1385</v>
      </c>
      <c r="MQ7" s="214" t="s">
        <v>1385</v>
      </c>
      <c r="MR7" s="214" t="s">
        <v>1385</v>
      </c>
      <c r="MS7" s="214" t="s">
        <v>1385</v>
      </c>
      <c r="MT7" s="214" t="s">
        <v>1385</v>
      </c>
      <c r="MU7" s="214" t="s">
        <v>1385</v>
      </c>
      <c r="MV7" s="214" t="s">
        <v>1385</v>
      </c>
      <c r="MW7" s="214" t="s">
        <v>1385</v>
      </c>
      <c r="MX7" s="214" t="s">
        <v>1385</v>
      </c>
      <c r="MY7" s="214" t="s">
        <v>1385</v>
      </c>
      <c r="MZ7" s="214" t="s">
        <v>1385</v>
      </c>
      <c r="NA7" s="214" t="s">
        <v>1385</v>
      </c>
      <c r="NB7" s="214" t="s">
        <v>1385</v>
      </c>
      <c r="NC7" s="214" t="s">
        <v>1384</v>
      </c>
      <c r="ND7" s="214" t="s">
        <v>1384</v>
      </c>
      <c r="NE7" s="214" t="s">
        <v>1384</v>
      </c>
      <c r="NF7" s="214" t="s">
        <v>1384</v>
      </c>
      <c r="NG7" s="214" t="s">
        <v>1384</v>
      </c>
      <c r="NH7" s="214" t="s">
        <v>1384</v>
      </c>
      <c r="NI7" s="214" t="s">
        <v>1384</v>
      </c>
      <c r="NJ7" s="214" t="s">
        <v>1384</v>
      </c>
      <c r="NK7" s="214" t="s">
        <v>1384</v>
      </c>
      <c r="NL7" s="214" t="s">
        <v>1384</v>
      </c>
      <c r="NM7" s="214" t="s">
        <v>1384</v>
      </c>
      <c r="NN7" s="214" t="s">
        <v>1384</v>
      </c>
      <c r="NO7" s="214" t="s">
        <v>1384</v>
      </c>
      <c r="NP7" s="214" t="s">
        <v>1384</v>
      </c>
      <c r="NQ7" s="214" t="s">
        <v>1384</v>
      </c>
      <c r="NR7" s="214" t="s">
        <v>1384</v>
      </c>
      <c r="NS7" s="214" t="s">
        <v>1384</v>
      </c>
      <c r="NT7" s="214" t="s">
        <v>1384</v>
      </c>
      <c r="NU7" s="214" t="s">
        <v>1384</v>
      </c>
      <c r="NV7" s="214" t="s">
        <v>1384</v>
      </c>
      <c r="NW7" s="214" t="s">
        <v>1384</v>
      </c>
      <c r="NX7" s="214" t="s">
        <v>1385</v>
      </c>
      <c r="NY7" s="214" t="s">
        <v>1385</v>
      </c>
      <c r="NZ7" s="214" t="s">
        <v>1385</v>
      </c>
      <c r="OA7" s="214" t="s">
        <v>1385</v>
      </c>
      <c r="OB7" s="214" t="s">
        <v>1385</v>
      </c>
      <c r="OC7" s="214" t="s">
        <v>1385</v>
      </c>
      <c r="OD7" s="214" t="s">
        <v>1385</v>
      </c>
      <c r="OE7" s="214" t="s">
        <v>1385</v>
      </c>
      <c r="OF7" s="214" t="s">
        <v>1385</v>
      </c>
      <c r="OG7" s="214" t="s">
        <v>1385</v>
      </c>
      <c r="OH7" s="214" t="s">
        <v>1385</v>
      </c>
      <c r="OI7" s="214" t="s">
        <v>1385</v>
      </c>
      <c r="OJ7" s="214"/>
      <c r="OK7" s="214" t="s">
        <v>1385</v>
      </c>
      <c r="OL7" s="214" t="s">
        <v>1385</v>
      </c>
      <c r="OM7" s="214" t="s">
        <v>1385</v>
      </c>
      <c r="ON7" s="214"/>
      <c r="OO7" s="214"/>
      <c r="OP7" s="214"/>
    </row>
    <row r="8" spans="1:406" ht="30" x14ac:dyDescent="0.25">
      <c r="A8" s="217" t="s">
        <v>1407</v>
      </c>
      <c r="B8" s="218">
        <v>60</v>
      </c>
      <c r="C8" s="218">
        <v>0</v>
      </c>
      <c r="D8" s="218">
        <v>45</v>
      </c>
      <c r="E8" s="218">
        <v>0</v>
      </c>
      <c r="F8" s="218">
        <v>45</v>
      </c>
      <c r="G8" s="219">
        <v>0</v>
      </c>
      <c r="H8" s="219">
        <v>45</v>
      </c>
      <c r="I8" s="218">
        <v>0</v>
      </c>
      <c r="J8" s="219">
        <v>45</v>
      </c>
      <c r="K8" s="218">
        <v>0</v>
      </c>
      <c r="L8" s="219">
        <v>45</v>
      </c>
      <c r="M8" s="219">
        <v>45</v>
      </c>
      <c r="N8" s="219">
        <v>45</v>
      </c>
      <c r="O8" s="219">
        <v>90</v>
      </c>
      <c r="P8" s="219">
        <v>90</v>
      </c>
      <c r="Q8" s="219">
        <v>90</v>
      </c>
      <c r="R8" s="218">
        <v>0</v>
      </c>
      <c r="S8" s="218">
        <v>0</v>
      </c>
      <c r="T8" s="218">
        <v>0</v>
      </c>
      <c r="U8" s="219">
        <v>45</v>
      </c>
      <c r="V8" s="219">
        <v>45</v>
      </c>
      <c r="W8" s="219">
        <v>45</v>
      </c>
      <c r="X8" s="219">
        <v>90</v>
      </c>
      <c r="Y8" s="219">
        <v>90</v>
      </c>
      <c r="Z8" s="219">
        <v>90</v>
      </c>
      <c r="AA8" s="218">
        <v>0</v>
      </c>
      <c r="AB8" s="218">
        <v>0</v>
      </c>
      <c r="AC8" s="218">
        <v>0</v>
      </c>
      <c r="AD8" s="219">
        <v>45</v>
      </c>
      <c r="AE8" s="219">
        <v>45</v>
      </c>
      <c r="AF8" s="219">
        <v>45</v>
      </c>
      <c r="AG8" s="219">
        <v>90</v>
      </c>
      <c r="AH8" s="219">
        <v>90</v>
      </c>
      <c r="AI8" s="219">
        <v>90</v>
      </c>
      <c r="AJ8" s="218">
        <v>0</v>
      </c>
      <c r="AK8" s="218">
        <v>0</v>
      </c>
      <c r="AL8" s="218">
        <v>0</v>
      </c>
      <c r="AM8" s="219">
        <v>45</v>
      </c>
      <c r="AN8" s="219">
        <v>45</v>
      </c>
      <c r="AO8" s="219">
        <v>45</v>
      </c>
      <c r="AP8" s="219">
        <v>90</v>
      </c>
      <c r="AQ8" s="219">
        <v>90</v>
      </c>
      <c r="AR8" s="219">
        <v>90</v>
      </c>
      <c r="AS8" s="218">
        <v>0</v>
      </c>
      <c r="AT8" s="218">
        <v>0</v>
      </c>
      <c r="AU8" s="218">
        <v>0</v>
      </c>
      <c r="AV8" s="219">
        <v>45</v>
      </c>
      <c r="AW8" s="219">
        <v>45</v>
      </c>
      <c r="AX8" s="219">
        <v>45</v>
      </c>
      <c r="AY8" s="219">
        <v>90</v>
      </c>
      <c r="AZ8" s="219">
        <v>90</v>
      </c>
      <c r="BA8" s="219">
        <v>90</v>
      </c>
      <c r="BB8" s="218">
        <v>0</v>
      </c>
      <c r="BC8" s="218">
        <v>0</v>
      </c>
      <c r="BD8" s="218">
        <v>0</v>
      </c>
      <c r="BE8" s="218">
        <v>35</v>
      </c>
      <c r="BF8" s="218">
        <v>60</v>
      </c>
      <c r="BG8" s="218">
        <v>45</v>
      </c>
      <c r="BH8" s="218">
        <v>90</v>
      </c>
      <c r="BI8" s="218">
        <v>55</v>
      </c>
      <c r="BJ8" s="218">
        <v>100</v>
      </c>
      <c r="BK8" s="218">
        <v>80</v>
      </c>
      <c r="BL8" s="218">
        <v>90</v>
      </c>
      <c r="BM8" s="218">
        <v>0</v>
      </c>
      <c r="BN8" s="218">
        <v>35</v>
      </c>
      <c r="BO8" s="218">
        <v>55</v>
      </c>
      <c r="BP8" s="218">
        <v>65</v>
      </c>
      <c r="BQ8" s="218">
        <v>75</v>
      </c>
      <c r="BR8" s="218">
        <v>90</v>
      </c>
      <c r="BS8" s="218">
        <v>115</v>
      </c>
      <c r="BT8" s="218">
        <v>0</v>
      </c>
      <c r="BU8" s="218">
        <v>40</v>
      </c>
      <c r="BV8" s="218">
        <v>50</v>
      </c>
      <c r="BW8" s="218">
        <v>60</v>
      </c>
      <c r="BX8" s="218">
        <v>70</v>
      </c>
      <c r="BY8" s="218">
        <v>90</v>
      </c>
      <c r="BZ8" s="218">
        <v>30</v>
      </c>
      <c r="CA8" s="218">
        <v>45</v>
      </c>
      <c r="CB8" s="218">
        <v>45</v>
      </c>
      <c r="CC8" s="218">
        <v>55</v>
      </c>
      <c r="CD8" s="218">
        <v>55</v>
      </c>
      <c r="CE8" s="218">
        <v>65</v>
      </c>
      <c r="CF8" s="218">
        <v>65</v>
      </c>
      <c r="CG8" s="218">
        <v>75</v>
      </c>
      <c r="CH8" s="218">
        <v>75</v>
      </c>
      <c r="CI8" s="218">
        <v>95</v>
      </c>
      <c r="CJ8" s="218">
        <v>95</v>
      </c>
      <c r="CK8" s="218">
        <v>30</v>
      </c>
      <c r="CL8" s="218">
        <v>45</v>
      </c>
      <c r="CM8" s="218">
        <v>45</v>
      </c>
      <c r="CN8" s="218">
        <v>45</v>
      </c>
      <c r="CO8" s="218">
        <v>45</v>
      </c>
      <c r="CP8" s="218">
        <v>55</v>
      </c>
      <c r="CQ8" s="218">
        <v>55</v>
      </c>
      <c r="CR8" s="218">
        <v>55</v>
      </c>
      <c r="CS8" s="218">
        <v>55</v>
      </c>
      <c r="CT8" s="218">
        <v>65</v>
      </c>
      <c r="CU8" s="218">
        <v>65</v>
      </c>
      <c r="CV8" s="218">
        <v>65</v>
      </c>
      <c r="CW8" s="218">
        <v>65</v>
      </c>
      <c r="CX8" s="218">
        <v>75</v>
      </c>
      <c r="CY8" s="218">
        <v>75</v>
      </c>
      <c r="CZ8" s="218">
        <v>75</v>
      </c>
      <c r="DA8" s="218">
        <v>75</v>
      </c>
      <c r="DB8" s="218">
        <v>50</v>
      </c>
      <c r="DC8" s="218">
        <v>50</v>
      </c>
      <c r="DD8" s="218">
        <v>50</v>
      </c>
      <c r="DE8" s="218">
        <v>50</v>
      </c>
      <c r="DF8" s="218">
        <v>50</v>
      </c>
      <c r="DG8" s="218">
        <v>50</v>
      </c>
      <c r="DH8" s="218">
        <v>50</v>
      </c>
      <c r="DI8" s="218">
        <v>50</v>
      </c>
      <c r="DJ8" s="218">
        <v>50</v>
      </c>
      <c r="DK8" s="218">
        <v>60</v>
      </c>
      <c r="DL8" s="218">
        <v>60</v>
      </c>
      <c r="DM8" s="218">
        <v>60</v>
      </c>
      <c r="DN8" s="218">
        <v>60</v>
      </c>
      <c r="DO8" s="218">
        <v>60</v>
      </c>
      <c r="DP8" s="218">
        <v>60</v>
      </c>
      <c r="DQ8" s="218">
        <v>60</v>
      </c>
      <c r="DR8" s="218">
        <v>60</v>
      </c>
      <c r="DS8" s="218">
        <v>60</v>
      </c>
      <c r="DT8" s="218">
        <v>70</v>
      </c>
      <c r="DU8" s="218">
        <v>70</v>
      </c>
      <c r="DV8" s="218">
        <v>70</v>
      </c>
      <c r="DW8" s="218">
        <v>70</v>
      </c>
      <c r="DX8" s="218">
        <v>70</v>
      </c>
      <c r="DY8" s="218">
        <v>70</v>
      </c>
      <c r="DZ8" s="218">
        <v>70</v>
      </c>
      <c r="EA8" s="218">
        <v>70</v>
      </c>
      <c r="EB8" s="218">
        <v>70</v>
      </c>
      <c r="EC8" s="218">
        <v>90</v>
      </c>
      <c r="ED8" s="218">
        <v>90</v>
      </c>
      <c r="EE8" s="218">
        <v>90</v>
      </c>
      <c r="EF8" s="218">
        <v>90</v>
      </c>
      <c r="EG8" s="218">
        <v>90</v>
      </c>
      <c r="EH8" s="218">
        <v>90</v>
      </c>
      <c r="EI8" s="218">
        <v>90</v>
      </c>
      <c r="EJ8" s="218">
        <v>90</v>
      </c>
      <c r="EK8" s="218">
        <v>90</v>
      </c>
      <c r="EL8" s="218">
        <v>100</v>
      </c>
      <c r="EM8" s="218">
        <v>100</v>
      </c>
      <c r="EN8" s="218">
        <v>100</v>
      </c>
      <c r="EO8" s="218">
        <v>100</v>
      </c>
      <c r="EP8" s="218">
        <v>100</v>
      </c>
      <c r="EQ8" s="218">
        <v>100</v>
      </c>
      <c r="ER8" s="218">
        <v>100</v>
      </c>
      <c r="ES8" s="218">
        <v>100</v>
      </c>
      <c r="ET8" s="218">
        <v>100</v>
      </c>
      <c r="EU8" s="218">
        <v>30</v>
      </c>
      <c r="EV8" s="218">
        <v>60</v>
      </c>
      <c r="EW8" s="218">
        <v>60</v>
      </c>
      <c r="EX8" s="218">
        <v>90</v>
      </c>
      <c r="EY8" s="218">
        <v>30</v>
      </c>
      <c r="EZ8" s="218">
        <v>60</v>
      </c>
      <c r="FA8" s="218">
        <v>0</v>
      </c>
      <c r="FB8" s="218">
        <v>30</v>
      </c>
      <c r="FC8" s="218">
        <v>30</v>
      </c>
      <c r="FD8" s="218">
        <v>30</v>
      </c>
      <c r="FE8" s="218">
        <v>50</v>
      </c>
      <c r="FF8" s="218">
        <v>30</v>
      </c>
      <c r="FG8" s="218">
        <v>50</v>
      </c>
      <c r="FH8" s="218">
        <v>50</v>
      </c>
      <c r="FI8" s="218">
        <v>50</v>
      </c>
      <c r="FJ8" s="218">
        <v>40</v>
      </c>
      <c r="FK8" s="218">
        <v>40</v>
      </c>
      <c r="FL8" s="218">
        <v>40</v>
      </c>
      <c r="FM8" s="218">
        <v>60</v>
      </c>
      <c r="FN8" s="218">
        <v>40</v>
      </c>
      <c r="FO8" s="218">
        <v>60</v>
      </c>
      <c r="FP8" s="218">
        <v>60</v>
      </c>
      <c r="FQ8" s="218">
        <v>60</v>
      </c>
      <c r="FR8" s="218">
        <v>50</v>
      </c>
      <c r="FS8" s="218">
        <v>50</v>
      </c>
      <c r="FT8" s="218">
        <v>50</v>
      </c>
      <c r="FU8" s="218">
        <v>70</v>
      </c>
      <c r="FV8" s="218">
        <v>50</v>
      </c>
      <c r="FW8" s="218">
        <v>70</v>
      </c>
      <c r="FX8" s="218">
        <v>70</v>
      </c>
      <c r="FY8" s="218">
        <v>70</v>
      </c>
      <c r="FZ8" s="218">
        <v>60</v>
      </c>
      <c r="GA8" s="218">
        <v>60</v>
      </c>
      <c r="GB8" s="218">
        <v>60</v>
      </c>
      <c r="GC8" s="218">
        <v>80</v>
      </c>
      <c r="GD8" s="218">
        <v>60</v>
      </c>
      <c r="GE8" s="218">
        <v>80</v>
      </c>
      <c r="GF8" s="218">
        <v>80</v>
      </c>
      <c r="GG8" s="218">
        <v>80</v>
      </c>
      <c r="GH8" s="218">
        <v>70</v>
      </c>
      <c r="GI8" s="218">
        <v>70</v>
      </c>
      <c r="GJ8" s="218">
        <v>70</v>
      </c>
      <c r="GK8" s="218">
        <v>90</v>
      </c>
      <c r="GL8" s="218">
        <v>70</v>
      </c>
      <c r="GM8" s="218">
        <v>90</v>
      </c>
      <c r="GN8" s="218">
        <v>90</v>
      </c>
      <c r="GO8" s="218">
        <v>90</v>
      </c>
      <c r="GP8" s="218">
        <v>40</v>
      </c>
      <c r="GQ8" s="218">
        <v>40</v>
      </c>
      <c r="GR8" s="218">
        <v>60</v>
      </c>
      <c r="GS8" s="218">
        <v>60</v>
      </c>
      <c r="GT8" s="218">
        <v>80</v>
      </c>
      <c r="GU8" s="218">
        <v>80</v>
      </c>
      <c r="GV8" s="218">
        <v>100</v>
      </c>
      <c r="GW8" s="218">
        <v>100</v>
      </c>
      <c r="GX8" s="218">
        <v>120</v>
      </c>
      <c r="GY8" s="218">
        <v>120</v>
      </c>
      <c r="GZ8" s="218">
        <v>0</v>
      </c>
      <c r="HA8" s="218">
        <v>45</v>
      </c>
      <c r="HB8" s="218">
        <v>55</v>
      </c>
      <c r="HC8" s="218">
        <v>65</v>
      </c>
      <c r="HD8" s="218">
        <v>0</v>
      </c>
      <c r="HE8" s="218">
        <v>45</v>
      </c>
      <c r="HF8" s="218">
        <v>60</v>
      </c>
      <c r="HG8" s="218">
        <v>0</v>
      </c>
      <c r="HH8" s="218">
        <v>45</v>
      </c>
      <c r="HI8" s="218">
        <v>60</v>
      </c>
      <c r="HJ8" s="218">
        <v>0</v>
      </c>
      <c r="HK8" s="218">
        <v>45</v>
      </c>
      <c r="HL8" s="218">
        <v>60</v>
      </c>
      <c r="HM8" s="218">
        <v>0</v>
      </c>
      <c r="HN8" s="218">
        <v>45</v>
      </c>
      <c r="HO8" s="218">
        <v>60</v>
      </c>
      <c r="HP8" s="218">
        <v>0</v>
      </c>
      <c r="HQ8" s="218">
        <v>45</v>
      </c>
      <c r="HR8" s="218">
        <v>60</v>
      </c>
      <c r="HS8" s="218">
        <v>0</v>
      </c>
      <c r="HT8" s="218">
        <v>45</v>
      </c>
      <c r="HU8" s="218">
        <v>60</v>
      </c>
      <c r="HV8" s="218">
        <v>0</v>
      </c>
      <c r="HW8" s="218">
        <v>0</v>
      </c>
      <c r="HX8" s="218">
        <v>0</v>
      </c>
      <c r="HY8" s="218">
        <v>0</v>
      </c>
      <c r="HZ8" s="218">
        <v>40</v>
      </c>
      <c r="IA8" s="218">
        <v>40</v>
      </c>
      <c r="IB8" s="218">
        <v>40</v>
      </c>
      <c r="IC8" s="218">
        <v>40</v>
      </c>
      <c r="ID8" s="218">
        <v>50</v>
      </c>
      <c r="IE8" s="218">
        <v>50</v>
      </c>
      <c r="IF8" s="218">
        <v>50</v>
      </c>
      <c r="IG8" s="218">
        <v>50</v>
      </c>
      <c r="IH8" s="218">
        <v>60</v>
      </c>
      <c r="II8" s="218">
        <v>60</v>
      </c>
      <c r="IJ8" s="218">
        <v>60</v>
      </c>
      <c r="IK8" s="218">
        <v>60</v>
      </c>
      <c r="IL8" s="218">
        <v>70</v>
      </c>
      <c r="IM8" s="218">
        <v>70</v>
      </c>
      <c r="IN8" s="218">
        <v>70</v>
      </c>
      <c r="IO8" s="218">
        <v>70</v>
      </c>
      <c r="IP8" s="218">
        <v>0</v>
      </c>
      <c r="IQ8" s="218">
        <v>20</v>
      </c>
      <c r="IR8" s="218">
        <v>40</v>
      </c>
      <c r="IS8" s="218">
        <v>50</v>
      </c>
      <c r="IT8" s="218">
        <v>0</v>
      </c>
      <c r="IU8" s="218">
        <v>0</v>
      </c>
      <c r="IV8" s="218">
        <v>30</v>
      </c>
      <c r="IW8" s="218">
        <v>40</v>
      </c>
      <c r="IX8" s="218">
        <v>40</v>
      </c>
      <c r="IY8" s="218">
        <v>50</v>
      </c>
      <c r="IZ8" s="218">
        <v>60</v>
      </c>
      <c r="JA8" s="218">
        <v>40</v>
      </c>
      <c r="JB8" s="218">
        <v>0</v>
      </c>
      <c r="JC8" s="218">
        <v>20</v>
      </c>
      <c r="JD8" s="218">
        <v>40</v>
      </c>
      <c r="JE8" s="218">
        <v>60</v>
      </c>
      <c r="JF8" s="218">
        <v>40</v>
      </c>
      <c r="JG8" s="218">
        <v>60</v>
      </c>
      <c r="JH8" s="218">
        <v>45</v>
      </c>
      <c r="JI8" s="218">
        <v>65</v>
      </c>
      <c r="JJ8" s="218">
        <v>45</v>
      </c>
      <c r="JK8" s="218">
        <v>65</v>
      </c>
      <c r="JL8" s="218">
        <v>55</v>
      </c>
      <c r="JM8" s="218">
        <v>75</v>
      </c>
      <c r="JN8" s="218">
        <v>55</v>
      </c>
      <c r="JO8" s="218">
        <v>75</v>
      </c>
      <c r="JP8" s="218">
        <v>65</v>
      </c>
      <c r="JQ8" s="218">
        <v>85</v>
      </c>
      <c r="JR8" s="218">
        <v>65</v>
      </c>
      <c r="JS8" s="218">
        <v>85</v>
      </c>
      <c r="JT8" s="218">
        <v>80</v>
      </c>
      <c r="JU8" s="218">
        <v>100</v>
      </c>
      <c r="JV8" s="218">
        <v>80</v>
      </c>
      <c r="JW8" s="218">
        <v>100</v>
      </c>
      <c r="JX8" s="218">
        <v>0</v>
      </c>
      <c r="JY8" s="218">
        <v>51</v>
      </c>
      <c r="JZ8" s="218">
        <v>66</v>
      </c>
      <c r="KA8" s="218">
        <v>82</v>
      </c>
      <c r="KB8" s="218">
        <v>97</v>
      </c>
      <c r="KC8" s="218">
        <v>112</v>
      </c>
      <c r="KD8" s="218">
        <v>133</v>
      </c>
      <c r="KE8" s="218">
        <v>0</v>
      </c>
      <c r="KF8" s="218">
        <v>0</v>
      </c>
      <c r="KG8" s="218">
        <v>0</v>
      </c>
      <c r="KH8" s="218">
        <v>40</v>
      </c>
      <c r="KI8" s="218">
        <v>50</v>
      </c>
      <c r="KJ8" s="218">
        <v>60</v>
      </c>
      <c r="KK8" s="218">
        <v>66</v>
      </c>
      <c r="KL8" s="218">
        <v>82</v>
      </c>
      <c r="KM8" s="218">
        <v>97</v>
      </c>
      <c r="KN8" s="218">
        <v>112</v>
      </c>
      <c r="KO8" s="218">
        <v>0</v>
      </c>
      <c r="KP8" s="218">
        <v>35</v>
      </c>
      <c r="KQ8" s="218">
        <v>55</v>
      </c>
      <c r="KR8" s="218">
        <v>65</v>
      </c>
      <c r="KS8" s="218">
        <v>0</v>
      </c>
      <c r="KT8" s="218">
        <v>40</v>
      </c>
      <c r="KU8" s="218">
        <v>50</v>
      </c>
      <c r="KV8" s="218">
        <v>60</v>
      </c>
      <c r="KW8" s="218">
        <v>70</v>
      </c>
      <c r="KX8" s="218">
        <v>80</v>
      </c>
      <c r="KY8" s="218">
        <v>90</v>
      </c>
      <c r="KZ8" s="218">
        <v>100</v>
      </c>
      <c r="LA8" s="218">
        <v>50</v>
      </c>
      <c r="LB8" s="218">
        <v>60</v>
      </c>
      <c r="LC8" s="218">
        <v>70</v>
      </c>
      <c r="LD8" s="218">
        <v>80</v>
      </c>
      <c r="LE8" s="218">
        <v>100</v>
      </c>
      <c r="LF8" s="218">
        <v>0</v>
      </c>
      <c r="LG8" s="218">
        <v>0</v>
      </c>
      <c r="LH8" s="218">
        <v>0</v>
      </c>
      <c r="LI8" s="218">
        <v>30</v>
      </c>
      <c r="LJ8" s="218">
        <v>60</v>
      </c>
      <c r="LK8" s="218">
        <v>90</v>
      </c>
      <c r="LL8" s="218">
        <v>105</v>
      </c>
      <c r="LM8" s="218">
        <v>65</v>
      </c>
      <c r="LN8" s="218">
        <v>82</v>
      </c>
      <c r="LO8" s="218">
        <v>114</v>
      </c>
      <c r="LP8" s="218">
        <v>131</v>
      </c>
      <c r="LQ8" s="218">
        <v>65</v>
      </c>
      <c r="LR8" s="218">
        <v>82</v>
      </c>
      <c r="LS8" s="218">
        <v>114</v>
      </c>
      <c r="LT8" s="218">
        <v>131</v>
      </c>
      <c r="LU8" s="218">
        <v>50</v>
      </c>
      <c r="LV8" s="218">
        <v>57</v>
      </c>
      <c r="LW8" s="218">
        <v>65</v>
      </c>
      <c r="LX8" s="218">
        <v>72</v>
      </c>
      <c r="LY8" s="218">
        <v>80</v>
      </c>
      <c r="LZ8" s="218">
        <v>87</v>
      </c>
      <c r="MA8" s="218">
        <v>95</v>
      </c>
      <c r="MB8" s="218">
        <v>102</v>
      </c>
      <c r="MC8" s="218">
        <v>110</v>
      </c>
      <c r="MD8" s="218">
        <v>117</v>
      </c>
      <c r="ME8" s="218">
        <v>125</v>
      </c>
      <c r="MF8" s="218">
        <v>132</v>
      </c>
      <c r="MG8" s="218">
        <v>15</v>
      </c>
      <c r="MH8" s="218">
        <v>20</v>
      </c>
      <c r="MI8" s="218">
        <v>25</v>
      </c>
      <c r="MJ8" s="218">
        <v>30</v>
      </c>
      <c r="MK8" s="218">
        <v>35</v>
      </c>
      <c r="ML8" s="218">
        <v>0</v>
      </c>
      <c r="MM8" s="218">
        <v>0</v>
      </c>
      <c r="MN8" s="218">
        <v>15</v>
      </c>
      <c r="MO8" s="218">
        <v>25</v>
      </c>
      <c r="MP8" s="218">
        <v>35</v>
      </c>
      <c r="MQ8" s="218">
        <v>45</v>
      </c>
      <c r="MR8" s="218">
        <v>55</v>
      </c>
      <c r="MS8" s="218">
        <v>46</v>
      </c>
      <c r="MT8" s="218">
        <v>62</v>
      </c>
      <c r="MU8" s="218">
        <v>78</v>
      </c>
      <c r="MV8" s="218">
        <v>93</v>
      </c>
      <c r="MW8" s="218">
        <v>125</v>
      </c>
      <c r="MX8" s="218">
        <v>15</v>
      </c>
      <c r="MY8" s="218">
        <v>20</v>
      </c>
      <c r="MZ8" s="218">
        <v>25</v>
      </c>
      <c r="NA8" s="218">
        <v>30</v>
      </c>
      <c r="NB8" s="218">
        <v>35</v>
      </c>
      <c r="NC8" s="218">
        <v>33</v>
      </c>
      <c r="ND8" s="218">
        <v>33</v>
      </c>
      <c r="NE8" s="218">
        <v>49</v>
      </c>
      <c r="NF8" s="218">
        <v>82</v>
      </c>
      <c r="NG8" s="218">
        <v>98</v>
      </c>
      <c r="NH8" s="218">
        <v>49</v>
      </c>
      <c r="NI8" s="218">
        <v>16</v>
      </c>
      <c r="NJ8" s="218">
        <v>33</v>
      </c>
      <c r="NK8" s="218">
        <v>66</v>
      </c>
      <c r="NL8" s="218">
        <v>82</v>
      </c>
      <c r="NM8" s="218">
        <v>65</v>
      </c>
      <c r="NN8" s="218">
        <v>16</v>
      </c>
      <c r="NO8" s="218">
        <v>46</v>
      </c>
      <c r="NP8" s="218">
        <v>65</v>
      </c>
      <c r="NQ8" s="218">
        <v>82</v>
      </c>
      <c r="NR8" s="218">
        <v>33</v>
      </c>
      <c r="NS8" s="218">
        <v>49</v>
      </c>
      <c r="NT8" s="218">
        <v>114</v>
      </c>
      <c r="NU8" s="218">
        <v>16</v>
      </c>
      <c r="NV8" s="218">
        <v>131</v>
      </c>
      <c r="NW8" s="214" t="s">
        <v>1384</v>
      </c>
      <c r="NX8" s="218">
        <v>0</v>
      </c>
      <c r="NY8" s="218">
        <v>0</v>
      </c>
      <c r="NZ8" s="218">
        <v>40</v>
      </c>
      <c r="OA8" s="218">
        <v>40</v>
      </c>
      <c r="OB8" s="218">
        <v>60</v>
      </c>
      <c r="OC8" s="218">
        <v>60</v>
      </c>
      <c r="OD8" s="218">
        <v>80</v>
      </c>
      <c r="OE8" s="218">
        <v>80</v>
      </c>
      <c r="OF8" s="218">
        <v>100</v>
      </c>
      <c r="OG8" s="218">
        <v>100</v>
      </c>
      <c r="OH8" s="218">
        <v>120</v>
      </c>
      <c r="OI8" s="218">
        <v>120</v>
      </c>
      <c r="OJ8" s="218"/>
      <c r="OK8" s="218">
        <v>30</v>
      </c>
      <c r="OL8" s="218">
        <v>40</v>
      </c>
      <c r="OM8" s="218">
        <v>50</v>
      </c>
      <c r="ON8" s="218"/>
      <c r="OO8" s="218"/>
      <c r="OP8" s="218"/>
    </row>
    <row r="9" spans="1:406" s="216" customFormat="1" x14ac:dyDescent="0.25">
      <c r="A9" s="220" t="s">
        <v>207</v>
      </c>
      <c r="B9" s="214" t="s">
        <v>1408</v>
      </c>
      <c r="C9" s="214" t="s">
        <v>1389</v>
      </c>
      <c r="D9" s="214" t="s">
        <v>1389</v>
      </c>
      <c r="E9" s="214" t="s">
        <v>1389</v>
      </c>
      <c r="F9" s="214" t="s">
        <v>1389</v>
      </c>
      <c r="G9" s="214" t="s">
        <v>1398</v>
      </c>
      <c r="H9" s="214" t="s">
        <v>1398</v>
      </c>
      <c r="I9" s="214" t="s">
        <v>1398</v>
      </c>
      <c r="J9" s="214" t="s">
        <v>1398</v>
      </c>
      <c r="K9" s="214" t="s">
        <v>1404</v>
      </c>
      <c r="L9" s="214" t="s">
        <v>1404</v>
      </c>
      <c r="M9" s="214" t="s">
        <v>1404</v>
      </c>
      <c r="N9" s="214" t="s">
        <v>1404</v>
      </c>
      <c r="O9" s="214" t="s">
        <v>1404</v>
      </c>
      <c r="P9" s="214" t="s">
        <v>1404</v>
      </c>
      <c r="Q9" s="214" t="s">
        <v>1404</v>
      </c>
      <c r="R9" s="214" t="s">
        <v>1404</v>
      </c>
      <c r="S9" s="214" t="s">
        <v>1404</v>
      </c>
      <c r="T9" s="214" t="s">
        <v>1399</v>
      </c>
      <c r="U9" s="214" t="s">
        <v>1399</v>
      </c>
      <c r="V9" s="214" t="s">
        <v>1399</v>
      </c>
      <c r="W9" s="214" t="s">
        <v>1399</v>
      </c>
      <c r="X9" s="214" t="s">
        <v>1399</v>
      </c>
      <c r="Y9" s="214" t="s">
        <v>1399</v>
      </c>
      <c r="Z9" s="214" t="s">
        <v>1399</v>
      </c>
      <c r="AA9" s="214" t="s">
        <v>1399</v>
      </c>
      <c r="AB9" s="214" t="s">
        <v>1399</v>
      </c>
      <c r="AC9" s="214" t="s">
        <v>1409</v>
      </c>
      <c r="AD9" s="214" t="s">
        <v>1409</v>
      </c>
      <c r="AE9" s="214" t="s">
        <v>1409</v>
      </c>
      <c r="AF9" s="214" t="s">
        <v>1409</v>
      </c>
      <c r="AG9" s="214" t="s">
        <v>1409</v>
      </c>
      <c r="AH9" s="214" t="s">
        <v>1409</v>
      </c>
      <c r="AI9" s="214" t="s">
        <v>1409</v>
      </c>
      <c r="AJ9" s="214" t="s">
        <v>1409</v>
      </c>
      <c r="AK9" s="214" t="s">
        <v>1409</v>
      </c>
      <c r="AL9" s="214" t="s">
        <v>1410</v>
      </c>
      <c r="AM9" s="214" t="s">
        <v>1410</v>
      </c>
      <c r="AN9" s="214" t="s">
        <v>1410</v>
      </c>
      <c r="AO9" s="214" t="s">
        <v>1410</v>
      </c>
      <c r="AP9" s="214" t="s">
        <v>1410</v>
      </c>
      <c r="AQ9" s="214" t="s">
        <v>1410</v>
      </c>
      <c r="AR9" s="214" t="s">
        <v>1410</v>
      </c>
      <c r="AS9" s="214" t="s">
        <v>1410</v>
      </c>
      <c r="AT9" s="214" t="s">
        <v>1410</v>
      </c>
      <c r="AU9" s="214" t="s">
        <v>1403</v>
      </c>
      <c r="AV9" s="214" t="s">
        <v>1403</v>
      </c>
      <c r="AW9" s="214" t="s">
        <v>1403</v>
      </c>
      <c r="AX9" s="214" t="s">
        <v>1403</v>
      </c>
      <c r="AY9" s="214" t="s">
        <v>1403</v>
      </c>
      <c r="AZ9" s="214" t="s">
        <v>1403</v>
      </c>
      <c r="BA9" s="214" t="s">
        <v>1403</v>
      </c>
      <c r="BB9" s="214" t="s">
        <v>1403</v>
      </c>
      <c r="BC9" s="214" t="s">
        <v>1403</v>
      </c>
      <c r="BD9" s="214" t="s">
        <v>1389</v>
      </c>
      <c r="BE9" s="214" t="s">
        <v>1398</v>
      </c>
      <c r="BF9" s="214" t="s">
        <v>1398</v>
      </c>
      <c r="BG9" s="214" t="s">
        <v>1396</v>
      </c>
      <c r="BH9" s="214" t="s">
        <v>1398</v>
      </c>
      <c r="BI9" s="214" t="s">
        <v>1397</v>
      </c>
      <c r="BJ9" s="214" t="s">
        <v>1404</v>
      </c>
      <c r="BK9" s="214" t="s">
        <v>1400</v>
      </c>
      <c r="BL9" s="214" t="s">
        <v>1401</v>
      </c>
      <c r="BM9" s="214" t="s">
        <v>1389</v>
      </c>
      <c r="BN9" s="214" t="s">
        <v>1411</v>
      </c>
      <c r="BO9" s="214" t="s">
        <v>1412</v>
      </c>
      <c r="BP9" s="214" t="s">
        <v>1400</v>
      </c>
      <c r="BQ9" s="214" t="s">
        <v>1402</v>
      </c>
      <c r="BR9" s="214" t="s">
        <v>1403</v>
      </c>
      <c r="BS9" s="214" t="s">
        <v>1413</v>
      </c>
      <c r="BT9" s="214" t="s">
        <v>1389</v>
      </c>
      <c r="BU9" s="214" t="s">
        <v>1396</v>
      </c>
      <c r="BV9" s="214" t="s">
        <v>1404</v>
      </c>
      <c r="BW9" s="214" t="s">
        <v>1397</v>
      </c>
      <c r="BX9" s="214" t="s">
        <v>1400</v>
      </c>
      <c r="BY9" s="214" t="s">
        <v>1401</v>
      </c>
      <c r="BZ9" s="214" t="s">
        <v>1389</v>
      </c>
      <c r="CA9" s="214" t="s">
        <v>1396</v>
      </c>
      <c r="CB9" s="214" t="s">
        <v>1397</v>
      </c>
      <c r="CC9" s="221" t="s">
        <v>1404</v>
      </c>
      <c r="CD9" s="221" t="s">
        <v>1399</v>
      </c>
      <c r="CE9" s="214" t="s">
        <v>1397</v>
      </c>
      <c r="CF9" s="214" t="s">
        <v>1400</v>
      </c>
      <c r="CG9" s="214" t="s">
        <v>1400</v>
      </c>
      <c r="CH9" s="214" t="s">
        <v>1401</v>
      </c>
      <c r="CI9" s="214" t="s">
        <v>1401</v>
      </c>
      <c r="CJ9" s="214" t="s">
        <v>1402</v>
      </c>
      <c r="CK9" s="214" t="s">
        <v>1398</v>
      </c>
      <c r="CL9" s="214" t="s">
        <v>1396</v>
      </c>
      <c r="CM9" s="214" t="s">
        <v>1414</v>
      </c>
      <c r="CN9" s="214" t="s">
        <v>1414</v>
      </c>
      <c r="CO9" s="214" t="s">
        <v>1396</v>
      </c>
      <c r="CP9" s="214" t="s">
        <v>1404</v>
      </c>
      <c r="CQ9" s="214" t="s">
        <v>1415</v>
      </c>
      <c r="CR9" s="214" t="s">
        <v>1415</v>
      </c>
      <c r="CS9" s="214" t="s">
        <v>1404</v>
      </c>
      <c r="CT9" s="214" t="s">
        <v>1397</v>
      </c>
      <c r="CU9" s="214" t="s">
        <v>1416</v>
      </c>
      <c r="CV9" s="214" t="s">
        <v>1416</v>
      </c>
      <c r="CW9" s="214" t="s">
        <v>1397</v>
      </c>
      <c r="CX9" s="214" t="s">
        <v>1400</v>
      </c>
      <c r="CY9" s="214" t="s">
        <v>1417</v>
      </c>
      <c r="CZ9" s="214" t="s">
        <v>1417</v>
      </c>
      <c r="DA9" s="214" t="s">
        <v>1400</v>
      </c>
      <c r="DB9" s="214" t="s">
        <v>1396</v>
      </c>
      <c r="DC9" s="214" t="s">
        <v>1397</v>
      </c>
      <c r="DD9" s="214" t="s">
        <v>1400</v>
      </c>
      <c r="DE9" s="214" t="s">
        <v>1397</v>
      </c>
      <c r="DF9" s="214" t="s">
        <v>1397</v>
      </c>
      <c r="DG9" s="214" t="s">
        <v>1400</v>
      </c>
      <c r="DH9" s="214" t="s">
        <v>1400</v>
      </c>
      <c r="DI9" s="214" t="s">
        <v>1396</v>
      </c>
      <c r="DJ9" s="214" t="s">
        <v>1396</v>
      </c>
      <c r="DK9" s="214" t="s">
        <v>1397</v>
      </c>
      <c r="DL9" s="214" t="s">
        <v>1400</v>
      </c>
      <c r="DM9" s="214" t="s">
        <v>1401</v>
      </c>
      <c r="DN9" s="214" t="s">
        <v>1400</v>
      </c>
      <c r="DO9" s="214" t="s">
        <v>1400</v>
      </c>
      <c r="DP9" s="214" t="s">
        <v>1401</v>
      </c>
      <c r="DQ9" s="214" t="s">
        <v>1401</v>
      </c>
      <c r="DR9" s="214" t="s">
        <v>1397</v>
      </c>
      <c r="DS9" s="214" t="s">
        <v>1397</v>
      </c>
      <c r="DT9" s="214" t="s">
        <v>1401</v>
      </c>
      <c r="DU9" s="214" t="s">
        <v>1402</v>
      </c>
      <c r="DV9" s="214" t="s">
        <v>1403</v>
      </c>
      <c r="DW9" s="214" t="s">
        <v>1402</v>
      </c>
      <c r="DX9" s="214" t="s">
        <v>1402</v>
      </c>
      <c r="DY9" s="214" t="s">
        <v>1403</v>
      </c>
      <c r="DZ9" s="214" t="s">
        <v>1403</v>
      </c>
      <c r="EA9" s="214" t="s">
        <v>1401</v>
      </c>
      <c r="EB9" s="214" t="s">
        <v>1401</v>
      </c>
      <c r="EC9" s="214" t="s">
        <v>1402</v>
      </c>
      <c r="ED9" s="214" t="s">
        <v>1403</v>
      </c>
      <c r="EE9" s="214" t="s">
        <v>1405</v>
      </c>
      <c r="EF9" s="214" t="s">
        <v>1403</v>
      </c>
      <c r="EG9" s="214" t="s">
        <v>1403</v>
      </c>
      <c r="EH9" s="214" t="s">
        <v>1405</v>
      </c>
      <c r="EI9" s="214" t="s">
        <v>1405</v>
      </c>
      <c r="EJ9" s="214" t="s">
        <v>1402</v>
      </c>
      <c r="EK9" s="214" t="s">
        <v>1402</v>
      </c>
      <c r="EL9" s="214" t="s">
        <v>1403</v>
      </c>
      <c r="EM9" s="214" t="s">
        <v>1405</v>
      </c>
      <c r="EN9" s="214" t="s">
        <v>1413</v>
      </c>
      <c r="EO9" s="214" t="s">
        <v>1405</v>
      </c>
      <c r="EP9" s="214" t="s">
        <v>1405</v>
      </c>
      <c r="EQ9" s="214" t="s">
        <v>1413</v>
      </c>
      <c r="ER9" s="214" t="s">
        <v>1413</v>
      </c>
      <c r="ES9" s="214" t="s">
        <v>1403</v>
      </c>
      <c r="ET9" s="214" t="s">
        <v>1403</v>
      </c>
      <c r="EU9" s="214" t="s">
        <v>1408</v>
      </c>
      <c r="EV9" s="214" t="s">
        <v>1408</v>
      </c>
      <c r="EW9" s="214" t="s">
        <v>1408</v>
      </c>
      <c r="EX9" s="214" t="s">
        <v>1408</v>
      </c>
      <c r="EY9" s="214" t="s">
        <v>1389</v>
      </c>
      <c r="EZ9" s="214" t="s">
        <v>1389</v>
      </c>
      <c r="FA9" s="214" t="s">
        <v>1389</v>
      </c>
      <c r="FB9" s="214" t="s">
        <v>1389</v>
      </c>
      <c r="FC9" s="214" t="s">
        <v>1418</v>
      </c>
      <c r="FD9" s="214" t="s">
        <v>1389</v>
      </c>
      <c r="FE9" s="214" t="s">
        <v>1389</v>
      </c>
      <c r="FF9" s="214" t="s">
        <v>1418</v>
      </c>
      <c r="FG9" s="214" t="s">
        <v>1418</v>
      </c>
      <c r="FH9" s="214" t="s">
        <v>1418</v>
      </c>
      <c r="FI9" s="214" t="s">
        <v>1389</v>
      </c>
      <c r="FJ9" s="214" t="s">
        <v>1398</v>
      </c>
      <c r="FK9" s="214" t="s">
        <v>1419</v>
      </c>
      <c r="FL9" s="214" t="s">
        <v>1398</v>
      </c>
      <c r="FM9" s="214" t="s">
        <v>1398</v>
      </c>
      <c r="FN9" s="214" t="s">
        <v>1419</v>
      </c>
      <c r="FO9" s="214" t="s">
        <v>1419</v>
      </c>
      <c r="FP9" s="214" t="s">
        <v>1419</v>
      </c>
      <c r="FQ9" s="214" t="s">
        <v>1398</v>
      </c>
      <c r="FR9" s="214" t="s">
        <v>1396</v>
      </c>
      <c r="FS9" s="214" t="s">
        <v>1414</v>
      </c>
      <c r="FT9" s="214" t="s">
        <v>1396</v>
      </c>
      <c r="FU9" s="214" t="s">
        <v>1396</v>
      </c>
      <c r="FV9" s="214" t="s">
        <v>1414</v>
      </c>
      <c r="FW9" s="214" t="s">
        <v>1414</v>
      </c>
      <c r="FX9" s="214" t="s">
        <v>1414</v>
      </c>
      <c r="FY9" s="214" t="s">
        <v>1396</v>
      </c>
      <c r="FZ9" s="214" t="s">
        <v>1397</v>
      </c>
      <c r="GA9" s="214" t="s">
        <v>1416</v>
      </c>
      <c r="GB9" s="214" t="s">
        <v>1397</v>
      </c>
      <c r="GC9" s="214" t="s">
        <v>1397</v>
      </c>
      <c r="GD9" s="214" t="s">
        <v>1416</v>
      </c>
      <c r="GE9" s="214" t="s">
        <v>1416</v>
      </c>
      <c r="GF9" s="214" t="s">
        <v>1416</v>
      </c>
      <c r="GG9" s="214" t="s">
        <v>1397</v>
      </c>
      <c r="GH9" s="214" t="s">
        <v>1401</v>
      </c>
      <c r="GI9" s="214" t="s">
        <v>1420</v>
      </c>
      <c r="GJ9" s="214" t="s">
        <v>1401</v>
      </c>
      <c r="GK9" s="214" t="s">
        <v>1401</v>
      </c>
      <c r="GL9" s="214" t="s">
        <v>1420</v>
      </c>
      <c r="GM9" s="214" t="s">
        <v>1420</v>
      </c>
      <c r="GN9" s="214" t="s">
        <v>1420</v>
      </c>
      <c r="GO9" s="214" t="s">
        <v>1401</v>
      </c>
      <c r="GP9" s="214" t="s">
        <v>1397</v>
      </c>
      <c r="GQ9" s="214" t="s">
        <v>1397</v>
      </c>
      <c r="GR9" s="214" t="s">
        <v>1400</v>
      </c>
      <c r="GS9" s="214" t="s">
        <v>1400</v>
      </c>
      <c r="GT9" s="214" t="s">
        <v>1401</v>
      </c>
      <c r="GU9" s="214" t="s">
        <v>1401</v>
      </c>
      <c r="GV9" s="214" t="s">
        <v>1403</v>
      </c>
      <c r="GW9" s="214" t="s">
        <v>1403</v>
      </c>
      <c r="GX9" s="214" t="s">
        <v>1413</v>
      </c>
      <c r="GY9" s="214" t="s">
        <v>1413</v>
      </c>
      <c r="GZ9" s="214" t="s">
        <v>1389</v>
      </c>
      <c r="HA9" s="214" t="s">
        <v>1396</v>
      </c>
      <c r="HB9" s="214" t="s">
        <v>1397</v>
      </c>
      <c r="HC9" s="214" t="s">
        <v>1400</v>
      </c>
      <c r="HD9" s="214" t="s">
        <v>1389</v>
      </c>
      <c r="HE9" s="214" t="s">
        <v>1389</v>
      </c>
      <c r="HF9" s="214" t="s">
        <v>1389</v>
      </c>
      <c r="HG9" s="214" t="s">
        <v>1396</v>
      </c>
      <c r="HH9" s="214" t="s">
        <v>1396</v>
      </c>
      <c r="HI9" s="214" t="s">
        <v>1396</v>
      </c>
      <c r="HJ9" s="214" t="s">
        <v>1404</v>
      </c>
      <c r="HK9" s="214" t="s">
        <v>1404</v>
      </c>
      <c r="HL9" s="214" t="s">
        <v>1404</v>
      </c>
      <c r="HM9" s="214" t="s">
        <v>1397</v>
      </c>
      <c r="HN9" s="214" t="s">
        <v>1397</v>
      </c>
      <c r="HO9" s="214" t="s">
        <v>1397</v>
      </c>
      <c r="HP9" s="214" t="s">
        <v>1399</v>
      </c>
      <c r="HQ9" s="214" t="s">
        <v>1399</v>
      </c>
      <c r="HR9" s="214" t="s">
        <v>1399</v>
      </c>
      <c r="HS9" s="214" t="s">
        <v>1400</v>
      </c>
      <c r="HT9" s="214" t="s">
        <v>1400</v>
      </c>
      <c r="HU9" s="214" t="s">
        <v>1400</v>
      </c>
      <c r="HV9" s="214" t="s">
        <v>1389</v>
      </c>
      <c r="HW9" s="214" t="s">
        <v>1389</v>
      </c>
      <c r="HX9" s="214" t="s">
        <v>1389</v>
      </c>
      <c r="HY9" s="214" t="s">
        <v>1389</v>
      </c>
      <c r="HZ9" s="214" t="s">
        <v>1411</v>
      </c>
      <c r="IA9" s="214" t="s">
        <v>1411</v>
      </c>
      <c r="IB9" s="214" t="s">
        <v>1411</v>
      </c>
      <c r="IC9" s="214" t="s">
        <v>1411</v>
      </c>
      <c r="ID9" s="214" t="s">
        <v>1421</v>
      </c>
      <c r="IE9" s="214" t="s">
        <v>1421</v>
      </c>
      <c r="IF9" s="214" t="s">
        <v>1421</v>
      </c>
      <c r="IG9" s="214" t="s">
        <v>1421</v>
      </c>
      <c r="IH9" s="214" t="s">
        <v>1397</v>
      </c>
      <c r="II9" s="214" t="s">
        <v>1397</v>
      </c>
      <c r="IJ9" s="214" t="s">
        <v>1397</v>
      </c>
      <c r="IK9" s="214" t="s">
        <v>1397</v>
      </c>
      <c r="IL9" s="214" t="s">
        <v>1400</v>
      </c>
      <c r="IM9" s="214" t="s">
        <v>1400</v>
      </c>
      <c r="IN9" s="214" t="s">
        <v>1400</v>
      </c>
      <c r="IO9" s="214" t="s">
        <v>1400</v>
      </c>
      <c r="IP9" s="214" t="s">
        <v>1389</v>
      </c>
      <c r="IQ9" s="214" t="s">
        <v>1398</v>
      </c>
      <c r="IR9" s="214" t="s">
        <v>1396</v>
      </c>
      <c r="IS9" s="214" t="s">
        <v>1397</v>
      </c>
      <c r="IT9" s="214" t="s">
        <v>1389</v>
      </c>
      <c r="IU9" s="214" t="s">
        <v>1389</v>
      </c>
      <c r="IV9" s="214" t="s">
        <v>1398</v>
      </c>
      <c r="IW9" s="214" t="s">
        <v>1396</v>
      </c>
      <c r="IX9" s="214" t="s">
        <v>1404</v>
      </c>
      <c r="IY9" s="214" t="s">
        <v>1397</v>
      </c>
      <c r="IZ9" s="214" t="s">
        <v>1399</v>
      </c>
      <c r="JA9" s="214" t="s">
        <v>1408</v>
      </c>
      <c r="JB9" s="214" t="s">
        <v>1389</v>
      </c>
      <c r="JC9" s="214" t="s">
        <v>1389</v>
      </c>
      <c r="JD9" s="214" t="s">
        <v>1389</v>
      </c>
      <c r="JE9" s="214" t="s">
        <v>1389</v>
      </c>
      <c r="JF9" s="214" t="s">
        <v>1389</v>
      </c>
      <c r="JG9" s="214" t="s">
        <v>1389</v>
      </c>
      <c r="JH9" s="214" t="s">
        <v>1389</v>
      </c>
      <c r="JI9" s="214" t="s">
        <v>1389</v>
      </c>
      <c r="JJ9" s="214" t="s">
        <v>1389</v>
      </c>
      <c r="JK9" s="214" t="s">
        <v>1389</v>
      </c>
      <c r="JL9" s="214" t="s">
        <v>1398</v>
      </c>
      <c r="JM9" s="214" t="s">
        <v>1398</v>
      </c>
      <c r="JN9" s="214" t="s">
        <v>1398</v>
      </c>
      <c r="JO9" s="214" t="s">
        <v>1398</v>
      </c>
      <c r="JP9" s="214" t="s">
        <v>1396</v>
      </c>
      <c r="JQ9" s="214" t="s">
        <v>1396</v>
      </c>
      <c r="JR9" s="214" t="s">
        <v>1396</v>
      </c>
      <c r="JS9" s="214" t="s">
        <v>1396</v>
      </c>
      <c r="JT9" s="214" t="s">
        <v>1397</v>
      </c>
      <c r="JU9" s="214" t="s">
        <v>1397</v>
      </c>
      <c r="JV9" s="214" t="s">
        <v>1397</v>
      </c>
      <c r="JW9" s="214" t="s">
        <v>1397</v>
      </c>
      <c r="JX9" s="214" t="s">
        <v>1408</v>
      </c>
      <c r="JY9" s="214" t="s">
        <v>1408</v>
      </c>
      <c r="JZ9" s="214" t="s">
        <v>1408</v>
      </c>
      <c r="KA9" s="214" t="s">
        <v>1408</v>
      </c>
      <c r="KB9" s="214" t="s">
        <v>1408</v>
      </c>
      <c r="KC9" s="214" t="s">
        <v>1408</v>
      </c>
      <c r="KD9" s="214" t="s">
        <v>1408</v>
      </c>
      <c r="KE9" s="214" t="s">
        <v>1389</v>
      </c>
      <c r="KF9" s="214" t="s">
        <v>1389</v>
      </c>
      <c r="KG9" s="214" t="s">
        <v>1398</v>
      </c>
      <c r="KH9" s="214" t="s">
        <v>1396</v>
      </c>
      <c r="KI9" s="214" t="s">
        <v>1404</v>
      </c>
      <c r="KJ9" s="214" t="s">
        <v>1397</v>
      </c>
      <c r="KK9" s="214">
        <v>1</v>
      </c>
      <c r="KL9" s="214">
        <v>1.5</v>
      </c>
      <c r="KM9" s="214">
        <v>2</v>
      </c>
      <c r="KN9" s="214">
        <v>2.5</v>
      </c>
      <c r="KO9" s="214" t="s">
        <v>1389</v>
      </c>
      <c r="KP9" s="214" t="s">
        <v>1398</v>
      </c>
      <c r="KQ9" s="214" t="s">
        <v>1396</v>
      </c>
      <c r="KR9" s="214" t="s">
        <v>1397</v>
      </c>
      <c r="KS9" s="214" t="s">
        <v>1389</v>
      </c>
      <c r="KT9" s="214" t="s">
        <v>1398</v>
      </c>
      <c r="KU9" s="214" t="s">
        <v>1396</v>
      </c>
      <c r="KV9" s="214" t="s">
        <v>1397</v>
      </c>
      <c r="KW9" s="214" t="s">
        <v>1400</v>
      </c>
      <c r="KX9" s="214" t="s">
        <v>1401</v>
      </c>
      <c r="KY9" s="214" t="s">
        <v>1402</v>
      </c>
      <c r="KZ9" s="214" t="s">
        <v>1403</v>
      </c>
      <c r="LA9" s="214" t="s">
        <v>1398</v>
      </c>
      <c r="LB9" s="214" t="s">
        <v>1396</v>
      </c>
      <c r="LC9" s="214" t="s">
        <v>1397</v>
      </c>
      <c r="LD9" s="214" t="s">
        <v>1400</v>
      </c>
      <c r="LE9" s="214" t="s">
        <v>1401</v>
      </c>
      <c r="LF9" s="214" t="s">
        <v>1398</v>
      </c>
      <c r="LG9" s="214" t="s">
        <v>1399</v>
      </c>
      <c r="LH9" s="214" t="s">
        <v>1401</v>
      </c>
      <c r="LI9" s="214" t="s">
        <v>1398</v>
      </c>
      <c r="LJ9" s="214" t="s">
        <v>1400</v>
      </c>
      <c r="LK9" s="214" t="s">
        <v>1401</v>
      </c>
      <c r="LL9" s="214" t="s">
        <v>1403</v>
      </c>
      <c r="LM9" s="214" t="s">
        <v>1422</v>
      </c>
      <c r="LN9" s="214" t="s">
        <v>1423</v>
      </c>
      <c r="LO9" s="214" t="s">
        <v>1424</v>
      </c>
      <c r="LP9" s="214" t="s">
        <v>1425</v>
      </c>
      <c r="LQ9" s="214" t="s">
        <v>1422</v>
      </c>
      <c r="LR9" s="214" t="s">
        <v>1423</v>
      </c>
      <c r="LS9" s="214" t="s">
        <v>1424</v>
      </c>
      <c r="LT9" s="214" t="s">
        <v>1425</v>
      </c>
      <c r="LU9" s="214" t="s">
        <v>1397</v>
      </c>
      <c r="LV9" s="214" t="s">
        <v>1400</v>
      </c>
      <c r="LW9" s="214" t="s">
        <v>1401</v>
      </c>
      <c r="LX9" s="214" t="s">
        <v>1426</v>
      </c>
      <c r="LY9" s="214" t="s">
        <v>1402</v>
      </c>
      <c r="LZ9" s="214" t="s">
        <v>1410</v>
      </c>
      <c r="MA9" s="214" t="s">
        <v>1403</v>
      </c>
      <c r="MB9" s="214" t="s">
        <v>1427</v>
      </c>
      <c r="MC9" s="214" t="s">
        <v>1405</v>
      </c>
      <c r="MD9" s="214" t="s">
        <v>1428</v>
      </c>
      <c r="ME9" s="214" t="s">
        <v>1425</v>
      </c>
      <c r="MF9" s="214" t="s">
        <v>1429</v>
      </c>
      <c r="MG9" s="214" t="s">
        <v>1430</v>
      </c>
      <c r="MH9" s="214" t="s">
        <v>1431</v>
      </c>
      <c r="MI9" s="214" t="s">
        <v>1432</v>
      </c>
      <c r="MJ9" s="214" t="s">
        <v>1389</v>
      </c>
      <c r="MK9" s="214" t="s">
        <v>1398</v>
      </c>
      <c r="ML9" s="214" t="s">
        <v>1389</v>
      </c>
      <c r="MM9" s="214" t="s">
        <v>1396</v>
      </c>
      <c r="MN9" s="214" t="s">
        <v>1430</v>
      </c>
      <c r="MO9" s="214" t="s">
        <v>1431</v>
      </c>
      <c r="MP9" s="214" t="s">
        <v>1432</v>
      </c>
      <c r="MQ9" s="214" t="s">
        <v>1389</v>
      </c>
      <c r="MR9" s="214" t="s">
        <v>1398</v>
      </c>
      <c r="MS9" s="214" t="s">
        <v>1421</v>
      </c>
      <c r="MT9" s="214" t="s">
        <v>1433</v>
      </c>
      <c r="MU9" s="214" t="s">
        <v>1434</v>
      </c>
      <c r="MV9" s="214" t="s">
        <v>1435</v>
      </c>
      <c r="MW9" s="214" t="s">
        <v>1436</v>
      </c>
      <c r="MX9" s="214" t="s">
        <v>1431</v>
      </c>
      <c r="MY9" s="214" t="s">
        <v>1432</v>
      </c>
      <c r="MZ9" s="214" t="s">
        <v>1389</v>
      </c>
      <c r="NA9" s="214" t="s">
        <v>1398</v>
      </c>
      <c r="NB9" s="214" t="s">
        <v>1396</v>
      </c>
      <c r="NC9" s="214" t="s">
        <v>1411</v>
      </c>
      <c r="ND9" s="214" t="s">
        <v>1437</v>
      </c>
      <c r="NE9" s="214" t="s">
        <v>1393</v>
      </c>
      <c r="NF9" s="214" t="s">
        <v>1438</v>
      </c>
      <c r="NG9" s="214" t="s">
        <v>1439</v>
      </c>
      <c r="NH9" s="214" t="s">
        <v>1421</v>
      </c>
      <c r="NI9" s="214" t="s">
        <v>1431</v>
      </c>
      <c r="NJ9" s="214" t="s">
        <v>1396</v>
      </c>
      <c r="NK9" s="214" t="s">
        <v>1400</v>
      </c>
      <c r="NL9" s="214" t="s">
        <v>1402</v>
      </c>
      <c r="NM9" s="214" t="s">
        <v>1422</v>
      </c>
      <c r="NN9" s="214" t="s">
        <v>1389</v>
      </c>
      <c r="NO9" s="214" t="s">
        <v>1397</v>
      </c>
      <c r="NP9" s="214" t="s">
        <v>1401</v>
      </c>
      <c r="NQ9" s="214" t="s">
        <v>1423</v>
      </c>
      <c r="NR9" s="214" t="s">
        <v>1389</v>
      </c>
      <c r="NS9" s="214" t="s">
        <v>1397</v>
      </c>
      <c r="NT9" s="214" t="s">
        <v>1424</v>
      </c>
      <c r="NU9" s="214" t="s">
        <v>1401</v>
      </c>
      <c r="NV9" s="214" t="s">
        <v>1425</v>
      </c>
      <c r="NW9" s="214" t="s">
        <v>1440</v>
      </c>
      <c r="NX9" s="214" t="s">
        <v>1398</v>
      </c>
      <c r="NY9" s="214" t="s">
        <v>1398</v>
      </c>
      <c r="NZ9" s="214" t="s">
        <v>1397</v>
      </c>
      <c r="OA9" s="214" t="s">
        <v>1397</v>
      </c>
      <c r="OB9" s="214" t="s">
        <v>1400</v>
      </c>
      <c r="OC9" s="214" t="s">
        <v>1400</v>
      </c>
      <c r="OD9" s="214" t="s">
        <v>1401</v>
      </c>
      <c r="OE9" s="214" t="s">
        <v>1401</v>
      </c>
      <c r="OF9" s="214" t="s">
        <v>1403</v>
      </c>
      <c r="OG9" s="214" t="s">
        <v>1403</v>
      </c>
      <c r="OH9" s="214" t="s">
        <v>1413</v>
      </c>
      <c r="OI9" s="214" t="s">
        <v>1413</v>
      </c>
      <c r="OJ9" s="214"/>
      <c r="OK9" s="214"/>
      <c r="OL9" s="214"/>
      <c r="OM9" s="214"/>
      <c r="ON9" s="214" t="s">
        <v>1431</v>
      </c>
      <c r="OO9" s="214" t="s">
        <v>1389</v>
      </c>
      <c r="OP9" s="214" t="s">
        <v>1397</v>
      </c>
    </row>
    <row r="10" spans="1:406" s="216" customFormat="1" x14ac:dyDescent="0.25">
      <c r="A10" s="220" t="s">
        <v>1441</v>
      </c>
      <c r="B10" s="214" t="s">
        <v>1389</v>
      </c>
      <c r="C10" s="214" t="s">
        <v>1389</v>
      </c>
      <c r="D10" s="214" t="s">
        <v>1389</v>
      </c>
      <c r="E10" s="214" t="s">
        <v>1389</v>
      </c>
      <c r="F10" s="214" t="s">
        <v>1389</v>
      </c>
      <c r="G10" s="214" t="s">
        <v>1389</v>
      </c>
      <c r="H10" s="214" t="s">
        <v>1389</v>
      </c>
      <c r="I10" s="214" t="s">
        <v>1389</v>
      </c>
      <c r="J10" s="214" t="s">
        <v>1389</v>
      </c>
      <c r="K10" s="214" t="s">
        <v>1389</v>
      </c>
      <c r="L10" s="214" t="s">
        <v>1389</v>
      </c>
      <c r="M10" s="214" t="s">
        <v>1389</v>
      </c>
      <c r="N10" s="214" t="s">
        <v>1389</v>
      </c>
      <c r="O10" s="214" t="s">
        <v>1389</v>
      </c>
      <c r="P10" s="214" t="s">
        <v>1389</v>
      </c>
      <c r="Q10" s="214" t="s">
        <v>1389</v>
      </c>
      <c r="R10" s="214" t="s">
        <v>1389</v>
      </c>
      <c r="S10" s="214" t="s">
        <v>1389</v>
      </c>
      <c r="T10" s="214" t="s">
        <v>1389</v>
      </c>
      <c r="U10" s="214" t="s">
        <v>1389</v>
      </c>
      <c r="V10" s="214" t="s">
        <v>1389</v>
      </c>
      <c r="W10" s="214" t="s">
        <v>1389</v>
      </c>
      <c r="X10" s="214" t="s">
        <v>1389</v>
      </c>
      <c r="Y10" s="214" t="s">
        <v>1389</v>
      </c>
      <c r="Z10" s="214" t="s">
        <v>1389</v>
      </c>
      <c r="AA10" s="214" t="s">
        <v>1389</v>
      </c>
      <c r="AB10" s="214" t="s">
        <v>1389</v>
      </c>
      <c r="AC10" s="214" t="s">
        <v>1389</v>
      </c>
      <c r="AD10" s="214" t="s">
        <v>1389</v>
      </c>
      <c r="AE10" s="214" t="s">
        <v>1389</v>
      </c>
      <c r="AF10" s="214" t="s">
        <v>1389</v>
      </c>
      <c r="AG10" s="214" t="s">
        <v>1389</v>
      </c>
      <c r="AH10" s="214" t="s">
        <v>1389</v>
      </c>
      <c r="AI10" s="214" t="s">
        <v>1389</v>
      </c>
      <c r="AJ10" s="214" t="s">
        <v>1389</v>
      </c>
      <c r="AK10" s="214" t="s">
        <v>1389</v>
      </c>
      <c r="AL10" s="214" t="s">
        <v>1389</v>
      </c>
      <c r="AM10" s="214" t="s">
        <v>1389</v>
      </c>
      <c r="AN10" s="214" t="s">
        <v>1389</v>
      </c>
      <c r="AO10" s="214" t="s">
        <v>1389</v>
      </c>
      <c r="AP10" s="214" t="s">
        <v>1389</v>
      </c>
      <c r="AQ10" s="214" t="s">
        <v>1389</v>
      </c>
      <c r="AR10" s="214" t="s">
        <v>1389</v>
      </c>
      <c r="AS10" s="214" t="s">
        <v>1389</v>
      </c>
      <c r="AT10" s="214" t="s">
        <v>1389</v>
      </c>
      <c r="AU10" s="214" t="s">
        <v>1389</v>
      </c>
      <c r="AV10" s="214" t="s">
        <v>1389</v>
      </c>
      <c r="AW10" s="214" t="s">
        <v>1389</v>
      </c>
      <c r="AX10" s="214" t="s">
        <v>1389</v>
      </c>
      <c r="AY10" s="214" t="s">
        <v>1389</v>
      </c>
      <c r="AZ10" s="214" t="s">
        <v>1389</v>
      </c>
      <c r="BA10" s="214" t="s">
        <v>1389</v>
      </c>
      <c r="BB10" s="214" t="s">
        <v>1389</v>
      </c>
      <c r="BC10" s="214" t="s">
        <v>1389</v>
      </c>
      <c r="BD10" s="214" t="s">
        <v>1389</v>
      </c>
      <c r="BE10" s="214" t="s">
        <v>1389</v>
      </c>
      <c r="BF10" s="214" t="s">
        <v>1389</v>
      </c>
      <c r="BG10" s="214" t="s">
        <v>1389</v>
      </c>
      <c r="BH10" s="214" t="s">
        <v>1389</v>
      </c>
      <c r="BI10" s="214" t="s">
        <v>1389</v>
      </c>
      <c r="BJ10" s="214" t="s">
        <v>1389</v>
      </c>
      <c r="BK10" s="214" t="s">
        <v>1389</v>
      </c>
      <c r="BL10" s="214" t="s">
        <v>1389</v>
      </c>
      <c r="BM10" s="214" t="s">
        <v>1389</v>
      </c>
      <c r="BN10" s="214" t="s">
        <v>1411</v>
      </c>
      <c r="BO10" s="214" t="s">
        <v>1412</v>
      </c>
      <c r="BP10" s="214" t="s">
        <v>1400</v>
      </c>
      <c r="BQ10" s="214" t="s">
        <v>1402</v>
      </c>
      <c r="BR10" s="214" t="s">
        <v>1403</v>
      </c>
      <c r="BS10" s="214" t="s">
        <v>1413</v>
      </c>
      <c r="BT10" s="214" t="s">
        <v>1389</v>
      </c>
      <c r="BU10" s="214" t="s">
        <v>1396</v>
      </c>
      <c r="BV10" s="214" t="s">
        <v>1397</v>
      </c>
      <c r="BW10" s="214" t="s">
        <v>1400</v>
      </c>
      <c r="BX10" s="214" t="s">
        <v>1401</v>
      </c>
      <c r="BY10" s="214" t="s">
        <v>1403</v>
      </c>
      <c r="BZ10" s="214" t="s">
        <v>1389</v>
      </c>
      <c r="CA10" s="214" t="s">
        <v>1396</v>
      </c>
      <c r="CB10" s="214" t="s">
        <v>1397</v>
      </c>
      <c r="CC10" s="214" t="s">
        <v>1404</v>
      </c>
      <c r="CD10" s="214" t="s">
        <v>1399</v>
      </c>
      <c r="CE10" s="214" t="s">
        <v>1397</v>
      </c>
      <c r="CF10" s="214" t="s">
        <v>1400</v>
      </c>
      <c r="CG10" s="214" t="s">
        <v>1400</v>
      </c>
      <c r="CH10" s="214" t="s">
        <v>1401</v>
      </c>
      <c r="CI10" s="214" t="s">
        <v>1401</v>
      </c>
      <c r="CJ10" s="214" t="s">
        <v>1402</v>
      </c>
      <c r="CK10" s="214" t="s">
        <v>1389</v>
      </c>
      <c r="CL10" s="214" t="s">
        <v>1389</v>
      </c>
      <c r="CM10" s="214" t="s">
        <v>1389</v>
      </c>
      <c r="CN10" s="214" t="s">
        <v>1389</v>
      </c>
      <c r="CO10" s="214" t="s">
        <v>1389</v>
      </c>
      <c r="CP10" s="214" t="s">
        <v>1389</v>
      </c>
      <c r="CQ10" s="214" t="s">
        <v>1389</v>
      </c>
      <c r="CR10" s="214" t="s">
        <v>1389</v>
      </c>
      <c r="CS10" s="214" t="s">
        <v>1389</v>
      </c>
      <c r="CT10" s="214" t="s">
        <v>1389</v>
      </c>
      <c r="CU10" s="214" t="s">
        <v>1389</v>
      </c>
      <c r="CV10" s="214" t="s">
        <v>1389</v>
      </c>
      <c r="CW10" s="214" t="s">
        <v>1389</v>
      </c>
      <c r="CX10" s="214" t="s">
        <v>1389</v>
      </c>
      <c r="CY10" s="214" t="s">
        <v>1389</v>
      </c>
      <c r="CZ10" s="214" t="s">
        <v>1389</v>
      </c>
      <c r="DA10" s="214" t="s">
        <v>1389</v>
      </c>
      <c r="DB10" s="214" t="s">
        <v>1396</v>
      </c>
      <c r="DC10" s="214" t="s">
        <v>1397</v>
      </c>
      <c r="DD10" s="214" t="s">
        <v>1400</v>
      </c>
      <c r="DE10" s="214" t="s">
        <v>1397</v>
      </c>
      <c r="DF10" s="214" t="s">
        <v>1397</v>
      </c>
      <c r="DG10" s="214" t="s">
        <v>1400</v>
      </c>
      <c r="DH10" s="214" t="s">
        <v>1400</v>
      </c>
      <c r="DI10" s="214" t="s">
        <v>1396</v>
      </c>
      <c r="DJ10" s="214" t="s">
        <v>1396</v>
      </c>
      <c r="DK10" s="214" t="s">
        <v>1397</v>
      </c>
      <c r="DL10" s="214" t="s">
        <v>1400</v>
      </c>
      <c r="DM10" s="214" t="s">
        <v>1401</v>
      </c>
      <c r="DN10" s="214" t="s">
        <v>1400</v>
      </c>
      <c r="DO10" s="214" t="s">
        <v>1400</v>
      </c>
      <c r="DP10" s="214" t="s">
        <v>1401</v>
      </c>
      <c r="DQ10" s="214" t="s">
        <v>1401</v>
      </c>
      <c r="DR10" s="214" t="s">
        <v>1397</v>
      </c>
      <c r="DS10" s="214" t="s">
        <v>1397</v>
      </c>
      <c r="DT10" s="214" t="s">
        <v>1401</v>
      </c>
      <c r="DU10" s="214" t="s">
        <v>1402</v>
      </c>
      <c r="DV10" s="214" t="s">
        <v>1403</v>
      </c>
      <c r="DW10" s="214" t="s">
        <v>1402</v>
      </c>
      <c r="DX10" s="214" t="s">
        <v>1402</v>
      </c>
      <c r="DY10" s="214" t="s">
        <v>1403</v>
      </c>
      <c r="DZ10" s="214" t="s">
        <v>1403</v>
      </c>
      <c r="EA10" s="214" t="s">
        <v>1401</v>
      </c>
      <c r="EB10" s="214" t="s">
        <v>1401</v>
      </c>
      <c r="EC10" s="214" t="s">
        <v>1402</v>
      </c>
      <c r="ED10" s="214" t="s">
        <v>1403</v>
      </c>
      <c r="EE10" s="214" t="s">
        <v>1405</v>
      </c>
      <c r="EF10" s="214" t="s">
        <v>1403</v>
      </c>
      <c r="EG10" s="214" t="s">
        <v>1403</v>
      </c>
      <c r="EH10" s="214" t="s">
        <v>1405</v>
      </c>
      <c r="EI10" s="214" t="s">
        <v>1405</v>
      </c>
      <c r="EJ10" s="214" t="s">
        <v>1402</v>
      </c>
      <c r="EK10" s="214" t="s">
        <v>1402</v>
      </c>
      <c r="EL10" s="214" t="s">
        <v>1403</v>
      </c>
      <c r="EM10" s="214" t="s">
        <v>1405</v>
      </c>
      <c r="EN10" s="214" t="s">
        <v>1413</v>
      </c>
      <c r="EO10" s="214" t="s">
        <v>1405</v>
      </c>
      <c r="EP10" s="214" t="s">
        <v>1405</v>
      </c>
      <c r="EQ10" s="214" t="s">
        <v>1413</v>
      </c>
      <c r="ER10" s="214" t="s">
        <v>1413</v>
      </c>
      <c r="ES10" s="214" t="s">
        <v>1403</v>
      </c>
      <c r="ET10" s="214" t="s">
        <v>1403</v>
      </c>
      <c r="EU10" s="214" t="s">
        <v>1389</v>
      </c>
      <c r="EV10" s="214" t="s">
        <v>1389</v>
      </c>
      <c r="EW10" s="214" t="s">
        <v>1389</v>
      </c>
      <c r="EX10" s="214" t="s">
        <v>1389</v>
      </c>
      <c r="EY10" s="214" t="s">
        <v>1389</v>
      </c>
      <c r="EZ10" s="214" t="s">
        <v>1389</v>
      </c>
      <c r="FA10" s="214" t="s">
        <v>1389</v>
      </c>
      <c r="FB10" s="214" t="s">
        <v>1389</v>
      </c>
      <c r="FC10" s="214" t="s">
        <v>1389</v>
      </c>
      <c r="FD10" s="214" t="s">
        <v>1389</v>
      </c>
      <c r="FE10" s="214" t="s">
        <v>1389</v>
      </c>
      <c r="FF10" s="214" t="s">
        <v>1389</v>
      </c>
      <c r="FG10" s="214" t="s">
        <v>1389</v>
      </c>
      <c r="FH10" s="214" t="s">
        <v>1389</v>
      </c>
      <c r="FI10" s="214" t="s">
        <v>1389</v>
      </c>
      <c r="FJ10" s="214" t="s">
        <v>1398</v>
      </c>
      <c r="FK10" s="214" t="s">
        <v>1398</v>
      </c>
      <c r="FL10" s="214" t="s">
        <v>1398</v>
      </c>
      <c r="FM10" s="214" t="s">
        <v>1398</v>
      </c>
      <c r="FN10" s="214" t="s">
        <v>1398</v>
      </c>
      <c r="FO10" s="214" t="s">
        <v>1398</v>
      </c>
      <c r="FP10" s="214" t="s">
        <v>1398</v>
      </c>
      <c r="FQ10" s="214" t="s">
        <v>1398</v>
      </c>
      <c r="FR10" s="214" t="s">
        <v>1396</v>
      </c>
      <c r="FS10" s="214" t="s">
        <v>1396</v>
      </c>
      <c r="FT10" s="214" t="s">
        <v>1396</v>
      </c>
      <c r="FU10" s="214" t="s">
        <v>1396</v>
      </c>
      <c r="FV10" s="214" t="s">
        <v>1396</v>
      </c>
      <c r="FW10" s="214" t="s">
        <v>1396</v>
      </c>
      <c r="FX10" s="214" t="s">
        <v>1396</v>
      </c>
      <c r="FY10" s="214" t="s">
        <v>1396</v>
      </c>
      <c r="FZ10" s="214" t="s">
        <v>1397</v>
      </c>
      <c r="GA10" s="214" t="s">
        <v>1397</v>
      </c>
      <c r="GB10" s="214" t="s">
        <v>1397</v>
      </c>
      <c r="GC10" s="214" t="s">
        <v>1397</v>
      </c>
      <c r="GD10" s="214" t="s">
        <v>1397</v>
      </c>
      <c r="GE10" s="214" t="s">
        <v>1397</v>
      </c>
      <c r="GF10" s="214" t="s">
        <v>1397</v>
      </c>
      <c r="GG10" s="214" t="s">
        <v>1397</v>
      </c>
      <c r="GH10" s="214" t="s">
        <v>1401</v>
      </c>
      <c r="GI10" s="214" t="s">
        <v>1401</v>
      </c>
      <c r="GJ10" s="214" t="s">
        <v>1401</v>
      </c>
      <c r="GK10" s="214" t="s">
        <v>1401</v>
      </c>
      <c r="GL10" s="214" t="s">
        <v>1401</v>
      </c>
      <c r="GM10" s="214" t="s">
        <v>1401</v>
      </c>
      <c r="GN10" s="214" t="s">
        <v>1401</v>
      </c>
      <c r="GO10" s="214" t="s">
        <v>1401</v>
      </c>
      <c r="GP10" s="214" t="s">
        <v>1396</v>
      </c>
      <c r="GQ10" s="214" t="s">
        <v>1396</v>
      </c>
      <c r="GR10" s="214" t="s">
        <v>1397</v>
      </c>
      <c r="GS10" s="214" t="s">
        <v>1397</v>
      </c>
      <c r="GT10" s="214" t="s">
        <v>1400</v>
      </c>
      <c r="GU10" s="214" t="s">
        <v>1400</v>
      </c>
      <c r="GV10" s="214" t="s">
        <v>1401</v>
      </c>
      <c r="GW10" s="214" t="s">
        <v>1401</v>
      </c>
      <c r="GX10" s="214" t="s">
        <v>1403</v>
      </c>
      <c r="GY10" s="214" t="s">
        <v>1403</v>
      </c>
      <c r="GZ10" s="214" t="s">
        <v>1389</v>
      </c>
      <c r="HA10" s="214" t="s">
        <v>1396</v>
      </c>
      <c r="HB10" s="214" t="s">
        <v>1397</v>
      </c>
      <c r="HC10" s="214" t="s">
        <v>1400</v>
      </c>
      <c r="HD10" s="214" t="s">
        <v>1389</v>
      </c>
      <c r="HE10" s="214" t="s">
        <v>1389</v>
      </c>
      <c r="HF10" s="214" t="s">
        <v>1389</v>
      </c>
      <c r="HG10" s="214" t="s">
        <v>1396</v>
      </c>
      <c r="HH10" s="214" t="s">
        <v>1396</v>
      </c>
      <c r="HI10" s="214" t="s">
        <v>1396</v>
      </c>
      <c r="HJ10" s="214" t="s">
        <v>1404</v>
      </c>
      <c r="HK10" s="214" t="s">
        <v>1404</v>
      </c>
      <c r="HL10" s="214" t="s">
        <v>1404</v>
      </c>
      <c r="HM10" s="214" t="s">
        <v>1397</v>
      </c>
      <c r="HN10" s="214" t="s">
        <v>1397</v>
      </c>
      <c r="HO10" s="214" t="s">
        <v>1397</v>
      </c>
      <c r="HP10" s="214" t="s">
        <v>1399</v>
      </c>
      <c r="HQ10" s="214" t="s">
        <v>1399</v>
      </c>
      <c r="HR10" s="214" t="s">
        <v>1399</v>
      </c>
      <c r="HS10" s="214" t="s">
        <v>1400</v>
      </c>
      <c r="HT10" s="214" t="s">
        <v>1400</v>
      </c>
      <c r="HU10" s="214" t="s">
        <v>1400</v>
      </c>
      <c r="HV10" s="214" t="s">
        <v>1389</v>
      </c>
      <c r="HW10" s="214" t="s">
        <v>1442</v>
      </c>
      <c r="HX10" s="214" t="s">
        <v>1389</v>
      </c>
      <c r="HY10" s="214" t="s">
        <v>1442</v>
      </c>
      <c r="HZ10" s="214" t="s">
        <v>1389</v>
      </c>
      <c r="IA10" s="214" t="s">
        <v>1442</v>
      </c>
      <c r="IB10" s="214" t="s">
        <v>1389</v>
      </c>
      <c r="IC10" s="214" t="s">
        <v>1442</v>
      </c>
      <c r="ID10" s="214" t="s">
        <v>1389</v>
      </c>
      <c r="IE10" s="214" t="s">
        <v>1442</v>
      </c>
      <c r="IF10" s="214" t="s">
        <v>1389</v>
      </c>
      <c r="IG10" s="214" t="s">
        <v>1442</v>
      </c>
      <c r="IH10" s="214" t="s">
        <v>1389</v>
      </c>
      <c r="II10" s="214" t="s">
        <v>1442</v>
      </c>
      <c r="IJ10" s="214" t="s">
        <v>1389</v>
      </c>
      <c r="IK10" s="214" t="s">
        <v>1442</v>
      </c>
      <c r="IL10" s="214" t="s">
        <v>1389</v>
      </c>
      <c r="IM10" s="214" t="s">
        <v>1442</v>
      </c>
      <c r="IN10" s="214" t="s">
        <v>1389</v>
      </c>
      <c r="IO10" s="214" t="s">
        <v>1442</v>
      </c>
      <c r="IP10" s="214" t="s">
        <v>1396</v>
      </c>
      <c r="IQ10" s="214" t="s">
        <v>1404</v>
      </c>
      <c r="IR10" s="214" t="s">
        <v>1397</v>
      </c>
      <c r="IS10" s="214" t="s">
        <v>1400</v>
      </c>
      <c r="IT10" s="214" t="s">
        <v>1389</v>
      </c>
      <c r="IU10" s="214" t="s">
        <v>1389</v>
      </c>
      <c r="IV10" s="214" t="s">
        <v>1398</v>
      </c>
      <c r="IW10" s="214" t="s">
        <v>1396</v>
      </c>
      <c r="IX10" s="214" t="s">
        <v>1404</v>
      </c>
      <c r="IY10" s="214" t="s">
        <v>1397</v>
      </c>
      <c r="IZ10" s="214" t="s">
        <v>1399</v>
      </c>
      <c r="JA10" s="214" t="s">
        <v>1389</v>
      </c>
      <c r="JB10" s="214" t="s">
        <v>1389</v>
      </c>
      <c r="JC10" s="214" t="s">
        <v>1389</v>
      </c>
      <c r="JD10" s="214" t="s">
        <v>1389</v>
      </c>
      <c r="JE10" s="214" t="s">
        <v>1389</v>
      </c>
      <c r="JF10" s="214" t="s">
        <v>1389</v>
      </c>
      <c r="JG10" s="214" t="s">
        <v>1389</v>
      </c>
      <c r="JH10" s="214" t="s">
        <v>1389</v>
      </c>
      <c r="JI10" s="214" t="s">
        <v>1389</v>
      </c>
      <c r="JJ10" s="214" t="s">
        <v>1389</v>
      </c>
      <c r="JK10" s="214" t="s">
        <v>1389</v>
      </c>
      <c r="JL10" s="214" t="s">
        <v>1398</v>
      </c>
      <c r="JM10" s="214" t="s">
        <v>1398</v>
      </c>
      <c r="JN10" s="214" t="s">
        <v>1398</v>
      </c>
      <c r="JO10" s="214" t="s">
        <v>1398</v>
      </c>
      <c r="JP10" s="214" t="s">
        <v>1396</v>
      </c>
      <c r="JQ10" s="214" t="s">
        <v>1396</v>
      </c>
      <c r="JR10" s="214" t="s">
        <v>1396</v>
      </c>
      <c r="JS10" s="214" t="s">
        <v>1396</v>
      </c>
      <c r="JT10" s="214" t="s">
        <v>1397</v>
      </c>
      <c r="JU10" s="214" t="s">
        <v>1397</v>
      </c>
      <c r="JV10" s="214" t="s">
        <v>1397</v>
      </c>
      <c r="JW10" s="214" t="s">
        <v>1397</v>
      </c>
      <c r="JX10" s="214" t="s">
        <v>1389</v>
      </c>
      <c r="JY10" s="214" t="s">
        <v>1389</v>
      </c>
      <c r="JZ10" s="214" t="s">
        <v>1389</v>
      </c>
      <c r="KA10" s="214" t="s">
        <v>1389</v>
      </c>
      <c r="KB10" s="214" t="s">
        <v>1389</v>
      </c>
      <c r="KC10" s="214" t="s">
        <v>1389</v>
      </c>
      <c r="KD10" s="214" t="s">
        <v>1389</v>
      </c>
      <c r="KE10" s="214" t="s">
        <v>1389</v>
      </c>
      <c r="KF10" s="214" t="s">
        <v>1389</v>
      </c>
      <c r="KG10" s="214" t="s">
        <v>1398</v>
      </c>
      <c r="KH10" s="214" t="s">
        <v>1396</v>
      </c>
      <c r="KI10" s="214" t="s">
        <v>1404</v>
      </c>
      <c r="KJ10" s="214" t="s">
        <v>1397</v>
      </c>
      <c r="KK10" s="214" t="s">
        <v>1443</v>
      </c>
      <c r="KL10" s="214" t="s">
        <v>1444</v>
      </c>
      <c r="KM10" s="214" t="s">
        <v>1445</v>
      </c>
      <c r="KN10" s="214" t="s">
        <v>1446</v>
      </c>
      <c r="KO10" s="214" t="s">
        <v>1389</v>
      </c>
      <c r="KP10" s="214" t="s">
        <v>1398</v>
      </c>
      <c r="KQ10" s="214" t="s">
        <v>1396</v>
      </c>
      <c r="KR10" s="214" t="s">
        <v>1397</v>
      </c>
      <c r="KS10" s="214" t="s">
        <v>1389</v>
      </c>
      <c r="KT10" s="214" t="s">
        <v>1398</v>
      </c>
      <c r="KU10" s="214" t="s">
        <v>1396</v>
      </c>
      <c r="KV10" s="214" t="s">
        <v>1397</v>
      </c>
      <c r="KW10" s="214" t="s">
        <v>1400</v>
      </c>
      <c r="KX10" s="214" t="s">
        <v>1401</v>
      </c>
      <c r="KY10" s="214" t="s">
        <v>1402</v>
      </c>
      <c r="KZ10" s="214" t="s">
        <v>1403</v>
      </c>
      <c r="LA10" s="214" t="s">
        <v>1398</v>
      </c>
      <c r="LB10" s="214" t="s">
        <v>1396</v>
      </c>
      <c r="LC10" s="214" t="s">
        <v>1397</v>
      </c>
      <c r="LD10" s="214" t="s">
        <v>1400</v>
      </c>
      <c r="LE10" s="214" t="s">
        <v>1401</v>
      </c>
      <c r="LF10" s="214" t="s">
        <v>1398</v>
      </c>
      <c r="LG10" s="214" t="s">
        <v>1399</v>
      </c>
      <c r="LH10" s="214" t="s">
        <v>1401</v>
      </c>
      <c r="LI10" s="214" t="s">
        <v>1398</v>
      </c>
      <c r="LJ10" s="214" t="s">
        <v>1397</v>
      </c>
      <c r="LK10" s="214" t="s">
        <v>1400</v>
      </c>
      <c r="LL10" s="214" t="s">
        <v>1401</v>
      </c>
      <c r="LM10" s="214" t="s">
        <v>1401</v>
      </c>
      <c r="LN10" s="214" t="s">
        <v>1402</v>
      </c>
      <c r="LO10" s="214" t="s">
        <v>1403</v>
      </c>
      <c r="LP10" s="214" t="s">
        <v>1405</v>
      </c>
      <c r="LQ10" s="214" t="s">
        <v>1401</v>
      </c>
      <c r="LR10" s="214" t="s">
        <v>1402</v>
      </c>
      <c r="LS10" s="214" t="s">
        <v>1403</v>
      </c>
      <c r="LT10" s="214" t="s">
        <v>1405</v>
      </c>
      <c r="LU10" s="214" t="s">
        <v>1397</v>
      </c>
      <c r="LV10" s="214" t="s">
        <v>1400</v>
      </c>
      <c r="LW10" s="214" t="s">
        <v>1401</v>
      </c>
      <c r="LX10" s="214" t="s">
        <v>1426</v>
      </c>
      <c r="LY10" s="214" t="s">
        <v>1402</v>
      </c>
      <c r="LZ10" s="214" t="s">
        <v>1410</v>
      </c>
      <c r="MA10" s="214" t="s">
        <v>1403</v>
      </c>
      <c r="MB10" s="214" t="s">
        <v>1427</v>
      </c>
      <c r="MC10" s="214" t="s">
        <v>1405</v>
      </c>
      <c r="MD10" s="214" t="s">
        <v>1428</v>
      </c>
      <c r="ME10" s="214" t="s">
        <v>1425</v>
      </c>
      <c r="MF10" s="214" t="s">
        <v>1429</v>
      </c>
      <c r="MG10" s="214" t="s">
        <v>1430</v>
      </c>
      <c r="MH10" s="214" t="s">
        <v>1431</v>
      </c>
      <c r="MI10" s="214" t="s">
        <v>1432</v>
      </c>
      <c r="MJ10" s="214" t="s">
        <v>1389</v>
      </c>
      <c r="MK10" s="214" t="s">
        <v>1398</v>
      </c>
      <c r="ML10" s="214" t="s">
        <v>1398</v>
      </c>
      <c r="MM10" s="214" t="s">
        <v>1396</v>
      </c>
      <c r="MN10" s="214" t="s">
        <v>1430</v>
      </c>
      <c r="MO10" s="214" t="s">
        <v>1431</v>
      </c>
      <c r="MP10" s="214" t="s">
        <v>1432</v>
      </c>
      <c r="MQ10" s="214" t="s">
        <v>1389</v>
      </c>
      <c r="MR10" s="214" t="s">
        <v>1398</v>
      </c>
      <c r="MS10" s="214" t="s">
        <v>1398</v>
      </c>
      <c r="MT10" s="214" t="s">
        <v>1397</v>
      </c>
      <c r="MU10" s="214" t="s">
        <v>1401</v>
      </c>
      <c r="MV10" s="214" t="s">
        <v>1403</v>
      </c>
      <c r="MW10" s="214" t="s">
        <v>1413</v>
      </c>
      <c r="MX10" s="214" t="s">
        <v>1430</v>
      </c>
      <c r="MY10" s="214" t="s">
        <v>1431</v>
      </c>
      <c r="MZ10" s="214" t="s">
        <v>1432</v>
      </c>
      <c r="NA10" s="214" t="s">
        <v>1389</v>
      </c>
      <c r="NB10" s="214" t="s">
        <v>1398</v>
      </c>
      <c r="NC10" s="214" t="s">
        <v>1447</v>
      </c>
      <c r="ND10" s="214" t="s">
        <v>1391</v>
      </c>
      <c r="NE10" s="214" t="s">
        <v>1393</v>
      </c>
      <c r="NF10" s="214" t="s">
        <v>1448</v>
      </c>
      <c r="NG10" s="214" t="s">
        <v>1391</v>
      </c>
      <c r="NH10" s="214" t="s">
        <v>1397</v>
      </c>
      <c r="NI10" s="214" t="s">
        <v>1389</v>
      </c>
      <c r="NJ10" s="214" t="s">
        <v>1396</v>
      </c>
      <c r="NK10" s="214" t="s">
        <v>1397</v>
      </c>
      <c r="NL10" s="214" t="s">
        <v>1400</v>
      </c>
      <c r="NM10" s="214" t="s">
        <v>1401</v>
      </c>
      <c r="NN10" s="214" t="s">
        <v>1431</v>
      </c>
      <c r="NO10" s="214" t="s">
        <v>1389</v>
      </c>
      <c r="NP10" s="214" t="s">
        <v>1396</v>
      </c>
      <c r="NQ10" s="214" t="s">
        <v>1402</v>
      </c>
      <c r="NR10" s="214" t="s">
        <v>1431</v>
      </c>
      <c r="NS10" s="214" t="s">
        <v>1389</v>
      </c>
      <c r="NT10" s="214" t="s">
        <v>1403</v>
      </c>
      <c r="NU10" s="214" t="s">
        <v>1431</v>
      </c>
      <c r="NV10" s="214" t="s">
        <v>1405</v>
      </c>
      <c r="NW10" s="214" t="s">
        <v>1440</v>
      </c>
      <c r="NX10" s="214" t="s">
        <v>1398</v>
      </c>
      <c r="NY10" s="214" t="s">
        <v>1398</v>
      </c>
      <c r="NZ10" s="214" t="s">
        <v>1396</v>
      </c>
      <c r="OA10" s="214" t="s">
        <v>1396</v>
      </c>
      <c r="OB10" s="214" t="s">
        <v>1397</v>
      </c>
      <c r="OC10" s="214" t="s">
        <v>1397</v>
      </c>
      <c r="OD10" s="214" t="s">
        <v>1400</v>
      </c>
      <c r="OE10" s="214" t="s">
        <v>1400</v>
      </c>
      <c r="OF10" s="214" t="s">
        <v>1401</v>
      </c>
      <c r="OG10" s="214" t="s">
        <v>1401</v>
      </c>
      <c r="OH10" s="214" t="s">
        <v>1403</v>
      </c>
      <c r="OI10" s="214" t="s">
        <v>1403</v>
      </c>
      <c r="OJ10" s="214"/>
      <c r="OK10" s="214"/>
      <c r="OL10" s="214"/>
      <c r="OM10" s="214"/>
      <c r="ON10" s="214" t="s">
        <v>1430</v>
      </c>
      <c r="OO10" s="214" t="s">
        <v>1431</v>
      </c>
      <c r="OP10" s="214" t="s">
        <v>1389</v>
      </c>
    </row>
    <row r="11" spans="1:406" x14ac:dyDescent="0.25">
      <c r="A11" s="222" t="s">
        <v>1449</v>
      </c>
      <c r="B11" s="218">
        <v>0</v>
      </c>
      <c r="C11" s="218">
        <v>0</v>
      </c>
      <c r="D11" s="218">
        <v>0</v>
      </c>
      <c r="E11" s="218">
        <v>0</v>
      </c>
      <c r="F11" s="218">
        <v>0</v>
      </c>
      <c r="G11" s="218">
        <v>0</v>
      </c>
      <c r="H11" s="218">
        <v>0</v>
      </c>
      <c r="I11" s="218">
        <v>0</v>
      </c>
      <c r="J11" s="218">
        <v>0</v>
      </c>
      <c r="K11" s="218">
        <v>100</v>
      </c>
      <c r="L11" s="218">
        <v>100</v>
      </c>
      <c r="M11" s="218">
        <v>100</v>
      </c>
      <c r="N11" s="218">
        <v>100</v>
      </c>
      <c r="O11" s="218">
        <v>100</v>
      </c>
      <c r="P11" s="218">
        <v>100</v>
      </c>
      <c r="Q11" s="218">
        <v>100</v>
      </c>
      <c r="R11" s="218">
        <v>100</v>
      </c>
      <c r="S11" s="218">
        <v>100</v>
      </c>
      <c r="T11" s="218">
        <v>150</v>
      </c>
      <c r="U11" s="218">
        <v>150</v>
      </c>
      <c r="V11" s="218">
        <v>150</v>
      </c>
      <c r="W11" s="218">
        <v>150</v>
      </c>
      <c r="X11" s="218">
        <v>150</v>
      </c>
      <c r="Y11" s="218">
        <v>150</v>
      </c>
      <c r="Z11" s="218">
        <v>150</v>
      </c>
      <c r="AA11" s="218">
        <v>150</v>
      </c>
      <c r="AB11" s="218">
        <v>150</v>
      </c>
      <c r="AC11" s="218">
        <v>200</v>
      </c>
      <c r="AD11" s="218">
        <v>200</v>
      </c>
      <c r="AE11" s="218">
        <v>200</v>
      </c>
      <c r="AF11" s="218">
        <v>200</v>
      </c>
      <c r="AG11" s="218">
        <v>200</v>
      </c>
      <c r="AH11" s="218">
        <v>200</v>
      </c>
      <c r="AI11" s="218">
        <v>200</v>
      </c>
      <c r="AJ11" s="218">
        <v>200</v>
      </c>
      <c r="AK11" s="218">
        <v>200</v>
      </c>
      <c r="AL11" s="218">
        <v>250</v>
      </c>
      <c r="AM11" s="218">
        <v>250</v>
      </c>
      <c r="AN11" s="218">
        <v>250</v>
      </c>
      <c r="AO11" s="218">
        <v>250</v>
      </c>
      <c r="AP11" s="218">
        <v>250</v>
      </c>
      <c r="AQ11" s="218">
        <v>250</v>
      </c>
      <c r="AR11" s="218">
        <v>250</v>
      </c>
      <c r="AS11" s="218">
        <v>250</v>
      </c>
      <c r="AT11" s="218">
        <v>250</v>
      </c>
      <c r="AU11" s="218">
        <v>400</v>
      </c>
      <c r="AV11" s="218">
        <v>400</v>
      </c>
      <c r="AW11" s="218">
        <v>400</v>
      </c>
      <c r="AX11" s="218">
        <v>400</v>
      </c>
      <c r="AY11" s="218">
        <v>400</v>
      </c>
      <c r="AZ11" s="218">
        <v>400</v>
      </c>
      <c r="BA11" s="218">
        <v>400</v>
      </c>
      <c r="BB11" s="218">
        <v>400</v>
      </c>
      <c r="BC11" s="218">
        <v>400</v>
      </c>
      <c r="BD11" s="218">
        <v>0</v>
      </c>
      <c r="BE11" s="218">
        <v>50</v>
      </c>
      <c r="BF11" s="218">
        <v>0</v>
      </c>
      <c r="BG11" s="218">
        <v>100</v>
      </c>
      <c r="BH11" s="218">
        <v>100</v>
      </c>
      <c r="BI11" s="218">
        <v>150</v>
      </c>
      <c r="BJ11" s="218">
        <v>150</v>
      </c>
      <c r="BK11" s="218">
        <v>250</v>
      </c>
      <c r="BL11" s="218">
        <v>300</v>
      </c>
      <c r="BM11" s="218">
        <v>150</v>
      </c>
      <c r="BN11" s="218">
        <v>250</v>
      </c>
      <c r="BO11" s="218">
        <v>350</v>
      </c>
      <c r="BP11" s="218">
        <v>450</v>
      </c>
      <c r="BQ11" s="218">
        <v>750</v>
      </c>
      <c r="BR11" s="218">
        <v>1000</v>
      </c>
      <c r="BS11" s="218">
        <v>1250</v>
      </c>
      <c r="BT11" s="218">
        <v>0</v>
      </c>
      <c r="BU11" s="218">
        <v>50</v>
      </c>
      <c r="BV11" s="218">
        <v>100</v>
      </c>
      <c r="BW11" s="218">
        <v>150</v>
      </c>
      <c r="BX11" s="218">
        <v>200</v>
      </c>
      <c r="BY11" s="218">
        <v>250</v>
      </c>
      <c r="BZ11" s="218">
        <v>80</v>
      </c>
      <c r="CA11" s="218">
        <v>100</v>
      </c>
      <c r="CB11" s="218">
        <v>100</v>
      </c>
      <c r="CC11" s="218">
        <v>120</v>
      </c>
      <c r="CD11" s="218">
        <v>120</v>
      </c>
      <c r="CE11" s="218">
        <v>150</v>
      </c>
      <c r="CF11" s="218">
        <v>150</v>
      </c>
      <c r="CG11" s="218">
        <v>200</v>
      </c>
      <c r="CH11" s="218">
        <v>200</v>
      </c>
      <c r="CI11" s="218">
        <v>250</v>
      </c>
      <c r="CJ11" s="218">
        <v>250</v>
      </c>
      <c r="CK11" s="218">
        <v>50</v>
      </c>
      <c r="CL11" s="218">
        <v>75</v>
      </c>
      <c r="CM11" s="218">
        <v>75</v>
      </c>
      <c r="CN11" s="218">
        <v>75</v>
      </c>
      <c r="CO11" s="218">
        <v>75</v>
      </c>
      <c r="CP11" s="218">
        <v>100</v>
      </c>
      <c r="CQ11" s="218">
        <v>100</v>
      </c>
      <c r="CR11" s="218">
        <v>100</v>
      </c>
      <c r="CS11" s="218">
        <v>100</v>
      </c>
      <c r="CT11" s="218">
        <v>150</v>
      </c>
      <c r="CU11" s="218">
        <v>150</v>
      </c>
      <c r="CV11" s="218">
        <v>150</v>
      </c>
      <c r="CW11" s="218">
        <v>150</v>
      </c>
      <c r="CX11" s="218">
        <v>200</v>
      </c>
      <c r="CY11" s="218">
        <v>200</v>
      </c>
      <c r="CZ11" s="218">
        <v>200</v>
      </c>
      <c r="DA11" s="218">
        <v>200</v>
      </c>
      <c r="DB11" s="218">
        <v>100</v>
      </c>
      <c r="DC11" s="218">
        <v>100</v>
      </c>
      <c r="DD11" s="218">
        <v>100</v>
      </c>
      <c r="DE11" s="218">
        <v>100</v>
      </c>
      <c r="DF11" s="218">
        <v>100</v>
      </c>
      <c r="DG11" s="218">
        <v>100</v>
      </c>
      <c r="DH11" s="218">
        <v>100</v>
      </c>
      <c r="DI11" s="218">
        <v>100</v>
      </c>
      <c r="DJ11" s="218">
        <v>100</v>
      </c>
      <c r="DK11" s="218">
        <v>200</v>
      </c>
      <c r="DL11" s="218">
        <v>200</v>
      </c>
      <c r="DM11" s="218">
        <v>200</v>
      </c>
      <c r="DN11" s="218">
        <v>200</v>
      </c>
      <c r="DO11" s="218">
        <v>200</v>
      </c>
      <c r="DP11" s="218">
        <v>200</v>
      </c>
      <c r="DQ11" s="218">
        <v>200</v>
      </c>
      <c r="DR11" s="218">
        <v>200</v>
      </c>
      <c r="DS11" s="218">
        <v>200</v>
      </c>
      <c r="DT11" s="218">
        <v>300</v>
      </c>
      <c r="DU11" s="218">
        <v>300</v>
      </c>
      <c r="DV11" s="218">
        <v>300</v>
      </c>
      <c r="DW11" s="218">
        <v>300</v>
      </c>
      <c r="DX11" s="218">
        <v>300</v>
      </c>
      <c r="DY11" s="218">
        <v>300</v>
      </c>
      <c r="DZ11" s="218">
        <v>300</v>
      </c>
      <c r="EA11" s="218">
        <v>300</v>
      </c>
      <c r="EB11" s="218">
        <v>300</v>
      </c>
      <c r="EC11" s="218">
        <v>400</v>
      </c>
      <c r="ED11" s="218">
        <v>400</v>
      </c>
      <c r="EE11" s="218">
        <v>400</v>
      </c>
      <c r="EF11" s="218">
        <v>400</v>
      </c>
      <c r="EG11" s="218">
        <v>400</v>
      </c>
      <c r="EH11" s="218">
        <v>400</v>
      </c>
      <c r="EI11" s="218">
        <v>400</v>
      </c>
      <c r="EJ11" s="218">
        <v>400</v>
      </c>
      <c r="EK11" s="218">
        <v>400</v>
      </c>
      <c r="EL11" s="218">
        <v>500</v>
      </c>
      <c r="EM11" s="218">
        <v>500</v>
      </c>
      <c r="EN11" s="218">
        <v>500</v>
      </c>
      <c r="EO11" s="218">
        <v>500</v>
      </c>
      <c r="EP11" s="218">
        <v>500</v>
      </c>
      <c r="EQ11" s="218">
        <v>500</v>
      </c>
      <c r="ER11" s="218">
        <v>500</v>
      </c>
      <c r="ES11" s="218">
        <v>500</v>
      </c>
      <c r="ET11" s="218">
        <v>500</v>
      </c>
      <c r="EU11" s="218">
        <v>0</v>
      </c>
      <c r="EV11" s="218">
        <v>0</v>
      </c>
      <c r="EW11" s="218">
        <v>0</v>
      </c>
      <c r="EX11" s="218">
        <v>0</v>
      </c>
      <c r="EY11" s="218">
        <v>0</v>
      </c>
      <c r="EZ11" s="218">
        <v>0</v>
      </c>
      <c r="FA11" s="218">
        <v>0</v>
      </c>
      <c r="FB11" s="218">
        <v>0</v>
      </c>
      <c r="FC11" s="218">
        <v>0</v>
      </c>
      <c r="FD11" s="218">
        <v>0</v>
      </c>
      <c r="FE11" s="218">
        <v>0</v>
      </c>
      <c r="FF11" s="218">
        <v>0</v>
      </c>
      <c r="FG11" s="218">
        <v>0</v>
      </c>
      <c r="FH11" s="218">
        <v>0</v>
      </c>
      <c r="FI11" s="218">
        <v>0</v>
      </c>
      <c r="FJ11" s="218">
        <v>125</v>
      </c>
      <c r="FK11" s="218">
        <v>125</v>
      </c>
      <c r="FL11" s="218">
        <v>125</v>
      </c>
      <c r="FM11" s="218">
        <v>125</v>
      </c>
      <c r="FN11" s="218">
        <v>125</v>
      </c>
      <c r="FO11" s="218">
        <v>125</v>
      </c>
      <c r="FP11" s="218">
        <v>125</v>
      </c>
      <c r="FQ11" s="218">
        <v>125</v>
      </c>
      <c r="FR11" s="218">
        <v>150</v>
      </c>
      <c r="FS11" s="218">
        <v>150</v>
      </c>
      <c r="FT11" s="218">
        <v>150</v>
      </c>
      <c r="FU11" s="218">
        <v>150</v>
      </c>
      <c r="FV11" s="218">
        <v>150</v>
      </c>
      <c r="FW11" s="218">
        <v>150</v>
      </c>
      <c r="FX11" s="218">
        <v>150</v>
      </c>
      <c r="FY11" s="218">
        <v>150</v>
      </c>
      <c r="FZ11" s="218">
        <v>200</v>
      </c>
      <c r="GA11" s="218">
        <v>200</v>
      </c>
      <c r="GB11" s="218">
        <v>200</v>
      </c>
      <c r="GC11" s="218">
        <v>200</v>
      </c>
      <c r="GD11" s="218">
        <v>200</v>
      </c>
      <c r="GE11" s="218">
        <v>200</v>
      </c>
      <c r="GF11" s="218">
        <v>200</v>
      </c>
      <c r="GG11" s="218">
        <v>200</v>
      </c>
      <c r="GH11" s="218">
        <v>300</v>
      </c>
      <c r="GI11" s="218">
        <v>300</v>
      </c>
      <c r="GJ11" s="218">
        <v>300</v>
      </c>
      <c r="GK11" s="218">
        <v>300</v>
      </c>
      <c r="GL11" s="218">
        <v>300</v>
      </c>
      <c r="GM11" s="218">
        <v>300</v>
      </c>
      <c r="GN11" s="218">
        <v>300</v>
      </c>
      <c r="GO11" s="218">
        <v>300</v>
      </c>
      <c r="GP11" s="218" t="s">
        <v>1450</v>
      </c>
      <c r="GQ11" s="218" t="s">
        <v>1450</v>
      </c>
      <c r="GR11" s="218" t="s">
        <v>1451</v>
      </c>
      <c r="GS11" s="218" t="s">
        <v>1451</v>
      </c>
      <c r="GT11" s="218" t="s">
        <v>1452</v>
      </c>
      <c r="GU11" s="218" t="s">
        <v>1452</v>
      </c>
      <c r="GV11" s="218" t="s">
        <v>1453</v>
      </c>
      <c r="GW11" s="218" t="s">
        <v>1453</v>
      </c>
      <c r="GX11" s="218" t="s">
        <v>1454</v>
      </c>
      <c r="GY11" s="218" t="s">
        <v>1454</v>
      </c>
      <c r="GZ11" s="218">
        <v>0</v>
      </c>
      <c r="HA11" s="218">
        <v>0</v>
      </c>
      <c r="HB11" s="218">
        <v>0</v>
      </c>
      <c r="HC11" s="218">
        <v>0</v>
      </c>
      <c r="HD11" s="218">
        <v>0</v>
      </c>
      <c r="HE11" s="218">
        <v>0</v>
      </c>
      <c r="HF11" s="218">
        <v>0</v>
      </c>
      <c r="HG11" s="218">
        <v>0</v>
      </c>
      <c r="HH11" s="218">
        <v>0</v>
      </c>
      <c r="HI11" s="218">
        <v>0</v>
      </c>
      <c r="HJ11" s="218">
        <v>0</v>
      </c>
      <c r="HK11" s="218">
        <v>0</v>
      </c>
      <c r="HL11" s="218">
        <v>0</v>
      </c>
      <c r="HM11" s="218">
        <v>0</v>
      </c>
      <c r="HN11" s="218">
        <v>0</v>
      </c>
      <c r="HO11" s="218">
        <v>0</v>
      </c>
      <c r="HP11" s="218">
        <v>0</v>
      </c>
      <c r="HQ11" s="218">
        <v>0</v>
      </c>
      <c r="HR11" s="218">
        <v>0</v>
      </c>
      <c r="HS11" s="218">
        <v>0</v>
      </c>
      <c r="HT11" s="218">
        <v>0</v>
      </c>
      <c r="HU11" s="218">
        <v>0</v>
      </c>
      <c r="HV11" s="218">
        <v>0</v>
      </c>
      <c r="HW11" s="218">
        <v>100</v>
      </c>
      <c r="HX11" s="218">
        <v>0</v>
      </c>
      <c r="HY11" s="218">
        <v>100</v>
      </c>
      <c r="HZ11" s="218">
        <v>0</v>
      </c>
      <c r="IA11" s="218">
        <v>100</v>
      </c>
      <c r="IB11" s="218">
        <v>0</v>
      </c>
      <c r="IC11" s="218">
        <v>100</v>
      </c>
      <c r="ID11" s="218">
        <v>0</v>
      </c>
      <c r="IE11" s="218">
        <v>100</v>
      </c>
      <c r="IF11" s="218">
        <v>0</v>
      </c>
      <c r="IG11" s="218">
        <v>100</v>
      </c>
      <c r="IH11" s="218">
        <v>0</v>
      </c>
      <c r="II11" s="218">
        <v>100</v>
      </c>
      <c r="IJ11" s="218">
        <v>0</v>
      </c>
      <c r="IK11" s="218">
        <v>100</v>
      </c>
      <c r="IL11" s="218">
        <v>0</v>
      </c>
      <c r="IM11" s="218">
        <v>100</v>
      </c>
      <c r="IN11" s="218">
        <v>0</v>
      </c>
      <c r="IO11" s="218">
        <v>100</v>
      </c>
      <c r="IP11" s="218">
        <v>0</v>
      </c>
      <c r="IQ11" s="218">
        <v>0</v>
      </c>
      <c r="IR11" s="218">
        <v>0</v>
      </c>
      <c r="IS11" s="218">
        <v>0</v>
      </c>
      <c r="IT11" s="218">
        <v>0</v>
      </c>
      <c r="IU11" s="218">
        <v>125</v>
      </c>
      <c r="IV11" s="218">
        <v>150</v>
      </c>
      <c r="IW11" s="218">
        <v>175</v>
      </c>
      <c r="IX11" s="218">
        <v>200</v>
      </c>
      <c r="IY11" s="218">
        <v>225</v>
      </c>
      <c r="IZ11" s="218">
        <v>250</v>
      </c>
      <c r="JA11" s="218">
        <v>0</v>
      </c>
      <c r="JB11" s="214" t="s">
        <v>1455</v>
      </c>
      <c r="JC11" s="214" t="s">
        <v>1455</v>
      </c>
      <c r="JD11" s="214" t="s">
        <v>1455</v>
      </c>
      <c r="JE11" s="214" t="s">
        <v>1455</v>
      </c>
      <c r="JF11" s="214" t="s">
        <v>1455</v>
      </c>
      <c r="JG11" s="214" t="s">
        <v>1455</v>
      </c>
      <c r="JH11" s="214" t="s">
        <v>1455</v>
      </c>
      <c r="JI11" s="214" t="s">
        <v>1455</v>
      </c>
      <c r="JJ11" s="214" t="s">
        <v>1455</v>
      </c>
      <c r="JK11" s="214" t="s">
        <v>1455</v>
      </c>
      <c r="JL11" s="223">
        <v>100</v>
      </c>
      <c r="JM11" s="223">
        <v>100</v>
      </c>
      <c r="JN11" s="223">
        <v>100</v>
      </c>
      <c r="JO11" s="223">
        <v>100</v>
      </c>
      <c r="JP11" s="223">
        <v>150</v>
      </c>
      <c r="JQ11" s="223">
        <v>150</v>
      </c>
      <c r="JR11" s="223">
        <v>150</v>
      </c>
      <c r="JS11" s="223">
        <v>150</v>
      </c>
      <c r="JT11" s="223">
        <v>300</v>
      </c>
      <c r="JU11" s="223">
        <v>300</v>
      </c>
      <c r="JV11" s="223">
        <v>300</v>
      </c>
      <c r="JW11" s="223">
        <v>300</v>
      </c>
      <c r="JX11" s="218">
        <v>0</v>
      </c>
      <c r="JY11" s="218">
        <v>0</v>
      </c>
      <c r="JZ11" s="218">
        <v>0</v>
      </c>
      <c r="KA11" s="218">
        <v>0</v>
      </c>
      <c r="KB11" s="218">
        <v>0</v>
      </c>
      <c r="KC11" s="218">
        <v>0</v>
      </c>
      <c r="KD11" s="218">
        <v>0</v>
      </c>
      <c r="KE11" s="218">
        <v>0</v>
      </c>
      <c r="KF11" s="218">
        <v>0</v>
      </c>
      <c r="KG11" s="218">
        <v>0</v>
      </c>
      <c r="KH11" s="218">
        <v>0</v>
      </c>
      <c r="KI11" s="218">
        <v>0</v>
      </c>
      <c r="KJ11" s="218">
        <v>0</v>
      </c>
      <c r="KK11" s="218">
        <v>211</v>
      </c>
      <c r="KL11" s="218">
        <v>264</v>
      </c>
      <c r="KM11" s="218">
        <v>317</v>
      </c>
      <c r="KN11" s="218">
        <v>422</v>
      </c>
      <c r="KO11" s="218">
        <v>50</v>
      </c>
      <c r="KP11" s="218">
        <v>50</v>
      </c>
      <c r="KQ11" s="218">
        <v>100</v>
      </c>
      <c r="KR11" s="218">
        <v>150</v>
      </c>
      <c r="KS11" s="218">
        <v>0</v>
      </c>
      <c r="KT11" s="218">
        <v>0</v>
      </c>
      <c r="KU11" s="218">
        <v>0</v>
      </c>
      <c r="KV11" s="218">
        <v>0</v>
      </c>
      <c r="KW11" s="218">
        <v>200</v>
      </c>
      <c r="KX11" s="218">
        <v>250</v>
      </c>
      <c r="KY11" s="218">
        <v>300</v>
      </c>
      <c r="KZ11" s="218">
        <v>350</v>
      </c>
      <c r="LA11" s="218">
        <v>100</v>
      </c>
      <c r="LB11" s="218">
        <v>150</v>
      </c>
      <c r="LC11" s="218">
        <v>200</v>
      </c>
      <c r="LD11" s="218">
        <v>250</v>
      </c>
      <c r="LE11" s="218">
        <v>300</v>
      </c>
      <c r="LF11" s="218">
        <v>0</v>
      </c>
      <c r="LG11" s="218">
        <v>0</v>
      </c>
      <c r="LH11" s="218">
        <v>0</v>
      </c>
      <c r="LI11" s="218">
        <v>0</v>
      </c>
      <c r="LJ11" s="218">
        <v>600</v>
      </c>
      <c r="LK11" s="218">
        <v>1200</v>
      </c>
      <c r="LL11" s="218">
        <v>1800</v>
      </c>
      <c r="LM11" s="218">
        <v>654</v>
      </c>
      <c r="LN11" s="218">
        <v>1079</v>
      </c>
      <c r="LO11" s="218">
        <v>1504</v>
      </c>
      <c r="LP11" s="218">
        <v>1929</v>
      </c>
      <c r="LQ11" s="218">
        <v>654</v>
      </c>
      <c r="LR11" s="218">
        <v>1079</v>
      </c>
      <c r="LS11" s="218">
        <v>1504</v>
      </c>
      <c r="LT11" s="218">
        <v>1929</v>
      </c>
      <c r="LU11" s="218" t="s">
        <v>1456</v>
      </c>
      <c r="LV11" s="218" t="s">
        <v>1457</v>
      </c>
      <c r="LW11" s="218" t="s">
        <v>1458</v>
      </c>
      <c r="LX11" s="218" t="s">
        <v>1459</v>
      </c>
      <c r="LY11" s="218" t="s">
        <v>1460</v>
      </c>
      <c r="LZ11" s="218" t="s">
        <v>1461</v>
      </c>
      <c r="MA11" s="218" t="s">
        <v>1462</v>
      </c>
      <c r="MB11" s="218" t="s">
        <v>1463</v>
      </c>
      <c r="MC11" s="218" t="s">
        <v>1464</v>
      </c>
      <c r="MD11" s="218" t="s">
        <v>1465</v>
      </c>
      <c r="ME11" s="218" t="s">
        <v>1466</v>
      </c>
      <c r="MF11" s="218" t="s">
        <v>1467</v>
      </c>
      <c r="MG11" s="218">
        <v>100</v>
      </c>
      <c r="MH11" s="218" t="s">
        <v>1468</v>
      </c>
      <c r="MI11" s="218" t="s">
        <v>1469</v>
      </c>
      <c r="MJ11" s="218" t="s">
        <v>1470</v>
      </c>
      <c r="MK11" s="218" t="s">
        <v>1471</v>
      </c>
      <c r="ML11" s="218">
        <v>0</v>
      </c>
      <c r="MM11" s="218">
        <v>0</v>
      </c>
      <c r="MN11" s="218">
        <v>100</v>
      </c>
      <c r="MO11" s="218">
        <v>200</v>
      </c>
      <c r="MP11" s="218">
        <v>300</v>
      </c>
      <c r="MQ11" s="218">
        <v>400</v>
      </c>
      <c r="MR11" s="218">
        <v>500</v>
      </c>
      <c r="MS11" s="218">
        <v>356</v>
      </c>
      <c r="MT11" s="218">
        <v>456</v>
      </c>
      <c r="MU11" s="218">
        <v>760</v>
      </c>
      <c r="MV11" s="218">
        <v>1076</v>
      </c>
      <c r="MW11" s="218">
        <v>1389</v>
      </c>
      <c r="MX11" s="218">
        <v>100</v>
      </c>
      <c r="MY11" s="218">
        <v>175</v>
      </c>
      <c r="MZ11" s="218">
        <v>250</v>
      </c>
      <c r="NA11" s="218">
        <v>325</v>
      </c>
      <c r="NB11" s="218">
        <v>400</v>
      </c>
      <c r="NC11" s="218">
        <v>0</v>
      </c>
      <c r="ND11" s="218">
        <v>654</v>
      </c>
      <c r="NE11" s="218">
        <v>1079</v>
      </c>
      <c r="NF11" s="218">
        <v>1503</v>
      </c>
      <c r="NG11" s="218">
        <v>1929</v>
      </c>
      <c r="NH11" s="218">
        <v>0</v>
      </c>
      <c r="NI11" s="218">
        <v>654</v>
      </c>
      <c r="NJ11" s="218">
        <v>1079</v>
      </c>
      <c r="NK11" s="218">
        <v>1503</v>
      </c>
      <c r="NL11" s="218">
        <v>1929</v>
      </c>
      <c r="NM11" s="218">
        <v>654</v>
      </c>
      <c r="NN11" s="218">
        <v>425</v>
      </c>
      <c r="NO11" s="218">
        <v>850</v>
      </c>
      <c r="NP11" s="218">
        <v>1275</v>
      </c>
      <c r="NQ11" s="218">
        <v>1079</v>
      </c>
      <c r="NR11" s="218">
        <v>425</v>
      </c>
      <c r="NS11" s="218">
        <v>850</v>
      </c>
      <c r="NT11" s="218">
        <v>1504</v>
      </c>
      <c r="NU11" s="218">
        <v>425</v>
      </c>
      <c r="NV11" s="218">
        <v>1929</v>
      </c>
      <c r="NW11" s="218">
        <v>0</v>
      </c>
      <c r="NX11" s="218">
        <v>0</v>
      </c>
      <c r="NY11" s="218">
        <v>0</v>
      </c>
      <c r="NZ11" s="218">
        <v>500</v>
      </c>
      <c r="OA11" s="218">
        <v>500</v>
      </c>
      <c r="OB11" s="218">
        <v>600</v>
      </c>
      <c r="OC11" s="218">
        <v>600</v>
      </c>
      <c r="OD11" s="218">
        <v>900</v>
      </c>
      <c r="OE11" s="218">
        <v>900</v>
      </c>
      <c r="OF11" s="218">
        <v>1200</v>
      </c>
      <c r="OG11" s="218">
        <v>1200</v>
      </c>
      <c r="OH11" s="218">
        <v>1500</v>
      </c>
      <c r="OI11" s="218">
        <v>1500</v>
      </c>
      <c r="OJ11" s="218"/>
      <c r="OK11" s="218"/>
      <c r="OL11" s="218"/>
      <c r="OM11" s="218"/>
      <c r="ON11" s="218">
        <v>50</v>
      </c>
      <c r="OO11" s="218">
        <v>100</v>
      </c>
      <c r="OP11" s="218">
        <v>200</v>
      </c>
    </row>
    <row r="12" spans="1:406" x14ac:dyDescent="0.25">
      <c r="A12" s="222" t="s">
        <v>1472</v>
      </c>
      <c r="B12" s="218" t="s">
        <v>1473</v>
      </c>
      <c r="C12" s="218" t="s">
        <v>1473</v>
      </c>
      <c r="D12" s="218" t="s">
        <v>1473</v>
      </c>
      <c r="E12" s="218" t="s">
        <v>1473</v>
      </c>
      <c r="F12" s="218" t="s">
        <v>1473</v>
      </c>
      <c r="G12" s="218" t="s">
        <v>1473</v>
      </c>
      <c r="H12" s="218" t="s">
        <v>1473</v>
      </c>
      <c r="I12" s="218" t="s">
        <v>1473</v>
      </c>
      <c r="J12" s="218" t="s">
        <v>1473</v>
      </c>
      <c r="K12" s="218" t="s">
        <v>1473</v>
      </c>
      <c r="L12" s="218" t="s">
        <v>1473</v>
      </c>
      <c r="M12" s="218" t="s">
        <v>1473</v>
      </c>
      <c r="N12" s="218" t="s">
        <v>1473</v>
      </c>
      <c r="O12" s="218" t="s">
        <v>1473</v>
      </c>
      <c r="P12" s="218" t="s">
        <v>1473</v>
      </c>
      <c r="Q12" s="218" t="s">
        <v>1473</v>
      </c>
      <c r="R12" s="218" t="s">
        <v>1473</v>
      </c>
      <c r="S12" s="218" t="s">
        <v>1473</v>
      </c>
      <c r="T12" s="218" t="s">
        <v>1473</v>
      </c>
      <c r="U12" s="218" t="s">
        <v>1473</v>
      </c>
      <c r="V12" s="218" t="s">
        <v>1473</v>
      </c>
      <c r="W12" s="218" t="s">
        <v>1473</v>
      </c>
      <c r="X12" s="218" t="s">
        <v>1473</v>
      </c>
      <c r="Y12" s="218" t="s">
        <v>1473</v>
      </c>
      <c r="Z12" s="218" t="s">
        <v>1473</v>
      </c>
      <c r="AA12" s="218" t="s">
        <v>1473</v>
      </c>
      <c r="AB12" s="218" t="s">
        <v>1473</v>
      </c>
      <c r="AC12" s="218">
        <v>1500</v>
      </c>
      <c r="AD12" s="218">
        <v>1500</v>
      </c>
      <c r="AE12" s="218">
        <v>1500</v>
      </c>
      <c r="AF12" s="218">
        <v>1500</v>
      </c>
      <c r="AG12" s="218">
        <v>1500</v>
      </c>
      <c r="AH12" s="218">
        <v>1500</v>
      </c>
      <c r="AI12" s="218">
        <v>1500</v>
      </c>
      <c r="AJ12" s="218">
        <v>1500</v>
      </c>
      <c r="AK12" s="218">
        <v>1500</v>
      </c>
      <c r="AL12" s="218">
        <v>1500</v>
      </c>
      <c r="AM12" s="218">
        <v>1500</v>
      </c>
      <c r="AN12" s="218">
        <v>1500</v>
      </c>
      <c r="AO12" s="218">
        <v>1500</v>
      </c>
      <c r="AP12" s="218">
        <v>1500</v>
      </c>
      <c r="AQ12" s="218">
        <v>1500</v>
      </c>
      <c r="AR12" s="218">
        <v>1500</v>
      </c>
      <c r="AS12" s="218">
        <v>1500</v>
      </c>
      <c r="AT12" s="218">
        <v>1500</v>
      </c>
      <c r="AU12" s="218">
        <v>2000</v>
      </c>
      <c r="AV12" s="218">
        <v>2000</v>
      </c>
      <c r="AW12" s="218">
        <v>2000</v>
      </c>
      <c r="AX12" s="218">
        <v>2000</v>
      </c>
      <c r="AY12" s="218">
        <v>2000</v>
      </c>
      <c r="AZ12" s="218">
        <v>2000</v>
      </c>
      <c r="BA12" s="218">
        <v>2000</v>
      </c>
      <c r="BB12" s="218">
        <v>2000</v>
      </c>
      <c r="BC12" s="218">
        <v>2000</v>
      </c>
      <c r="BD12" s="218" t="s">
        <v>1473</v>
      </c>
      <c r="BE12" s="218" t="s">
        <v>1473</v>
      </c>
      <c r="BF12" s="218" t="s">
        <v>1473</v>
      </c>
      <c r="BG12" s="218" t="s">
        <v>1473</v>
      </c>
      <c r="BH12" s="218" t="s">
        <v>1473</v>
      </c>
      <c r="BI12" s="218">
        <v>1500</v>
      </c>
      <c r="BJ12" s="218">
        <v>1500</v>
      </c>
      <c r="BK12" s="218">
        <v>1500</v>
      </c>
      <c r="BL12" s="218">
        <v>2000</v>
      </c>
      <c r="BM12" s="218" t="s">
        <v>1473</v>
      </c>
      <c r="BN12" s="218">
        <v>1800</v>
      </c>
      <c r="BO12" s="218">
        <v>1800</v>
      </c>
      <c r="BP12" s="218">
        <v>1800</v>
      </c>
      <c r="BQ12" s="218">
        <v>1800</v>
      </c>
      <c r="BR12" s="218">
        <v>1800</v>
      </c>
      <c r="BS12" s="218">
        <v>1800</v>
      </c>
      <c r="BT12" s="218" t="s">
        <v>1473</v>
      </c>
      <c r="BU12" s="218" t="s">
        <v>1473</v>
      </c>
      <c r="BV12" s="218">
        <v>1000</v>
      </c>
      <c r="BW12" s="218">
        <v>1300</v>
      </c>
      <c r="BX12" s="218">
        <v>1500</v>
      </c>
      <c r="BY12" s="218">
        <v>1800</v>
      </c>
      <c r="BZ12" s="218" t="s">
        <v>1473</v>
      </c>
      <c r="CA12" s="218" t="s">
        <v>1473</v>
      </c>
      <c r="CB12" s="218" t="s">
        <v>1473</v>
      </c>
      <c r="CC12" s="218" t="s">
        <v>1473</v>
      </c>
      <c r="CD12" s="218" t="s">
        <v>1473</v>
      </c>
      <c r="CE12" s="218">
        <v>800</v>
      </c>
      <c r="CF12" s="218">
        <v>800</v>
      </c>
      <c r="CG12" s="218">
        <v>800</v>
      </c>
      <c r="CH12" s="218">
        <v>800</v>
      </c>
      <c r="CI12" s="218">
        <v>1000</v>
      </c>
      <c r="CJ12" s="218">
        <v>1000</v>
      </c>
      <c r="CK12" s="218" t="s">
        <v>1473</v>
      </c>
      <c r="CL12" s="218" t="s">
        <v>1473</v>
      </c>
      <c r="CM12" s="218" t="s">
        <v>1473</v>
      </c>
      <c r="CN12" s="218" t="s">
        <v>1473</v>
      </c>
      <c r="CO12" s="218" t="s">
        <v>1473</v>
      </c>
      <c r="CP12" s="218">
        <v>800</v>
      </c>
      <c r="CQ12" s="218">
        <v>800</v>
      </c>
      <c r="CR12" s="218">
        <v>800</v>
      </c>
      <c r="CS12" s="218">
        <v>800</v>
      </c>
      <c r="CT12" s="218">
        <v>800</v>
      </c>
      <c r="CU12" s="218">
        <v>800</v>
      </c>
      <c r="CV12" s="218">
        <v>800</v>
      </c>
      <c r="CW12" s="218">
        <v>800</v>
      </c>
      <c r="CX12" s="218">
        <v>800</v>
      </c>
      <c r="CY12" s="218">
        <v>800</v>
      </c>
      <c r="CZ12" s="218">
        <v>800</v>
      </c>
      <c r="DA12" s="218">
        <v>800</v>
      </c>
      <c r="DB12" s="218" t="s">
        <v>1473</v>
      </c>
      <c r="DC12" s="218" t="s">
        <v>1473</v>
      </c>
      <c r="DD12" s="218" t="s">
        <v>1473</v>
      </c>
      <c r="DE12" s="218" t="s">
        <v>1473</v>
      </c>
      <c r="DF12" s="218" t="s">
        <v>1473</v>
      </c>
      <c r="DG12" s="218" t="s">
        <v>1473</v>
      </c>
      <c r="DH12" s="218" t="s">
        <v>1473</v>
      </c>
      <c r="DI12" s="218" t="s">
        <v>1473</v>
      </c>
      <c r="DJ12" s="218" t="s">
        <v>1473</v>
      </c>
      <c r="DK12" s="218">
        <v>1000</v>
      </c>
      <c r="DL12" s="218">
        <v>1000</v>
      </c>
      <c r="DM12" s="218">
        <v>1000</v>
      </c>
      <c r="DN12" s="218">
        <v>1000</v>
      </c>
      <c r="DO12" s="218">
        <v>1000</v>
      </c>
      <c r="DP12" s="218">
        <v>1000</v>
      </c>
      <c r="DQ12" s="218">
        <v>1000</v>
      </c>
      <c r="DR12" s="218">
        <v>1000</v>
      </c>
      <c r="DS12" s="218">
        <v>1000</v>
      </c>
      <c r="DT12" s="218">
        <v>1300</v>
      </c>
      <c r="DU12" s="218">
        <v>1300</v>
      </c>
      <c r="DV12" s="218">
        <v>1300</v>
      </c>
      <c r="DW12" s="218">
        <v>1300</v>
      </c>
      <c r="DX12" s="218">
        <v>1300</v>
      </c>
      <c r="DY12" s="218">
        <v>1300</v>
      </c>
      <c r="DZ12" s="218">
        <v>1300</v>
      </c>
      <c r="EA12" s="218">
        <v>1300</v>
      </c>
      <c r="EB12" s="218">
        <v>1300</v>
      </c>
      <c r="EC12" s="218">
        <v>1500</v>
      </c>
      <c r="ED12" s="218">
        <v>1500</v>
      </c>
      <c r="EE12" s="218">
        <v>1500</v>
      </c>
      <c r="EF12" s="218">
        <v>1500</v>
      </c>
      <c r="EG12" s="218">
        <v>1500</v>
      </c>
      <c r="EH12" s="218">
        <v>1500</v>
      </c>
      <c r="EI12" s="218">
        <v>1500</v>
      </c>
      <c r="EJ12" s="218">
        <v>1500</v>
      </c>
      <c r="EK12" s="218">
        <v>1500</v>
      </c>
      <c r="EL12" s="218">
        <v>1700</v>
      </c>
      <c r="EM12" s="218">
        <v>1700</v>
      </c>
      <c r="EN12" s="218">
        <v>1700</v>
      </c>
      <c r="EO12" s="218">
        <v>1700</v>
      </c>
      <c r="EP12" s="218">
        <v>1700</v>
      </c>
      <c r="EQ12" s="218">
        <v>1700</v>
      </c>
      <c r="ER12" s="218">
        <v>1700</v>
      </c>
      <c r="ES12" s="218">
        <v>1700</v>
      </c>
      <c r="ET12" s="218">
        <v>1700</v>
      </c>
      <c r="EU12" s="218" t="s">
        <v>1473</v>
      </c>
      <c r="EV12" s="218" t="s">
        <v>1473</v>
      </c>
      <c r="EW12" s="218" t="s">
        <v>1473</v>
      </c>
      <c r="EX12" s="218" t="s">
        <v>1473</v>
      </c>
      <c r="EY12" s="218" t="s">
        <v>1473</v>
      </c>
      <c r="EZ12" s="218" t="s">
        <v>1473</v>
      </c>
      <c r="FA12" s="218" t="s">
        <v>1473</v>
      </c>
      <c r="FB12" s="218" t="s">
        <v>1473</v>
      </c>
      <c r="FC12" s="218" t="s">
        <v>1473</v>
      </c>
      <c r="FD12" s="218" t="s">
        <v>1473</v>
      </c>
      <c r="FE12" s="218" t="s">
        <v>1473</v>
      </c>
      <c r="FF12" s="218" t="s">
        <v>1473</v>
      </c>
      <c r="FG12" s="218" t="s">
        <v>1473</v>
      </c>
      <c r="FH12" s="218" t="s">
        <v>1473</v>
      </c>
      <c r="FI12" s="218" t="s">
        <v>1473</v>
      </c>
      <c r="FJ12" s="218" t="s">
        <v>1473</v>
      </c>
      <c r="FK12" s="218" t="s">
        <v>1473</v>
      </c>
      <c r="FL12" s="218" t="s">
        <v>1473</v>
      </c>
      <c r="FM12" s="218" t="s">
        <v>1473</v>
      </c>
      <c r="FN12" s="218" t="s">
        <v>1473</v>
      </c>
      <c r="FO12" s="218" t="s">
        <v>1473</v>
      </c>
      <c r="FP12" s="218" t="s">
        <v>1473</v>
      </c>
      <c r="FQ12" s="218" t="s">
        <v>1473</v>
      </c>
      <c r="FR12" s="218" t="s">
        <v>1473</v>
      </c>
      <c r="FS12" s="218" t="s">
        <v>1473</v>
      </c>
      <c r="FT12" s="218" t="s">
        <v>1473</v>
      </c>
      <c r="FU12" s="218" t="s">
        <v>1473</v>
      </c>
      <c r="FV12" s="218" t="s">
        <v>1473</v>
      </c>
      <c r="FW12" s="218" t="s">
        <v>1473</v>
      </c>
      <c r="FX12" s="218" t="s">
        <v>1473</v>
      </c>
      <c r="FY12" s="218" t="s">
        <v>1473</v>
      </c>
      <c r="FZ12" s="218" t="s">
        <v>1473</v>
      </c>
      <c r="GA12" s="218" t="s">
        <v>1473</v>
      </c>
      <c r="GB12" s="218" t="s">
        <v>1473</v>
      </c>
      <c r="GC12" s="218" t="s">
        <v>1473</v>
      </c>
      <c r="GD12" s="218" t="s">
        <v>1473</v>
      </c>
      <c r="GE12" s="218" t="s">
        <v>1473</v>
      </c>
      <c r="GF12" s="218" t="s">
        <v>1473</v>
      </c>
      <c r="GG12" s="218" t="s">
        <v>1473</v>
      </c>
      <c r="GH12" s="218">
        <v>600</v>
      </c>
      <c r="GI12" s="218">
        <v>600</v>
      </c>
      <c r="GJ12" s="218">
        <v>600</v>
      </c>
      <c r="GK12" s="218">
        <v>600</v>
      </c>
      <c r="GL12" s="218">
        <v>600</v>
      </c>
      <c r="GM12" s="218">
        <v>600</v>
      </c>
      <c r="GN12" s="218">
        <v>600</v>
      </c>
      <c r="GO12" s="218">
        <v>600</v>
      </c>
      <c r="GP12" s="218" t="s">
        <v>1473</v>
      </c>
      <c r="GQ12" s="218" t="s">
        <v>1473</v>
      </c>
      <c r="GR12" s="218">
        <v>1500</v>
      </c>
      <c r="GS12" s="218">
        <v>1500</v>
      </c>
      <c r="GT12" s="218">
        <v>2000</v>
      </c>
      <c r="GU12" s="218">
        <v>2000</v>
      </c>
      <c r="GV12" s="218">
        <v>2500</v>
      </c>
      <c r="GW12" s="218">
        <v>2500</v>
      </c>
      <c r="GX12" s="218">
        <v>3000</v>
      </c>
      <c r="GY12" s="218">
        <v>3000</v>
      </c>
      <c r="GZ12" s="218" t="s">
        <v>1473</v>
      </c>
      <c r="HA12" s="218" t="s">
        <v>1473</v>
      </c>
      <c r="HB12" s="218">
        <v>700</v>
      </c>
      <c r="HC12" s="218">
        <v>1000</v>
      </c>
      <c r="HD12" s="218" t="s">
        <v>1473</v>
      </c>
      <c r="HE12" s="218" t="s">
        <v>1473</v>
      </c>
      <c r="HF12" s="218" t="s">
        <v>1473</v>
      </c>
      <c r="HG12" s="218">
        <v>400</v>
      </c>
      <c r="HH12" s="218">
        <v>400</v>
      </c>
      <c r="HI12" s="218">
        <v>400</v>
      </c>
      <c r="HJ12" s="218">
        <v>500</v>
      </c>
      <c r="HK12" s="218">
        <v>500</v>
      </c>
      <c r="HL12" s="218">
        <v>500</v>
      </c>
      <c r="HM12" s="218">
        <v>600</v>
      </c>
      <c r="HN12" s="218">
        <v>600</v>
      </c>
      <c r="HO12" s="218">
        <v>600</v>
      </c>
      <c r="HP12" s="218">
        <v>700</v>
      </c>
      <c r="HQ12" s="218">
        <v>700</v>
      </c>
      <c r="HR12" s="218">
        <v>700</v>
      </c>
      <c r="HS12" s="218">
        <v>800</v>
      </c>
      <c r="HT12" s="218">
        <v>800</v>
      </c>
      <c r="HU12" s="218">
        <v>800</v>
      </c>
      <c r="HV12" s="218" t="s">
        <v>1473</v>
      </c>
      <c r="HW12" s="218" t="s">
        <v>1473</v>
      </c>
      <c r="HX12" s="218" t="s">
        <v>1473</v>
      </c>
      <c r="HY12" s="218" t="s">
        <v>1473</v>
      </c>
      <c r="HZ12" s="218">
        <v>300</v>
      </c>
      <c r="IA12" s="218">
        <v>300</v>
      </c>
      <c r="IB12" s="218">
        <v>300</v>
      </c>
      <c r="IC12" s="218">
        <v>300</v>
      </c>
      <c r="ID12" s="218">
        <v>400</v>
      </c>
      <c r="IE12" s="218">
        <v>400</v>
      </c>
      <c r="IF12" s="218">
        <v>400</v>
      </c>
      <c r="IG12" s="218">
        <v>400</v>
      </c>
      <c r="IH12" s="218">
        <v>500</v>
      </c>
      <c r="II12" s="218">
        <v>500</v>
      </c>
      <c r="IJ12" s="218">
        <v>500</v>
      </c>
      <c r="IK12" s="218">
        <v>500</v>
      </c>
      <c r="IL12" s="218">
        <v>600</v>
      </c>
      <c r="IM12" s="218">
        <v>600</v>
      </c>
      <c r="IN12" s="218">
        <v>600</v>
      </c>
      <c r="IO12" s="218">
        <v>600</v>
      </c>
      <c r="IP12" s="218" t="s">
        <v>1473</v>
      </c>
      <c r="IQ12" s="218" t="s">
        <v>1473</v>
      </c>
      <c r="IR12" s="218">
        <v>400</v>
      </c>
      <c r="IS12" s="218">
        <v>500</v>
      </c>
      <c r="IT12" s="218" t="s">
        <v>1473</v>
      </c>
      <c r="IU12" s="218" t="s">
        <v>1473</v>
      </c>
      <c r="IV12" s="218" t="s">
        <v>1473</v>
      </c>
      <c r="IW12" s="218" t="s">
        <v>1473</v>
      </c>
      <c r="IX12" s="218">
        <v>700</v>
      </c>
      <c r="IY12" s="218">
        <v>900</v>
      </c>
      <c r="IZ12" s="218">
        <v>1100</v>
      </c>
      <c r="JA12" s="218" t="s">
        <v>1473</v>
      </c>
      <c r="JB12" s="214" t="s">
        <v>1473</v>
      </c>
      <c r="JC12" s="214" t="s">
        <v>1473</v>
      </c>
      <c r="JD12" s="214" t="s">
        <v>1473</v>
      </c>
      <c r="JE12" s="214" t="s">
        <v>1473</v>
      </c>
      <c r="JF12" s="214" t="s">
        <v>1473</v>
      </c>
      <c r="JG12" s="214" t="s">
        <v>1473</v>
      </c>
      <c r="JH12" s="214" t="s">
        <v>1473</v>
      </c>
      <c r="JI12" s="214" t="s">
        <v>1473</v>
      </c>
      <c r="JJ12" s="214" t="s">
        <v>1473</v>
      </c>
      <c r="JK12" s="214" t="s">
        <v>1473</v>
      </c>
      <c r="JL12" s="223">
        <v>800</v>
      </c>
      <c r="JM12" s="223">
        <v>800</v>
      </c>
      <c r="JN12" s="223">
        <v>800</v>
      </c>
      <c r="JO12" s="223">
        <v>800</v>
      </c>
      <c r="JP12" s="223">
        <v>1000</v>
      </c>
      <c r="JQ12" s="223">
        <v>1000</v>
      </c>
      <c r="JR12" s="223">
        <v>1000</v>
      </c>
      <c r="JS12" s="223">
        <v>1000</v>
      </c>
      <c r="JT12" s="223">
        <v>1000</v>
      </c>
      <c r="JU12" s="223">
        <v>1000</v>
      </c>
      <c r="JV12" s="223">
        <v>1000</v>
      </c>
      <c r="JW12" s="223">
        <v>1000</v>
      </c>
      <c r="JX12" s="218" t="s">
        <v>1473</v>
      </c>
      <c r="JY12" s="218" t="s">
        <v>1473</v>
      </c>
      <c r="JZ12" s="218" t="s">
        <v>1473</v>
      </c>
      <c r="KA12" s="218" t="s">
        <v>1473</v>
      </c>
      <c r="KB12" s="218" t="s">
        <v>1473</v>
      </c>
      <c r="KC12" s="218" t="s">
        <v>1473</v>
      </c>
      <c r="KD12" s="218" t="s">
        <v>1473</v>
      </c>
      <c r="KE12" s="218" t="s">
        <v>1473</v>
      </c>
      <c r="KF12" s="218" t="s">
        <v>1473</v>
      </c>
      <c r="KG12" s="218" t="s">
        <v>1473</v>
      </c>
      <c r="KH12" s="218" t="s">
        <v>1473</v>
      </c>
      <c r="KI12" s="218" t="s">
        <v>1473</v>
      </c>
      <c r="KJ12" s="218" t="s">
        <v>1473</v>
      </c>
      <c r="KK12" s="218" t="s">
        <v>1473</v>
      </c>
      <c r="KL12" s="218">
        <v>845</v>
      </c>
      <c r="KM12" s="218">
        <v>1056</v>
      </c>
      <c r="KN12" s="218">
        <v>1584</v>
      </c>
      <c r="KO12" s="218" t="s">
        <v>1473</v>
      </c>
      <c r="KP12" s="218" t="s">
        <v>1473</v>
      </c>
      <c r="KQ12" s="218" t="s">
        <v>1473</v>
      </c>
      <c r="KR12" s="218">
        <v>600</v>
      </c>
      <c r="KS12" s="218" t="s">
        <v>1473</v>
      </c>
      <c r="KT12" s="218" t="s">
        <v>1473</v>
      </c>
      <c r="KU12" s="218" t="s">
        <v>1473</v>
      </c>
      <c r="KV12" s="218">
        <v>600</v>
      </c>
      <c r="KW12" s="218">
        <v>600</v>
      </c>
      <c r="KX12" s="218">
        <v>800</v>
      </c>
      <c r="KY12" s="218">
        <v>1000</v>
      </c>
      <c r="KZ12" s="218">
        <v>1000</v>
      </c>
      <c r="LA12" s="218" t="s">
        <v>1473</v>
      </c>
      <c r="LB12" s="218" t="s">
        <v>1473</v>
      </c>
      <c r="LC12" s="218" t="s">
        <v>1473</v>
      </c>
      <c r="LD12" s="218">
        <v>800</v>
      </c>
      <c r="LE12" s="218">
        <v>1000</v>
      </c>
      <c r="LF12" s="218" t="s">
        <v>1473</v>
      </c>
      <c r="LG12" s="218" t="s">
        <v>1473</v>
      </c>
      <c r="LH12" s="218" t="s">
        <v>1473</v>
      </c>
      <c r="LI12" s="218" t="s">
        <v>1473</v>
      </c>
      <c r="LJ12" s="218">
        <v>1500</v>
      </c>
      <c r="LK12" s="218">
        <v>2000</v>
      </c>
      <c r="LL12" s="218">
        <v>2500</v>
      </c>
      <c r="LM12" s="218">
        <v>1618</v>
      </c>
      <c r="LN12" s="218">
        <v>2158</v>
      </c>
      <c r="LO12" s="218">
        <v>2697</v>
      </c>
      <c r="LP12" s="218">
        <v>3269</v>
      </c>
      <c r="LQ12" s="218">
        <v>1618</v>
      </c>
      <c r="LR12" s="218">
        <v>2158</v>
      </c>
      <c r="LS12" s="218">
        <v>2697</v>
      </c>
      <c r="LT12" s="218">
        <v>3269</v>
      </c>
      <c r="LU12" s="218">
        <v>2700</v>
      </c>
      <c r="LV12" s="218">
        <v>2700</v>
      </c>
      <c r="LW12" s="218">
        <v>2700</v>
      </c>
      <c r="LX12" s="218">
        <v>2700</v>
      </c>
      <c r="LY12" s="218">
        <v>2700</v>
      </c>
      <c r="LZ12" s="218">
        <v>2700</v>
      </c>
      <c r="MA12" s="218">
        <v>2700</v>
      </c>
      <c r="MB12" s="218">
        <v>2700</v>
      </c>
      <c r="MC12" s="218">
        <v>2700</v>
      </c>
      <c r="MD12" s="218">
        <v>2700</v>
      </c>
      <c r="ME12" s="218">
        <v>2700</v>
      </c>
      <c r="MF12" s="218">
        <v>2700</v>
      </c>
      <c r="MG12" s="218">
        <v>1300</v>
      </c>
      <c r="MH12" s="218">
        <v>1300</v>
      </c>
      <c r="MI12" s="218">
        <v>1300</v>
      </c>
      <c r="MJ12" s="218">
        <v>1300</v>
      </c>
      <c r="MK12" s="218">
        <v>1300</v>
      </c>
      <c r="ML12" s="218" t="s">
        <v>1473</v>
      </c>
      <c r="MM12" s="218" t="s">
        <v>1473</v>
      </c>
      <c r="MN12" s="218">
        <v>1300</v>
      </c>
      <c r="MO12" s="218">
        <v>1300</v>
      </c>
      <c r="MP12" s="218">
        <v>1300</v>
      </c>
      <c r="MQ12" s="218">
        <v>1300</v>
      </c>
      <c r="MR12" s="218">
        <v>1300</v>
      </c>
      <c r="MS12" s="218">
        <v>1800</v>
      </c>
      <c r="MT12" s="218">
        <v>1800</v>
      </c>
      <c r="MU12" s="218">
        <v>1800</v>
      </c>
      <c r="MV12" s="218">
        <v>1800</v>
      </c>
      <c r="MW12" s="218">
        <v>1800</v>
      </c>
      <c r="MX12" s="218">
        <v>1300</v>
      </c>
      <c r="MY12" s="218">
        <v>1300</v>
      </c>
      <c r="MZ12" s="218">
        <v>1300</v>
      </c>
      <c r="NA12" s="218">
        <v>1300</v>
      </c>
      <c r="NB12" s="218">
        <v>1300</v>
      </c>
      <c r="NC12" s="218" t="s">
        <v>1473</v>
      </c>
      <c r="ND12" s="218">
        <v>1618</v>
      </c>
      <c r="NE12" s="218">
        <v>2158</v>
      </c>
      <c r="NF12" s="218">
        <v>2697</v>
      </c>
      <c r="NG12" s="218">
        <v>3269</v>
      </c>
      <c r="NH12" s="218" t="s">
        <v>1473</v>
      </c>
      <c r="NI12" s="218">
        <v>1618</v>
      </c>
      <c r="NJ12" s="218">
        <v>2158</v>
      </c>
      <c r="NK12" s="218">
        <v>2697</v>
      </c>
      <c r="NL12" s="218">
        <v>3269</v>
      </c>
      <c r="NM12" s="218">
        <v>1618</v>
      </c>
      <c r="NN12" s="218">
        <v>539</v>
      </c>
      <c r="NO12" s="218">
        <v>1079</v>
      </c>
      <c r="NP12" s="218">
        <v>1651</v>
      </c>
      <c r="NQ12" s="218">
        <v>2158</v>
      </c>
      <c r="NR12" s="218">
        <v>539</v>
      </c>
      <c r="NS12" s="218">
        <v>1111</v>
      </c>
      <c r="NT12" s="218">
        <v>2697</v>
      </c>
      <c r="NU12" s="218">
        <v>572</v>
      </c>
      <c r="NV12" s="218">
        <v>3269</v>
      </c>
      <c r="NW12" s="218">
        <v>0</v>
      </c>
      <c r="NX12" s="218" t="s">
        <v>1473</v>
      </c>
      <c r="NY12" s="218" t="s">
        <v>1473</v>
      </c>
      <c r="NZ12" s="218">
        <v>3000</v>
      </c>
      <c r="OA12" s="218">
        <v>3000</v>
      </c>
      <c r="OB12" s="218">
        <v>3000</v>
      </c>
      <c r="OC12" s="218">
        <v>3000</v>
      </c>
      <c r="OD12" s="218">
        <v>3000</v>
      </c>
      <c r="OE12" s="218">
        <v>3000</v>
      </c>
      <c r="OF12" s="218">
        <v>3000</v>
      </c>
      <c r="OG12" s="218">
        <v>3000</v>
      </c>
      <c r="OH12" s="218">
        <v>3000</v>
      </c>
      <c r="OI12" s="218">
        <v>3000</v>
      </c>
      <c r="OJ12" s="218"/>
      <c r="OK12" s="218"/>
      <c r="OL12" s="218"/>
      <c r="OM12" s="218"/>
      <c r="ON12" s="218"/>
      <c r="OO12" s="218"/>
      <c r="OP12" s="218"/>
    </row>
    <row r="13" spans="1:406" s="226" customFormat="1" ht="21.75" customHeight="1" x14ac:dyDescent="0.25">
      <c r="A13" s="224" t="s">
        <v>206</v>
      </c>
      <c r="B13" s="225" t="s">
        <v>1474</v>
      </c>
      <c r="C13" s="218" t="s">
        <v>1389</v>
      </c>
      <c r="D13" s="218" t="s">
        <v>1389</v>
      </c>
      <c r="E13" s="218" t="s">
        <v>1389</v>
      </c>
      <c r="F13" s="218" t="s">
        <v>1389</v>
      </c>
      <c r="G13" s="218" t="s">
        <v>1389</v>
      </c>
      <c r="H13" s="218" t="s">
        <v>1389</v>
      </c>
      <c r="I13" s="218" t="s">
        <v>1389</v>
      </c>
      <c r="J13" s="218" t="s">
        <v>1389</v>
      </c>
      <c r="K13" s="218">
        <v>200</v>
      </c>
      <c r="L13" s="218">
        <v>200</v>
      </c>
      <c r="M13" s="218">
        <v>200</v>
      </c>
      <c r="N13" s="218">
        <v>200</v>
      </c>
      <c r="O13" s="218">
        <v>200</v>
      </c>
      <c r="P13" s="218">
        <v>200</v>
      </c>
      <c r="Q13" s="218">
        <v>200</v>
      </c>
      <c r="R13" s="218">
        <v>200</v>
      </c>
      <c r="S13" s="218">
        <v>200</v>
      </c>
      <c r="T13" s="218">
        <v>200</v>
      </c>
      <c r="U13" s="218">
        <v>200</v>
      </c>
      <c r="V13" s="218">
        <v>200</v>
      </c>
      <c r="W13" s="218">
        <v>200</v>
      </c>
      <c r="X13" s="218">
        <v>200</v>
      </c>
      <c r="Y13" s="218">
        <v>200</v>
      </c>
      <c r="Z13" s="218">
        <v>200</v>
      </c>
      <c r="AA13" s="218">
        <v>200</v>
      </c>
      <c r="AB13" s="218">
        <v>200</v>
      </c>
      <c r="AC13" s="218">
        <v>250</v>
      </c>
      <c r="AD13" s="218">
        <v>250</v>
      </c>
      <c r="AE13" s="218">
        <v>250</v>
      </c>
      <c r="AF13" s="218">
        <v>250</v>
      </c>
      <c r="AG13" s="218">
        <v>250</v>
      </c>
      <c r="AH13" s="218">
        <v>250</v>
      </c>
      <c r="AI13" s="218">
        <v>250</v>
      </c>
      <c r="AJ13" s="218">
        <v>250</v>
      </c>
      <c r="AK13" s="218">
        <v>250</v>
      </c>
      <c r="AL13" s="218">
        <v>350</v>
      </c>
      <c r="AM13" s="218">
        <v>350</v>
      </c>
      <c r="AN13" s="218">
        <v>350</v>
      </c>
      <c r="AO13" s="218">
        <v>350</v>
      </c>
      <c r="AP13" s="218">
        <v>350</v>
      </c>
      <c r="AQ13" s="218">
        <v>350</v>
      </c>
      <c r="AR13" s="218">
        <v>350</v>
      </c>
      <c r="AS13" s="218">
        <v>350</v>
      </c>
      <c r="AT13" s="218">
        <v>350</v>
      </c>
      <c r="AU13" s="218">
        <v>550</v>
      </c>
      <c r="AV13" s="218">
        <v>550</v>
      </c>
      <c r="AW13" s="218">
        <v>550</v>
      </c>
      <c r="AX13" s="218">
        <v>550</v>
      </c>
      <c r="AY13" s="218">
        <v>550</v>
      </c>
      <c r="AZ13" s="218">
        <v>550</v>
      </c>
      <c r="BA13" s="218">
        <v>550</v>
      </c>
      <c r="BB13" s="218">
        <v>550</v>
      </c>
      <c r="BC13" s="218">
        <v>550</v>
      </c>
      <c r="BD13" s="218" t="s">
        <v>1389</v>
      </c>
      <c r="BE13" s="218">
        <v>100</v>
      </c>
      <c r="BF13" s="218">
        <v>50</v>
      </c>
      <c r="BG13" s="218">
        <v>150</v>
      </c>
      <c r="BH13" s="218">
        <v>100</v>
      </c>
      <c r="BI13" s="218">
        <v>200</v>
      </c>
      <c r="BJ13" s="218">
        <v>150</v>
      </c>
      <c r="BK13" s="218">
        <v>300</v>
      </c>
      <c r="BL13" s="218">
        <v>400</v>
      </c>
      <c r="BM13" s="218" t="s">
        <v>1389</v>
      </c>
      <c r="BN13" s="218">
        <v>200</v>
      </c>
      <c r="BO13" s="218">
        <v>350</v>
      </c>
      <c r="BP13" s="218">
        <v>400</v>
      </c>
      <c r="BQ13" s="218">
        <v>450</v>
      </c>
      <c r="BR13" s="218">
        <v>550</v>
      </c>
      <c r="BS13" s="218">
        <v>650</v>
      </c>
      <c r="BT13" s="218" t="s">
        <v>1389</v>
      </c>
      <c r="BU13" s="218">
        <v>200</v>
      </c>
      <c r="BV13" s="218">
        <v>225</v>
      </c>
      <c r="BW13" s="218">
        <v>250</v>
      </c>
      <c r="BX13" s="218">
        <v>300</v>
      </c>
      <c r="BY13" s="218">
        <v>350</v>
      </c>
      <c r="BZ13" s="218">
        <v>200</v>
      </c>
      <c r="CA13" s="218">
        <v>200</v>
      </c>
      <c r="CB13" s="218">
        <v>250</v>
      </c>
      <c r="CC13" s="218">
        <v>200</v>
      </c>
      <c r="CD13" s="218">
        <v>250</v>
      </c>
      <c r="CE13" s="218">
        <v>250</v>
      </c>
      <c r="CF13" s="218">
        <v>300</v>
      </c>
      <c r="CG13" s="218">
        <v>300</v>
      </c>
      <c r="CH13" s="218">
        <v>350</v>
      </c>
      <c r="CI13" s="218">
        <v>350</v>
      </c>
      <c r="CJ13" s="218">
        <v>400</v>
      </c>
      <c r="CK13" s="218">
        <v>200</v>
      </c>
      <c r="CL13" s="218">
        <v>225</v>
      </c>
      <c r="CM13" s="218">
        <v>300</v>
      </c>
      <c r="CN13" s="218">
        <v>300</v>
      </c>
      <c r="CO13" s="218">
        <v>225</v>
      </c>
      <c r="CP13" s="218">
        <v>250</v>
      </c>
      <c r="CQ13" s="218">
        <v>325</v>
      </c>
      <c r="CR13" s="218">
        <v>325</v>
      </c>
      <c r="CS13" s="218">
        <v>250</v>
      </c>
      <c r="CT13" s="218">
        <v>275</v>
      </c>
      <c r="CU13" s="218">
        <v>350</v>
      </c>
      <c r="CV13" s="218">
        <v>350</v>
      </c>
      <c r="CW13" s="218">
        <v>275</v>
      </c>
      <c r="CX13" s="218">
        <v>325</v>
      </c>
      <c r="CY13" s="218">
        <v>400</v>
      </c>
      <c r="CZ13" s="218">
        <v>400</v>
      </c>
      <c r="DA13" s="218">
        <v>325</v>
      </c>
      <c r="DB13" s="218">
        <v>200</v>
      </c>
      <c r="DC13" s="218">
        <v>250</v>
      </c>
      <c r="DD13" s="218">
        <v>300</v>
      </c>
      <c r="DE13" s="218">
        <v>250</v>
      </c>
      <c r="DF13" s="218">
        <v>250</v>
      </c>
      <c r="DG13" s="218">
        <v>300</v>
      </c>
      <c r="DH13" s="218">
        <v>300</v>
      </c>
      <c r="DI13" s="218">
        <v>200</v>
      </c>
      <c r="DJ13" s="218">
        <v>200</v>
      </c>
      <c r="DK13" s="218">
        <v>250</v>
      </c>
      <c r="DL13" s="218">
        <v>300</v>
      </c>
      <c r="DM13" s="218">
        <v>350</v>
      </c>
      <c r="DN13" s="218">
        <v>300</v>
      </c>
      <c r="DO13" s="218">
        <v>300</v>
      </c>
      <c r="DP13" s="218">
        <v>350</v>
      </c>
      <c r="DQ13" s="218">
        <v>350</v>
      </c>
      <c r="DR13" s="218">
        <v>250</v>
      </c>
      <c r="DS13" s="218">
        <v>250</v>
      </c>
      <c r="DT13" s="218">
        <v>350</v>
      </c>
      <c r="DU13" s="218">
        <v>400</v>
      </c>
      <c r="DV13" s="218">
        <v>450</v>
      </c>
      <c r="DW13" s="218">
        <v>400</v>
      </c>
      <c r="DX13" s="218">
        <v>400</v>
      </c>
      <c r="DY13" s="218">
        <v>450</v>
      </c>
      <c r="DZ13" s="218">
        <v>450</v>
      </c>
      <c r="EA13" s="218">
        <v>350</v>
      </c>
      <c r="EB13" s="218">
        <v>350</v>
      </c>
      <c r="EC13" s="218">
        <v>450</v>
      </c>
      <c r="ED13" s="218">
        <v>500</v>
      </c>
      <c r="EE13" s="218">
        <v>550</v>
      </c>
      <c r="EF13" s="218">
        <v>500</v>
      </c>
      <c r="EG13" s="218">
        <v>500</v>
      </c>
      <c r="EH13" s="218">
        <v>550</v>
      </c>
      <c r="EI13" s="218">
        <v>550</v>
      </c>
      <c r="EJ13" s="218">
        <v>450</v>
      </c>
      <c r="EK13" s="218">
        <v>450</v>
      </c>
      <c r="EL13" s="218">
        <v>550</v>
      </c>
      <c r="EM13" s="218">
        <v>600</v>
      </c>
      <c r="EN13" s="218">
        <v>650</v>
      </c>
      <c r="EO13" s="218">
        <v>600</v>
      </c>
      <c r="EP13" s="218">
        <v>600</v>
      </c>
      <c r="EQ13" s="218">
        <v>650</v>
      </c>
      <c r="ER13" s="218">
        <v>650</v>
      </c>
      <c r="ES13" s="218">
        <v>550</v>
      </c>
      <c r="ET13" s="218">
        <v>550</v>
      </c>
      <c r="EU13" s="225" t="s">
        <v>1474</v>
      </c>
      <c r="EV13" s="225" t="s">
        <v>1474</v>
      </c>
      <c r="EW13" s="225" t="s">
        <v>1474</v>
      </c>
      <c r="EX13" s="225" t="s">
        <v>1474</v>
      </c>
      <c r="EY13" s="218" t="s">
        <v>1389</v>
      </c>
      <c r="EZ13" s="218" t="s">
        <v>1389</v>
      </c>
      <c r="FA13" s="218" t="s">
        <v>1389</v>
      </c>
      <c r="FB13" s="218">
        <v>200</v>
      </c>
      <c r="FC13" s="218">
        <v>275</v>
      </c>
      <c r="FD13" s="218">
        <v>200</v>
      </c>
      <c r="FE13" s="218">
        <v>200</v>
      </c>
      <c r="FF13" s="218">
        <v>275</v>
      </c>
      <c r="FG13" s="218">
        <v>275</v>
      </c>
      <c r="FH13" s="218">
        <v>275</v>
      </c>
      <c r="FI13" s="218">
        <v>200</v>
      </c>
      <c r="FJ13" s="218">
        <v>300</v>
      </c>
      <c r="FK13" s="218">
        <v>375</v>
      </c>
      <c r="FL13" s="218">
        <v>300</v>
      </c>
      <c r="FM13" s="218">
        <v>300</v>
      </c>
      <c r="FN13" s="218">
        <v>375</v>
      </c>
      <c r="FO13" s="218">
        <v>375</v>
      </c>
      <c r="FP13" s="218">
        <v>375</v>
      </c>
      <c r="FQ13" s="218">
        <v>300</v>
      </c>
      <c r="FR13" s="218">
        <v>400</v>
      </c>
      <c r="FS13" s="218">
        <v>475</v>
      </c>
      <c r="FT13" s="218">
        <v>400</v>
      </c>
      <c r="FU13" s="218">
        <v>400</v>
      </c>
      <c r="FV13" s="218">
        <v>475</v>
      </c>
      <c r="FW13" s="218">
        <v>475</v>
      </c>
      <c r="FX13" s="218">
        <v>475</v>
      </c>
      <c r="FY13" s="218">
        <v>400</v>
      </c>
      <c r="FZ13" s="218">
        <v>500</v>
      </c>
      <c r="GA13" s="218">
        <v>575</v>
      </c>
      <c r="GB13" s="218">
        <v>500</v>
      </c>
      <c r="GC13" s="218">
        <v>500</v>
      </c>
      <c r="GD13" s="218">
        <v>575</v>
      </c>
      <c r="GE13" s="218">
        <v>575</v>
      </c>
      <c r="GF13" s="218">
        <v>575</v>
      </c>
      <c r="GG13" s="218">
        <v>500</v>
      </c>
      <c r="GH13" s="218">
        <v>600</v>
      </c>
      <c r="GI13" s="218">
        <v>675</v>
      </c>
      <c r="GJ13" s="218">
        <v>600</v>
      </c>
      <c r="GK13" s="218">
        <v>600</v>
      </c>
      <c r="GL13" s="218">
        <v>675</v>
      </c>
      <c r="GM13" s="218">
        <v>675</v>
      </c>
      <c r="GN13" s="218">
        <v>675</v>
      </c>
      <c r="GO13" s="218">
        <v>600</v>
      </c>
      <c r="GP13" s="218">
        <v>275</v>
      </c>
      <c r="GQ13" s="218">
        <v>275</v>
      </c>
      <c r="GR13" s="218">
        <v>350</v>
      </c>
      <c r="GS13" s="218">
        <v>350</v>
      </c>
      <c r="GT13" s="218">
        <v>450</v>
      </c>
      <c r="GU13" s="218">
        <v>450</v>
      </c>
      <c r="GV13" s="218">
        <v>650</v>
      </c>
      <c r="GW13" s="218">
        <v>650</v>
      </c>
      <c r="GX13" s="218">
        <v>850</v>
      </c>
      <c r="GY13" s="218">
        <v>850</v>
      </c>
      <c r="GZ13" s="218" t="s">
        <v>1389</v>
      </c>
      <c r="HA13" s="218">
        <v>200</v>
      </c>
      <c r="HB13" s="218">
        <v>250</v>
      </c>
      <c r="HC13" s="218">
        <v>300</v>
      </c>
      <c r="HD13" s="218" t="s">
        <v>1389</v>
      </c>
      <c r="HE13" s="218" t="s">
        <v>1389</v>
      </c>
      <c r="HF13" s="218" t="s">
        <v>1389</v>
      </c>
      <c r="HG13" s="218" t="s">
        <v>1389</v>
      </c>
      <c r="HH13" s="218" t="s">
        <v>1389</v>
      </c>
      <c r="HI13" s="218" t="s">
        <v>1389</v>
      </c>
      <c r="HJ13" s="218" t="s">
        <v>1389</v>
      </c>
      <c r="HK13" s="218" t="s">
        <v>1389</v>
      </c>
      <c r="HL13" s="218" t="s">
        <v>1389</v>
      </c>
      <c r="HM13" s="218">
        <v>200</v>
      </c>
      <c r="HN13" s="218">
        <v>200</v>
      </c>
      <c r="HO13" s="218">
        <v>200</v>
      </c>
      <c r="HP13" s="218">
        <v>225</v>
      </c>
      <c r="HQ13" s="218">
        <v>225</v>
      </c>
      <c r="HR13" s="218">
        <v>225</v>
      </c>
      <c r="HS13" s="218">
        <v>250</v>
      </c>
      <c r="HT13" s="218">
        <v>250</v>
      </c>
      <c r="HU13" s="218">
        <v>250</v>
      </c>
      <c r="HV13" s="218">
        <v>200</v>
      </c>
      <c r="HW13" s="218">
        <v>200</v>
      </c>
      <c r="HX13" s="218">
        <v>250</v>
      </c>
      <c r="HY13" s="218">
        <v>250</v>
      </c>
      <c r="HZ13" s="218">
        <v>200</v>
      </c>
      <c r="IA13" s="218">
        <v>200</v>
      </c>
      <c r="IB13" s="218">
        <v>250</v>
      </c>
      <c r="IC13" s="218">
        <v>250</v>
      </c>
      <c r="ID13" s="218">
        <v>200</v>
      </c>
      <c r="IE13" s="218">
        <v>200</v>
      </c>
      <c r="IF13" s="218">
        <v>250</v>
      </c>
      <c r="IG13" s="218">
        <v>250</v>
      </c>
      <c r="IH13" s="218">
        <v>200</v>
      </c>
      <c r="II13" s="218">
        <v>200</v>
      </c>
      <c r="IJ13" s="218">
        <v>250</v>
      </c>
      <c r="IK13" s="218">
        <v>250</v>
      </c>
      <c r="IL13" s="218">
        <v>200</v>
      </c>
      <c r="IM13" s="218">
        <v>200</v>
      </c>
      <c r="IN13" s="218">
        <v>250</v>
      </c>
      <c r="IO13" s="218">
        <v>250</v>
      </c>
      <c r="IP13" s="218" t="s">
        <v>1389</v>
      </c>
      <c r="IQ13" s="218">
        <v>150</v>
      </c>
      <c r="IR13" s="218">
        <v>170</v>
      </c>
      <c r="IS13" s="218">
        <v>200</v>
      </c>
      <c r="IT13" s="218">
        <v>200</v>
      </c>
      <c r="IU13" s="218">
        <v>200</v>
      </c>
      <c r="IV13" s="218">
        <v>240</v>
      </c>
      <c r="IW13" s="218">
        <v>275</v>
      </c>
      <c r="IX13" s="218">
        <v>350</v>
      </c>
      <c r="IY13" s="218">
        <v>400</v>
      </c>
      <c r="IZ13" s="218">
        <v>450</v>
      </c>
      <c r="JA13" s="225" t="s">
        <v>1474</v>
      </c>
      <c r="JB13" s="218" t="s">
        <v>1389</v>
      </c>
      <c r="JC13" s="218" t="s">
        <v>1389</v>
      </c>
      <c r="JD13" s="218">
        <v>200</v>
      </c>
      <c r="JE13" s="218">
        <v>200</v>
      </c>
      <c r="JF13" s="218">
        <v>300</v>
      </c>
      <c r="JG13" s="218">
        <v>300</v>
      </c>
      <c r="JH13" s="218">
        <v>200</v>
      </c>
      <c r="JI13" s="218">
        <v>200</v>
      </c>
      <c r="JJ13" s="218">
        <v>300</v>
      </c>
      <c r="JK13" s="218">
        <v>300</v>
      </c>
      <c r="JL13" s="218">
        <v>275</v>
      </c>
      <c r="JM13" s="218">
        <v>275</v>
      </c>
      <c r="JN13" s="218">
        <v>375</v>
      </c>
      <c r="JO13" s="218">
        <v>375</v>
      </c>
      <c r="JP13" s="218">
        <v>350</v>
      </c>
      <c r="JQ13" s="218">
        <v>350</v>
      </c>
      <c r="JR13" s="218">
        <v>450</v>
      </c>
      <c r="JS13" s="218">
        <v>450</v>
      </c>
      <c r="JT13" s="218">
        <v>425</v>
      </c>
      <c r="JU13" s="218">
        <v>425</v>
      </c>
      <c r="JV13" s="218">
        <v>525</v>
      </c>
      <c r="JW13" s="218">
        <v>525</v>
      </c>
      <c r="JX13" s="225" t="s">
        <v>1474</v>
      </c>
      <c r="JY13" s="225" t="s">
        <v>1474</v>
      </c>
      <c r="JZ13" s="225" t="s">
        <v>1474</v>
      </c>
      <c r="KA13" s="225" t="s">
        <v>1474</v>
      </c>
      <c r="KB13" s="225" t="s">
        <v>1474</v>
      </c>
      <c r="KC13" s="225" t="s">
        <v>1474</v>
      </c>
      <c r="KD13" s="225" t="s">
        <v>1474</v>
      </c>
      <c r="KE13" s="218" t="s">
        <v>1389</v>
      </c>
      <c r="KF13" s="218">
        <v>200</v>
      </c>
      <c r="KG13" s="218">
        <v>200</v>
      </c>
      <c r="KH13" s="218">
        <v>215</v>
      </c>
      <c r="KI13" s="218">
        <v>270</v>
      </c>
      <c r="KJ13" s="218">
        <v>335</v>
      </c>
      <c r="KK13" s="218">
        <v>158</v>
      </c>
      <c r="KL13" s="218">
        <v>211</v>
      </c>
      <c r="KM13" s="218">
        <v>264</v>
      </c>
      <c r="KN13" s="218">
        <v>317</v>
      </c>
      <c r="KO13" s="218">
        <v>200</v>
      </c>
      <c r="KP13" s="218">
        <v>225</v>
      </c>
      <c r="KQ13" s="218">
        <v>275</v>
      </c>
      <c r="KR13" s="218">
        <v>325</v>
      </c>
      <c r="KS13" s="218">
        <v>200</v>
      </c>
      <c r="KT13" s="218">
        <v>225</v>
      </c>
      <c r="KU13" s="218">
        <v>275</v>
      </c>
      <c r="KV13" s="218">
        <v>325</v>
      </c>
      <c r="KW13" s="218">
        <v>300</v>
      </c>
      <c r="KX13" s="218">
        <v>350</v>
      </c>
      <c r="KY13" s="218">
        <v>400</v>
      </c>
      <c r="KZ13" s="218">
        <v>450</v>
      </c>
      <c r="LA13" s="218">
        <v>200</v>
      </c>
      <c r="LB13" s="218">
        <v>250</v>
      </c>
      <c r="LC13" s="218">
        <v>300</v>
      </c>
      <c r="LD13" s="218">
        <v>350</v>
      </c>
      <c r="LE13" s="218">
        <v>400</v>
      </c>
      <c r="LF13" s="218" t="s">
        <v>1389</v>
      </c>
      <c r="LG13" s="218">
        <v>150</v>
      </c>
      <c r="LH13" s="218">
        <v>250</v>
      </c>
      <c r="LI13" s="218">
        <v>200</v>
      </c>
      <c r="LJ13" s="218">
        <v>380</v>
      </c>
      <c r="LK13" s="218">
        <v>620</v>
      </c>
      <c r="LL13" s="218">
        <v>750</v>
      </c>
      <c r="LM13" s="218" t="s">
        <v>1475</v>
      </c>
      <c r="LN13" s="218" t="s">
        <v>1476</v>
      </c>
      <c r="LO13" s="218" t="s">
        <v>1477</v>
      </c>
      <c r="LP13" s="218" t="s">
        <v>1478</v>
      </c>
      <c r="LQ13" s="218" t="s">
        <v>1475</v>
      </c>
      <c r="LR13" s="218" t="s">
        <v>1476</v>
      </c>
      <c r="LS13" s="218" t="s">
        <v>1477</v>
      </c>
      <c r="LT13" s="218" t="s">
        <v>1478</v>
      </c>
      <c r="LU13" s="218" t="s">
        <v>1479</v>
      </c>
      <c r="LV13" s="218" t="s">
        <v>1480</v>
      </c>
      <c r="LW13" s="218" t="s">
        <v>1471</v>
      </c>
      <c r="LX13" s="218" t="s">
        <v>1481</v>
      </c>
      <c r="LY13" s="218" t="s">
        <v>1482</v>
      </c>
      <c r="LZ13" s="218" t="s">
        <v>1483</v>
      </c>
      <c r="MA13" s="218" t="s">
        <v>1484</v>
      </c>
      <c r="MB13" s="218" t="s">
        <v>1485</v>
      </c>
      <c r="MC13" s="218" t="s">
        <v>1486</v>
      </c>
      <c r="MD13" s="218" t="s">
        <v>1487</v>
      </c>
      <c r="ME13" s="218" t="s">
        <v>1488</v>
      </c>
      <c r="MF13" s="218" t="s">
        <v>1489</v>
      </c>
      <c r="MG13" s="218">
        <v>105</v>
      </c>
      <c r="MH13" s="218">
        <v>170</v>
      </c>
      <c r="MI13" s="218">
        <v>235</v>
      </c>
      <c r="MJ13" s="218">
        <v>300</v>
      </c>
      <c r="MK13" s="218">
        <v>365</v>
      </c>
      <c r="ML13" s="218">
        <v>200</v>
      </c>
      <c r="MM13" s="218">
        <v>250</v>
      </c>
      <c r="MN13" s="218">
        <v>105</v>
      </c>
      <c r="MO13" s="218">
        <v>170</v>
      </c>
      <c r="MP13" s="218">
        <v>235</v>
      </c>
      <c r="MQ13" s="218">
        <v>300</v>
      </c>
      <c r="MR13" s="218">
        <v>320</v>
      </c>
      <c r="MS13" s="218">
        <v>290</v>
      </c>
      <c r="MT13" s="218">
        <v>375</v>
      </c>
      <c r="MU13" s="218">
        <v>460</v>
      </c>
      <c r="MV13" s="218">
        <v>560</v>
      </c>
      <c r="MW13" s="218">
        <v>660</v>
      </c>
      <c r="MX13" s="218">
        <v>105</v>
      </c>
      <c r="MY13" s="218">
        <v>170</v>
      </c>
      <c r="MZ13" s="218">
        <v>235</v>
      </c>
      <c r="NA13" s="218">
        <v>300</v>
      </c>
      <c r="NB13" s="218">
        <v>365</v>
      </c>
      <c r="NC13" s="218" t="s">
        <v>1490</v>
      </c>
      <c r="ND13" s="218">
        <v>131</v>
      </c>
      <c r="NE13" s="218">
        <v>262</v>
      </c>
      <c r="NF13" s="218">
        <v>376</v>
      </c>
      <c r="NG13" s="218">
        <v>539</v>
      </c>
      <c r="NH13" s="218" t="s">
        <v>1491</v>
      </c>
      <c r="NI13" s="218">
        <v>33</v>
      </c>
      <c r="NJ13" s="218">
        <v>196</v>
      </c>
      <c r="NK13" s="218">
        <v>327</v>
      </c>
      <c r="NL13" s="218">
        <v>474</v>
      </c>
      <c r="NM13" s="218" t="s">
        <v>1475</v>
      </c>
      <c r="NN13" s="218">
        <v>131</v>
      </c>
      <c r="NO13" s="218">
        <v>245</v>
      </c>
      <c r="NP13" s="218">
        <v>409</v>
      </c>
      <c r="NQ13" s="218" t="s">
        <v>1476</v>
      </c>
      <c r="NR13" s="218">
        <v>114</v>
      </c>
      <c r="NS13" s="218">
        <v>278</v>
      </c>
      <c r="NT13" s="218" t="s">
        <v>1477</v>
      </c>
      <c r="NU13" s="218">
        <v>180</v>
      </c>
      <c r="NV13" s="218" t="s">
        <v>1478</v>
      </c>
      <c r="NW13" s="218">
        <v>65</v>
      </c>
      <c r="NX13" s="218">
        <v>200</v>
      </c>
      <c r="NY13" s="218">
        <v>200</v>
      </c>
      <c r="NZ13" s="218">
        <v>250</v>
      </c>
      <c r="OA13" s="218">
        <v>250</v>
      </c>
      <c r="OB13" s="218">
        <v>300</v>
      </c>
      <c r="OC13" s="218">
        <v>300</v>
      </c>
      <c r="OD13" s="218">
        <v>400</v>
      </c>
      <c r="OE13" s="218">
        <v>400</v>
      </c>
      <c r="OF13" s="218">
        <v>550</v>
      </c>
      <c r="OG13" s="218">
        <v>550</v>
      </c>
      <c r="OH13" s="218">
        <v>750</v>
      </c>
      <c r="OI13" s="218">
        <v>750</v>
      </c>
      <c r="OJ13" s="218"/>
      <c r="OK13" s="218"/>
      <c r="OL13" s="218"/>
      <c r="OM13" s="218"/>
      <c r="ON13" s="218">
        <v>100</v>
      </c>
      <c r="OO13" s="218">
        <v>200</v>
      </c>
      <c r="OP13" s="218">
        <v>300</v>
      </c>
    </row>
    <row r="14" spans="1:406" s="216" customFormat="1" ht="30" x14ac:dyDescent="0.25">
      <c r="A14" s="227" t="s">
        <v>1492</v>
      </c>
      <c r="B14" s="214" t="s">
        <v>1389</v>
      </c>
      <c r="C14" s="214" t="s">
        <v>1493</v>
      </c>
      <c r="D14" s="214" t="s">
        <v>1493</v>
      </c>
      <c r="E14" s="214" t="s">
        <v>1493</v>
      </c>
      <c r="F14" s="214" t="s">
        <v>1493</v>
      </c>
      <c r="G14" s="214" t="s">
        <v>1493</v>
      </c>
      <c r="H14" s="214" t="s">
        <v>1493</v>
      </c>
      <c r="I14" s="214" t="s">
        <v>1493</v>
      </c>
      <c r="J14" s="214" t="s">
        <v>1493</v>
      </c>
      <c r="K14" s="214" t="s">
        <v>1494</v>
      </c>
      <c r="L14" s="214" t="s">
        <v>1494</v>
      </c>
      <c r="M14" s="214" t="s">
        <v>1494</v>
      </c>
      <c r="N14" s="214" t="s">
        <v>1494</v>
      </c>
      <c r="O14" s="214" t="s">
        <v>1494</v>
      </c>
      <c r="P14" s="214" t="s">
        <v>1494</v>
      </c>
      <c r="Q14" s="214" t="s">
        <v>1494</v>
      </c>
      <c r="R14" s="214" t="s">
        <v>1494</v>
      </c>
      <c r="S14" s="214" t="s">
        <v>1494</v>
      </c>
      <c r="T14" s="214" t="s">
        <v>1495</v>
      </c>
      <c r="U14" s="214" t="s">
        <v>1495</v>
      </c>
      <c r="V14" s="214" t="s">
        <v>1495</v>
      </c>
      <c r="W14" s="214" t="s">
        <v>1495</v>
      </c>
      <c r="X14" s="214" t="s">
        <v>1495</v>
      </c>
      <c r="Y14" s="214" t="s">
        <v>1495</v>
      </c>
      <c r="Z14" s="214" t="s">
        <v>1495</v>
      </c>
      <c r="AA14" s="214" t="s">
        <v>1495</v>
      </c>
      <c r="AB14" s="214" t="s">
        <v>1495</v>
      </c>
      <c r="AC14" s="214" t="s">
        <v>1496</v>
      </c>
      <c r="AD14" s="214" t="s">
        <v>1496</v>
      </c>
      <c r="AE14" s="214" t="s">
        <v>1496</v>
      </c>
      <c r="AF14" s="214" t="s">
        <v>1496</v>
      </c>
      <c r="AG14" s="214" t="s">
        <v>1496</v>
      </c>
      <c r="AH14" s="214" t="s">
        <v>1496</v>
      </c>
      <c r="AI14" s="214" t="s">
        <v>1496</v>
      </c>
      <c r="AJ14" s="214" t="s">
        <v>1496</v>
      </c>
      <c r="AK14" s="214" t="s">
        <v>1496</v>
      </c>
      <c r="AL14" s="214" t="s">
        <v>1497</v>
      </c>
      <c r="AM14" s="214" t="s">
        <v>1497</v>
      </c>
      <c r="AN14" s="214" t="s">
        <v>1497</v>
      </c>
      <c r="AO14" s="214" t="s">
        <v>1497</v>
      </c>
      <c r="AP14" s="214" t="s">
        <v>1497</v>
      </c>
      <c r="AQ14" s="214" t="s">
        <v>1497</v>
      </c>
      <c r="AR14" s="214" t="s">
        <v>1497</v>
      </c>
      <c r="AS14" s="214" t="s">
        <v>1497</v>
      </c>
      <c r="AT14" s="214" t="s">
        <v>1497</v>
      </c>
      <c r="AU14" s="214" t="s">
        <v>1498</v>
      </c>
      <c r="AV14" s="214" t="s">
        <v>1498</v>
      </c>
      <c r="AW14" s="214" t="s">
        <v>1498</v>
      </c>
      <c r="AX14" s="214" t="s">
        <v>1498</v>
      </c>
      <c r="AY14" s="214" t="s">
        <v>1498</v>
      </c>
      <c r="AZ14" s="214" t="s">
        <v>1498</v>
      </c>
      <c r="BA14" s="214" t="s">
        <v>1498</v>
      </c>
      <c r="BB14" s="214" t="s">
        <v>1498</v>
      </c>
      <c r="BC14" s="214" t="s">
        <v>1498</v>
      </c>
      <c r="BD14" s="214" t="s">
        <v>1493</v>
      </c>
      <c r="BE14" s="214" t="s">
        <v>1389</v>
      </c>
      <c r="BF14" s="214" t="s">
        <v>1389</v>
      </c>
      <c r="BG14" s="214" t="s">
        <v>1389</v>
      </c>
      <c r="BH14" s="214" t="s">
        <v>1389</v>
      </c>
      <c r="BI14" s="214" t="s">
        <v>1389</v>
      </c>
      <c r="BJ14" s="214" t="s">
        <v>1389</v>
      </c>
      <c r="BK14" s="214" t="s">
        <v>1496</v>
      </c>
      <c r="BL14" s="214" t="s">
        <v>1499</v>
      </c>
      <c r="BM14" s="214" t="s">
        <v>1500</v>
      </c>
      <c r="BN14" s="214" t="s">
        <v>1501</v>
      </c>
      <c r="BO14" s="214" t="s">
        <v>1418</v>
      </c>
      <c r="BP14" s="214" t="s">
        <v>1502</v>
      </c>
      <c r="BQ14" s="214" t="s">
        <v>1503</v>
      </c>
      <c r="BR14" s="214" t="s">
        <v>1504</v>
      </c>
      <c r="BS14" s="214" t="s">
        <v>1505</v>
      </c>
      <c r="BT14" s="214" t="s">
        <v>1493</v>
      </c>
      <c r="BU14" s="214" t="s">
        <v>1494</v>
      </c>
      <c r="BV14" s="214" t="s">
        <v>1495</v>
      </c>
      <c r="BW14" s="214" t="s">
        <v>1502</v>
      </c>
      <c r="BX14" s="214" t="s">
        <v>1496</v>
      </c>
      <c r="BY14" s="214" t="s">
        <v>1499</v>
      </c>
      <c r="BZ14" s="214" t="s">
        <v>1506</v>
      </c>
      <c r="CA14" s="214" t="s">
        <v>1418</v>
      </c>
      <c r="CB14" s="214" t="s">
        <v>1418</v>
      </c>
      <c r="CC14" s="214" t="s">
        <v>1507</v>
      </c>
      <c r="CD14" s="214" t="s">
        <v>1507</v>
      </c>
      <c r="CE14" s="214" t="s">
        <v>1502</v>
      </c>
      <c r="CF14" s="214" t="s">
        <v>1502</v>
      </c>
      <c r="CG14" s="214" t="s">
        <v>1508</v>
      </c>
      <c r="CH14" s="214" t="s">
        <v>1508</v>
      </c>
      <c r="CI14" s="214" t="s">
        <v>1497</v>
      </c>
      <c r="CJ14" s="214" t="s">
        <v>1497</v>
      </c>
      <c r="CK14" s="214" t="s">
        <v>1501</v>
      </c>
      <c r="CL14" s="214" t="s">
        <v>1507</v>
      </c>
      <c r="CM14" s="214" t="s">
        <v>1507</v>
      </c>
      <c r="CN14" s="214" t="s">
        <v>1507</v>
      </c>
      <c r="CO14" s="214" t="s">
        <v>1507</v>
      </c>
      <c r="CP14" s="214" t="s">
        <v>1502</v>
      </c>
      <c r="CQ14" s="214" t="s">
        <v>1502</v>
      </c>
      <c r="CR14" s="214" t="s">
        <v>1502</v>
      </c>
      <c r="CS14" s="214" t="s">
        <v>1502</v>
      </c>
      <c r="CT14" s="214" t="s">
        <v>1508</v>
      </c>
      <c r="CU14" s="214" t="s">
        <v>1508</v>
      </c>
      <c r="CV14" s="214" t="s">
        <v>1508</v>
      </c>
      <c r="CW14" s="214" t="s">
        <v>1508</v>
      </c>
      <c r="CX14" s="214" t="s">
        <v>1497</v>
      </c>
      <c r="CY14" s="214" t="s">
        <v>1497</v>
      </c>
      <c r="CZ14" s="214" t="s">
        <v>1497</v>
      </c>
      <c r="DA14" s="214" t="s">
        <v>1497</v>
      </c>
      <c r="DB14" s="214" t="s">
        <v>1506</v>
      </c>
      <c r="DC14" s="214" t="s">
        <v>1506</v>
      </c>
      <c r="DD14" s="214" t="s">
        <v>1506</v>
      </c>
      <c r="DE14" s="214" t="s">
        <v>1506</v>
      </c>
      <c r="DF14" s="214" t="s">
        <v>1506</v>
      </c>
      <c r="DG14" s="214" t="s">
        <v>1506</v>
      </c>
      <c r="DH14" s="214" t="s">
        <v>1506</v>
      </c>
      <c r="DI14" s="214" t="s">
        <v>1506</v>
      </c>
      <c r="DJ14" s="214" t="s">
        <v>1506</v>
      </c>
      <c r="DK14" s="214" t="s">
        <v>1509</v>
      </c>
      <c r="DL14" s="214" t="s">
        <v>1509</v>
      </c>
      <c r="DM14" s="214" t="s">
        <v>1509</v>
      </c>
      <c r="DN14" s="214" t="s">
        <v>1509</v>
      </c>
      <c r="DO14" s="214" t="s">
        <v>1509</v>
      </c>
      <c r="DP14" s="214" t="s">
        <v>1509</v>
      </c>
      <c r="DQ14" s="214" t="s">
        <v>1509</v>
      </c>
      <c r="DR14" s="214" t="s">
        <v>1509</v>
      </c>
      <c r="DS14" s="214" t="s">
        <v>1509</v>
      </c>
      <c r="DT14" s="214" t="s">
        <v>1497</v>
      </c>
      <c r="DU14" s="214" t="s">
        <v>1497</v>
      </c>
      <c r="DV14" s="214" t="s">
        <v>1497</v>
      </c>
      <c r="DW14" s="214" t="s">
        <v>1497</v>
      </c>
      <c r="DX14" s="214" t="s">
        <v>1497</v>
      </c>
      <c r="DY14" s="214" t="s">
        <v>1497</v>
      </c>
      <c r="DZ14" s="214" t="s">
        <v>1497</v>
      </c>
      <c r="EA14" s="214" t="s">
        <v>1497</v>
      </c>
      <c r="EB14" s="214" t="s">
        <v>1497</v>
      </c>
      <c r="EC14" s="214" t="s">
        <v>1498</v>
      </c>
      <c r="ED14" s="214" t="s">
        <v>1498</v>
      </c>
      <c r="EE14" s="214" t="s">
        <v>1498</v>
      </c>
      <c r="EF14" s="214" t="s">
        <v>1498</v>
      </c>
      <c r="EG14" s="214" t="s">
        <v>1498</v>
      </c>
      <c r="EH14" s="214" t="s">
        <v>1498</v>
      </c>
      <c r="EI14" s="214" t="s">
        <v>1498</v>
      </c>
      <c r="EJ14" s="214" t="s">
        <v>1498</v>
      </c>
      <c r="EK14" s="214" t="s">
        <v>1498</v>
      </c>
      <c r="EL14" s="214" t="s">
        <v>1504</v>
      </c>
      <c r="EM14" s="214" t="s">
        <v>1504</v>
      </c>
      <c r="EN14" s="214" t="s">
        <v>1504</v>
      </c>
      <c r="EO14" s="214" t="s">
        <v>1504</v>
      </c>
      <c r="EP14" s="214" t="s">
        <v>1504</v>
      </c>
      <c r="EQ14" s="214" t="s">
        <v>1504</v>
      </c>
      <c r="ER14" s="214" t="s">
        <v>1504</v>
      </c>
      <c r="ES14" s="214" t="s">
        <v>1504</v>
      </c>
      <c r="ET14" s="214" t="s">
        <v>1504</v>
      </c>
      <c r="EU14" s="214" t="s">
        <v>1389</v>
      </c>
      <c r="EV14" s="214" t="s">
        <v>1389</v>
      </c>
      <c r="EW14" s="214" t="s">
        <v>1389</v>
      </c>
      <c r="EX14" s="214" t="s">
        <v>1389</v>
      </c>
      <c r="EY14" s="214" t="s">
        <v>1506</v>
      </c>
      <c r="EZ14" s="214" t="s">
        <v>1506</v>
      </c>
      <c r="FA14" s="214" t="s">
        <v>1389</v>
      </c>
      <c r="FB14" s="214" t="s">
        <v>1418</v>
      </c>
      <c r="FC14" s="214" t="s">
        <v>1502</v>
      </c>
      <c r="FD14" s="214" t="s">
        <v>1418</v>
      </c>
      <c r="FE14" s="214" t="s">
        <v>1418</v>
      </c>
      <c r="FF14" s="214" t="s">
        <v>1502</v>
      </c>
      <c r="FG14" s="214" t="s">
        <v>1502</v>
      </c>
      <c r="FH14" s="214" t="s">
        <v>1502</v>
      </c>
      <c r="FI14" s="214" t="s">
        <v>1418</v>
      </c>
      <c r="FJ14" s="214" t="s">
        <v>1507</v>
      </c>
      <c r="FK14" s="214" t="s">
        <v>1508</v>
      </c>
      <c r="FL14" s="214" t="s">
        <v>1507</v>
      </c>
      <c r="FM14" s="214" t="s">
        <v>1507</v>
      </c>
      <c r="FN14" s="214" t="s">
        <v>1508</v>
      </c>
      <c r="FO14" s="214" t="s">
        <v>1508</v>
      </c>
      <c r="FP14" s="214" t="s">
        <v>1508</v>
      </c>
      <c r="FQ14" s="214" t="s">
        <v>1507</v>
      </c>
      <c r="FR14" s="214" t="s">
        <v>1502</v>
      </c>
      <c r="FS14" s="214" t="s">
        <v>1497</v>
      </c>
      <c r="FT14" s="214" t="s">
        <v>1502</v>
      </c>
      <c r="FU14" s="214" t="s">
        <v>1502</v>
      </c>
      <c r="FV14" s="214" t="s">
        <v>1497</v>
      </c>
      <c r="FW14" s="214" t="s">
        <v>1497</v>
      </c>
      <c r="FX14" s="214" t="s">
        <v>1497</v>
      </c>
      <c r="FY14" s="214" t="s">
        <v>1502</v>
      </c>
      <c r="FZ14" s="214" t="s">
        <v>1508</v>
      </c>
      <c r="GA14" s="214" t="s">
        <v>1503</v>
      </c>
      <c r="GB14" s="214" t="s">
        <v>1508</v>
      </c>
      <c r="GC14" s="214" t="s">
        <v>1508</v>
      </c>
      <c r="GD14" s="214" t="s">
        <v>1503</v>
      </c>
      <c r="GE14" s="214" t="s">
        <v>1503</v>
      </c>
      <c r="GF14" s="214" t="s">
        <v>1503</v>
      </c>
      <c r="GG14" s="214" t="s">
        <v>1508</v>
      </c>
      <c r="GH14" s="214" t="s">
        <v>1497</v>
      </c>
      <c r="GI14" s="214" t="s">
        <v>1498</v>
      </c>
      <c r="GJ14" s="214" t="s">
        <v>1497</v>
      </c>
      <c r="GK14" s="214" t="s">
        <v>1497</v>
      </c>
      <c r="GL14" s="214" t="s">
        <v>1498</v>
      </c>
      <c r="GM14" s="214" t="s">
        <v>1498</v>
      </c>
      <c r="GN14" s="214" t="s">
        <v>1498</v>
      </c>
      <c r="GO14" s="214" t="s">
        <v>1497</v>
      </c>
      <c r="GP14" s="214" t="s">
        <v>1502</v>
      </c>
      <c r="GQ14" s="214" t="s">
        <v>1502</v>
      </c>
      <c r="GR14" s="214" t="s">
        <v>1497</v>
      </c>
      <c r="GS14" s="214" t="s">
        <v>1497</v>
      </c>
      <c r="GT14" s="214" t="s">
        <v>1498</v>
      </c>
      <c r="GU14" s="214" t="s">
        <v>1498</v>
      </c>
      <c r="GV14" s="214" t="s">
        <v>1504</v>
      </c>
      <c r="GW14" s="214" t="s">
        <v>1504</v>
      </c>
      <c r="GX14" s="214" t="s">
        <v>1505</v>
      </c>
      <c r="GY14" s="214" t="s">
        <v>1505</v>
      </c>
      <c r="GZ14" s="214" t="s">
        <v>1389</v>
      </c>
      <c r="HA14" s="214" t="s">
        <v>1418</v>
      </c>
      <c r="HB14" s="214" t="s">
        <v>1418</v>
      </c>
      <c r="HC14" s="214" t="s">
        <v>1418</v>
      </c>
      <c r="HD14" s="214" t="s">
        <v>1389</v>
      </c>
      <c r="HE14" s="214" t="s">
        <v>1389</v>
      </c>
      <c r="HF14" s="214" t="s">
        <v>1389</v>
      </c>
      <c r="HG14" s="214" t="s">
        <v>1389</v>
      </c>
      <c r="HH14" s="214" t="s">
        <v>1389</v>
      </c>
      <c r="HI14" s="214" t="s">
        <v>1389</v>
      </c>
      <c r="HJ14" s="214" t="s">
        <v>1389</v>
      </c>
      <c r="HK14" s="214" t="s">
        <v>1389</v>
      </c>
      <c r="HL14" s="214" t="s">
        <v>1389</v>
      </c>
      <c r="HM14" s="214" t="s">
        <v>1506</v>
      </c>
      <c r="HN14" s="214" t="s">
        <v>1506</v>
      </c>
      <c r="HO14" s="214" t="s">
        <v>1506</v>
      </c>
      <c r="HP14" s="214" t="s">
        <v>1501</v>
      </c>
      <c r="HQ14" s="214" t="s">
        <v>1501</v>
      </c>
      <c r="HR14" s="214" t="s">
        <v>1501</v>
      </c>
      <c r="HS14" s="214" t="s">
        <v>1501</v>
      </c>
      <c r="HT14" s="214" t="s">
        <v>1501</v>
      </c>
      <c r="HU14" s="214" t="s">
        <v>1501</v>
      </c>
      <c r="HV14" s="214" t="s">
        <v>1389</v>
      </c>
      <c r="HW14" s="214" t="s">
        <v>1510</v>
      </c>
      <c r="HX14" s="214" t="s">
        <v>1389</v>
      </c>
      <c r="HY14" s="214" t="s">
        <v>1510</v>
      </c>
      <c r="HZ14" s="214" t="s">
        <v>1389</v>
      </c>
      <c r="IA14" s="214" t="s">
        <v>1510</v>
      </c>
      <c r="IB14" s="214" t="s">
        <v>1389</v>
      </c>
      <c r="IC14" s="214" t="s">
        <v>1510</v>
      </c>
      <c r="ID14" s="214" t="s">
        <v>1389</v>
      </c>
      <c r="IE14" s="214" t="s">
        <v>1510</v>
      </c>
      <c r="IF14" s="214" t="s">
        <v>1389</v>
      </c>
      <c r="IG14" s="214" t="s">
        <v>1510</v>
      </c>
      <c r="IH14" s="214" t="s">
        <v>1389</v>
      </c>
      <c r="II14" s="214" t="s">
        <v>1510</v>
      </c>
      <c r="IJ14" s="214" t="s">
        <v>1389</v>
      </c>
      <c r="IK14" s="214" t="s">
        <v>1510</v>
      </c>
      <c r="IL14" s="214" t="s">
        <v>1389</v>
      </c>
      <c r="IM14" s="214" t="s">
        <v>1510</v>
      </c>
      <c r="IN14" s="214" t="s">
        <v>1389</v>
      </c>
      <c r="IO14" s="214" t="s">
        <v>1510</v>
      </c>
      <c r="IP14" s="214" t="s">
        <v>1389</v>
      </c>
      <c r="IQ14" s="214" t="s">
        <v>1506</v>
      </c>
      <c r="IR14" s="214" t="s">
        <v>1501</v>
      </c>
      <c r="IS14" s="214" t="s">
        <v>1418</v>
      </c>
      <c r="IT14" s="214" t="s">
        <v>1389</v>
      </c>
      <c r="IU14" s="214" t="s">
        <v>1389</v>
      </c>
      <c r="IV14" s="214" t="s">
        <v>1389</v>
      </c>
      <c r="IW14" s="214" t="s">
        <v>1389</v>
      </c>
      <c r="IX14" s="214" t="s">
        <v>1389</v>
      </c>
      <c r="IY14" s="214" t="s">
        <v>1389</v>
      </c>
      <c r="IZ14" s="214" t="s">
        <v>1389</v>
      </c>
      <c r="JA14" s="214" t="s">
        <v>1389</v>
      </c>
      <c r="JB14" s="214" t="s">
        <v>1511</v>
      </c>
      <c r="JC14" s="214" t="s">
        <v>1511</v>
      </c>
      <c r="JD14" s="214" t="s">
        <v>1511</v>
      </c>
      <c r="JE14" s="214" t="s">
        <v>1511</v>
      </c>
      <c r="JF14" s="214" t="s">
        <v>1511</v>
      </c>
      <c r="JG14" s="214" t="s">
        <v>1511</v>
      </c>
      <c r="JH14" s="214" t="s">
        <v>1511</v>
      </c>
      <c r="JI14" s="214" t="s">
        <v>1511</v>
      </c>
      <c r="JJ14" s="214" t="s">
        <v>1511</v>
      </c>
      <c r="JK14" s="214" t="s">
        <v>1511</v>
      </c>
      <c r="JL14" s="214" t="s">
        <v>1511</v>
      </c>
      <c r="JM14" s="214" t="s">
        <v>1511</v>
      </c>
      <c r="JN14" s="214" t="s">
        <v>1511</v>
      </c>
      <c r="JO14" s="214" t="s">
        <v>1511</v>
      </c>
      <c r="JP14" s="214" t="s">
        <v>1511</v>
      </c>
      <c r="JQ14" s="214" t="s">
        <v>1511</v>
      </c>
      <c r="JR14" s="214" t="s">
        <v>1511</v>
      </c>
      <c r="JS14" s="214" t="s">
        <v>1511</v>
      </c>
      <c r="JT14" s="214" t="s">
        <v>1389</v>
      </c>
      <c r="JU14" s="214" t="s">
        <v>1389</v>
      </c>
      <c r="JV14" s="214" t="s">
        <v>1389</v>
      </c>
      <c r="JW14" s="214" t="s">
        <v>1389</v>
      </c>
      <c r="JX14" s="214" t="s">
        <v>1389</v>
      </c>
      <c r="JY14" s="214" t="s">
        <v>1389</v>
      </c>
      <c r="JZ14" s="214" t="s">
        <v>1389</v>
      </c>
      <c r="KA14" s="214" t="s">
        <v>1389</v>
      </c>
      <c r="KB14" s="214" t="s">
        <v>1389</v>
      </c>
      <c r="KC14" s="214" t="s">
        <v>1389</v>
      </c>
      <c r="KD14" s="214" t="s">
        <v>1389</v>
      </c>
      <c r="KE14" s="214" t="s">
        <v>1512</v>
      </c>
      <c r="KF14" s="214" t="s">
        <v>1501</v>
      </c>
      <c r="KG14" s="214" t="s">
        <v>1501</v>
      </c>
      <c r="KH14" s="214" t="s">
        <v>1418</v>
      </c>
      <c r="KI14" s="214" t="s">
        <v>1502</v>
      </c>
      <c r="KJ14" s="214" t="s">
        <v>1497</v>
      </c>
      <c r="KK14" s="214" t="s">
        <v>1389</v>
      </c>
      <c r="KL14" s="214" t="s">
        <v>1389</v>
      </c>
      <c r="KM14" s="214" t="s">
        <v>1389</v>
      </c>
      <c r="KN14" s="214" t="s">
        <v>1389</v>
      </c>
      <c r="KO14" s="214" t="s">
        <v>1500</v>
      </c>
      <c r="KP14" s="214" t="s">
        <v>1506</v>
      </c>
      <c r="KQ14" s="214" t="s">
        <v>1418</v>
      </c>
      <c r="KR14" s="214" t="s">
        <v>1502</v>
      </c>
      <c r="KS14" s="214" t="s">
        <v>1500</v>
      </c>
      <c r="KT14" s="214" t="s">
        <v>1506</v>
      </c>
      <c r="KU14" s="214" t="s">
        <v>1418</v>
      </c>
      <c r="KV14" s="214" t="s">
        <v>1502</v>
      </c>
      <c r="KW14" s="214" t="s">
        <v>1497</v>
      </c>
      <c r="KX14" s="214" t="s">
        <v>1497</v>
      </c>
      <c r="KY14" s="214" t="s">
        <v>1497</v>
      </c>
      <c r="KZ14" s="214" t="s">
        <v>1497</v>
      </c>
      <c r="LA14" s="214" t="s">
        <v>1418</v>
      </c>
      <c r="LB14" s="214" t="s">
        <v>1502</v>
      </c>
      <c r="LC14" s="214" t="s">
        <v>1497</v>
      </c>
      <c r="LD14" s="214" t="s">
        <v>1498</v>
      </c>
      <c r="LE14" s="214" t="s">
        <v>1504</v>
      </c>
      <c r="LF14" s="214" t="s">
        <v>1389</v>
      </c>
      <c r="LG14" s="214" t="s">
        <v>1418</v>
      </c>
      <c r="LH14" s="214" t="s">
        <v>1418</v>
      </c>
      <c r="LI14" s="214" t="s">
        <v>1389</v>
      </c>
      <c r="LJ14" s="214" t="s">
        <v>1502</v>
      </c>
      <c r="LK14" s="214" t="s">
        <v>1497</v>
      </c>
      <c r="LL14" s="214" t="s">
        <v>1498</v>
      </c>
      <c r="LM14" s="214" t="s">
        <v>1513</v>
      </c>
      <c r="LN14" s="214" t="s">
        <v>1514</v>
      </c>
      <c r="LO14" s="214" t="s">
        <v>1515</v>
      </c>
      <c r="LP14" s="214" t="s">
        <v>1516</v>
      </c>
      <c r="LQ14" s="214" t="s">
        <v>1513</v>
      </c>
      <c r="LR14" s="214" t="s">
        <v>1514</v>
      </c>
      <c r="LS14" s="214" t="s">
        <v>1515</v>
      </c>
      <c r="LT14" s="214" t="s">
        <v>1516</v>
      </c>
      <c r="LU14" s="214" t="s">
        <v>1418</v>
      </c>
      <c r="LV14" s="214" t="s">
        <v>1507</v>
      </c>
      <c r="LW14" s="214" t="s">
        <v>1502</v>
      </c>
      <c r="LX14" s="214" t="s">
        <v>1508</v>
      </c>
      <c r="LY14" s="214" t="s">
        <v>1497</v>
      </c>
      <c r="LZ14" s="214" t="s">
        <v>1503</v>
      </c>
      <c r="MA14" s="214" t="s">
        <v>1498</v>
      </c>
      <c r="MB14" s="214" t="s">
        <v>1517</v>
      </c>
      <c r="MC14" s="214" t="s">
        <v>1504</v>
      </c>
      <c r="MD14" s="214" t="s">
        <v>1518</v>
      </c>
      <c r="ME14" s="214" t="s">
        <v>1505</v>
      </c>
      <c r="MF14" s="214" t="s">
        <v>1519</v>
      </c>
      <c r="MG14" s="214" t="s">
        <v>1512</v>
      </c>
      <c r="MH14" s="214" t="s">
        <v>1520</v>
      </c>
      <c r="MI14" s="214" t="s">
        <v>1495</v>
      </c>
      <c r="MJ14" s="214" t="s">
        <v>1521</v>
      </c>
      <c r="MK14" s="214" t="s">
        <v>1497</v>
      </c>
      <c r="ML14" s="214" t="s">
        <v>1389</v>
      </c>
      <c r="MM14" s="214" t="s">
        <v>1418</v>
      </c>
      <c r="MN14" s="214" t="s">
        <v>1512</v>
      </c>
      <c r="MO14" s="214" t="s">
        <v>1520</v>
      </c>
      <c r="MP14" s="214" t="s">
        <v>1495</v>
      </c>
      <c r="MQ14" s="214" t="s">
        <v>1521</v>
      </c>
      <c r="MR14" s="214" t="s">
        <v>1497</v>
      </c>
      <c r="MS14" s="214" t="s">
        <v>1507</v>
      </c>
      <c r="MT14" s="214" t="s">
        <v>1522</v>
      </c>
      <c r="MU14" s="214" t="s">
        <v>1498</v>
      </c>
      <c r="MV14" s="214" t="s">
        <v>1523</v>
      </c>
      <c r="MW14" s="214" t="s">
        <v>1519</v>
      </c>
      <c r="MX14" s="214" t="s">
        <v>1512</v>
      </c>
      <c r="MY14" s="214" t="s">
        <v>1520</v>
      </c>
      <c r="MZ14" s="214" t="s">
        <v>1495</v>
      </c>
      <c r="NA14" s="214" t="s">
        <v>1521</v>
      </c>
      <c r="NB14" s="214" t="s">
        <v>1497</v>
      </c>
      <c r="NC14" s="214" t="s">
        <v>1524</v>
      </c>
      <c r="ND14" s="214" t="s">
        <v>1525</v>
      </c>
      <c r="NE14" s="214" t="s">
        <v>1526</v>
      </c>
      <c r="NF14" s="214" t="s">
        <v>1513</v>
      </c>
      <c r="NG14" s="214" t="s">
        <v>1514</v>
      </c>
      <c r="NH14" s="214" t="s">
        <v>1527</v>
      </c>
      <c r="NI14" s="214" t="s">
        <v>1528</v>
      </c>
      <c r="NJ14" s="214" t="s">
        <v>1527</v>
      </c>
      <c r="NK14" s="214" t="s">
        <v>1529</v>
      </c>
      <c r="NL14" s="214" t="s">
        <v>1530</v>
      </c>
      <c r="NM14" s="214" t="s">
        <v>1513</v>
      </c>
      <c r="NN14" s="214" t="s">
        <v>1531</v>
      </c>
      <c r="NO14" s="214" t="s">
        <v>1524</v>
      </c>
      <c r="NP14" s="214" t="s">
        <v>1532</v>
      </c>
      <c r="NQ14" s="214" t="s">
        <v>1514</v>
      </c>
      <c r="NR14" s="214" t="s">
        <v>1533</v>
      </c>
      <c r="NS14" s="214" t="s">
        <v>1524</v>
      </c>
      <c r="NT14" s="214" t="s">
        <v>1515</v>
      </c>
      <c r="NU14" s="214" t="s">
        <v>1531</v>
      </c>
      <c r="NV14" s="214" t="s">
        <v>1516</v>
      </c>
      <c r="NW14" s="214" t="s">
        <v>1389</v>
      </c>
      <c r="NX14" s="214" t="s">
        <v>1389</v>
      </c>
      <c r="NY14" s="214" t="s">
        <v>1389</v>
      </c>
      <c r="NZ14" s="214" t="s">
        <v>1502</v>
      </c>
      <c r="OA14" s="214" t="s">
        <v>1502</v>
      </c>
      <c r="OB14" s="214" t="s">
        <v>1497</v>
      </c>
      <c r="OC14" s="214" t="s">
        <v>1497</v>
      </c>
      <c r="OD14" s="214" t="s">
        <v>1498</v>
      </c>
      <c r="OE14" s="214" t="s">
        <v>1498</v>
      </c>
      <c r="OF14" s="214" t="s">
        <v>1504</v>
      </c>
      <c r="OG14" s="214" t="s">
        <v>1504</v>
      </c>
      <c r="OH14" s="214" t="s">
        <v>1505</v>
      </c>
      <c r="OI14" s="214" t="s">
        <v>1505</v>
      </c>
      <c r="OJ14" s="214"/>
      <c r="OK14" s="214"/>
      <c r="OL14" s="214"/>
      <c r="OM14" s="214"/>
      <c r="ON14" s="214"/>
      <c r="OO14" s="214"/>
      <c r="OP14" s="214"/>
    </row>
    <row r="15" spans="1:406" x14ac:dyDescent="0.25">
      <c r="A15" s="224" t="s">
        <v>1534</v>
      </c>
      <c r="B15" s="218">
        <v>0</v>
      </c>
      <c r="C15" s="218">
        <v>20</v>
      </c>
      <c r="D15" s="218">
        <v>20</v>
      </c>
      <c r="E15" s="218">
        <v>20</v>
      </c>
      <c r="F15" s="218">
        <v>20</v>
      </c>
      <c r="G15" s="218">
        <v>20</v>
      </c>
      <c r="H15" s="218">
        <v>20</v>
      </c>
      <c r="I15" s="218">
        <v>20</v>
      </c>
      <c r="J15" s="218">
        <v>20</v>
      </c>
      <c r="K15" s="218">
        <v>70</v>
      </c>
      <c r="L15" s="218">
        <v>70</v>
      </c>
      <c r="M15" s="218">
        <v>70</v>
      </c>
      <c r="N15" s="218">
        <v>70</v>
      </c>
      <c r="O15" s="218">
        <v>70</v>
      </c>
      <c r="P15" s="218">
        <v>70</v>
      </c>
      <c r="Q15" s="218">
        <v>70</v>
      </c>
      <c r="R15" s="218">
        <v>70</v>
      </c>
      <c r="S15" s="218">
        <v>70</v>
      </c>
      <c r="T15" s="218">
        <v>120</v>
      </c>
      <c r="U15" s="218">
        <v>120</v>
      </c>
      <c r="V15" s="218">
        <v>120</v>
      </c>
      <c r="W15" s="218">
        <v>120</v>
      </c>
      <c r="X15" s="218">
        <v>120</v>
      </c>
      <c r="Y15" s="218">
        <v>120</v>
      </c>
      <c r="Z15" s="218">
        <v>120</v>
      </c>
      <c r="AA15" s="218">
        <v>120</v>
      </c>
      <c r="AB15" s="218">
        <v>120</v>
      </c>
      <c r="AC15" s="218">
        <v>170</v>
      </c>
      <c r="AD15" s="218">
        <v>170</v>
      </c>
      <c r="AE15" s="218">
        <v>170</v>
      </c>
      <c r="AF15" s="218">
        <v>170</v>
      </c>
      <c r="AG15" s="218">
        <v>170</v>
      </c>
      <c r="AH15" s="218">
        <v>170</v>
      </c>
      <c r="AI15" s="218">
        <v>170</v>
      </c>
      <c r="AJ15" s="218">
        <v>170</v>
      </c>
      <c r="AK15" s="218">
        <v>170</v>
      </c>
      <c r="AL15" s="218">
        <v>200</v>
      </c>
      <c r="AM15" s="218">
        <v>200</v>
      </c>
      <c r="AN15" s="218">
        <v>200</v>
      </c>
      <c r="AO15" s="218">
        <v>200</v>
      </c>
      <c r="AP15" s="218">
        <v>200</v>
      </c>
      <c r="AQ15" s="218">
        <v>200</v>
      </c>
      <c r="AR15" s="218">
        <v>200</v>
      </c>
      <c r="AS15" s="218">
        <v>200</v>
      </c>
      <c r="AT15" s="218">
        <v>200</v>
      </c>
      <c r="AU15" s="218">
        <v>250</v>
      </c>
      <c r="AV15" s="218">
        <v>250</v>
      </c>
      <c r="AW15" s="218">
        <v>250</v>
      </c>
      <c r="AX15" s="218">
        <v>250</v>
      </c>
      <c r="AY15" s="218">
        <v>250</v>
      </c>
      <c r="AZ15" s="218">
        <v>250</v>
      </c>
      <c r="BA15" s="218">
        <v>250</v>
      </c>
      <c r="BB15" s="218">
        <v>250</v>
      </c>
      <c r="BC15" s="218">
        <v>250</v>
      </c>
      <c r="BD15" s="218">
        <v>20</v>
      </c>
      <c r="BE15" s="218" t="s">
        <v>1535</v>
      </c>
      <c r="BF15" s="218" t="s">
        <v>1535</v>
      </c>
      <c r="BG15" s="218" t="s">
        <v>1535</v>
      </c>
      <c r="BH15" s="218" t="s">
        <v>1535</v>
      </c>
      <c r="BI15" s="218" t="s">
        <v>1535</v>
      </c>
      <c r="BJ15" s="218" t="s">
        <v>1535</v>
      </c>
      <c r="BK15" s="218">
        <v>170</v>
      </c>
      <c r="BL15" s="218">
        <v>220</v>
      </c>
      <c r="BM15" s="218">
        <v>25</v>
      </c>
      <c r="BN15" s="218">
        <v>75</v>
      </c>
      <c r="BO15" s="218">
        <v>100</v>
      </c>
      <c r="BP15" s="218">
        <v>150</v>
      </c>
      <c r="BQ15" s="218">
        <v>225</v>
      </c>
      <c r="BR15" s="218">
        <v>300</v>
      </c>
      <c r="BS15" s="218">
        <v>350</v>
      </c>
      <c r="BT15" s="218">
        <v>20</v>
      </c>
      <c r="BU15" s="218">
        <v>70</v>
      </c>
      <c r="BV15" s="218">
        <v>120</v>
      </c>
      <c r="BW15" s="218">
        <v>150</v>
      </c>
      <c r="BX15" s="218">
        <v>170</v>
      </c>
      <c r="BY15" s="218">
        <v>220</v>
      </c>
      <c r="BZ15" s="218">
        <v>50</v>
      </c>
      <c r="CA15" s="218">
        <v>100</v>
      </c>
      <c r="CB15" s="218">
        <v>100</v>
      </c>
      <c r="CC15" s="218">
        <v>125</v>
      </c>
      <c r="CD15" s="218">
        <v>125</v>
      </c>
      <c r="CE15" s="218">
        <v>150</v>
      </c>
      <c r="CF15" s="218">
        <v>150</v>
      </c>
      <c r="CG15" s="218">
        <v>175</v>
      </c>
      <c r="CH15" s="218">
        <v>175</v>
      </c>
      <c r="CI15" s="218">
        <v>200</v>
      </c>
      <c r="CJ15" s="218">
        <v>200</v>
      </c>
      <c r="CK15" s="218">
        <v>75</v>
      </c>
      <c r="CL15" s="218">
        <v>125</v>
      </c>
      <c r="CM15" s="218">
        <v>125</v>
      </c>
      <c r="CN15" s="218">
        <v>125</v>
      </c>
      <c r="CO15" s="218">
        <v>125</v>
      </c>
      <c r="CP15" s="218">
        <v>150</v>
      </c>
      <c r="CQ15" s="218">
        <v>150</v>
      </c>
      <c r="CR15" s="218">
        <v>150</v>
      </c>
      <c r="CS15" s="218">
        <v>150</v>
      </c>
      <c r="CT15" s="218">
        <v>175</v>
      </c>
      <c r="CU15" s="218">
        <v>175</v>
      </c>
      <c r="CV15" s="218">
        <v>175</v>
      </c>
      <c r="CW15" s="218">
        <v>175</v>
      </c>
      <c r="CX15" s="218">
        <v>200</v>
      </c>
      <c r="CY15" s="218">
        <v>200</v>
      </c>
      <c r="CZ15" s="218">
        <v>200</v>
      </c>
      <c r="DA15" s="218">
        <v>200</v>
      </c>
      <c r="DB15" s="218">
        <v>50</v>
      </c>
      <c r="DC15" s="218">
        <v>50</v>
      </c>
      <c r="DD15" s="218">
        <v>50</v>
      </c>
      <c r="DE15" s="218">
        <v>50</v>
      </c>
      <c r="DF15" s="218">
        <v>50</v>
      </c>
      <c r="DG15" s="218">
        <v>50</v>
      </c>
      <c r="DH15" s="218">
        <v>50</v>
      </c>
      <c r="DI15" s="218">
        <v>50</v>
      </c>
      <c r="DJ15" s="218">
        <v>50</v>
      </c>
      <c r="DK15" s="218">
        <v>100</v>
      </c>
      <c r="DL15" s="218">
        <v>100</v>
      </c>
      <c r="DM15" s="218">
        <v>100</v>
      </c>
      <c r="DN15" s="218">
        <v>100</v>
      </c>
      <c r="DO15" s="218">
        <v>100</v>
      </c>
      <c r="DP15" s="218">
        <v>100</v>
      </c>
      <c r="DQ15" s="218">
        <v>100</v>
      </c>
      <c r="DR15" s="218">
        <v>100</v>
      </c>
      <c r="DS15" s="218">
        <v>100</v>
      </c>
      <c r="DT15" s="218">
        <v>200</v>
      </c>
      <c r="DU15" s="218">
        <v>200</v>
      </c>
      <c r="DV15" s="218">
        <v>200</v>
      </c>
      <c r="DW15" s="218">
        <v>200</v>
      </c>
      <c r="DX15" s="218">
        <v>200</v>
      </c>
      <c r="DY15" s="218">
        <v>200</v>
      </c>
      <c r="DZ15" s="218">
        <v>200</v>
      </c>
      <c r="EA15" s="218">
        <v>200</v>
      </c>
      <c r="EB15" s="218">
        <v>200</v>
      </c>
      <c r="EC15" s="218">
        <v>250</v>
      </c>
      <c r="ED15" s="218">
        <v>250</v>
      </c>
      <c r="EE15" s="218">
        <v>250</v>
      </c>
      <c r="EF15" s="218">
        <v>250</v>
      </c>
      <c r="EG15" s="218">
        <v>250</v>
      </c>
      <c r="EH15" s="218">
        <v>250</v>
      </c>
      <c r="EI15" s="218">
        <v>250</v>
      </c>
      <c r="EJ15" s="218">
        <v>250</v>
      </c>
      <c r="EK15" s="218">
        <v>250</v>
      </c>
      <c r="EL15" s="218">
        <v>300</v>
      </c>
      <c r="EM15" s="218">
        <v>300</v>
      </c>
      <c r="EN15" s="218">
        <v>300</v>
      </c>
      <c r="EO15" s="218">
        <v>300</v>
      </c>
      <c r="EP15" s="218">
        <v>300</v>
      </c>
      <c r="EQ15" s="218">
        <v>300</v>
      </c>
      <c r="ER15" s="218">
        <v>300</v>
      </c>
      <c r="ES15" s="218">
        <v>300</v>
      </c>
      <c r="ET15" s="218">
        <v>300</v>
      </c>
      <c r="EU15" s="218">
        <v>0</v>
      </c>
      <c r="EV15" s="218">
        <v>0</v>
      </c>
      <c r="EW15" s="218">
        <v>0</v>
      </c>
      <c r="EX15" s="218">
        <v>0</v>
      </c>
      <c r="EY15" s="218">
        <v>50</v>
      </c>
      <c r="EZ15" s="218">
        <v>50</v>
      </c>
      <c r="FA15" s="218">
        <v>0</v>
      </c>
      <c r="FB15" s="218">
        <v>100</v>
      </c>
      <c r="FC15" s="218">
        <v>150</v>
      </c>
      <c r="FD15" s="218">
        <v>100</v>
      </c>
      <c r="FE15" s="218">
        <v>100</v>
      </c>
      <c r="FF15" s="218">
        <v>150</v>
      </c>
      <c r="FG15" s="218">
        <v>150</v>
      </c>
      <c r="FH15" s="218">
        <v>150</v>
      </c>
      <c r="FI15" s="218">
        <v>100</v>
      </c>
      <c r="FJ15" s="218">
        <v>125</v>
      </c>
      <c r="FK15" s="218">
        <v>175</v>
      </c>
      <c r="FL15" s="218">
        <v>125</v>
      </c>
      <c r="FM15" s="218">
        <v>125</v>
      </c>
      <c r="FN15" s="218">
        <v>175</v>
      </c>
      <c r="FO15" s="218">
        <v>175</v>
      </c>
      <c r="FP15" s="218">
        <v>175</v>
      </c>
      <c r="FQ15" s="218">
        <v>125</v>
      </c>
      <c r="FR15" s="218">
        <v>150</v>
      </c>
      <c r="FS15" s="218">
        <v>200</v>
      </c>
      <c r="FT15" s="218">
        <v>150</v>
      </c>
      <c r="FU15" s="218">
        <v>150</v>
      </c>
      <c r="FV15" s="218">
        <v>200</v>
      </c>
      <c r="FW15" s="218">
        <v>200</v>
      </c>
      <c r="FX15" s="218">
        <v>200</v>
      </c>
      <c r="FY15" s="218">
        <v>150</v>
      </c>
      <c r="FZ15" s="218">
        <v>175</v>
      </c>
      <c r="GA15" s="218">
        <v>225</v>
      </c>
      <c r="GB15" s="218">
        <v>175</v>
      </c>
      <c r="GC15" s="218">
        <v>175</v>
      </c>
      <c r="GD15" s="218">
        <v>225</v>
      </c>
      <c r="GE15" s="218">
        <v>225</v>
      </c>
      <c r="GF15" s="218">
        <v>225</v>
      </c>
      <c r="GG15" s="218">
        <v>175</v>
      </c>
      <c r="GH15" s="218">
        <v>200</v>
      </c>
      <c r="GI15" s="218">
        <v>250</v>
      </c>
      <c r="GJ15" s="218">
        <v>200</v>
      </c>
      <c r="GK15" s="218">
        <v>200</v>
      </c>
      <c r="GL15" s="218">
        <v>250</v>
      </c>
      <c r="GM15" s="218">
        <v>250</v>
      </c>
      <c r="GN15" s="218">
        <v>250</v>
      </c>
      <c r="GO15" s="218">
        <v>200</v>
      </c>
      <c r="GP15" s="218">
        <v>150</v>
      </c>
      <c r="GQ15" s="218">
        <v>150</v>
      </c>
      <c r="GR15" s="218">
        <v>200</v>
      </c>
      <c r="GS15" s="218">
        <v>200</v>
      </c>
      <c r="GT15" s="218">
        <v>250</v>
      </c>
      <c r="GU15" s="218">
        <v>250</v>
      </c>
      <c r="GV15" s="218">
        <v>300</v>
      </c>
      <c r="GW15" s="218">
        <v>300</v>
      </c>
      <c r="GX15" s="218">
        <v>350</v>
      </c>
      <c r="GY15" s="218">
        <v>350</v>
      </c>
      <c r="GZ15" s="218">
        <v>0</v>
      </c>
      <c r="HA15" s="218">
        <v>100</v>
      </c>
      <c r="HB15" s="218">
        <v>100</v>
      </c>
      <c r="HC15" s="218">
        <v>100</v>
      </c>
      <c r="HD15" s="218">
        <v>0</v>
      </c>
      <c r="HE15" s="218">
        <v>0</v>
      </c>
      <c r="HF15" s="218">
        <v>0</v>
      </c>
      <c r="HG15" s="218">
        <v>0</v>
      </c>
      <c r="HH15" s="218">
        <v>0</v>
      </c>
      <c r="HI15" s="218">
        <v>0</v>
      </c>
      <c r="HJ15" s="218">
        <v>0</v>
      </c>
      <c r="HK15" s="218">
        <v>0</v>
      </c>
      <c r="HL15" s="218">
        <v>0</v>
      </c>
      <c r="HM15" s="218">
        <v>50</v>
      </c>
      <c r="HN15" s="218">
        <v>50</v>
      </c>
      <c r="HO15" s="218">
        <v>50</v>
      </c>
      <c r="HP15" s="218">
        <v>75</v>
      </c>
      <c r="HQ15" s="218">
        <v>75</v>
      </c>
      <c r="HR15" s="218">
        <v>75</v>
      </c>
      <c r="HS15" s="218">
        <v>75</v>
      </c>
      <c r="HT15" s="218">
        <v>75</v>
      </c>
      <c r="HU15" s="218">
        <v>75</v>
      </c>
      <c r="HV15" s="218">
        <v>0</v>
      </c>
      <c r="HW15" s="218">
        <v>60</v>
      </c>
      <c r="HX15" s="218">
        <v>0</v>
      </c>
      <c r="HY15" s="218">
        <v>60</v>
      </c>
      <c r="HZ15" s="218">
        <v>0</v>
      </c>
      <c r="IA15" s="218">
        <v>60</v>
      </c>
      <c r="IB15" s="218">
        <v>0</v>
      </c>
      <c r="IC15" s="218">
        <v>60</v>
      </c>
      <c r="ID15" s="218">
        <v>0</v>
      </c>
      <c r="IE15" s="218">
        <v>60</v>
      </c>
      <c r="IF15" s="218">
        <v>0</v>
      </c>
      <c r="IG15" s="218">
        <v>60</v>
      </c>
      <c r="IH15" s="218">
        <v>0</v>
      </c>
      <c r="II15" s="218">
        <v>60</v>
      </c>
      <c r="IJ15" s="218">
        <v>0</v>
      </c>
      <c r="IK15" s="218">
        <v>60</v>
      </c>
      <c r="IL15" s="218">
        <v>0</v>
      </c>
      <c r="IM15" s="218">
        <v>60</v>
      </c>
      <c r="IN15" s="218">
        <v>0</v>
      </c>
      <c r="IO15" s="218">
        <v>60</v>
      </c>
      <c r="IP15" s="218">
        <v>0</v>
      </c>
      <c r="IQ15" s="218">
        <v>50</v>
      </c>
      <c r="IR15" s="218">
        <v>75</v>
      </c>
      <c r="IS15" s="218">
        <v>100</v>
      </c>
      <c r="IT15" s="218">
        <v>0</v>
      </c>
      <c r="IU15" s="218">
        <v>0</v>
      </c>
      <c r="IV15" s="218">
        <v>0</v>
      </c>
      <c r="IW15" s="218">
        <v>0</v>
      </c>
      <c r="IX15" s="218">
        <v>0</v>
      </c>
      <c r="IY15" s="218">
        <v>0</v>
      </c>
      <c r="IZ15" s="218">
        <v>0</v>
      </c>
      <c r="JA15" s="218">
        <v>0</v>
      </c>
      <c r="JB15" s="214" t="s">
        <v>1536</v>
      </c>
      <c r="JC15" s="214" t="s">
        <v>1536</v>
      </c>
      <c r="JD15" s="214" t="s">
        <v>1536</v>
      </c>
      <c r="JE15" s="214" t="s">
        <v>1536</v>
      </c>
      <c r="JF15" s="214" t="s">
        <v>1536</v>
      </c>
      <c r="JG15" s="214" t="s">
        <v>1536</v>
      </c>
      <c r="JH15" s="214" t="s">
        <v>1536</v>
      </c>
      <c r="JI15" s="214" t="s">
        <v>1536</v>
      </c>
      <c r="JJ15" s="214" t="s">
        <v>1536</v>
      </c>
      <c r="JK15" s="214" t="s">
        <v>1536</v>
      </c>
      <c r="JL15" s="214" t="s">
        <v>1536</v>
      </c>
      <c r="JM15" s="214" t="s">
        <v>1536</v>
      </c>
      <c r="JN15" s="214" t="s">
        <v>1536</v>
      </c>
      <c r="JO15" s="214" t="s">
        <v>1536</v>
      </c>
      <c r="JP15" s="214" t="s">
        <v>1536</v>
      </c>
      <c r="JQ15" s="214" t="s">
        <v>1536</v>
      </c>
      <c r="JR15" s="214" t="s">
        <v>1536</v>
      </c>
      <c r="JS15" s="214" t="s">
        <v>1536</v>
      </c>
      <c r="JT15" s="214" t="s">
        <v>1536</v>
      </c>
      <c r="JU15" s="214" t="s">
        <v>1536</v>
      </c>
      <c r="JV15" s="214" t="s">
        <v>1536</v>
      </c>
      <c r="JW15" s="214" t="s">
        <v>1536</v>
      </c>
      <c r="JX15" s="218">
        <v>0</v>
      </c>
      <c r="JY15" s="218">
        <v>0</v>
      </c>
      <c r="JZ15" s="218">
        <v>0</v>
      </c>
      <c r="KA15" s="218">
        <v>0</v>
      </c>
      <c r="KB15" s="218">
        <v>0</v>
      </c>
      <c r="KC15" s="218">
        <v>0</v>
      </c>
      <c r="KD15" s="218">
        <v>0</v>
      </c>
      <c r="KE15" s="218">
        <v>40</v>
      </c>
      <c r="KF15" s="218">
        <v>75</v>
      </c>
      <c r="KG15" s="218">
        <v>75</v>
      </c>
      <c r="KH15" s="218">
        <v>100</v>
      </c>
      <c r="KI15" s="218">
        <v>150</v>
      </c>
      <c r="KJ15" s="218">
        <v>200</v>
      </c>
      <c r="KK15" s="214" t="s">
        <v>1535</v>
      </c>
      <c r="KL15" s="214" t="s">
        <v>1535</v>
      </c>
      <c r="KM15" s="214" t="s">
        <v>1535</v>
      </c>
      <c r="KN15" s="214" t="s">
        <v>1535</v>
      </c>
      <c r="KO15" s="218">
        <v>25</v>
      </c>
      <c r="KP15" s="218">
        <v>50</v>
      </c>
      <c r="KQ15" s="218">
        <v>100</v>
      </c>
      <c r="KR15" s="218">
        <v>150</v>
      </c>
      <c r="KS15" s="218">
        <v>25</v>
      </c>
      <c r="KT15" s="218">
        <v>50</v>
      </c>
      <c r="KU15" s="218">
        <v>100</v>
      </c>
      <c r="KV15" s="218">
        <v>150</v>
      </c>
      <c r="KW15" s="218">
        <v>200</v>
      </c>
      <c r="KX15" s="218">
        <v>200</v>
      </c>
      <c r="KY15" s="218">
        <v>200</v>
      </c>
      <c r="KZ15" s="218">
        <v>200</v>
      </c>
      <c r="LA15" s="218">
        <v>100</v>
      </c>
      <c r="LB15" s="218">
        <v>150</v>
      </c>
      <c r="LC15" s="218">
        <v>200</v>
      </c>
      <c r="LD15" s="218">
        <v>250</v>
      </c>
      <c r="LE15" s="218">
        <v>300</v>
      </c>
      <c r="LF15" s="218">
        <v>0</v>
      </c>
      <c r="LG15" s="218">
        <v>100</v>
      </c>
      <c r="LH15" s="218">
        <v>100</v>
      </c>
      <c r="LI15" s="218">
        <v>0</v>
      </c>
      <c r="LJ15" s="218">
        <v>150</v>
      </c>
      <c r="LK15" s="218">
        <v>200</v>
      </c>
      <c r="LL15" s="218">
        <v>250</v>
      </c>
      <c r="LM15" s="218">
        <v>212</v>
      </c>
      <c r="LN15" s="218">
        <v>262</v>
      </c>
      <c r="LO15" s="218">
        <v>327</v>
      </c>
      <c r="LP15" s="218">
        <v>376</v>
      </c>
      <c r="LQ15" s="218">
        <v>212</v>
      </c>
      <c r="LR15" s="218">
        <v>262</v>
      </c>
      <c r="LS15" s="218">
        <v>327</v>
      </c>
      <c r="LT15" s="218">
        <v>376</v>
      </c>
      <c r="LU15" s="218">
        <v>100</v>
      </c>
      <c r="LV15" s="218">
        <v>125</v>
      </c>
      <c r="LW15" s="218">
        <v>150</v>
      </c>
      <c r="LX15" s="218">
        <v>175</v>
      </c>
      <c r="LY15" s="218">
        <v>200</v>
      </c>
      <c r="LZ15" s="218">
        <v>225</v>
      </c>
      <c r="MA15" s="218">
        <v>250</v>
      </c>
      <c r="MB15" s="218">
        <v>275</v>
      </c>
      <c r="MC15" s="218">
        <v>300</v>
      </c>
      <c r="MD15" s="218">
        <v>325</v>
      </c>
      <c r="ME15" s="218">
        <v>350</v>
      </c>
      <c r="MF15" s="218">
        <v>375</v>
      </c>
      <c r="MG15" s="218" t="s">
        <v>1537</v>
      </c>
      <c r="MH15" s="218" t="s">
        <v>1538</v>
      </c>
      <c r="MI15" s="218" t="s">
        <v>1539</v>
      </c>
      <c r="MJ15" s="218" t="s">
        <v>1540</v>
      </c>
      <c r="MK15" s="218" t="s">
        <v>1456</v>
      </c>
      <c r="ML15" s="218">
        <v>0</v>
      </c>
      <c r="MM15" s="218">
        <v>100</v>
      </c>
      <c r="MN15" s="218">
        <v>40</v>
      </c>
      <c r="MO15" s="218">
        <v>80</v>
      </c>
      <c r="MP15" s="218">
        <v>120</v>
      </c>
      <c r="MQ15" s="218">
        <v>160</v>
      </c>
      <c r="MR15" s="218">
        <v>200</v>
      </c>
      <c r="MS15" s="218">
        <v>125</v>
      </c>
      <c r="MT15" s="218">
        <v>187</v>
      </c>
      <c r="MU15" s="218">
        <v>250</v>
      </c>
      <c r="MV15" s="218">
        <v>312</v>
      </c>
      <c r="MW15" s="218">
        <v>375</v>
      </c>
      <c r="MX15" s="218" t="s">
        <v>1537</v>
      </c>
      <c r="MY15" s="218" t="s">
        <v>1538</v>
      </c>
      <c r="MZ15" s="218" t="s">
        <v>1539</v>
      </c>
      <c r="NA15" s="218" t="s">
        <v>1540</v>
      </c>
      <c r="NB15" s="218" t="s">
        <v>1456</v>
      </c>
      <c r="NC15" s="218">
        <v>114</v>
      </c>
      <c r="ND15" s="218">
        <v>98</v>
      </c>
      <c r="NE15" s="218">
        <v>147</v>
      </c>
      <c r="NF15" s="218">
        <v>212</v>
      </c>
      <c r="NG15" s="218">
        <v>262</v>
      </c>
      <c r="NH15" s="218">
        <v>131</v>
      </c>
      <c r="NI15" s="218">
        <v>82</v>
      </c>
      <c r="NJ15" s="218">
        <v>131</v>
      </c>
      <c r="NK15" s="218">
        <v>196</v>
      </c>
      <c r="NL15" s="218">
        <v>245</v>
      </c>
      <c r="NM15" s="218">
        <v>212</v>
      </c>
      <c r="NN15" s="218">
        <v>49</v>
      </c>
      <c r="NO15" s="218">
        <v>114</v>
      </c>
      <c r="NP15" s="218">
        <v>163</v>
      </c>
      <c r="NQ15" s="218">
        <v>262</v>
      </c>
      <c r="NR15" s="218">
        <v>65</v>
      </c>
      <c r="NS15" s="218">
        <v>114</v>
      </c>
      <c r="NT15" s="218">
        <v>327</v>
      </c>
      <c r="NU15" s="218">
        <v>49</v>
      </c>
      <c r="NV15" s="218">
        <v>376</v>
      </c>
      <c r="NW15" s="218">
        <v>0</v>
      </c>
      <c r="NX15" s="218">
        <v>0</v>
      </c>
      <c r="NY15" s="218">
        <v>0</v>
      </c>
      <c r="NZ15" s="218">
        <v>150</v>
      </c>
      <c r="OA15" s="218">
        <v>150</v>
      </c>
      <c r="OB15" s="218">
        <v>200</v>
      </c>
      <c r="OC15" s="218">
        <v>200</v>
      </c>
      <c r="OD15" s="218">
        <v>250</v>
      </c>
      <c r="OE15" s="218">
        <v>250</v>
      </c>
      <c r="OF15" s="218">
        <v>300</v>
      </c>
      <c r="OG15" s="218">
        <v>300</v>
      </c>
      <c r="OH15" s="218">
        <v>350</v>
      </c>
      <c r="OI15" s="218">
        <v>350</v>
      </c>
      <c r="OJ15" s="218"/>
      <c r="OK15" s="218"/>
      <c r="OL15" s="218"/>
      <c r="OM15" s="218"/>
      <c r="ON15" s="218"/>
      <c r="OO15" s="218"/>
      <c r="OP15" s="218"/>
    </row>
    <row r="16" spans="1:406" x14ac:dyDescent="0.25">
      <c r="A16" s="228" t="s">
        <v>1541</v>
      </c>
      <c r="B16" s="213">
        <v>0.7</v>
      </c>
      <c r="C16" s="213">
        <v>1</v>
      </c>
      <c r="D16" s="213">
        <v>1</v>
      </c>
      <c r="E16" s="213">
        <v>1</v>
      </c>
      <c r="F16" s="213">
        <v>1</v>
      </c>
      <c r="G16" s="213">
        <v>1</v>
      </c>
      <c r="H16" s="213">
        <v>1</v>
      </c>
      <c r="I16" s="213">
        <v>1</v>
      </c>
      <c r="J16" s="213">
        <v>1</v>
      </c>
      <c r="K16" s="213">
        <v>1.25</v>
      </c>
      <c r="L16" s="213">
        <v>1.25</v>
      </c>
      <c r="M16" s="213">
        <v>1.25</v>
      </c>
      <c r="N16" s="213">
        <v>1.25</v>
      </c>
      <c r="O16" s="213">
        <v>1.25</v>
      </c>
      <c r="P16" s="213">
        <v>1.25</v>
      </c>
      <c r="Q16" s="213">
        <v>1.25</v>
      </c>
      <c r="R16" s="213">
        <v>1.25</v>
      </c>
      <c r="S16" s="213">
        <v>1.25</v>
      </c>
      <c r="T16" s="213">
        <v>1.5</v>
      </c>
      <c r="U16" s="213">
        <v>1.5</v>
      </c>
      <c r="V16" s="213">
        <v>1.5</v>
      </c>
      <c r="W16" s="213">
        <v>1.5</v>
      </c>
      <c r="X16" s="213">
        <v>1.5</v>
      </c>
      <c r="Y16" s="213">
        <v>1.5</v>
      </c>
      <c r="Z16" s="213">
        <v>1.5</v>
      </c>
      <c r="AA16" s="213">
        <v>1.5</v>
      </c>
      <c r="AB16" s="213">
        <v>1.5</v>
      </c>
      <c r="AC16" s="213">
        <v>2</v>
      </c>
      <c r="AD16" s="213">
        <v>2</v>
      </c>
      <c r="AE16" s="213">
        <v>2</v>
      </c>
      <c r="AF16" s="213">
        <v>2</v>
      </c>
      <c r="AG16" s="213">
        <v>2</v>
      </c>
      <c r="AH16" s="213">
        <v>2</v>
      </c>
      <c r="AI16" s="213">
        <v>2</v>
      </c>
      <c r="AJ16" s="213">
        <v>2</v>
      </c>
      <c r="AK16" s="213">
        <v>2</v>
      </c>
      <c r="AL16" s="213">
        <v>2.5</v>
      </c>
      <c r="AM16" s="213">
        <v>2.5</v>
      </c>
      <c r="AN16" s="213">
        <v>2.5</v>
      </c>
      <c r="AO16" s="213">
        <v>2.5</v>
      </c>
      <c r="AP16" s="213">
        <v>2.5</v>
      </c>
      <c r="AQ16" s="213">
        <v>2.5</v>
      </c>
      <c r="AR16" s="213">
        <v>2.5</v>
      </c>
      <c r="AS16" s="213">
        <v>2.5</v>
      </c>
      <c r="AT16" s="213">
        <v>2.5</v>
      </c>
      <c r="AU16" s="213">
        <v>3</v>
      </c>
      <c r="AV16" s="213">
        <v>3</v>
      </c>
      <c r="AW16" s="213">
        <v>3</v>
      </c>
      <c r="AX16" s="213">
        <v>3</v>
      </c>
      <c r="AY16" s="213">
        <v>3</v>
      </c>
      <c r="AZ16" s="213">
        <v>3</v>
      </c>
      <c r="BA16" s="213">
        <v>3</v>
      </c>
      <c r="BB16" s="213">
        <v>3</v>
      </c>
      <c r="BC16" s="213">
        <v>3</v>
      </c>
      <c r="BD16" s="213">
        <v>1</v>
      </c>
      <c r="BE16" s="213">
        <v>1.25</v>
      </c>
      <c r="BF16" s="213">
        <v>1</v>
      </c>
      <c r="BG16" s="213">
        <v>1.5</v>
      </c>
      <c r="BH16" s="213">
        <v>1.25</v>
      </c>
      <c r="BI16" s="213">
        <v>2</v>
      </c>
      <c r="BJ16" s="213">
        <v>1.5</v>
      </c>
      <c r="BK16" s="213">
        <v>2.5</v>
      </c>
      <c r="BL16" s="213">
        <v>3</v>
      </c>
      <c r="BM16" s="213">
        <v>1</v>
      </c>
      <c r="BN16" s="213">
        <v>1.3</v>
      </c>
      <c r="BO16" s="213">
        <v>1.5</v>
      </c>
      <c r="BP16" s="213">
        <v>2</v>
      </c>
      <c r="BQ16" s="213">
        <v>2.8</v>
      </c>
      <c r="BR16" s="213">
        <v>3.8</v>
      </c>
      <c r="BS16" s="213">
        <v>5</v>
      </c>
      <c r="BT16" s="213">
        <v>1</v>
      </c>
      <c r="BU16" s="213">
        <v>1.25</v>
      </c>
      <c r="BV16" s="213">
        <v>1.5</v>
      </c>
      <c r="BW16" s="213">
        <v>2</v>
      </c>
      <c r="BX16" s="213">
        <v>2.5</v>
      </c>
      <c r="BY16" s="213">
        <v>3</v>
      </c>
      <c r="BZ16" s="213">
        <v>1</v>
      </c>
      <c r="CA16" s="213">
        <v>1.25</v>
      </c>
      <c r="CB16" s="213">
        <v>1.25</v>
      </c>
      <c r="CC16" s="213">
        <v>1.5</v>
      </c>
      <c r="CD16" s="213">
        <v>1.5</v>
      </c>
      <c r="CE16" s="213">
        <v>1.75</v>
      </c>
      <c r="CF16" s="213">
        <v>1.75</v>
      </c>
      <c r="CG16" s="213">
        <v>2</v>
      </c>
      <c r="CH16" s="213">
        <v>2</v>
      </c>
      <c r="CI16" s="213">
        <v>2.5</v>
      </c>
      <c r="CJ16" s="213">
        <v>2.5</v>
      </c>
      <c r="CK16" s="213">
        <v>1</v>
      </c>
      <c r="CL16" s="213">
        <v>1.25</v>
      </c>
      <c r="CM16" s="213">
        <v>1.25</v>
      </c>
      <c r="CN16" s="213">
        <v>1.25</v>
      </c>
      <c r="CO16" s="213">
        <v>1.25</v>
      </c>
      <c r="CP16" s="213">
        <v>1.5</v>
      </c>
      <c r="CQ16" s="213">
        <v>1.5</v>
      </c>
      <c r="CR16" s="213">
        <v>1.5</v>
      </c>
      <c r="CS16" s="213">
        <v>1.5</v>
      </c>
      <c r="CT16" s="213">
        <v>2</v>
      </c>
      <c r="CU16" s="213">
        <v>2</v>
      </c>
      <c r="CV16" s="213">
        <v>2</v>
      </c>
      <c r="CW16" s="213">
        <v>2</v>
      </c>
      <c r="CX16" s="213">
        <v>2.5</v>
      </c>
      <c r="CY16" s="213">
        <v>2.5</v>
      </c>
      <c r="CZ16" s="213">
        <v>2.5</v>
      </c>
      <c r="DA16" s="213">
        <v>2.5</v>
      </c>
      <c r="DB16" s="213">
        <v>1.25</v>
      </c>
      <c r="DC16" s="213">
        <v>1.25</v>
      </c>
      <c r="DD16" s="213">
        <v>1.25</v>
      </c>
      <c r="DE16" s="213">
        <v>1.25</v>
      </c>
      <c r="DF16" s="213">
        <v>1.25</v>
      </c>
      <c r="DG16" s="213">
        <v>1.25</v>
      </c>
      <c r="DH16" s="213">
        <v>1.25</v>
      </c>
      <c r="DI16" s="213">
        <v>1.25</v>
      </c>
      <c r="DJ16" s="213">
        <v>1.25</v>
      </c>
      <c r="DK16" s="213">
        <v>1.5</v>
      </c>
      <c r="DL16" s="213">
        <v>1.5</v>
      </c>
      <c r="DM16" s="213">
        <v>1.5</v>
      </c>
      <c r="DN16" s="213">
        <v>1.5</v>
      </c>
      <c r="DO16" s="213">
        <v>1.5</v>
      </c>
      <c r="DP16" s="213">
        <v>1.5</v>
      </c>
      <c r="DQ16" s="213">
        <v>1.5</v>
      </c>
      <c r="DR16" s="213">
        <v>1.5</v>
      </c>
      <c r="DS16" s="213">
        <v>1.5</v>
      </c>
      <c r="DT16" s="213">
        <v>2</v>
      </c>
      <c r="DU16" s="213">
        <v>2</v>
      </c>
      <c r="DV16" s="213">
        <v>2</v>
      </c>
      <c r="DW16" s="213">
        <v>2</v>
      </c>
      <c r="DX16" s="213">
        <v>2</v>
      </c>
      <c r="DY16" s="213">
        <v>2</v>
      </c>
      <c r="DZ16" s="213">
        <v>2</v>
      </c>
      <c r="EA16" s="213">
        <v>2</v>
      </c>
      <c r="EB16" s="213">
        <v>2</v>
      </c>
      <c r="EC16" s="213">
        <v>2.5</v>
      </c>
      <c r="ED16" s="213">
        <v>2.5</v>
      </c>
      <c r="EE16" s="213">
        <v>2.5</v>
      </c>
      <c r="EF16" s="213">
        <v>2.5</v>
      </c>
      <c r="EG16" s="213">
        <v>2.5</v>
      </c>
      <c r="EH16" s="213">
        <v>2.5</v>
      </c>
      <c r="EI16" s="213">
        <v>2.5</v>
      </c>
      <c r="EJ16" s="213">
        <v>2.5</v>
      </c>
      <c r="EK16" s="213">
        <v>2.5</v>
      </c>
      <c r="EL16" s="213">
        <v>4</v>
      </c>
      <c r="EM16" s="213">
        <v>4</v>
      </c>
      <c r="EN16" s="213">
        <v>4</v>
      </c>
      <c r="EO16" s="213">
        <v>4</v>
      </c>
      <c r="EP16" s="213">
        <v>4</v>
      </c>
      <c r="EQ16" s="213">
        <v>4</v>
      </c>
      <c r="ER16" s="213">
        <v>4</v>
      </c>
      <c r="ES16" s="213">
        <v>4</v>
      </c>
      <c r="ET16" s="213">
        <v>4</v>
      </c>
      <c r="EU16" s="213">
        <v>0.7</v>
      </c>
      <c r="EV16" s="213">
        <v>0.7</v>
      </c>
      <c r="EW16" s="213">
        <v>0.7</v>
      </c>
      <c r="EX16" s="213">
        <v>0.7</v>
      </c>
      <c r="EY16" s="213">
        <v>1</v>
      </c>
      <c r="EZ16" s="213">
        <v>1</v>
      </c>
      <c r="FA16" s="213">
        <v>1</v>
      </c>
      <c r="FB16" s="213">
        <v>1</v>
      </c>
      <c r="FC16" s="213">
        <v>1</v>
      </c>
      <c r="FD16" s="213">
        <v>1</v>
      </c>
      <c r="FE16" s="213">
        <v>1</v>
      </c>
      <c r="FF16" s="213">
        <v>1</v>
      </c>
      <c r="FG16" s="213">
        <v>1</v>
      </c>
      <c r="FH16" s="213">
        <v>1</v>
      </c>
      <c r="FI16" s="213">
        <v>1</v>
      </c>
      <c r="FJ16" s="213">
        <v>1.25</v>
      </c>
      <c r="FK16" s="213">
        <v>1.25</v>
      </c>
      <c r="FL16" s="213">
        <v>1.25</v>
      </c>
      <c r="FM16" s="213">
        <v>1.25</v>
      </c>
      <c r="FN16" s="213">
        <v>1.25</v>
      </c>
      <c r="FO16" s="213">
        <v>1.25</v>
      </c>
      <c r="FP16" s="213">
        <v>1.25</v>
      </c>
      <c r="FQ16" s="213">
        <v>1.25</v>
      </c>
      <c r="FR16" s="213">
        <v>1.5</v>
      </c>
      <c r="FS16" s="213">
        <v>1.5</v>
      </c>
      <c r="FT16" s="213">
        <v>1.5</v>
      </c>
      <c r="FU16" s="213">
        <v>1.5</v>
      </c>
      <c r="FV16" s="213">
        <v>1.5</v>
      </c>
      <c r="FW16" s="213">
        <v>1.5</v>
      </c>
      <c r="FX16" s="213">
        <v>1.5</v>
      </c>
      <c r="FY16" s="213">
        <v>1.5</v>
      </c>
      <c r="FZ16" s="213">
        <v>2</v>
      </c>
      <c r="GA16" s="213">
        <v>2</v>
      </c>
      <c r="GB16" s="213">
        <v>2</v>
      </c>
      <c r="GC16" s="213">
        <v>2</v>
      </c>
      <c r="GD16" s="213">
        <v>2</v>
      </c>
      <c r="GE16" s="213">
        <v>2</v>
      </c>
      <c r="GF16" s="213">
        <v>2</v>
      </c>
      <c r="GG16" s="213">
        <v>2</v>
      </c>
      <c r="GH16" s="213">
        <v>3</v>
      </c>
      <c r="GI16" s="213">
        <v>3</v>
      </c>
      <c r="GJ16" s="213">
        <v>3</v>
      </c>
      <c r="GK16" s="213">
        <v>3</v>
      </c>
      <c r="GL16" s="213">
        <v>3</v>
      </c>
      <c r="GM16" s="213">
        <v>3</v>
      </c>
      <c r="GN16" s="213">
        <v>3</v>
      </c>
      <c r="GO16" s="213">
        <v>3</v>
      </c>
      <c r="GP16" s="213">
        <v>1.5</v>
      </c>
      <c r="GQ16" s="213">
        <v>1.5</v>
      </c>
      <c r="GR16" s="213">
        <v>2</v>
      </c>
      <c r="GS16" s="213">
        <v>2</v>
      </c>
      <c r="GT16" s="213">
        <v>2.5</v>
      </c>
      <c r="GU16" s="213">
        <v>2.5</v>
      </c>
      <c r="GV16" s="213">
        <v>3</v>
      </c>
      <c r="GW16" s="213">
        <v>3</v>
      </c>
      <c r="GX16" s="213">
        <v>4</v>
      </c>
      <c r="GY16" s="213">
        <v>4</v>
      </c>
      <c r="GZ16" s="213">
        <v>1</v>
      </c>
      <c r="HA16" s="213">
        <v>1</v>
      </c>
      <c r="HB16" s="213">
        <v>1.25</v>
      </c>
      <c r="HC16" s="213">
        <v>1.5</v>
      </c>
      <c r="HD16" s="213">
        <v>1</v>
      </c>
      <c r="HE16" s="213">
        <v>1</v>
      </c>
      <c r="HF16" s="213">
        <v>1</v>
      </c>
      <c r="HG16" s="213">
        <v>1.25</v>
      </c>
      <c r="HH16" s="213">
        <v>1.25</v>
      </c>
      <c r="HI16" s="213">
        <v>1.25</v>
      </c>
      <c r="HJ16" s="213">
        <v>1.25</v>
      </c>
      <c r="HK16" s="213">
        <v>1.25</v>
      </c>
      <c r="HL16" s="213">
        <v>1.25</v>
      </c>
      <c r="HM16" s="213">
        <v>1.5</v>
      </c>
      <c r="HN16" s="213">
        <v>1.5</v>
      </c>
      <c r="HO16" s="213">
        <v>1.5</v>
      </c>
      <c r="HP16" s="213">
        <v>1.75</v>
      </c>
      <c r="HQ16" s="213">
        <v>1.75</v>
      </c>
      <c r="HR16" s="213">
        <v>1.75</v>
      </c>
      <c r="HS16" s="213">
        <v>2</v>
      </c>
      <c r="HT16" s="213">
        <v>2</v>
      </c>
      <c r="HU16" s="213">
        <v>2</v>
      </c>
      <c r="HV16" s="213">
        <v>1</v>
      </c>
      <c r="HW16" s="213">
        <v>1</v>
      </c>
      <c r="HX16" s="213">
        <v>1</v>
      </c>
      <c r="HY16" s="213">
        <v>1</v>
      </c>
      <c r="HZ16" s="213">
        <v>1</v>
      </c>
      <c r="IA16" s="213">
        <v>1</v>
      </c>
      <c r="IB16" s="213">
        <v>1</v>
      </c>
      <c r="IC16" s="213">
        <v>1</v>
      </c>
      <c r="ID16" s="213">
        <v>1</v>
      </c>
      <c r="IE16" s="213">
        <v>1</v>
      </c>
      <c r="IF16" s="213">
        <v>1</v>
      </c>
      <c r="IG16" s="213">
        <v>1</v>
      </c>
      <c r="IH16" s="213">
        <v>1</v>
      </c>
      <c r="II16" s="213">
        <v>1</v>
      </c>
      <c r="IJ16" s="213">
        <v>1</v>
      </c>
      <c r="IK16" s="213">
        <v>1</v>
      </c>
      <c r="IL16" s="213">
        <v>1</v>
      </c>
      <c r="IM16" s="213">
        <v>1</v>
      </c>
      <c r="IN16" s="213">
        <v>1</v>
      </c>
      <c r="IO16" s="213">
        <v>1</v>
      </c>
      <c r="IP16" s="213">
        <v>1</v>
      </c>
      <c r="IQ16" s="213">
        <v>1.25</v>
      </c>
      <c r="IR16" s="213">
        <v>1.5</v>
      </c>
      <c r="IS16" s="213">
        <v>1.75</v>
      </c>
      <c r="IT16" s="213">
        <v>1</v>
      </c>
      <c r="IU16" s="213">
        <v>1</v>
      </c>
      <c r="IV16" s="213">
        <v>1.25</v>
      </c>
      <c r="IW16" s="213">
        <v>1.5</v>
      </c>
      <c r="IX16" s="213">
        <v>1.75</v>
      </c>
      <c r="IY16" s="213">
        <v>1.75</v>
      </c>
      <c r="IZ16" s="213">
        <v>1.75</v>
      </c>
      <c r="JA16" s="213">
        <v>0.7</v>
      </c>
      <c r="JB16" s="214" t="s">
        <v>1389</v>
      </c>
      <c r="JC16" s="214" t="s">
        <v>1389</v>
      </c>
      <c r="JD16" s="214" t="s">
        <v>1390</v>
      </c>
      <c r="JE16" s="214" t="s">
        <v>1390</v>
      </c>
      <c r="JF16" s="214" t="s">
        <v>1390</v>
      </c>
      <c r="JG16" s="214" t="s">
        <v>1390</v>
      </c>
      <c r="JH16" s="214" t="s">
        <v>1389</v>
      </c>
      <c r="JI16" s="214" t="s">
        <v>1389</v>
      </c>
      <c r="JJ16" s="214" t="s">
        <v>1389</v>
      </c>
      <c r="JK16" s="214" t="s">
        <v>1389</v>
      </c>
      <c r="JL16" s="214" t="s">
        <v>1411</v>
      </c>
      <c r="JM16" s="214" t="s">
        <v>1411</v>
      </c>
      <c r="JN16" s="214" t="s">
        <v>1411</v>
      </c>
      <c r="JO16" s="214" t="s">
        <v>1411</v>
      </c>
      <c r="JP16" s="214" t="s">
        <v>1396</v>
      </c>
      <c r="JQ16" s="214" t="s">
        <v>1396</v>
      </c>
      <c r="JR16" s="214" t="s">
        <v>1396</v>
      </c>
      <c r="JS16" s="214" t="s">
        <v>1396</v>
      </c>
      <c r="JT16" s="214" t="s">
        <v>1397</v>
      </c>
      <c r="JU16" s="214" t="s">
        <v>1397</v>
      </c>
      <c r="JV16" s="214" t="s">
        <v>1397</v>
      </c>
      <c r="JW16" s="214" t="s">
        <v>1397</v>
      </c>
      <c r="JX16" s="213">
        <v>0.7</v>
      </c>
      <c r="JY16" s="213">
        <v>0.7</v>
      </c>
      <c r="JZ16" s="213">
        <v>0.7</v>
      </c>
      <c r="KA16" s="213">
        <v>0.7</v>
      </c>
      <c r="KB16" s="213">
        <v>0.7</v>
      </c>
      <c r="KC16" s="213">
        <v>0.7</v>
      </c>
      <c r="KD16" s="213">
        <v>0.7</v>
      </c>
      <c r="KE16" s="213">
        <v>1</v>
      </c>
      <c r="KF16" s="213">
        <v>1</v>
      </c>
      <c r="KG16" s="213">
        <v>1.25</v>
      </c>
      <c r="KH16" s="213">
        <v>1.5</v>
      </c>
      <c r="KI16" s="213">
        <v>1.75</v>
      </c>
      <c r="KJ16" s="213">
        <v>2</v>
      </c>
      <c r="KK16" s="213">
        <v>0.5</v>
      </c>
      <c r="KL16" s="213">
        <v>0.75</v>
      </c>
      <c r="KM16" s="213">
        <v>1</v>
      </c>
      <c r="KN16" s="213">
        <v>2</v>
      </c>
      <c r="KO16" s="213">
        <v>1</v>
      </c>
      <c r="KP16" s="213">
        <v>1.25</v>
      </c>
      <c r="KQ16" s="213">
        <v>1.5</v>
      </c>
      <c r="KR16" s="213">
        <v>1.75</v>
      </c>
      <c r="KS16" s="213">
        <v>1</v>
      </c>
      <c r="KT16" s="213">
        <v>1.25</v>
      </c>
      <c r="KU16" s="213">
        <v>1.5</v>
      </c>
      <c r="KV16" s="213">
        <v>1.75</v>
      </c>
      <c r="KW16" s="213">
        <v>1.75</v>
      </c>
      <c r="KX16" s="213">
        <v>2</v>
      </c>
      <c r="KY16" s="213">
        <v>2.5</v>
      </c>
      <c r="KZ16" s="213">
        <v>3</v>
      </c>
      <c r="LA16" s="213">
        <v>1.25</v>
      </c>
      <c r="LB16" s="213">
        <v>1.5</v>
      </c>
      <c r="LC16" s="213">
        <v>1.75</v>
      </c>
      <c r="LD16" s="213">
        <v>2</v>
      </c>
      <c r="LE16" s="213">
        <v>2.5</v>
      </c>
      <c r="LF16" s="213">
        <v>1</v>
      </c>
      <c r="LG16" s="213">
        <v>1</v>
      </c>
      <c r="LH16" s="213">
        <v>1</v>
      </c>
      <c r="LI16" s="213">
        <v>1</v>
      </c>
      <c r="LJ16" s="213">
        <v>1.5</v>
      </c>
      <c r="LK16" s="213">
        <v>2</v>
      </c>
      <c r="LL16" s="213">
        <v>3</v>
      </c>
      <c r="LM16" s="213">
        <v>1.7</v>
      </c>
      <c r="LN16" s="213">
        <v>2.7</v>
      </c>
      <c r="LO16" s="213">
        <v>3.7</v>
      </c>
      <c r="LP16" s="213">
        <v>4.7</v>
      </c>
      <c r="LQ16" s="213">
        <v>1.7</v>
      </c>
      <c r="LR16" s="213">
        <v>2.7</v>
      </c>
      <c r="LS16" s="213">
        <v>3.7</v>
      </c>
      <c r="LT16" s="213">
        <v>4.7</v>
      </c>
      <c r="LU16" s="213">
        <v>1.5</v>
      </c>
      <c r="LV16" s="213">
        <v>1.75</v>
      </c>
      <c r="LW16" s="213">
        <v>2</v>
      </c>
      <c r="LX16" s="213">
        <v>2.25</v>
      </c>
      <c r="LY16" s="213">
        <v>2.5</v>
      </c>
      <c r="LZ16" s="213">
        <v>2.75</v>
      </c>
      <c r="MA16" s="213">
        <v>3</v>
      </c>
      <c r="MB16" s="213">
        <v>3.5</v>
      </c>
      <c r="MC16" s="213">
        <v>4</v>
      </c>
      <c r="MD16" s="213">
        <v>4.5</v>
      </c>
      <c r="ME16" s="213">
        <v>5</v>
      </c>
      <c r="MF16" s="213">
        <v>5.5</v>
      </c>
      <c r="MG16" s="213">
        <v>0.25</v>
      </c>
      <c r="MH16" s="213">
        <v>0.5</v>
      </c>
      <c r="MI16" s="213">
        <v>0.75</v>
      </c>
      <c r="MJ16" s="213">
        <v>1</v>
      </c>
      <c r="MK16" s="213">
        <v>1.25</v>
      </c>
      <c r="ML16" s="213">
        <v>1</v>
      </c>
      <c r="MM16" s="213">
        <v>1.5</v>
      </c>
      <c r="MN16" s="213">
        <v>0.25</v>
      </c>
      <c r="MO16" s="213">
        <v>0.5</v>
      </c>
      <c r="MP16" s="213">
        <v>0.75</v>
      </c>
      <c r="MQ16" s="213">
        <v>1</v>
      </c>
      <c r="MR16" s="213">
        <v>1.25</v>
      </c>
      <c r="MS16" s="213">
        <v>1.5</v>
      </c>
      <c r="MT16" s="213">
        <v>1.7</v>
      </c>
      <c r="MU16" s="213">
        <v>2.7</v>
      </c>
      <c r="MV16" s="213">
        <v>3.7</v>
      </c>
      <c r="MW16" s="213">
        <v>4.7</v>
      </c>
      <c r="MX16" s="213">
        <v>0.25</v>
      </c>
      <c r="MY16" s="213">
        <v>0.5</v>
      </c>
      <c r="MZ16" s="213">
        <v>0.75</v>
      </c>
      <c r="NA16" s="213">
        <v>1</v>
      </c>
      <c r="NB16" s="213">
        <v>1.25</v>
      </c>
      <c r="NC16" s="213">
        <v>1</v>
      </c>
      <c r="ND16" s="213">
        <v>0.7</v>
      </c>
      <c r="NE16" s="213">
        <v>1.7</v>
      </c>
      <c r="NF16" s="213">
        <v>2.7</v>
      </c>
      <c r="NG16" s="213">
        <v>3.7</v>
      </c>
      <c r="NH16" s="213">
        <v>1.5</v>
      </c>
      <c r="NI16" s="213">
        <v>0.7</v>
      </c>
      <c r="NJ16" s="213">
        <v>1.2</v>
      </c>
      <c r="NK16" s="213">
        <v>2.2000000000000002</v>
      </c>
      <c r="NL16" s="213">
        <v>3.2</v>
      </c>
      <c r="NM16" s="213">
        <v>1.7</v>
      </c>
      <c r="NN16" s="213">
        <v>1.2</v>
      </c>
      <c r="NO16" s="213">
        <v>2.2000000000000002</v>
      </c>
      <c r="NP16" s="213">
        <v>3.2</v>
      </c>
      <c r="NQ16" s="213">
        <v>2.7</v>
      </c>
      <c r="NR16" s="213">
        <v>1.7</v>
      </c>
      <c r="NS16" s="213">
        <v>2.7</v>
      </c>
      <c r="NT16" s="213">
        <v>3.7</v>
      </c>
      <c r="NU16" s="213">
        <v>1.7</v>
      </c>
      <c r="NV16" s="213">
        <v>4.7</v>
      </c>
      <c r="NW16" s="213">
        <v>2.7</v>
      </c>
      <c r="NX16" s="213">
        <v>1</v>
      </c>
      <c r="NY16" s="213">
        <v>1</v>
      </c>
      <c r="NZ16" s="213">
        <v>1.5</v>
      </c>
      <c r="OA16" s="213">
        <v>1.5</v>
      </c>
      <c r="OB16" s="213">
        <v>2</v>
      </c>
      <c r="OC16" s="213">
        <v>2</v>
      </c>
      <c r="OD16" s="213">
        <v>2.5</v>
      </c>
      <c r="OE16" s="213">
        <v>2.5</v>
      </c>
      <c r="OF16" s="213">
        <v>3</v>
      </c>
      <c r="OG16" s="213">
        <v>3</v>
      </c>
      <c r="OH16" s="213">
        <v>4</v>
      </c>
      <c r="OI16" s="213">
        <v>4</v>
      </c>
      <c r="OJ16" s="213"/>
      <c r="OK16" s="213">
        <v>0.5</v>
      </c>
      <c r="OL16" s="213">
        <v>1</v>
      </c>
      <c r="OM16" s="213">
        <v>2</v>
      </c>
      <c r="ON16" s="213"/>
      <c r="OO16" s="213"/>
      <c r="OP16" s="213"/>
    </row>
    <row r="17" spans="1:406" ht="30" x14ac:dyDescent="0.25">
      <c r="A17" s="228" t="s">
        <v>1542</v>
      </c>
      <c r="B17" s="213">
        <v>0.7</v>
      </c>
      <c r="C17" s="213">
        <v>1</v>
      </c>
      <c r="D17" s="213">
        <v>1</v>
      </c>
      <c r="E17" s="213">
        <v>1</v>
      </c>
      <c r="F17" s="213">
        <v>1</v>
      </c>
      <c r="G17" s="213">
        <v>1</v>
      </c>
      <c r="H17" s="213">
        <v>1</v>
      </c>
      <c r="I17" s="213">
        <v>1</v>
      </c>
      <c r="J17" s="213">
        <v>1</v>
      </c>
      <c r="K17" s="213">
        <v>1.05</v>
      </c>
      <c r="L17" s="213">
        <v>1.05</v>
      </c>
      <c r="M17" s="213">
        <v>1.05</v>
      </c>
      <c r="N17" s="213">
        <v>1.05</v>
      </c>
      <c r="O17" s="213">
        <v>1.05</v>
      </c>
      <c r="P17" s="213">
        <v>1.05</v>
      </c>
      <c r="Q17" s="213">
        <v>1.05</v>
      </c>
      <c r="R17" s="213">
        <v>1.05</v>
      </c>
      <c r="S17" s="213">
        <v>1.05</v>
      </c>
      <c r="T17" s="213">
        <v>1.3</v>
      </c>
      <c r="U17" s="213">
        <v>1.3</v>
      </c>
      <c r="V17" s="213">
        <v>1.3</v>
      </c>
      <c r="W17" s="213">
        <v>1.3</v>
      </c>
      <c r="X17" s="213">
        <v>1.3</v>
      </c>
      <c r="Y17" s="213">
        <v>1.3</v>
      </c>
      <c r="Z17" s="213">
        <v>1.3</v>
      </c>
      <c r="AA17" s="213">
        <v>1.3</v>
      </c>
      <c r="AB17" s="213">
        <v>1.3</v>
      </c>
      <c r="AC17" s="213">
        <v>1.8</v>
      </c>
      <c r="AD17" s="213">
        <v>1.8</v>
      </c>
      <c r="AE17" s="213">
        <v>1.8</v>
      </c>
      <c r="AF17" s="213">
        <v>1.8</v>
      </c>
      <c r="AG17" s="213">
        <v>1.8</v>
      </c>
      <c r="AH17" s="213">
        <v>1.8</v>
      </c>
      <c r="AI17" s="213">
        <v>1.8</v>
      </c>
      <c r="AJ17" s="213">
        <v>1.8</v>
      </c>
      <c r="AK17" s="213">
        <v>1.8</v>
      </c>
      <c r="AL17" s="213">
        <v>2</v>
      </c>
      <c r="AM17" s="213">
        <v>2</v>
      </c>
      <c r="AN17" s="213">
        <v>2</v>
      </c>
      <c r="AO17" s="213">
        <v>2</v>
      </c>
      <c r="AP17" s="213">
        <v>2</v>
      </c>
      <c r="AQ17" s="213">
        <v>2</v>
      </c>
      <c r="AR17" s="213">
        <v>2</v>
      </c>
      <c r="AS17" s="213">
        <v>2</v>
      </c>
      <c r="AT17" s="213">
        <v>2</v>
      </c>
      <c r="AU17" s="213">
        <v>2</v>
      </c>
      <c r="AV17" s="213">
        <v>2</v>
      </c>
      <c r="AW17" s="213">
        <v>2</v>
      </c>
      <c r="AX17" s="213">
        <v>2</v>
      </c>
      <c r="AY17" s="213">
        <v>2</v>
      </c>
      <c r="AZ17" s="213">
        <v>2</v>
      </c>
      <c r="BA17" s="213">
        <v>2</v>
      </c>
      <c r="BB17" s="213">
        <v>2</v>
      </c>
      <c r="BC17" s="213">
        <v>2</v>
      </c>
      <c r="BD17" s="213">
        <v>1</v>
      </c>
      <c r="BE17" s="213">
        <v>1.25</v>
      </c>
      <c r="BF17" s="213">
        <v>1</v>
      </c>
      <c r="BG17" s="213">
        <v>1.5</v>
      </c>
      <c r="BH17" s="213">
        <v>1.25</v>
      </c>
      <c r="BI17" s="213">
        <v>2</v>
      </c>
      <c r="BJ17" s="213">
        <v>1.5</v>
      </c>
      <c r="BK17" s="213">
        <v>2</v>
      </c>
      <c r="BL17" s="213">
        <v>2</v>
      </c>
      <c r="BM17" s="213">
        <v>1</v>
      </c>
      <c r="BN17" s="213">
        <v>1.1000000000000001</v>
      </c>
      <c r="BO17" s="213">
        <v>1.3</v>
      </c>
      <c r="BP17" s="213">
        <v>1.8</v>
      </c>
      <c r="BQ17" s="213">
        <v>2</v>
      </c>
      <c r="BR17" s="213">
        <v>2</v>
      </c>
      <c r="BS17" s="213">
        <v>2</v>
      </c>
      <c r="BT17" s="213">
        <v>1</v>
      </c>
      <c r="BU17" s="213">
        <v>1</v>
      </c>
      <c r="BV17" s="213">
        <v>1.25</v>
      </c>
      <c r="BW17" s="213">
        <v>1.5</v>
      </c>
      <c r="BX17" s="213">
        <v>1.75</v>
      </c>
      <c r="BY17" s="213">
        <v>2</v>
      </c>
      <c r="BZ17" s="213">
        <v>1</v>
      </c>
      <c r="CA17" s="213">
        <v>1.05</v>
      </c>
      <c r="CB17" s="213">
        <v>1.05</v>
      </c>
      <c r="CC17" s="213">
        <v>1.3</v>
      </c>
      <c r="CD17" s="213">
        <v>1.3</v>
      </c>
      <c r="CE17" s="213">
        <v>1.55</v>
      </c>
      <c r="CF17" s="213">
        <v>1.55</v>
      </c>
      <c r="CG17" s="213">
        <v>1.8</v>
      </c>
      <c r="CH17" s="213">
        <v>1.8</v>
      </c>
      <c r="CI17" s="213">
        <v>2</v>
      </c>
      <c r="CJ17" s="213">
        <v>2</v>
      </c>
      <c r="CK17" s="213">
        <v>1</v>
      </c>
      <c r="CL17" s="213">
        <v>1.05</v>
      </c>
      <c r="CM17" s="213">
        <v>1.05</v>
      </c>
      <c r="CN17" s="213">
        <v>1.05</v>
      </c>
      <c r="CO17" s="213">
        <v>1.05</v>
      </c>
      <c r="CP17" s="213">
        <v>1.3</v>
      </c>
      <c r="CQ17" s="213">
        <v>1.3</v>
      </c>
      <c r="CR17" s="213">
        <v>1.3</v>
      </c>
      <c r="CS17" s="213">
        <v>1.3</v>
      </c>
      <c r="CT17" s="213">
        <v>1.8</v>
      </c>
      <c r="CU17" s="213">
        <v>1.8</v>
      </c>
      <c r="CV17" s="213">
        <v>1.8</v>
      </c>
      <c r="CW17" s="213">
        <v>1.8</v>
      </c>
      <c r="CX17" s="213">
        <v>2</v>
      </c>
      <c r="CY17" s="213">
        <v>2</v>
      </c>
      <c r="CZ17" s="213">
        <v>2</v>
      </c>
      <c r="DA17" s="213">
        <v>2</v>
      </c>
      <c r="DB17" s="213">
        <v>1.05</v>
      </c>
      <c r="DC17" s="213">
        <v>1.05</v>
      </c>
      <c r="DD17" s="213">
        <v>1.05</v>
      </c>
      <c r="DE17" s="213">
        <v>1.05</v>
      </c>
      <c r="DF17" s="213">
        <v>1.05</v>
      </c>
      <c r="DG17" s="213">
        <v>1.05</v>
      </c>
      <c r="DH17" s="213">
        <v>1.05</v>
      </c>
      <c r="DI17" s="213">
        <v>1.05</v>
      </c>
      <c r="DJ17" s="213">
        <v>1.05</v>
      </c>
      <c r="DK17" s="213">
        <v>1.3</v>
      </c>
      <c r="DL17" s="213">
        <v>1.3</v>
      </c>
      <c r="DM17" s="213">
        <v>1.3</v>
      </c>
      <c r="DN17" s="213">
        <v>1.3</v>
      </c>
      <c r="DO17" s="213">
        <v>1.3</v>
      </c>
      <c r="DP17" s="213">
        <v>1.3</v>
      </c>
      <c r="DQ17" s="213">
        <v>1.3</v>
      </c>
      <c r="DR17" s="213">
        <v>1.3</v>
      </c>
      <c r="DS17" s="213">
        <v>1.3</v>
      </c>
      <c r="DT17" s="213">
        <v>1.8</v>
      </c>
      <c r="DU17" s="213">
        <v>1.8</v>
      </c>
      <c r="DV17" s="213">
        <v>1.8</v>
      </c>
      <c r="DW17" s="213">
        <v>1.8</v>
      </c>
      <c r="DX17" s="213">
        <v>1.8</v>
      </c>
      <c r="DY17" s="213">
        <v>1.8</v>
      </c>
      <c r="DZ17" s="213">
        <v>1.8</v>
      </c>
      <c r="EA17" s="213">
        <v>1.8</v>
      </c>
      <c r="EB17" s="213">
        <v>1.8</v>
      </c>
      <c r="EC17" s="213">
        <v>2</v>
      </c>
      <c r="ED17" s="213">
        <v>2</v>
      </c>
      <c r="EE17" s="213">
        <v>2</v>
      </c>
      <c r="EF17" s="213">
        <v>2</v>
      </c>
      <c r="EG17" s="213">
        <v>2</v>
      </c>
      <c r="EH17" s="213">
        <v>2</v>
      </c>
      <c r="EI17" s="213">
        <v>2</v>
      </c>
      <c r="EJ17" s="213">
        <v>2</v>
      </c>
      <c r="EK17" s="213">
        <v>2</v>
      </c>
      <c r="EL17" s="213">
        <v>2</v>
      </c>
      <c r="EM17" s="213">
        <v>2</v>
      </c>
      <c r="EN17" s="213">
        <v>2</v>
      </c>
      <c r="EO17" s="213">
        <v>2</v>
      </c>
      <c r="EP17" s="213">
        <v>2</v>
      </c>
      <c r="EQ17" s="213">
        <v>2</v>
      </c>
      <c r="ER17" s="213">
        <v>2</v>
      </c>
      <c r="ES17" s="213">
        <v>2</v>
      </c>
      <c r="ET17" s="213">
        <v>2</v>
      </c>
      <c r="EU17" s="213">
        <v>0.7</v>
      </c>
      <c r="EV17" s="213">
        <v>0.7</v>
      </c>
      <c r="EW17" s="213">
        <v>0.7</v>
      </c>
      <c r="EX17" s="213">
        <v>0.7</v>
      </c>
      <c r="EY17" s="213">
        <v>1</v>
      </c>
      <c r="EZ17" s="213">
        <v>1</v>
      </c>
      <c r="FA17" s="213">
        <v>1</v>
      </c>
      <c r="FB17" s="213">
        <v>1</v>
      </c>
      <c r="FC17" s="213">
        <v>1</v>
      </c>
      <c r="FD17" s="213">
        <v>1</v>
      </c>
      <c r="FE17" s="213">
        <v>1</v>
      </c>
      <c r="FF17" s="213">
        <v>1</v>
      </c>
      <c r="FG17" s="213">
        <v>1</v>
      </c>
      <c r="FH17" s="213">
        <v>1</v>
      </c>
      <c r="FI17" s="213">
        <v>1</v>
      </c>
      <c r="FJ17" s="213">
        <v>1.05</v>
      </c>
      <c r="FK17" s="213">
        <v>1.05</v>
      </c>
      <c r="FL17" s="213">
        <v>1.05</v>
      </c>
      <c r="FM17" s="213">
        <v>1.05</v>
      </c>
      <c r="FN17" s="213">
        <v>1.05</v>
      </c>
      <c r="FO17" s="213">
        <v>1.05</v>
      </c>
      <c r="FP17" s="213">
        <v>1.05</v>
      </c>
      <c r="FQ17" s="213">
        <v>1.05</v>
      </c>
      <c r="FR17" s="213">
        <v>1.3</v>
      </c>
      <c r="FS17" s="213">
        <v>1.3</v>
      </c>
      <c r="FT17" s="213">
        <v>1.3</v>
      </c>
      <c r="FU17" s="213">
        <v>1.3</v>
      </c>
      <c r="FV17" s="213">
        <v>1.3</v>
      </c>
      <c r="FW17" s="213">
        <v>1.3</v>
      </c>
      <c r="FX17" s="213">
        <v>1.3</v>
      </c>
      <c r="FY17" s="213">
        <v>1.3</v>
      </c>
      <c r="FZ17" s="213">
        <v>1.8</v>
      </c>
      <c r="GA17" s="213">
        <v>1.8</v>
      </c>
      <c r="GB17" s="213">
        <v>1.8</v>
      </c>
      <c r="GC17" s="213">
        <v>1.8</v>
      </c>
      <c r="GD17" s="213">
        <v>1.8</v>
      </c>
      <c r="GE17" s="213">
        <v>1.8</v>
      </c>
      <c r="GF17" s="213">
        <v>1.8</v>
      </c>
      <c r="GG17" s="213">
        <v>1.8</v>
      </c>
      <c r="GH17" s="213">
        <v>2</v>
      </c>
      <c r="GI17" s="213">
        <v>2</v>
      </c>
      <c r="GJ17" s="213">
        <v>2</v>
      </c>
      <c r="GK17" s="213">
        <v>2</v>
      </c>
      <c r="GL17" s="213">
        <v>2</v>
      </c>
      <c r="GM17" s="213">
        <v>2</v>
      </c>
      <c r="GN17" s="213">
        <v>2</v>
      </c>
      <c r="GO17" s="213">
        <v>2</v>
      </c>
      <c r="GP17" s="213">
        <v>1.25</v>
      </c>
      <c r="GQ17" s="213">
        <v>1.25</v>
      </c>
      <c r="GR17" s="213">
        <v>1.75</v>
      </c>
      <c r="GS17" s="213">
        <v>1.75</v>
      </c>
      <c r="GT17" s="213">
        <v>2</v>
      </c>
      <c r="GU17" s="213">
        <v>2</v>
      </c>
      <c r="GV17" s="213">
        <v>2</v>
      </c>
      <c r="GW17" s="213">
        <v>2</v>
      </c>
      <c r="GX17" s="213">
        <v>2</v>
      </c>
      <c r="GY17" s="213">
        <v>2</v>
      </c>
      <c r="GZ17" s="213">
        <v>1</v>
      </c>
      <c r="HA17" s="213">
        <v>1</v>
      </c>
      <c r="HB17" s="213">
        <v>1.05</v>
      </c>
      <c r="HC17" s="213">
        <v>1.3</v>
      </c>
      <c r="HD17" s="213">
        <v>1</v>
      </c>
      <c r="HE17" s="213">
        <v>1</v>
      </c>
      <c r="HF17" s="213">
        <v>1</v>
      </c>
      <c r="HG17" s="213">
        <v>1</v>
      </c>
      <c r="HH17" s="213">
        <v>1</v>
      </c>
      <c r="HI17" s="213">
        <v>1</v>
      </c>
      <c r="HJ17" s="213">
        <v>1.05</v>
      </c>
      <c r="HK17" s="213">
        <v>1.05</v>
      </c>
      <c r="HL17" s="213">
        <v>1.05</v>
      </c>
      <c r="HM17" s="213">
        <v>1.05</v>
      </c>
      <c r="HN17" s="213">
        <v>1.05</v>
      </c>
      <c r="HO17" s="213">
        <v>1.05</v>
      </c>
      <c r="HP17" s="213">
        <v>1.05</v>
      </c>
      <c r="HQ17" s="213">
        <v>1.05</v>
      </c>
      <c r="HR17" s="213">
        <v>1.05</v>
      </c>
      <c r="HS17" s="213">
        <v>1.05</v>
      </c>
      <c r="HT17" s="213">
        <v>1.05</v>
      </c>
      <c r="HU17" s="213">
        <v>1.05</v>
      </c>
      <c r="HV17" s="213">
        <v>1</v>
      </c>
      <c r="HW17" s="213">
        <v>1</v>
      </c>
      <c r="HX17" s="213">
        <v>1</v>
      </c>
      <c r="HY17" s="213">
        <v>1</v>
      </c>
      <c r="HZ17" s="213">
        <v>1</v>
      </c>
      <c r="IA17" s="213">
        <v>1</v>
      </c>
      <c r="IB17" s="213">
        <v>1</v>
      </c>
      <c r="IC17" s="213">
        <v>1</v>
      </c>
      <c r="ID17" s="213">
        <v>1</v>
      </c>
      <c r="IE17" s="213">
        <v>1</v>
      </c>
      <c r="IF17" s="213">
        <v>1</v>
      </c>
      <c r="IG17" s="213">
        <v>1</v>
      </c>
      <c r="IH17" s="213">
        <v>1.55</v>
      </c>
      <c r="II17" s="213">
        <v>1.55</v>
      </c>
      <c r="IJ17" s="213">
        <v>1.55</v>
      </c>
      <c r="IK17" s="213">
        <v>1.55</v>
      </c>
      <c r="IL17" s="213">
        <v>1.8</v>
      </c>
      <c r="IM17" s="213">
        <v>1.8</v>
      </c>
      <c r="IN17" s="213">
        <v>1.8</v>
      </c>
      <c r="IO17" s="213">
        <v>1.8</v>
      </c>
      <c r="IP17" s="213">
        <v>1</v>
      </c>
      <c r="IQ17" s="213">
        <v>1</v>
      </c>
      <c r="IR17" s="213">
        <v>1.2</v>
      </c>
      <c r="IS17" s="213">
        <v>1.35</v>
      </c>
      <c r="IT17" s="213">
        <v>1</v>
      </c>
      <c r="IU17" s="213">
        <v>1</v>
      </c>
      <c r="IV17" s="213">
        <v>1.05</v>
      </c>
      <c r="IW17" s="213">
        <v>1.3</v>
      </c>
      <c r="IX17" s="213">
        <v>1.55</v>
      </c>
      <c r="IY17" s="213">
        <v>1.55</v>
      </c>
      <c r="IZ17" s="213">
        <v>1.55</v>
      </c>
      <c r="JA17" s="213">
        <v>0.7</v>
      </c>
      <c r="JB17" s="214" t="s">
        <v>1389</v>
      </c>
      <c r="JC17" s="214" t="s">
        <v>1389</v>
      </c>
      <c r="JD17" s="214" t="s">
        <v>1389</v>
      </c>
      <c r="JE17" s="214" t="s">
        <v>1389</v>
      </c>
      <c r="JF17" s="214" t="s">
        <v>1389</v>
      </c>
      <c r="JG17" s="214" t="s">
        <v>1389</v>
      </c>
      <c r="JH17" s="214" t="s">
        <v>1389</v>
      </c>
      <c r="JI17" s="214" t="s">
        <v>1389</v>
      </c>
      <c r="JJ17" s="214" t="s">
        <v>1389</v>
      </c>
      <c r="JK17" s="214" t="s">
        <v>1389</v>
      </c>
      <c r="JL17" s="214" t="s">
        <v>1543</v>
      </c>
      <c r="JM17" s="214" t="s">
        <v>1543</v>
      </c>
      <c r="JN17" s="214" t="s">
        <v>1543</v>
      </c>
      <c r="JO17" s="214" t="s">
        <v>1543</v>
      </c>
      <c r="JP17" s="214" t="s">
        <v>1411</v>
      </c>
      <c r="JQ17" s="214" t="s">
        <v>1411</v>
      </c>
      <c r="JR17" s="214" t="s">
        <v>1411</v>
      </c>
      <c r="JS17" s="214" t="s">
        <v>1411</v>
      </c>
      <c r="JT17" s="214" t="s">
        <v>1412</v>
      </c>
      <c r="JU17" s="214" t="s">
        <v>1412</v>
      </c>
      <c r="JV17" s="214" t="s">
        <v>1412</v>
      </c>
      <c r="JW17" s="214" t="s">
        <v>1412</v>
      </c>
      <c r="JX17" s="213">
        <v>0.7</v>
      </c>
      <c r="JY17" s="213">
        <v>0.7</v>
      </c>
      <c r="JZ17" s="213">
        <v>0.7</v>
      </c>
      <c r="KA17" s="213">
        <v>0.7</v>
      </c>
      <c r="KB17" s="213">
        <v>0.7</v>
      </c>
      <c r="KC17" s="213">
        <v>0.7</v>
      </c>
      <c r="KD17" s="213">
        <v>0.7</v>
      </c>
      <c r="KE17" s="213">
        <v>1</v>
      </c>
      <c r="KF17" s="213">
        <v>1</v>
      </c>
      <c r="KG17" s="213">
        <v>1.05</v>
      </c>
      <c r="KH17" s="213">
        <v>1.3</v>
      </c>
      <c r="KI17" s="213">
        <v>1.55</v>
      </c>
      <c r="KJ17" s="213">
        <v>1.8</v>
      </c>
      <c r="KK17" s="213">
        <v>0.5</v>
      </c>
      <c r="KL17" s="213">
        <v>0.75</v>
      </c>
      <c r="KM17" s="213">
        <v>1</v>
      </c>
      <c r="KN17" s="213">
        <v>2</v>
      </c>
      <c r="KO17" s="213">
        <v>1</v>
      </c>
      <c r="KP17" s="213">
        <v>1</v>
      </c>
      <c r="KQ17" s="213">
        <v>1.25</v>
      </c>
      <c r="KR17" s="213">
        <v>1.5</v>
      </c>
      <c r="KS17" s="213">
        <v>1</v>
      </c>
      <c r="KT17" s="213">
        <v>1</v>
      </c>
      <c r="KU17" s="213">
        <v>1.25</v>
      </c>
      <c r="KV17" s="213">
        <v>1.5</v>
      </c>
      <c r="KW17" s="213">
        <v>1.25</v>
      </c>
      <c r="KX17" s="213">
        <v>1.5</v>
      </c>
      <c r="KY17" s="213">
        <v>1.75</v>
      </c>
      <c r="KZ17" s="213">
        <v>2</v>
      </c>
      <c r="LA17" s="213">
        <v>1</v>
      </c>
      <c r="LB17" s="213">
        <v>1.25</v>
      </c>
      <c r="LC17" s="213">
        <v>1.5</v>
      </c>
      <c r="LD17" s="213">
        <v>1.75</v>
      </c>
      <c r="LE17" s="213">
        <v>2</v>
      </c>
      <c r="LF17" s="213">
        <v>1</v>
      </c>
      <c r="LG17" s="213">
        <v>1</v>
      </c>
      <c r="LH17" s="213">
        <v>1</v>
      </c>
      <c r="LI17" s="213">
        <v>1</v>
      </c>
      <c r="LJ17" s="213">
        <v>1.5</v>
      </c>
      <c r="LK17" s="213">
        <v>2</v>
      </c>
      <c r="LL17" s="213">
        <v>2</v>
      </c>
      <c r="LM17" s="213">
        <v>1.5</v>
      </c>
      <c r="LN17" s="213">
        <v>2</v>
      </c>
      <c r="LO17" s="213">
        <v>2</v>
      </c>
      <c r="LP17" s="213">
        <v>2</v>
      </c>
      <c r="LQ17" s="213">
        <v>1.7</v>
      </c>
      <c r="LR17" s="213">
        <v>2.7</v>
      </c>
      <c r="LS17" s="213">
        <v>3.7</v>
      </c>
      <c r="LT17" s="213">
        <v>4.7</v>
      </c>
      <c r="LU17" s="213">
        <v>1.3</v>
      </c>
      <c r="LV17" s="213">
        <v>1.55</v>
      </c>
      <c r="LW17" s="213">
        <v>1.8</v>
      </c>
      <c r="LX17" s="213">
        <v>2</v>
      </c>
      <c r="LY17" s="213">
        <v>2</v>
      </c>
      <c r="LZ17" s="213">
        <v>2</v>
      </c>
      <c r="MA17" s="213">
        <v>2</v>
      </c>
      <c r="MB17" s="213">
        <v>2</v>
      </c>
      <c r="MC17" s="213">
        <v>2</v>
      </c>
      <c r="MD17" s="213">
        <v>2</v>
      </c>
      <c r="ME17" s="213">
        <v>2</v>
      </c>
      <c r="MF17" s="213">
        <v>2</v>
      </c>
      <c r="MG17" s="213">
        <v>0.25</v>
      </c>
      <c r="MH17" s="213">
        <v>0.5</v>
      </c>
      <c r="MI17" s="213">
        <v>0.75</v>
      </c>
      <c r="MJ17" s="213">
        <v>1</v>
      </c>
      <c r="MK17" s="213">
        <v>1.25</v>
      </c>
      <c r="ML17" s="213">
        <v>1</v>
      </c>
      <c r="MM17" s="213">
        <v>1.3</v>
      </c>
      <c r="MN17" s="213">
        <v>0.05</v>
      </c>
      <c r="MO17" s="213">
        <v>0.3</v>
      </c>
      <c r="MP17" s="213">
        <v>0.55000000000000004</v>
      </c>
      <c r="MQ17" s="213">
        <v>0.7</v>
      </c>
      <c r="MR17" s="213">
        <v>0.7</v>
      </c>
      <c r="MS17" s="213">
        <v>1.3</v>
      </c>
      <c r="MT17" s="213">
        <v>1.5</v>
      </c>
      <c r="MU17" s="213">
        <v>2</v>
      </c>
      <c r="MV17" s="213">
        <v>2</v>
      </c>
      <c r="MW17" s="213">
        <v>2</v>
      </c>
      <c r="MX17" s="213">
        <v>0.25</v>
      </c>
      <c r="MY17" s="213">
        <v>0.5</v>
      </c>
      <c r="MZ17" s="213">
        <v>0.75</v>
      </c>
      <c r="NA17" s="213">
        <v>1</v>
      </c>
      <c r="NB17" s="213">
        <v>1.25</v>
      </c>
      <c r="NC17" s="213">
        <v>1</v>
      </c>
      <c r="ND17" s="213">
        <v>0.7</v>
      </c>
      <c r="NE17" s="213">
        <v>1.5</v>
      </c>
      <c r="NF17" s="213">
        <v>2.5</v>
      </c>
      <c r="NG17" s="213">
        <v>3.5</v>
      </c>
      <c r="NH17" s="213">
        <v>1.3</v>
      </c>
      <c r="NI17" s="213">
        <v>0.6</v>
      </c>
      <c r="NJ17" s="213">
        <v>1.1000000000000001</v>
      </c>
      <c r="NK17" s="213">
        <v>2.1</v>
      </c>
      <c r="NL17" s="213">
        <v>3.1</v>
      </c>
      <c r="NM17" s="213">
        <v>1.5</v>
      </c>
      <c r="NN17" s="213">
        <v>1</v>
      </c>
      <c r="NO17" s="213">
        <v>2</v>
      </c>
      <c r="NP17" s="213">
        <v>3</v>
      </c>
      <c r="NQ17" s="213">
        <v>2</v>
      </c>
      <c r="NR17" s="213">
        <v>1</v>
      </c>
      <c r="NS17" s="213">
        <v>2</v>
      </c>
      <c r="NT17" s="213">
        <v>2</v>
      </c>
      <c r="NU17" s="213">
        <v>1</v>
      </c>
      <c r="NV17" s="213">
        <v>2</v>
      </c>
      <c r="NW17" s="214" t="s">
        <v>1384</v>
      </c>
      <c r="NX17" s="213">
        <v>1</v>
      </c>
      <c r="NY17" s="213">
        <v>1</v>
      </c>
      <c r="NZ17" s="213">
        <v>1.25</v>
      </c>
      <c r="OA17" s="213">
        <v>1.25</v>
      </c>
      <c r="OB17" s="213">
        <v>1.75</v>
      </c>
      <c r="OC17" s="213">
        <v>1.75</v>
      </c>
      <c r="OD17" s="213">
        <v>2</v>
      </c>
      <c r="OE17" s="213">
        <v>2</v>
      </c>
      <c r="OF17" s="213">
        <v>2</v>
      </c>
      <c r="OG17" s="213">
        <v>2</v>
      </c>
      <c r="OH17" s="213">
        <v>2</v>
      </c>
      <c r="OI17" s="213">
        <v>2</v>
      </c>
      <c r="OJ17" s="213"/>
      <c r="OK17" s="213">
        <v>0.5</v>
      </c>
      <c r="OL17" s="213">
        <v>1</v>
      </c>
      <c r="OM17" s="213">
        <v>2</v>
      </c>
      <c r="ON17" s="213"/>
      <c r="OO17" s="213"/>
      <c r="OP17" s="213"/>
    </row>
    <row r="18" spans="1:406" ht="45" x14ac:dyDescent="0.25">
      <c r="A18" s="229" t="s">
        <v>1544</v>
      </c>
      <c r="B18" s="214" t="s">
        <v>1545</v>
      </c>
      <c r="C18" s="214" t="s">
        <v>1546</v>
      </c>
      <c r="D18" s="221" t="s">
        <v>1547</v>
      </c>
      <c r="E18" s="214" t="s">
        <v>1546</v>
      </c>
      <c r="F18" s="221" t="s">
        <v>1547</v>
      </c>
      <c r="G18" s="214" t="s">
        <v>1546</v>
      </c>
      <c r="H18" s="221" t="s">
        <v>1547</v>
      </c>
      <c r="I18" s="214" t="s">
        <v>1546</v>
      </c>
      <c r="J18" s="221" t="s">
        <v>1547</v>
      </c>
      <c r="K18" s="214" t="s">
        <v>1546</v>
      </c>
      <c r="L18" s="221" t="s">
        <v>1547</v>
      </c>
      <c r="M18" s="221" t="s">
        <v>1547</v>
      </c>
      <c r="N18" s="221" t="s">
        <v>1547</v>
      </c>
      <c r="O18" s="221" t="s">
        <v>1547</v>
      </c>
      <c r="P18" s="221" t="s">
        <v>1547</v>
      </c>
      <c r="Q18" s="221" t="s">
        <v>1547</v>
      </c>
      <c r="R18" s="214" t="s">
        <v>1546</v>
      </c>
      <c r="S18" s="214" t="s">
        <v>1546</v>
      </c>
      <c r="T18" s="214" t="s">
        <v>1546</v>
      </c>
      <c r="U18" s="221" t="s">
        <v>1547</v>
      </c>
      <c r="V18" s="221" t="s">
        <v>1547</v>
      </c>
      <c r="W18" s="221" t="s">
        <v>1547</v>
      </c>
      <c r="X18" s="221" t="s">
        <v>1547</v>
      </c>
      <c r="Y18" s="221" t="s">
        <v>1547</v>
      </c>
      <c r="Z18" s="221" t="s">
        <v>1547</v>
      </c>
      <c r="AA18" s="214" t="s">
        <v>1546</v>
      </c>
      <c r="AB18" s="214" t="s">
        <v>1546</v>
      </c>
      <c r="AC18" s="214" t="s">
        <v>1546</v>
      </c>
      <c r="AD18" s="221" t="s">
        <v>1547</v>
      </c>
      <c r="AE18" s="221" t="s">
        <v>1547</v>
      </c>
      <c r="AF18" s="221" t="s">
        <v>1547</v>
      </c>
      <c r="AG18" s="221" t="s">
        <v>1547</v>
      </c>
      <c r="AH18" s="221" t="s">
        <v>1547</v>
      </c>
      <c r="AI18" s="221" t="s">
        <v>1547</v>
      </c>
      <c r="AJ18" s="214" t="s">
        <v>1546</v>
      </c>
      <c r="AK18" s="214" t="s">
        <v>1546</v>
      </c>
      <c r="AL18" s="214" t="s">
        <v>1546</v>
      </c>
      <c r="AM18" s="221" t="s">
        <v>1547</v>
      </c>
      <c r="AN18" s="221" t="s">
        <v>1547</v>
      </c>
      <c r="AO18" s="221" t="s">
        <v>1547</v>
      </c>
      <c r="AP18" s="221" t="s">
        <v>1547</v>
      </c>
      <c r="AQ18" s="221" t="s">
        <v>1547</v>
      </c>
      <c r="AR18" s="221" t="s">
        <v>1547</v>
      </c>
      <c r="AS18" s="214" t="s">
        <v>1546</v>
      </c>
      <c r="AT18" s="214" t="s">
        <v>1546</v>
      </c>
      <c r="AU18" s="214" t="s">
        <v>1546</v>
      </c>
      <c r="AV18" s="221" t="s">
        <v>1547</v>
      </c>
      <c r="AW18" s="221" t="s">
        <v>1547</v>
      </c>
      <c r="AX18" s="221" t="s">
        <v>1547</v>
      </c>
      <c r="AY18" s="221" t="s">
        <v>1547</v>
      </c>
      <c r="AZ18" s="221" t="s">
        <v>1547</v>
      </c>
      <c r="BA18" s="221" t="s">
        <v>1547</v>
      </c>
      <c r="BB18" s="214" t="s">
        <v>1546</v>
      </c>
      <c r="BC18" s="214" t="s">
        <v>1546</v>
      </c>
      <c r="BD18" s="214" t="s">
        <v>1547</v>
      </c>
      <c r="BE18" s="214" t="s">
        <v>1547</v>
      </c>
      <c r="BF18" s="214" t="s">
        <v>1547</v>
      </c>
      <c r="BG18" s="214" t="s">
        <v>1547</v>
      </c>
      <c r="BH18" s="214" t="s">
        <v>1547</v>
      </c>
      <c r="BI18" s="214" t="s">
        <v>1547</v>
      </c>
      <c r="BJ18" s="214" t="s">
        <v>1547</v>
      </c>
      <c r="BK18" s="214" t="s">
        <v>1547</v>
      </c>
      <c r="BL18" s="214" t="s">
        <v>1547</v>
      </c>
      <c r="BM18" s="214" t="s">
        <v>1547</v>
      </c>
      <c r="BN18" s="214" t="s">
        <v>1547</v>
      </c>
      <c r="BO18" s="214" t="s">
        <v>1547</v>
      </c>
      <c r="BP18" s="214" t="s">
        <v>1547</v>
      </c>
      <c r="BQ18" s="214" t="s">
        <v>1547</v>
      </c>
      <c r="BR18" s="214" t="s">
        <v>1547</v>
      </c>
      <c r="BS18" s="214" t="s">
        <v>1547</v>
      </c>
      <c r="BT18" s="214" t="s">
        <v>1547</v>
      </c>
      <c r="BU18" s="214" t="s">
        <v>1547</v>
      </c>
      <c r="BV18" s="214" t="s">
        <v>1547</v>
      </c>
      <c r="BW18" s="214" t="s">
        <v>1547</v>
      </c>
      <c r="BX18" s="214" t="s">
        <v>1547</v>
      </c>
      <c r="BY18" s="214" t="s">
        <v>1547</v>
      </c>
      <c r="BZ18" s="214" t="s">
        <v>1547</v>
      </c>
      <c r="CA18" s="214" t="s">
        <v>1547</v>
      </c>
      <c r="CB18" s="214" t="s">
        <v>1547</v>
      </c>
      <c r="CC18" s="214" t="s">
        <v>1547</v>
      </c>
      <c r="CD18" s="214" t="s">
        <v>1547</v>
      </c>
      <c r="CE18" s="214" t="s">
        <v>1547</v>
      </c>
      <c r="CF18" s="214" t="s">
        <v>1547</v>
      </c>
      <c r="CG18" s="214" t="s">
        <v>1547</v>
      </c>
      <c r="CH18" s="214" t="s">
        <v>1547</v>
      </c>
      <c r="CI18" s="214" t="s">
        <v>1547</v>
      </c>
      <c r="CJ18" s="214" t="s">
        <v>1547</v>
      </c>
      <c r="CK18" s="214" t="s">
        <v>1547</v>
      </c>
      <c r="CL18" s="214" t="s">
        <v>1547</v>
      </c>
      <c r="CM18" s="214" t="s">
        <v>1547</v>
      </c>
      <c r="CN18" s="214" t="s">
        <v>1547</v>
      </c>
      <c r="CO18" s="214" t="s">
        <v>1547</v>
      </c>
      <c r="CP18" s="214" t="s">
        <v>1547</v>
      </c>
      <c r="CQ18" s="214" t="s">
        <v>1547</v>
      </c>
      <c r="CR18" s="214" t="s">
        <v>1547</v>
      </c>
      <c r="CS18" s="214" t="s">
        <v>1547</v>
      </c>
      <c r="CT18" s="214" t="s">
        <v>1547</v>
      </c>
      <c r="CU18" s="214" t="s">
        <v>1547</v>
      </c>
      <c r="CV18" s="214" t="s">
        <v>1547</v>
      </c>
      <c r="CW18" s="214" t="s">
        <v>1547</v>
      </c>
      <c r="CX18" s="214" t="s">
        <v>1547</v>
      </c>
      <c r="CY18" s="214" t="s">
        <v>1547</v>
      </c>
      <c r="CZ18" s="214" t="s">
        <v>1547</v>
      </c>
      <c r="DA18" s="214" t="s">
        <v>1547</v>
      </c>
      <c r="DB18" s="214" t="s">
        <v>1547</v>
      </c>
      <c r="DC18" s="214" t="s">
        <v>1547</v>
      </c>
      <c r="DD18" s="214" t="s">
        <v>1547</v>
      </c>
      <c r="DE18" s="214" t="s">
        <v>1547</v>
      </c>
      <c r="DF18" s="214" t="s">
        <v>1547</v>
      </c>
      <c r="DG18" s="214" t="s">
        <v>1547</v>
      </c>
      <c r="DH18" s="214" t="s">
        <v>1547</v>
      </c>
      <c r="DI18" s="214" t="s">
        <v>1547</v>
      </c>
      <c r="DJ18" s="214" t="s">
        <v>1547</v>
      </c>
      <c r="DK18" s="214" t="s">
        <v>1547</v>
      </c>
      <c r="DL18" s="214" t="s">
        <v>1547</v>
      </c>
      <c r="DM18" s="214" t="s">
        <v>1547</v>
      </c>
      <c r="DN18" s="214" t="s">
        <v>1547</v>
      </c>
      <c r="DO18" s="214" t="s">
        <v>1547</v>
      </c>
      <c r="DP18" s="214" t="s">
        <v>1547</v>
      </c>
      <c r="DQ18" s="214" t="s">
        <v>1547</v>
      </c>
      <c r="DR18" s="214" t="s">
        <v>1547</v>
      </c>
      <c r="DS18" s="214" t="s">
        <v>1547</v>
      </c>
      <c r="DT18" s="214" t="s">
        <v>1547</v>
      </c>
      <c r="DU18" s="214" t="s">
        <v>1547</v>
      </c>
      <c r="DV18" s="214" t="s">
        <v>1547</v>
      </c>
      <c r="DW18" s="214" t="s">
        <v>1547</v>
      </c>
      <c r="DX18" s="214" t="s">
        <v>1547</v>
      </c>
      <c r="DY18" s="214" t="s">
        <v>1547</v>
      </c>
      <c r="DZ18" s="214" t="s">
        <v>1547</v>
      </c>
      <c r="EA18" s="214" t="s">
        <v>1547</v>
      </c>
      <c r="EB18" s="214" t="s">
        <v>1547</v>
      </c>
      <c r="EC18" s="214" t="s">
        <v>1547</v>
      </c>
      <c r="ED18" s="214" t="s">
        <v>1547</v>
      </c>
      <c r="EE18" s="214" t="s">
        <v>1547</v>
      </c>
      <c r="EF18" s="214" t="s">
        <v>1547</v>
      </c>
      <c r="EG18" s="214" t="s">
        <v>1547</v>
      </c>
      <c r="EH18" s="214" t="s">
        <v>1547</v>
      </c>
      <c r="EI18" s="214" t="s">
        <v>1547</v>
      </c>
      <c r="EJ18" s="214" t="s">
        <v>1547</v>
      </c>
      <c r="EK18" s="214" t="s">
        <v>1547</v>
      </c>
      <c r="EL18" s="214" t="s">
        <v>1547</v>
      </c>
      <c r="EM18" s="214" t="s">
        <v>1547</v>
      </c>
      <c r="EN18" s="214" t="s">
        <v>1547</v>
      </c>
      <c r="EO18" s="214" t="s">
        <v>1547</v>
      </c>
      <c r="EP18" s="214" t="s">
        <v>1547</v>
      </c>
      <c r="EQ18" s="214" t="s">
        <v>1547</v>
      </c>
      <c r="ER18" s="214" t="s">
        <v>1547</v>
      </c>
      <c r="ES18" s="214" t="s">
        <v>1547</v>
      </c>
      <c r="ET18" s="214" t="s">
        <v>1547</v>
      </c>
      <c r="EU18" s="214" t="s">
        <v>1545</v>
      </c>
      <c r="EV18" s="214" t="s">
        <v>1545</v>
      </c>
      <c r="EW18" s="214" t="s">
        <v>1545</v>
      </c>
      <c r="EX18" s="214" t="s">
        <v>1545</v>
      </c>
      <c r="EY18" s="214" t="s">
        <v>1547</v>
      </c>
      <c r="EZ18" s="214" t="s">
        <v>1547</v>
      </c>
      <c r="FA18" s="214" t="s">
        <v>1546</v>
      </c>
      <c r="FB18" s="214" t="s">
        <v>1546</v>
      </c>
      <c r="FC18" s="214" t="s">
        <v>1546</v>
      </c>
      <c r="FD18" s="214" t="s">
        <v>1547</v>
      </c>
      <c r="FE18" s="214" t="s">
        <v>1546</v>
      </c>
      <c r="FF18" s="214" t="s">
        <v>1547</v>
      </c>
      <c r="FG18" s="214" t="s">
        <v>1546</v>
      </c>
      <c r="FH18" s="214" t="s">
        <v>1547</v>
      </c>
      <c r="FI18" s="214" t="s">
        <v>1547</v>
      </c>
      <c r="FJ18" s="214" t="s">
        <v>1546</v>
      </c>
      <c r="FK18" s="214" t="s">
        <v>1546</v>
      </c>
      <c r="FL18" s="214" t="s">
        <v>1547</v>
      </c>
      <c r="FM18" s="214" t="s">
        <v>1546</v>
      </c>
      <c r="FN18" s="214" t="s">
        <v>1547</v>
      </c>
      <c r="FO18" s="214" t="s">
        <v>1546</v>
      </c>
      <c r="FP18" s="214" t="s">
        <v>1547</v>
      </c>
      <c r="FQ18" s="214" t="s">
        <v>1547</v>
      </c>
      <c r="FR18" s="214" t="s">
        <v>1546</v>
      </c>
      <c r="FS18" s="214" t="s">
        <v>1546</v>
      </c>
      <c r="FT18" s="214" t="s">
        <v>1547</v>
      </c>
      <c r="FU18" s="214" t="s">
        <v>1546</v>
      </c>
      <c r="FV18" s="214" t="s">
        <v>1547</v>
      </c>
      <c r="FW18" s="214" t="s">
        <v>1546</v>
      </c>
      <c r="FX18" s="214" t="s">
        <v>1547</v>
      </c>
      <c r="FY18" s="214" t="s">
        <v>1547</v>
      </c>
      <c r="FZ18" s="214" t="s">
        <v>1546</v>
      </c>
      <c r="GA18" s="214" t="s">
        <v>1546</v>
      </c>
      <c r="GB18" s="214" t="s">
        <v>1547</v>
      </c>
      <c r="GC18" s="214" t="s">
        <v>1546</v>
      </c>
      <c r="GD18" s="214" t="s">
        <v>1547</v>
      </c>
      <c r="GE18" s="214" t="s">
        <v>1546</v>
      </c>
      <c r="GF18" s="214" t="s">
        <v>1547</v>
      </c>
      <c r="GG18" s="214" t="s">
        <v>1547</v>
      </c>
      <c r="GH18" s="214" t="s">
        <v>1546</v>
      </c>
      <c r="GI18" s="214" t="s">
        <v>1546</v>
      </c>
      <c r="GJ18" s="214" t="s">
        <v>1547</v>
      </c>
      <c r="GK18" s="214" t="s">
        <v>1546</v>
      </c>
      <c r="GL18" s="214" t="s">
        <v>1547</v>
      </c>
      <c r="GM18" s="214" t="s">
        <v>1546</v>
      </c>
      <c r="GN18" s="214" t="s">
        <v>1547</v>
      </c>
      <c r="GO18" s="214" t="s">
        <v>1547</v>
      </c>
      <c r="GP18" s="214" t="s">
        <v>1547</v>
      </c>
      <c r="GQ18" s="214" t="s">
        <v>1547</v>
      </c>
      <c r="GR18" s="214" t="s">
        <v>1547</v>
      </c>
      <c r="GS18" s="214" t="s">
        <v>1547</v>
      </c>
      <c r="GT18" s="214" t="s">
        <v>1547</v>
      </c>
      <c r="GU18" s="214" t="s">
        <v>1547</v>
      </c>
      <c r="GV18" s="214" t="s">
        <v>1547</v>
      </c>
      <c r="GW18" s="214" t="s">
        <v>1547</v>
      </c>
      <c r="GX18" s="214" t="s">
        <v>1547</v>
      </c>
      <c r="GY18" s="214" t="s">
        <v>1547</v>
      </c>
      <c r="GZ18" s="214" t="s">
        <v>1547</v>
      </c>
      <c r="HA18" s="214" t="s">
        <v>1547</v>
      </c>
      <c r="HB18" s="214" t="s">
        <v>1547</v>
      </c>
      <c r="HC18" s="214" t="s">
        <v>1547</v>
      </c>
      <c r="HD18" s="214" t="s">
        <v>1547</v>
      </c>
      <c r="HE18" s="214" t="s">
        <v>1547</v>
      </c>
      <c r="HF18" s="214" t="s">
        <v>1547</v>
      </c>
      <c r="HG18" s="214" t="s">
        <v>1547</v>
      </c>
      <c r="HH18" s="214" t="s">
        <v>1547</v>
      </c>
      <c r="HI18" s="214" t="s">
        <v>1547</v>
      </c>
      <c r="HJ18" s="214" t="s">
        <v>1547</v>
      </c>
      <c r="HK18" s="214" t="s">
        <v>1547</v>
      </c>
      <c r="HL18" s="214" t="s">
        <v>1547</v>
      </c>
      <c r="HM18" s="214" t="s">
        <v>1547</v>
      </c>
      <c r="HN18" s="214" t="s">
        <v>1547</v>
      </c>
      <c r="HO18" s="214" t="s">
        <v>1547</v>
      </c>
      <c r="HP18" s="214" t="s">
        <v>1547</v>
      </c>
      <c r="HQ18" s="214" t="s">
        <v>1547</v>
      </c>
      <c r="HR18" s="214" t="s">
        <v>1547</v>
      </c>
      <c r="HS18" s="214" t="s">
        <v>1547</v>
      </c>
      <c r="HT18" s="214" t="s">
        <v>1547</v>
      </c>
      <c r="HU18" s="214" t="s">
        <v>1547</v>
      </c>
      <c r="HV18" s="214" t="s">
        <v>1547</v>
      </c>
      <c r="HW18" s="214" t="s">
        <v>1547</v>
      </c>
      <c r="HX18" s="214" t="s">
        <v>1547</v>
      </c>
      <c r="HY18" s="214" t="s">
        <v>1547</v>
      </c>
      <c r="HZ18" s="214" t="s">
        <v>1547</v>
      </c>
      <c r="IA18" s="214" t="s">
        <v>1547</v>
      </c>
      <c r="IB18" s="214" t="s">
        <v>1547</v>
      </c>
      <c r="IC18" s="214" t="s">
        <v>1547</v>
      </c>
      <c r="ID18" s="214" t="s">
        <v>1547</v>
      </c>
      <c r="IE18" s="214" t="s">
        <v>1547</v>
      </c>
      <c r="IF18" s="214" t="s">
        <v>1547</v>
      </c>
      <c r="IG18" s="214" t="s">
        <v>1547</v>
      </c>
      <c r="IH18" s="214" t="s">
        <v>1547</v>
      </c>
      <c r="II18" s="214" t="s">
        <v>1547</v>
      </c>
      <c r="IJ18" s="214" t="s">
        <v>1547</v>
      </c>
      <c r="IK18" s="214" t="s">
        <v>1547</v>
      </c>
      <c r="IL18" s="214" t="s">
        <v>1547</v>
      </c>
      <c r="IM18" s="214" t="s">
        <v>1547</v>
      </c>
      <c r="IN18" s="214" t="s">
        <v>1547</v>
      </c>
      <c r="IO18" s="214" t="s">
        <v>1547</v>
      </c>
      <c r="IP18" s="214" t="s">
        <v>1547</v>
      </c>
      <c r="IQ18" s="214" t="s">
        <v>1547</v>
      </c>
      <c r="IR18" s="214" t="s">
        <v>1547</v>
      </c>
      <c r="IS18" s="214" t="s">
        <v>1547</v>
      </c>
      <c r="IT18" s="214" t="s">
        <v>1547</v>
      </c>
      <c r="IU18" s="214" t="s">
        <v>1547</v>
      </c>
      <c r="IV18" s="214" t="s">
        <v>1547</v>
      </c>
      <c r="IW18" s="214" t="s">
        <v>1547</v>
      </c>
      <c r="IX18" s="214" t="s">
        <v>1547</v>
      </c>
      <c r="IY18" s="214" t="s">
        <v>1547</v>
      </c>
      <c r="IZ18" s="214" t="s">
        <v>1547</v>
      </c>
      <c r="JA18" s="214" t="s">
        <v>1545</v>
      </c>
      <c r="JB18" s="214" t="s">
        <v>1547</v>
      </c>
      <c r="JC18" s="214" t="s">
        <v>1547</v>
      </c>
      <c r="JD18" s="214" t="s">
        <v>1547</v>
      </c>
      <c r="JE18" s="214" t="s">
        <v>1547</v>
      </c>
      <c r="JF18" s="214" t="s">
        <v>1547</v>
      </c>
      <c r="JG18" s="214" t="s">
        <v>1547</v>
      </c>
      <c r="JH18" s="214" t="s">
        <v>1547</v>
      </c>
      <c r="JI18" s="214" t="s">
        <v>1547</v>
      </c>
      <c r="JJ18" s="214" t="s">
        <v>1547</v>
      </c>
      <c r="JK18" s="214" t="s">
        <v>1547</v>
      </c>
      <c r="JL18" s="214" t="s">
        <v>1547</v>
      </c>
      <c r="JM18" s="214" t="s">
        <v>1547</v>
      </c>
      <c r="JN18" s="214" t="s">
        <v>1547</v>
      </c>
      <c r="JO18" s="214" t="s">
        <v>1547</v>
      </c>
      <c r="JP18" s="214" t="s">
        <v>1547</v>
      </c>
      <c r="JQ18" s="214" t="s">
        <v>1547</v>
      </c>
      <c r="JR18" s="214" t="s">
        <v>1547</v>
      </c>
      <c r="JS18" s="214" t="s">
        <v>1547</v>
      </c>
      <c r="JT18" s="214" t="s">
        <v>1547</v>
      </c>
      <c r="JU18" s="214" t="s">
        <v>1547</v>
      </c>
      <c r="JV18" s="214" t="s">
        <v>1547</v>
      </c>
      <c r="JW18" s="214" t="s">
        <v>1547</v>
      </c>
      <c r="JX18" s="214" t="s">
        <v>1545</v>
      </c>
      <c r="JY18" s="214" t="s">
        <v>1545</v>
      </c>
      <c r="JZ18" s="214" t="s">
        <v>1545</v>
      </c>
      <c r="KA18" s="214" t="s">
        <v>1545</v>
      </c>
      <c r="KB18" s="214" t="s">
        <v>1545</v>
      </c>
      <c r="KC18" s="214" t="s">
        <v>1545</v>
      </c>
      <c r="KD18" s="214" t="s">
        <v>1545</v>
      </c>
      <c r="KE18" s="214" t="s">
        <v>1547</v>
      </c>
      <c r="KF18" s="214" t="s">
        <v>1547</v>
      </c>
      <c r="KG18" s="214" t="s">
        <v>1547</v>
      </c>
      <c r="KH18" s="214" t="s">
        <v>1547</v>
      </c>
      <c r="KI18" s="214" t="s">
        <v>1547</v>
      </c>
      <c r="KJ18" s="214" t="s">
        <v>1547</v>
      </c>
      <c r="KK18" s="214" t="s">
        <v>1547</v>
      </c>
      <c r="KL18" s="214" t="s">
        <v>1547</v>
      </c>
      <c r="KM18" s="214" t="s">
        <v>1547</v>
      </c>
      <c r="KN18" s="214" t="s">
        <v>1547</v>
      </c>
      <c r="KO18" s="214" t="s">
        <v>1546</v>
      </c>
      <c r="KP18" s="214" t="s">
        <v>1547</v>
      </c>
      <c r="KQ18" s="214" t="s">
        <v>1547</v>
      </c>
      <c r="KR18" s="214" t="s">
        <v>1547</v>
      </c>
      <c r="KS18" s="214" t="s">
        <v>1546</v>
      </c>
      <c r="KT18" s="214" t="s">
        <v>1547</v>
      </c>
      <c r="KU18" s="214" t="s">
        <v>1547</v>
      </c>
      <c r="KV18" s="214" t="s">
        <v>1547</v>
      </c>
      <c r="KW18" s="214" t="s">
        <v>1547</v>
      </c>
      <c r="KX18" s="214" t="s">
        <v>1547</v>
      </c>
      <c r="KY18" s="214" t="s">
        <v>1547</v>
      </c>
      <c r="KZ18" s="214" t="s">
        <v>1547</v>
      </c>
      <c r="LA18" s="214" t="s">
        <v>1547</v>
      </c>
      <c r="LB18" s="214" t="s">
        <v>1547</v>
      </c>
      <c r="LC18" s="214" t="s">
        <v>1547</v>
      </c>
      <c r="LD18" s="214" t="s">
        <v>1547</v>
      </c>
      <c r="LE18" s="214" t="s">
        <v>1547</v>
      </c>
      <c r="LF18" s="214" t="s">
        <v>1547</v>
      </c>
      <c r="LG18" s="214" t="s">
        <v>1547</v>
      </c>
      <c r="LH18" s="214" t="s">
        <v>1547</v>
      </c>
      <c r="LI18" s="214" t="s">
        <v>1547</v>
      </c>
      <c r="LJ18" s="214" t="s">
        <v>1547</v>
      </c>
      <c r="LK18" s="214" t="s">
        <v>1547</v>
      </c>
      <c r="LL18" s="214" t="s">
        <v>1547</v>
      </c>
      <c r="LM18" s="214" t="s">
        <v>1547</v>
      </c>
      <c r="LN18" s="214" t="s">
        <v>1547</v>
      </c>
      <c r="LO18" s="214" t="s">
        <v>1547</v>
      </c>
      <c r="LP18" s="214" t="s">
        <v>1547</v>
      </c>
      <c r="LQ18" s="214" t="s">
        <v>1547</v>
      </c>
      <c r="LR18" s="214" t="s">
        <v>1547</v>
      </c>
      <c r="LS18" s="214" t="s">
        <v>1547</v>
      </c>
      <c r="LT18" s="214" t="s">
        <v>1547</v>
      </c>
      <c r="LU18" s="214" t="s">
        <v>1547</v>
      </c>
      <c r="LV18" s="214" t="s">
        <v>1547</v>
      </c>
      <c r="LW18" s="214" t="s">
        <v>1547</v>
      </c>
      <c r="LX18" s="214" t="s">
        <v>1547</v>
      </c>
      <c r="LY18" s="214" t="s">
        <v>1547</v>
      </c>
      <c r="LZ18" s="214" t="s">
        <v>1547</v>
      </c>
      <c r="MA18" s="214" t="s">
        <v>1547</v>
      </c>
      <c r="MB18" s="214" t="s">
        <v>1547</v>
      </c>
      <c r="MC18" s="214" t="s">
        <v>1547</v>
      </c>
      <c r="MD18" s="214" t="s">
        <v>1547</v>
      </c>
      <c r="ME18" s="214" t="s">
        <v>1547</v>
      </c>
      <c r="MF18" s="214" t="s">
        <v>1547</v>
      </c>
      <c r="MG18" s="214" t="s">
        <v>1547</v>
      </c>
      <c r="MH18" s="214" t="s">
        <v>1547</v>
      </c>
      <c r="MI18" s="214" t="s">
        <v>1547</v>
      </c>
      <c r="MJ18" s="214" t="s">
        <v>1547</v>
      </c>
      <c r="MK18" s="214" t="s">
        <v>1547</v>
      </c>
      <c r="ML18" s="214" t="s">
        <v>1547</v>
      </c>
      <c r="MM18" s="214" t="s">
        <v>1547</v>
      </c>
      <c r="MN18" s="214" t="s">
        <v>1547</v>
      </c>
      <c r="MO18" s="214" t="s">
        <v>1547</v>
      </c>
      <c r="MP18" s="214" t="s">
        <v>1547</v>
      </c>
      <c r="MQ18" s="214" t="s">
        <v>1547</v>
      </c>
      <c r="MR18" s="214" t="s">
        <v>1547</v>
      </c>
      <c r="MS18" s="214" t="s">
        <v>1547</v>
      </c>
      <c r="MT18" s="214" t="s">
        <v>1547</v>
      </c>
      <c r="MU18" s="214" t="s">
        <v>1547</v>
      </c>
      <c r="MV18" s="214" t="s">
        <v>1547</v>
      </c>
      <c r="MW18" s="214" t="s">
        <v>1547</v>
      </c>
      <c r="MX18" s="214" t="s">
        <v>1547</v>
      </c>
      <c r="MY18" s="214" t="s">
        <v>1547</v>
      </c>
      <c r="MZ18" s="214" t="s">
        <v>1547</v>
      </c>
      <c r="NA18" s="214" t="s">
        <v>1547</v>
      </c>
      <c r="NB18" s="214" t="s">
        <v>1547</v>
      </c>
      <c r="NC18" s="214" t="s">
        <v>1547</v>
      </c>
      <c r="ND18" s="214" t="s">
        <v>1547</v>
      </c>
      <c r="NE18" s="214" t="s">
        <v>1547</v>
      </c>
      <c r="NF18" s="214" t="s">
        <v>1547</v>
      </c>
      <c r="NG18" s="214" t="s">
        <v>1547</v>
      </c>
      <c r="NH18" s="214" t="s">
        <v>1547</v>
      </c>
      <c r="NI18" s="214" t="s">
        <v>1547</v>
      </c>
      <c r="NJ18" s="214" t="s">
        <v>1547</v>
      </c>
      <c r="NK18" s="214" t="s">
        <v>1547</v>
      </c>
      <c r="NL18" s="214" t="s">
        <v>1547</v>
      </c>
      <c r="NM18" s="214" t="s">
        <v>1547</v>
      </c>
      <c r="NN18" s="214" t="s">
        <v>1547</v>
      </c>
      <c r="NO18" s="214" t="s">
        <v>1547</v>
      </c>
      <c r="NP18" s="214" t="s">
        <v>1547</v>
      </c>
      <c r="NQ18" s="214" t="s">
        <v>1547</v>
      </c>
      <c r="NR18" s="214" t="s">
        <v>1547</v>
      </c>
      <c r="NS18" s="214" t="s">
        <v>1547</v>
      </c>
      <c r="NT18" s="214" t="s">
        <v>1547</v>
      </c>
      <c r="NU18" s="214" t="s">
        <v>1547</v>
      </c>
      <c r="NV18" s="214" t="s">
        <v>1547</v>
      </c>
      <c r="NW18" s="214" t="s">
        <v>1547</v>
      </c>
      <c r="NX18" s="214" t="s">
        <v>1548</v>
      </c>
      <c r="NY18" s="214" t="s">
        <v>1548</v>
      </c>
      <c r="NZ18" s="214" t="s">
        <v>1547</v>
      </c>
      <c r="OA18" s="214" t="s">
        <v>1547</v>
      </c>
      <c r="OB18" s="214" t="s">
        <v>1547</v>
      </c>
      <c r="OC18" s="214" t="s">
        <v>1547</v>
      </c>
      <c r="OD18" s="214" t="s">
        <v>1547</v>
      </c>
      <c r="OE18" s="214" t="s">
        <v>1547</v>
      </c>
      <c r="OF18" s="214" t="s">
        <v>1547</v>
      </c>
      <c r="OG18" s="214" t="s">
        <v>1547</v>
      </c>
      <c r="OH18" s="214" t="s">
        <v>1547</v>
      </c>
      <c r="OI18" s="214" t="s">
        <v>1547</v>
      </c>
      <c r="OJ18" s="214"/>
      <c r="OK18" s="214"/>
      <c r="OL18" s="214"/>
      <c r="OM18" s="214"/>
      <c r="ON18" s="214"/>
      <c r="OO18" s="214"/>
      <c r="OP18" s="214"/>
    </row>
    <row r="19" spans="1:406" s="216" customFormat="1" ht="30" x14ac:dyDescent="0.25">
      <c r="A19" s="229" t="s">
        <v>1549</v>
      </c>
      <c r="B19" s="214" t="s">
        <v>1536</v>
      </c>
      <c r="C19" s="214" t="s">
        <v>1536</v>
      </c>
      <c r="D19" s="214" t="s">
        <v>1536</v>
      </c>
      <c r="E19" s="214" t="s">
        <v>1550</v>
      </c>
      <c r="F19" s="221" t="s">
        <v>1550</v>
      </c>
      <c r="G19" s="214" t="s">
        <v>1536</v>
      </c>
      <c r="H19" s="214" t="s">
        <v>1536</v>
      </c>
      <c r="I19" s="214" t="s">
        <v>1550</v>
      </c>
      <c r="J19" s="214" t="s">
        <v>1550</v>
      </c>
      <c r="K19" s="214" t="s">
        <v>1536</v>
      </c>
      <c r="L19" s="214" t="s">
        <v>1536</v>
      </c>
      <c r="M19" s="221" t="s">
        <v>1550</v>
      </c>
      <c r="N19" s="221" t="s">
        <v>1551</v>
      </c>
      <c r="O19" s="214" t="s">
        <v>1536</v>
      </c>
      <c r="P19" s="221" t="s">
        <v>1550</v>
      </c>
      <c r="Q19" s="221" t="s">
        <v>1551</v>
      </c>
      <c r="R19" s="221" t="s">
        <v>1550</v>
      </c>
      <c r="S19" s="221" t="s">
        <v>1551</v>
      </c>
      <c r="T19" s="214" t="s">
        <v>1536</v>
      </c>
      <c r="U19" s="214" t="s">
        <v>1536</v>
      </c>
      <c r="V19" s="221" t="s">
        <v>1550</v>
      </c>
      <c r="W19" s="221" t="s">
        <v>1551</v>
      </c>
      <c r="X19" s="214" t="s">
        <v>1536</v>
      </c>
      <c r="Y19" s="221" t="s">
        <v>1550</v>
      </c>
      <c r="Z19" s="221" t="s">
        <v>1551</v>
      </c>
      <c r="AA19" s="221" t="s">
        <v>1550</v>
      </c>
      <c r="AB19" s="221" t="s">
        <v>1551</v>
      </c>
      <c r="AC19" s="214" t="s">
        <v>1536</v>
      </c>
      <c r="AD19" s="214" t="s">
        <v>1536</v>
      </c>
      <c r="AE19" s="221" t="s">
        <v>1550</v>
      </c>
      <c r="AF19" s="221" t="s">
        <v>1551</v>
      </c>
      <c r="AG19" s="214" t="s">
        <v>1536</v>
      </c>
      <c r="AH19" s="221" t="s">
        <v>1550</v>
      </c>
      <c r="AI19" s="221" t="s">
        <v>1551</v>
      </c>
      <c r="AJ19" s="221" t="s">
        <v>1550</v>
      </c>
      <c r="AK19" s="221" t="s">
        <v>1551</v>
      </c>
      <c r="AL19" s="214" t="s">
        <v>1536</v>
      </c>
      <c r="AM19" s="214" t="s">
        <v>1536</v>
      </c>
      <c r="AN19" s="221" t="s">
        <v>1550</v>
      </c>
      <c r="AO19" s="221" t="s">
        <v>1551</v>
      </c>
      <c r="AP19" s="214" t="s">
        <v>1536</v>
      </c>
      <c r="AQ19" s="221" t="s">
        <v>1550</v>
      </c>
      <c r="AR19" s="221" t="s">
        <v>1551</v>
      </c>
      <c r="AS19" s="221" t="s">
        <v>1550</v>
      </c>
      <c r="AT19" s="221" t="s">
        <v>1551</v>
      </c>
      <c r="AU19" s="214" t="s">
        <v>1536</v>
      </c>
      <c r="AV19" s="214" t="s">
        <v>1536</v>
      </c>
      <c r="AW19" s="221" t="s">
        <v>1550</v>
      </c>
      <c r="AX19" s="221" t="s">
        <v>1551</v>
      </c>
      <c r="AY19" s="214" t="s">
        <v>1536</v>
      </c>
      <c r="AZ19" s="221" t="s">
        <v>1550</v>
      </c>
      <c r="BA19" s="221" t="s">
        <v>1551</v>
      </c>
      <c r="BB19" s="221" t="s">
        <v>1550</v>
      </c>
      <c r="BC19" s="221" t="s">
        <v>1551</v>
      </c>
      <c r="BD19" s="214" t="s">
        <v>1536</v>
      </c>
      <c r="BE19" s="214" t="s">
        <v>1550</v>
      </c>
      <c r="BF19" s="214" t="s">
        <v>1551</v>
      </c>
      <c r="BG19" s="214" t="s">
        <v>1551</v>
      </c>
      <c r="BH19" s="214" t="s">
        <v>1552</v>
      </c>
      <c r="BI19" s="214" t="s">
        <v>1551</v>
      </c>
      <c r="BJ19" s="214" t="s">
        <v>1552</v>
      </c>
      <c r="BK19" s="214" t="s">
        <v>1552</v>
      </c>
      <c r="BL19" s="214" t="s">
        <v>1552</v>
      </c>
      <c r="BM19" s="214" t="s">
        <v>1536</v>
      </c>
      <c r="BN19" s="214" t="s">
        <v>1553</v>
      </c>
      <c r="BO19" s="214" t="s">
        <v>1554</v>
      </c>
      <c r="BP19" s="214" t="s">
        <v>1555</v>
      </c>
      <c r="BQ19" s="214" t="s">
        <v>1556</v>
      </c>
      <c r="BR19" s="214" t="s">
        <v>1556</v>
      </c>
      <c r="BS19" s="214" t="s">
        <v>1556</v>
      </c>
      <c r="BT19" s="214" t="s">
        <v>1536</v>
      </c>
      <c r="BU19" s="214" t="s">
        <v>1536</v>
      </c>
      <c r="BV19" s="214" t="s">
        <v>1536</v>
      </c>
      <c r="BW19" s="214" t="s">
        <v>1536</v>
      </c>
      <c r="BX19" s="214" t="s">
        <v>1536</v>
      </c>
      <c r="BY19" s="214" t="s">
        <v>1536</v>
      </c>
      <c r="BZ19" s="214" t="s">
        <v>1557</v>
      </c>
      <c r="CA19" s="214" t="s">
        <v>1558</v>
      </c>
      <c r="CB19" s="214" t="s">
        <v>1558</v>
      </c>
      <c r="CC19" s="214" t="s">
        <v>1559</v>
      </c>
      <c r="CD19" s="214" t="s">
        <v>1559</v>
      </c>
      <c r="CE19" s="214" t="s">
        <v>1560</v>
      </c>
      <c r="CF19" s="214" t="s">
        <v>1560</v>
      </c>
      <c r="CG19" s="214" t="s">
        <v>1561</v>
      </c>
      <c r="CH19" s="214" t="s">
        <v>1561</v>
      </c>
      <c r="CI19" s="214" t="s">
        <v>1562</v>
      </c>
      <c r="CJ19" s="214" t="s">
        <v>1562</v>
      </c>
      <c r="CK19" s="214" t="s">
        <v>1551</v>
      </c>
      <c r="CL19" s="214" t="s">
        <v>1552</v>
      </c>
      <c r="CM19" s="214" t="s">
        <v>1552</v>
      </c>
      <c r="CN19" s="214" t="s">
        <v>1552</v>
      </c>
      <c r="CO19" s="214" t="s">
        <v>1552</v>
      </c>
      <c r="CP19" s="214" t="s">
        <v>1558</v>
      </c>
      <c r="CQ19" s="214" t="s">
        <v>1558</v>
      </c>
      <c r="CR19" s="214" t="s">
        <v>1558</v>
      </c>
      <c r="CS19" s="214" t="s">
        <v>1558</v>
      </c>
      <c r="CT19" s="214" t="s">
        <v>1560</v>
      </c>
      <c r="CU19" s="214" t="s">
        <v>1560</v>
      </c>
      <c r="CV19" s="214" t="s">
        <v>1560</v>
      </c>
      <c r="CW19" s="214" t="s">
        <v>1560</v>
      </c>
      <c r="CX19" s="214" t="s">
        <v>1561</v>
      </c>
      <c r="CY19" s="214" t="s">
        <v>1561</v>
      </c>
      <c r="CZ19" s="214" t="s">
        <v>1561</v>
      </c>
      <c r="DA19" s="214" t="s">
        <v>1561</v>
      </c>
      <c r="DB19" s="214" t="s">
        <v>1551</v>
      </c>
      <c r="DC19" s="214" t="s">
        <v>1551</v>
      </c>
      <c r="DD19" s="214" t="s">
        <v>1551</v>
      </c>
      <c r="DE19" s="214" t="s">
        <v>1551</v>
      </c>
      <c r="DF19" s="214" t="s">
        <v>1551</v>
      </c>
      <c r="DG19" s="214" t="s">
        <v>1551</v>
      </c>
      <c r="DH19" s="214" t="s">
        <v>1551</v>
      </c>
      <c r="DI19" s="214" t="s">
        <v>1551</v>
      </c>
      <c r="DJ19" s="214" t="s">
        <v>1551</v>
      </c>
      <c r="DK19" s="214" t="s">
        <v>1552</v>
      </c>
      <c r="DL19" s="214" t="s">
        <v>1552</v>
      </c>
      <c r="DM19" s="214" t="s">
        <v>1552</v>
      </c>
      <c r="DN19" s="214" t="s">
        <v>1552</v>
      </c>
      <c r="DO19" s="214" t="s">
        <v>1552</v>
      </c>
      <c r="DP19" s="214" t="s">
        <v>1552</v>
      </c>
      <c r="DQ19" s="214" t="s">
        <v>1552</v>
      </c>
      <c r="DR19" s="214" t="s">
        <v>1552</v>
      </c>
      <c r="DS19" s="214" t="s">
        <v>1552</v>
      </c>
      <c r="DT19" s="214" t="s">
        <v>1558</v>
      </c>
      <c r="DU19" s="214" t="s">
        <v>1558</v>
      </c>
      <c r="DV19" s="214" t="s">
        <v>1558</v>
      </c>
      <c r="DW19" s="214" t="s">
        <v>1558</v>
      </c>
      <c r="DX19" s="214" t="s">
        <v>1558</v>
      </c>
      <c r="DY19" s="214" t="s">
        <v>1558</v>
      </c>
      <c r="DZ19" s="214" t="s">
        <v>1558</v>
      </c>
      <c r="EA19" s="214" t="s">
        <v>1558</v>
      </c>
      <c r="EB19" s="214" t="s">
        <v>1558</v>
      </c>
      <c r="EC19" s="214" t="s">
        <v>1560</v>
      </c>
      <c r="ED19" s="214" t="s">
        <v>1560</v>
      </c>
      <c r="EE19" s="214" t="s">
        <v>1560</v>
      </c>
      <c r="EF19" s="214" t="s">
        <v>1560</v>
      </c>
      <c r="EG19" s="214" t="s">
        <v>1560</v>
      </c>
      <c r="EH19" s="214" t="s">
        <v>1560</v>
      </c>
      <c r="EI19" s="214" t="s">
        <v>1560</v>
      </c>
      <c r="EJ19" s="214" t="s">
        <v>1560</v>
      </c>
      <c r="EK19" s="214" t="s">
        <v>1560</v>
      </c>
      <c r="EL19" s="214" t="s">
        <v>1561</v>
      </c>
      <c r="EM19" s="214" t="s">
        <v>1561</v>
      </c>
      <c r="EN19" s="214" t="s">
        <v>1561</v>
      </c>
      <c r="EO19" s="214" t="s">
        <v>1561</v>
      </c>
      <c r="EP19" s="214" t="s">
        <v>1561</v>
      </c>
      <c r="EQ19" s="214" t="s">
        <v>1561</v>
      </c>
      <c r="ER19" s="214" t="s">
        <v>1561</v>
      </c>
      <c r="ES19" s="214" t="s">
        <v>1561</v>
      </c>
      <c r="ET19" s="214" t="s">
        <v>1561</v>
      </c>
      <c r="EU19" s="214" t="s">
        <v>1536</v>
      </c>
      <c r="EV19" s="214" t="s">
        <v>1536</v>
      </c>
      <c r="EW19" s="214" t="s">
        <v>1536</v>
      </c>
      <c r="EX19" s="214" t="s">
        <v>1536</v>
      </c>
      <c r="EY19" s="214" t="s">
        <v>1551</v>
      </c>
      <c r="EZ19" s="214" t="s">
        <v>1551</v>
      </c>
      <c r="FA19" s="214" t="s">
        <v>1536</v>
      </c>
      <c r="FB19" s="214" t="s">
        <v>1536</v>
      </c>
      <c r="FC19" s="214" t="s">
        <v>1536</v>
      </c>
      <c r="FD19" s="214" t="s">
        <v>1551</v>
      </c>
      <c r="FE19" s="214" t="s">
        <v>1536</v>
      </c>
      <c r="FF19" s="214" t="s">
        <v>1551</v>
      </c>
      <c r="FG19" s="214" t="s">
        <v>1536</v>
      </c>
      <c r="FH19" s="214" t="s">
        <v>1551</v>
      </c>
      <c r="FI19" s="214" t="s">
        <v>1551</v>
      </c>
      <c r="FJ19" s="214" t="s">
        <v>1536</v>
      </c>
      <c r="FK19" s="214" t="s">
        <v>1536</v>
      </c>
      <c r="FL19" s="214" t="s">
        <v>1551</v>
      </c>
      <c r="FM19" s="214" t="s">
        <v>1536</v>
      </c>
      <c r="FN19" s="214" t="s">
        <v>1551</v>
      </c>
      <c r="FO19" s="214" t="s">
        <v>1536</v>
      </c>
      <c r="FP19" s="214" t="s">
        <v>1551</v>
      </c>
      <c r="FQ19" s="214" t="s">
        <v>1551</v>
      </c>
      <c r="FR19" s="214" t="s">
        <v>1536</v>
      </c>
      <c r="FS19" s="214" t="s">
        <v>1536</v>
      </c>
      <c r="FT19" s="214" t="s">
        <v>1551</v>
      </c>
      <c r="FU19" s="214" t="s">
        <v>1536</v>
      </c>
      <c r="FV19" s="214" t="s">
        <v>1551</v>
      </c>
      <c r="FW19" s="214" t="s">
        <v>1536</v>
      </c>
      <c r="FX19" s="214" t="s">
        <v>1551</v>
      </c>
      <c r="FY19" s="214" t="s">
        <v>1551</v>
      </c>
      <c r="FZ19" s="214" t="s">
        <v>1536</v>
      </c>
      <c r="GA19" s="214" t="s">
        <v>1536</v>
      </c>
      <c r="GB19" s="214" t="s">
        <v>1551</v>
      </c>
      <c r="GC19" s="214" t="s">
        <v>1536</v>
      </c>
      <c r="GD19" s="214" t="s">
        <v>1551</v>
      </c>
      <c r="GE19" s="214" t="s">
        <v>1536</v>
      </c>
      <c r="GF19" s="214" t="s">
        <v>1551</v>
      </c>
      <c r="GG19" s="214" t="s">
        <v>1551</v>
      </c>
      <c r="GH19" s="214" t="s">
        <v>1536</v>
      </c>
      <c r="GI19" s="214" t="s">
        <v>1536</v>
      </c>
      <c r="GJ19" s="214" t="s">
        <v>1551</v>
      </c>
      <c r="GK19" s="214" t="s">
        <v>1536</v>
      </c>
      <c r="GL19" s="214" t="s">
        <v>1551</v>
      </c>
      <c r="GM19" s="214" t="s">
        <v>1536</v>
      </c>
      <c r="GN19" s="214" t="s">
        <v>1551</v>
      </c>
      <c r="GO19" s="214" t="s">
        <v>1551</v>
      </c>
      <c r="GP19" s="214" t="s">
        <v>1536</v>
      </c>
      <c r="GQ19" s="214" t="s">
        <v>1551</v>
      </c>
      <c r="GR19" s="214" t="s">
        <v>1536</v>
      </c>
      <c r="GS19" s="214" t="s">
        <v>1551</v>
      </c>
      <c r="GT19" s="214" t="s">
        <v>1536</v>
      </c>
      <c r="GU19" s="214" t="s">
        <v>1551</v>
      </c>
      <c r="GV19" s="214" t="s">
        <v>1536</v>
      </c>
      <c r="GW19" s="214" t="s">
        <v>1551</v>
      </c>
      <c r="GX19" s="214" t="s">
        <v>1536</v>
      </c>
      <c r="GY19" s="214" t="s">
        <v>1551</v>
      </c>
      <c r="GZ19" s="214" t="s">
        <v>1563</v>
      </c>
      <c r="HA19" s="214" t="s">
        <v>1553</v>
      </c>
      <c r="HB19" s="214" t="s">
        <v>1564</v>
      </c>
      <c r="HC19" s="214" t="s">
        <v>1550</v>
      </c>
      <c r="HD19" s="214" t="s">
        <v>1536</v>
      </c>
      <c r="HE19" s="214" t="s">
        <v>1536</v>
      </c>
      <c r="HF19" s="214" t="s">
        <v>1554</v>
      </c>
      <c r="HG19" s="214" t="s">
        <v>1536</v>
      </c>
      <c r="HH19" s="214" t="s">
        <v>1536</v>
      </c>
      <c r="HI19" s="214" t="s">
        <v>1554</v>
      </c>
      <c r="HJ19" s="214" t="s">
        <v>1536</v>
      </c>
      <c r="HK19" s="214" t="s">
        <v>1536</v>
      </c>
      <c r="HL19" s="214" t="s">
        <v>1554</v>
      </c>
      <c r="HM19" s="214" t="s">
        <v>1536</v>
      </c>
      <c r="HN19" s="214" t="s">
        <v>1536</v>
      </c>
      <c r="HO19" s="214" t="s">
        <v>1554</v>
      </c>
      <c r="HP19" s="214" t="s">
        <v>1536</v>
      </c>
      <c r="HQ19" s="214" t="s">
        <v>1536</v>
      </c>
      <c r="HR19" s="214" t="s">
        <v>1554</v>
      </c>
      <c r="HS19" s="214" t="s">
        <v>1536</v>
      </c>
      <c r="HT19" s="214" t="s">
        <v>1536</v>
      </c>
      <c r="HU19" s="214" t="s">
        <v>1554</v>
      </c>
      <c r="HV19" s="214" t="s">
        <v>1536</v>
      </c>
      <c r="HW19" s="214" t="s">
        <v>1536</v>
      </c>
      <c r="HX19" s="214" t="s">
        <v>1536</v>
      </c>
      <c r="HY19" s="214" t="s">
        <v>1536</v>
      </c>
      <c r="HZ19" s="214" t="s">
        <v>1536</v>
      </c>
      <c r="IA19" s="214" t="s">
        <v>1536</v>
      </c>
      <c r="IB19" s="214" t="s">
        <v>1536</v>
      </c>
      <c r="IC19" s="214" t="s">
        <v>1536</v>
      </c>
      <c r="ID19" s="214" t="s">
        <v>1536</v>
      </c>
      <c r="IE19" s="214" t="s">
        <v>1536</v>
      </c>
      <c r="IF19" s="214" t="s">
        <v>1536</v>
      </c>
      <c r="IG19" s="214" t="s">
        <v>1536</v>
      </c>
      <c r="IH19" s="214" t="s">
        <v>1536</v>
      </c>
      <c r="II19" s="214" t="s">
        <v>1536</v>
      </c>
      <c r="IJ19" s="214" t="s">
        <v>1536</v>
      </c>
      <c r="IK19" s="214" t="s">
        <v>1536</v>
      </c>
      <c r="IL19" s="214" t="s">
        <v>1536</v>
      </c>
      <c r="IM19" s="214" t="s">
        <v>1536</v>
      </c>
      <c r="IN19" s="214" t="s">
        <v>1536</v>
      </c>
      <c r="IO19" s="214" t="s">
        <v>1536</v>
      </c>
      <c r="IP19" s="214" t="s">
        <v>1536</v>
      </c>
      <c r="IQ19" s="214" t="s">
        <v>1536</v>
      </c>
      <c r="IR19" s="214" t="s">
        <v>1536</v>
      </c>
      <c r="IS19" s="214" t="s">
        <v>1536</v>
      </c>
      <c r="IT19" s="214" t="s">
        <v>1536</v>
      </c>
      <c r="IU19" s="214" t="s">
        <v>1536</v>
      </c>
      <c r="IV19" s="214" t="s">
        <v>1536</v>
      </c>
      <c r="IW19" s="214" t="s">
        <v>1536</v>
      </c>
      <c r="IX19" s="214" t="s">
        <v>1536</v>
      </c>
      <c r="IY19" s="214" t="s">
        <v>1536</v>
      </c>
      <c r="IZ19" s="214" t="s">
        <v>1536</v>
      </c>
      <c r="JA19" s="214" t="s">
        <v>1536</v>
      </c>
      <c r="JB19" s="214" t="s">
        <v>1536</v>
      </c>
      <c r="JC19" s="214" t="s">
        <v>1536</v>
      </c>
      <c r="JD19" s="214" t="s">
        <v>1536</v>
      </c>
      <c r="JE19" s="214" t="s">
        <v>1536</v>
      </c>
      <c r="JF19" s="214" t="s">
        <v>1536</v>
      </c>
      <c r="JG19" s="214" t="s">
        <v>1536</v>
      </c>
      <c r="JH19" s="214" t="s">
        <v>1565</v>
      </c>
      <c r="JI19" s="214" t="s">
        <v>1565</v>
      </c>
      <c r="JJ19" s="214" t="s">
        <v>1565</v>
      </c>
      <c r="JK19" s="214" t="s">
        <v>1565</v>
      </c>
      <c r="JL19" s="214" t="s">
        <v>1565</v>
      </c>
      <c r="JM19" s="214" t="s">
        <v>1565</v>
      </c>
      <c r="JN19" s="214" t="s">
        <v>1565</v>
      </c>
      <c r="JO19" s="214" t="s">
        <v>1565</v>
      </c>
      <c r="JP19" s="214" t="s">
        <v>1565</v>
      </c>
      <c r="JQ19" s="214" t="s">
        <v>1565</v>
      </c>
      <c r="JR19" s="214" t="s">
        <v>1565</v>
      </c>
      <c r="JS19" s="214" t="s">
        <v>1565</v>
      </c>
      <c r="JT19" s="214" t="s">
        <v>1565</v>
      </c>
      <c r="JU19" s="214" t="s">
        <v>1565</v>
      </c>
      <c r="JV19" s="214" t="s">
        <v>1565</v>
      </c>
      <c r="JW19" s="214" t="s">
        <v>1565</v>
      </c>
      <c r="JX19" s="214" t="s">
        <v>1536</v>
      </c>
      <c r="JY19" s="214" t="s">
        <v>1536</v>
      </c>
      <c r="JZ19" s="214" t="s">
        <v>1536</v>
      </c>
      <c r="KA19" s="214" t="s">
        <v>1536</v>
      </c>
      <c r="KB19" s="214" t="s">
        <v>1536</v>
      </c>
      <c r="KC19" s="214" t="s">
        <v>1536</v>
      </c>
      <c r="KD19" s="214" t="s">
        <v>1536</v>
      </c>
      <c r="KE19" s="214" t="s">
        <v>1565</v>
      </c>
      <c r="KF19" s="214" t="s">
        <v>1565</v>
      </c>
      <c r="KG19" s="214" t="s">
        <v>1565</v>
      </c>
      <c r="KH19" s="214" t="s">
        <v>1565</v>
      </c>
      <c r="KI19" s="214" t="s">
        <v>1565</v>
      </c>
      <c r="KJ19" s="214" t="s">
        <v>1565</v>
      </c>
      <c r="KK19" s="214" t="s">
        <v>1566</v>
      </c>
      <c r="KL19" s="214" t="s">
        <v>1567</v>
      </c>
      <c r="KM19" s="214" t="s">
        <v>1568</v>
      </c>
      <c r="KN19" s="214" t="s">
        <v>1569</v>
      </c>
      <c r="KO19" s="214" t="s">
        <v>1558</v>
      </c>
      <c r="KP19" s="214" t="s">
        <v>1558</v>
      </c>
      <c r="KQ19" s="214" t="s">
        <v>1558</v>
      </c>
      <c r="KR19" s="214" t="s">
        <v>1558</v>
      </c>
      <c r="KS19" s="214" t="s">
        <v>1558</v>
      </c>
      <c r="KT19" s="214" t="s">
        <v>1558</v>
      </c>
      <c r="KU19" s="214" t="s">
        <v>1558</v>
      </c>
      <c r="KV19" s="214" t="s">
        <v>1558</v>
      </c>
      <c r="KW19" s="214" t="s">
        <v>1558</v>
      </c>
      <c r="KX19" s="214" t="s">
        <v>1558</v>
      </c>
      <c r="KY19" s="214" t="s">
        <v>1558</v>
      </c>
      <c r="KZ19" s="214" t="s">
        <v>1558</v>
      </c>
      <c r="LA19" s="214" t="s">
        <v>1558</v>
      </c>
      <c r="LB19" s="214" t="s">
        <v>1558</v>
      </c>
      <c r="LC19" s="214" t="s">
        <v>1558</v>
      </c>
      <c r="LD19" s="214" t="s">
        <v>1558</v>
      </c>
      <c r="LE19" s="214" t="s">
        <v>1558</v>
      </c>
      <c r="LF19" s="214" t="s">
        <v>1536</v>
      </c>
      <c r="LG19" s="214" t="s">
        <v>1536</v>
      </c>
      <c r="LH19" s="214" t="s">
        <v>1536</v>
      </c>
      <c r="LI19" s="214" t="s">
        <v>1536</v>
      </c>
      <c r="LJ19" s="214" t="s">
        <v>1536</v>
      </c>
      <c r="LK19" s="214" t="s">
        <v>1551</v>
      </c>
      <c r="LL19" s="214" t="s">
        <v>1551</v>
      </c>
      <c r="LM19" s="214" t="s">
        <v>1564</v>
      </c>
      <c r="LN19" s="214" t="s">
        <v>1554</v>
      </c>
      <c r="LO19" s="214" t="s">
        <v>1570</v>
      </c>
      <c r="LP19" s="214" t="s">
        <v>1551</v>
      </c>
      <c r="LQ19" s="214" t="s">
        <v>1564</v>
      </c>
      <c r="LR19" s="214" t="s">
        <v>1554</v>
      </c>
      <c r="LS19" s="214" t="s">
        <v>1570</v>
      </c>
      <c r="LT19" s="214" t="s">
        <v>1551</v>
      </c>
      <c r="LU19" s="214" t="s">
        <v>1536</v>
      </c>
      <c r="LV19" s="214" t="s">
        <v>1536</v>
      </c>
      <c r="LW19" s="214" t="s">
        <v>1536</v>
      </c>
      <c r="LX19" s="214" t="s">
        <v>1536</v>
      </c>
      <c r="LY19" s="214" t="s">
        <v>1536</v>
      </c>
      <c r="LZ19" s="214" t="s">
        <v>1536</v>
      </c>
      <c r="MA19" s="214" t="s">
        <v>1536</v>
      </c>
      <c r="MB19" s="214" t="s">
        <v>1536</v>
      </c>
      <c r="MC19" s="214" t="s">
        <v>1536</v>
      </c>
      <c r="MD19" s="214" t="s">
        <v>1536</v>
      </c>
      <c r="ME19" s="214" t="s">
        <v>1536</v>
      </c>
      <c r="MF19" s="214" t="s">
        <v>1536</v>
      </c>
      <c r="MG19" s="214" t="s">
        <v>1536</v>
      </c>
      <c r="MH19" s="214" t="s">
        <v>1536</v>
      </c>
      <c r="MI19" s="214" t="s">
        <v>1536</v>
      </c>
      <c r="MJ19" s="214" t="s">
        <v>1536</v>
      </c>
      <c r="MK19" s="214" t="s">
        <v>1536</v>
      </c>
      <c r="ML19" s="214" t="s">
        <v>1536</v>
      </c>
      <c r="MM19" s="214" t="s">
        <v>1536</v>
      </c>
      <c r="MN19" s="214" t="s">
        <v>1536</v>
      </c>
      <c r="MO19" s="214" t="s">
        <v>1536</v>
      </c>
      <c r="MP19" s="214" t="s">
        <v>1536</v>
      </c>
      <c r="MQ19" s="214" t="s">
        <v>1536</v>
      </c>
      <c r="MR19" s="214" t="s">
        <v>1536</v>
      </c>
      <c r="MS19" s="214" t="s">
        <v>1536</v>
      </c>
      <c r="MT19" s="214" t="s">
        <v>1536</v>
      </c>
      <c r="MU19" s="214" t="s">
        <v>1536</v>
      </c>
      <c r="MV19" s="214" t="s">
        <v>1536</v>
      </c>
      <c r="MW19" s="214" t="s">
        <v>1536</v>
      </c>
      <c r="MX19" s="214" t="s">
        <v>1536</v>
      </c>
      <c r="MY19" s="214" t="s">
        <v>1536</v>
      </c>
      <c r="MZ19" s="214" t="s">
        <v>1536</v>
      </c>
      <c r="NA19" s="214" t="s">
        <v>1536</v>
      </c>
      <c r="NB19" s="214" t="s">
        <v>1536</v>
      </c>
      <c r="NC19" s="214" t="s">
        <v>1536</v>
      </c>
      <c r="ND19" s="214" t="s">
        <v>1564</v>
      </c>
      <c r="NE19" s="214" t="s">
        <v>1554</v>
      </c>
      <c r="NF19" s="214" t="s">
        <v>1570</v>
      </c>
      <c r="NG19" s="214" t="s">
        <v>1551</v>
      </c>
      <c r="NH19" s="214" t="s">
        <v>1536</v>
      </c>
      <c r="NI19" s="214" t="s">
        <v>1564</v>
      </c>
      <c r="NJ19" s="214" t="s">
        <v>1554</v>
      </c>
      <c r="NK19" s="214" t="s">
        <v>1570</v>
      </c>
      <c r="NL19" s="214" t="s">
        <v>1551</v>
      </c>
      <c r="NM19" s="214" t="s">
        <v>1564</v>
      </c>
      <c r="NN19" s="214" t="s">
        <v>1563</v>
      </c>
      <c r="NO19" s="214" t="s">
        <v>1564</v>
      </c>
      <c r="NP19" s="214" t="s">
        <v>1554</v>
      </c>
      <c r="NQ19" s="214" t="s">
        <v>1554</v>
      </c>
      <c r="NR19" s="214" t="s">
        <v>1563</v>
      </c>
      <c r="NS19" s="214" t="s">
        <v>1564</v>
      </c>
      <c r="NT19" s="214" t="s">
        <v>1570</v>
      </c>
      <c r="NU19" s="214" t="s">
        <v>1563</v>
      </c>
      <c r="NV19" s="214" t="s">
        <v>1551</v>
      </c>
      <c r="NW19" s="214" t="s">
        <v>1536</v>
      </c>
      <c r="NX19" s="214" t="s">
        <v>1536</v>
      </c>
      <c r="NY19" s="214" t="s">
        <v>1571</v>
      </c>
      <c r="NZ19" s="214" t="s">
        <v>1536</v>
      </c>
      <c r="OA19" s="214" t="s">
        <v>1571</v>
      </c>
      <c r="OB19" s="214" t="s">
        <v>1536</v>
      </c>
      <c r="OC19" s="214" t="s">
        <v>1571</v>
      </c>
      <c r="OD19" s="214" t="s">
        <v>1536</v>
      </c>
      <c r="OE19" s="214" t="s">
        <v>1571</v>
      </c>
      <c r="OF19" s="214" t="s">
        <v>1536</v>
      </c>
      <c r="OG19" s="214" t="s">
        <v>1571</v>
      </c>
      <c r="OH19" s="214" t="s">
        <v>1536</v>
      </c>
      <c r="OI19" s="214" t="s">
        <v>1571</v>
      </c>
      <c r="OJ19" s="214" t="s">
        <v>1571</v>
      </c>
      <c r="OK19" s="214"/>
      <c r="OL19" s="214"/>
      <c r="OM19" s="214"/>
      <c r="ON19" s="214"/>
      <c r="OO19" s="214"/>
      <c r="OP19" s="214"/>
    </row>
    <row r="20" spans="1:406" s="216" customFormat="1" x14ac:dyDescent="0.25">
      <c r="A20" s="230" t="s">
        <v>1572</v>
      </c>
      <c r="B20" s="214" t="s">
        <v>1536</v>
      </c>
      <c r="C20" s="214" t="s">
        <v>1536</v>
      </c>
      <c r="D20" s="214" t="s">
        <v>1536</v>
      </c>
      <c r="E20" s="221" t="s">
        <v>1573</v>
      </c>
      <c r="F20" s="221" t="s">
        <v>1573</v>
      </c>
      <c r="G20" s="214" t="s">
        <v>1536</v>
      </c>
      <c r="H20" s="214" t="s">
        <v>1536</v>
      </c>
      <c r="I20" s="221" t="s">
        <v>1573</v>
      </c>
      <c r="J20" s="221" t="s">
        <v>1573</v>
      </c>
      <c r="K20" s="214" t="s">
        <v>1536</v>
      </c>
      <c r="L20" s="214" t="s">
        <v>1536</v>
      </c>
      <c r="M20" s="221" t="s">
        <v>1573</v>
      </c>
      <c r="N20" s="221" t="s">
        <v>1562</v>
      </c>
      <c r="O20" s="214" t="s">
        <v>1536</v>
      </c>
      <c r="P20" s="221" t="s">
        <v>1573</v>
      </c>
      <c r="Q20" s="221" t="s">
        <v>1562</v>
      </c>
      <c r="R20" s="221" t="s">
        <v>1573</v>
      </c>
      <c r="S20" s="221" t="s">
        <v>1562</v>
      </c>
      <c r="T20" s="214" t="s">
        <v>1536</v>
      </c>
      <c r="U20" s="214" t="s">
        <v>1536</v>
      </c>
      <c r="V20" s="221" t="s">
        <v>1573</v>
      </c>
      <c r="W20" s="221" t="s">
        <v>1562</v>
      </c>
      <c r="X20" s="214" t="s">
        <v>1536</v>
      </c>
      <c r="Y20" s="221" t="s">
        <v>1573</v>
      </c>
      <c r="Z20" s="221" t="s">
        <v>1562</v>
      </c>
      <c r="AA20" s="221" t="s">
        <v>1573</v>
      </c>
      <c r="AB20" s="221" t="s">
        <v>1562</v>
      </c>
      <c r="AC20" s="214" t="s">
        <v>1536</v>
      </c>
      <c r="AD20" s="214" t="s">
        <v>1536</v>
      </c>
      <c r="AE20" s="221" t="s">
        <v>1573</v>
      </c>
      <c r="AF20" s="221" t="s">
        <v>1562</v>
      </c>
      <c r="AG20" s="214" t="s">
        <v>1536</v>
      </c>
      <c r="AH20" s="221" t="s">
        <v>1573</v>
      </c>
      <c r="AI20" s="221" t="s">
        <v>1562</v>
      </c>
      <c r="AJ20" s="221" t="s">
        <v>1573</v>
      </c>
      <c r="AK20" s="221" t="s">
        <v>1562</v>
      </c>
      <c r="AL20" s="214" t="s">
        <v>1536</v>
      </c>
      <c r="AM20" s="214" t="s">
        <v>1536</v>
      </c>
      <c r="AN20" s="221" t="s">
        <v>1573</v>
      </c>
      <c r="AO20" s="221" t="s">
        <v>1562</v>
      </c>
      <c r="AP20" s="214" t="s">
        <v>1536</v>
      </c>
      <c r="AQ20" s="221" t="s">
        <v>1573</v>
      </c>
      <c r="AR20" s="221" t="s">
        <v>1562</v>
      </c>
      <c r="AS20" s="221" t="s">
        <v>1573</v>
      </c>
      <c r="AT20" s="221" t="s">
        <v>1562</v>
      </c>
      <c r="AU20" s="214" t="s">
        <v>1536</v>
      </c>
      <c r="AV20" s="214" t="s">
        <v>1536</v>
      </c>
      <c r="AW20" s="221" t="s">
        <v>1573</v>
      </c>
      <c r="AX20" s="221" t="s">
        <v>1562</v>
      </c>
      <c r="AY20" s="214" t="s">
        <v>1536</v>
      </c>
      <c r="AZ20" s="221" t="s">
        <v>1573</v>
      </c>
      <c r="BA20" s="221" t="s">
        <v>1562</v>
      </c>
      <c r="BB20" s="221" t="s">
        <v>1573</v>
      </c>
      <c r="BC20" s="221" t="s">
        <v>1562</v>
      </c>
      <c r="BD20" s="214" t="s">
        <v>1536</v>
      </c>
      <c r="BE20" s="214" t="s">
        <v>1551</v>
      </c>
      <c r="BF20" s="214" t="s">
        <v>1536</v>
      </c>
      <c r="BG20" s="214" t="s">
        <v>1552</v>
      </c>
      <c r="BH20" s="214" t="s">
        <v>1551</v>
      </c>
      <c r="BI20" s="214" t="s">
        <v>1558</v>
      </c>
      <c r="BJ20" s="214" t="s">
        <v>1551</v>
      </c>
      <c r="BK20" s="214" t="s">
        <v>1560</v>
      </c>
      <c r="BL20" s="214" t="s">
        <v>1574</v>
      </c>
      <c r="BM20" s="214" t="s">
        <v>1536</v>
      </c>
      <c r="BN20" s="214" t="s">
        <v>1554</v>
      </c>
      <c r="BO20" s="214" t="s">
        <v>1575</v>
      </c>
      <c r="BP20" s="214" t="s">
        <v>1552</v>
      </c>
      <c r="BQ20" s="214" t="s">
        <v>1576</v>
      </c>
      <c r="BR20" s="214" t="s">
        <v>1561</v>
      </c>
      <c r="BS20" s="214" t="s">
        <v>1562</v>
      </c>
      <c r="BT20" s="214" t="s">
        <v>1536</v>
      </c>
      <c r="BU20" s="214" t="s">
        <v>1551</v>
      </c>
      <c r="BV20" s="214" t="s">
        <v>1552</v>
      </c>
      <c r="BW20" s="214" t="s">
        <v>1558</v>
      </c>
      <c r="BX20" s="214" t="s">
        <v>1573</v>
      </c>
      <c r="BY20" s="214" t="s">
        <v>1561</v>
      </c>
      <c r="BZ20" s="214" t="s">
        <v>1557</v>
      </c>
      <c r="CA20" s="214" t="s">
        <v>1558</v>
      </c>
      <c r="CB20" s="214" t="s">
        <v>1558</v>
      </c>
      <c r="CC20" s="214" t="s">
        <v>1559</v>
      </c>
      <c r="CD20" s="214" t="s">
        <v>1559</v>
      </c>
      <c r="CE20" s="214" t="s">
        <v>1560</v>
      </c>
      <c r="CF20" s="214" t="s">
        <v>1560</v>
      </c>
      <c r="CG20" s="214" t="s">
        <v>1561</v>
      </c>
      <c r="CH20" s="214" t="s">
        <v>1561</v>
      </c>
      <c r="CI20" s="214" t="s">
        <v>1562</v>
      </c>
      <c r="CJ20" s="214" t="s">
        <v>1562</v>
      </c>
      <c r="CK20" s="214" t="s">
        <v>1551</v>
      </c>
      <c r="CL20" s="214" t="s">
        <v>1552</v>
      </c>
      <c r="CM20" s="214" t="s">
        <v>1552</v>
      </c>
      <c r="CN20" s="214" t="s">
        <v>1552</v>
      </c>
      <c r="CO20" s="214" t="s">
        <v>1552</v>
      </c>
      <c r="CP20" s="214" t="s">
        <v>1558</v>
      </c>
      <c r="CQ20" s="214" t="s">
        <v>1558</v>
      </c>
      <c r="CR20" s="214" t="s">
        <v>1558</v>
      </c>
      <c r="CS20" s="214" t="s">
        <v>1558</v>
      </c>
      <c r="CT20" s="214" t="s">
        <v>1560</v>
      </c>
      <c r="CU20" s="214" t="s">
        <v>1560</v>
      </c>
      <c r="CV20" s="214" t="s">
        <v>1560</v>
      </c>
      <c r="CW20" s="214" t="s">
        <v>1560</v>
      </c>
      <c r="CX20" s="214" t="s">
        <v>1561</v>
      </c>
      <c r="CY20" s="214" t="s">
        <v>1561</v>
      </c>
      <c r="CZ20" s="214" t="s">
        <v>1561</v>
      </c>
      <c r="DA20" s="214" t="s">
        <v>1561</v>
      </c>
      <c r="DB20" s="214" t="s">
        <v>1558</v>
      </c>
      <c r="DC20" s="214" t="s">
        <v>1558</v>
      </c>
      <c r="DD20" s="214" t="s">
        <v>1558</v>
      </c>
      <c r="DE20" s="214" t="s">
        <v>1558</v>
      </c>
      <c r="DF20" s="214" t="s">
        <v>1558</v>
      </c>
      <c r="DG20" s="214" t="s">
        <v>1558</v>
      </c>
      <c r="DH20" s="214" t="s">
        <v>1558</v>
      </c>
      <c r="DI20" s="214" t="s">
        <v>1558</v>
      </c>
      <c r="DJ20" s="214" t="s">
        <v>1558</v>
      </c>
      <c r="DK20" s="214" t="s">
        <v>1560</v>
      </c>
      <c r="DL20" s="214" t="s">
        <v>1560</v>
      </c>
      <c r="DM20" s="214" t="s">
        <v>1560</v>
      </c>
      <c r="DN20" s="214" t="s">
        <v>1560</v>
      </c>
      <c r="DO20" s="214" t="s">
        <v>1560</v>
      </c>
      <c r="DP20" s="214" t="s">
        <v>1560</v>
      </c>
      <c r="DQ20" s="214" t="s">
        <v>1560</v>
      </c>
      <c r="DR20" s="214" t="s">
        <v>1560</v>
      </c>
      <c r="DS20" s="214" t="s">
        <v>1560</v>
      </c>
      <c r="DT20" s="214" t="s">
        <v>1561</v>
      </c>
      <c r="DU20" s="214" t="s">
        <v>1561</v>
      </c>
      <c r="DV20" s="214" t="s">
        <v>1561</v>
      </c>
      <c r="DW20" s="214" t="s">
        <v>1561</v>
      </c>
      <c r="DX20" s="214" t="s">
        <v>1561</v>
      </c>
      <c r="DY20" s="214" t="s">
        <v>1561</v>
      </c>
      <c r="DZ20" s="214" t="s">
        <v>1561</v>
      </c>
      <c r="EA20" s="214" t="s">
        <v>1561</v>
      </c>
      <c r="EB20" s="214" t="s">
        <v>1561</v>
      </c>
      <c r="EC20" s="214" t="s">
        <v>1562</v>
      </c>
      <c r="ED20" s="214" t="s">
        <v>1562</v>
      </c>
      <c r="EE20" s="214" t="s">
        <v>1562</v>
      </c>
      <c r="EF20" s="214" t="s">
        <v>1562</v>
      </c>
      <c r="EG20" s="214" t="s">
        <v>1562</v>
      </c>
      <c r="EH20" s="214" t="s">
        <v>1562</v>
      </c>
      <c r="EI20" s="214" t="s">
        <v>1562</v>
      </c>
      <c r="EJ20" s="214" t="s">
        <v>1562</v>
      </c>
      <c r="EK20" s="214" t="s">
        <v>1562</v>
      </c>
      <c r="EL20" s="214" t="s">
        <v>1577</v>
      </c>
      <c r="EM20" s="214" t="s">
        <v>1577</v>
      </c>
      <c r="EN20" s="214" t="s">
        <v>1577</v>
      </c>
      <c r="EO20" s="214" t="s">
        <v>1577</v>
      </c>
      <c r="EP20" s="214" t="s">
        <v>1577</v>
      </c>
      <c r="EQ20" s="214" t="s">
        <v>1577</v>
      </c>
      <c r="ER20" s="214" t="s">
        <v>1577</v>
      </c>
      <c r="ES20" s="214" t="s">
        <v>1577</v>
      </c>
      <c r="ET20" s="214" t="s">
        <v>1577</v>
      </c>
      <c r="EU20" s="214" t="s">
        <v>1536</v>
      </c>
      <c r="EV20" s="214" t="s">
        <v>1536</v>
      </c>
      <c r="EW20" s="214" t="s">
        <v>1536</v>
      </c>
      <c r="EX20" s="214" t="s">
        <v>1536</v>
      </c>
      <c r="EY20" s="214" t="s">
        <v>1551</v>
      </c>
      <c r="EZ20" s="214" t="s">
        <v>1551</v>
      </c>
      <c r="FA20" s="214" t="s">
        <v>1536</v>
      </c>
      <c r="FB20" s="214" t="s">
        <v>1536</v>
      </c>
      <c r="FC20" s="214" t="s">
        <v>1536</v>
      </c>
      <c r="FD20" s="214" t="s">
        <v>1573</v>
      </c>
      <c r="FE20" s="214" t="s">
        <v>1536</v>
      </c>
      <c r="FF20" s="214" t="s">
        <v>1573</v>
      </c>
      <c r="FG20" s="214" t="s">
        <v>1536</v>
      </c>
      <c r="FH20" s="214" t="s">
        <v>1573</v>
      </c>
      <c r="FI20" s="214" t="s">
        <v>1573</v>
      </c>
      <c r="FJ20" s="214" t="s">
        <v>1536</v>
      </c>
      <c r="FK20" s="214" t="s">
        <v>1536</v>
      </c>
      <c r="FL20" s="214" t="s">
        <v>1573</v>
      </c>
      <c r="FM20" s="214" t="s">
        <v>1536</v>
      </c>
      <c r="FN20" s="214" t="s">
        <v>1573</v>
      </c>
      <c r="FO20" s="214" t="s">
        <v>1536</v>
      </c>
      <c r="FP20" s="214" t="s">
        <v>1573</v>
      </c>
      <c r="FQ20" s="214" t="s">
        <v>1573</v>
      </c>
      <c r="FR20" s="214" t="s">
        <v>1536</v>
      </c>
      <c r="FS20" s="214" t="s">
        <v>1536</v>
      </c>
      <c r="FT20" s="214" t="s">
        <v>1573</v>
      </c>
      <c r="FU20" s="214" t="s">
        <v>1536</v>
      </c>
      <c r="FV20" s="214" t="s">
        <v>1573</v>
      </c>
      <c r="FW20" s="214" t="s">
        <v>1536</v>
      </c>
      <c r="FX20" s="214" t="s">
        <v>1573</v>
      </c>
      <c r="FY20" s="214" t="s">
        <v>1573</v>
      </c>
      <c r="FZ20" s="214" t="s">
        <v>1536</v>
      </c>
      <c r="GA20" s="214" t="s">
        <v>1536</v>
      </c>
      <c r="GB20" s="214" t="s">
        <v>1573</v>
      </c>
      <c r="GC20" s="214" t="s">
        <v>1536</v>
      </c>
      <c r="GD20" s="214" t="s">
        <v>1573</v>
      </c>
      <c r="GE20" s="214" t="s">
        <v>1536</v>
      </c>
      <c r="GF20" s="214" t="s">
        <v>1573</v>
      </c>
      <c r="GG20" s="214" t="s">
        <v>1573</v>
      </c>
      <c r="GH20" s="214" t="s">
        <v>1536</v>
      </c>
      <c r="GI20" s="214" t="s">
        <v>1536</v>
      </c>
      <c r="GJ20" s="214" t="s">
        <v>1573</v>
      </c>
      <c r="GK20" s="214" t="s">
        <v>1536</v>
      </c>
      <c r="GL20" s="214" t="s">
        <v>1573</v>
      </c>
      <c r="GM20" s="214" t="s">
        <v>1536</v>
      </c>
      <c r="GN20" s="214" t="s">
        <v>1573</v>
      </c>
      <c r="GO20" s="214" t="s">
        <v>1573</v>
      </c>
      <c r="GP20" s="214" t="s">
        <v>1536</v>
      </c>
      <c r="GQ20" s="214" t="s">
        <v>1574</v>
      </c>
      <c r="GR20" s="214" t="s">
        <v>1536</v>
      </c>
      <c r="GS20" s="214" t="s">
        <v>1574</v>
      </c>
      <c r="GT20" s="214" t="s">
        <v>1536</v>
      </c>
      <c r="GU20" s="214" t="s">
        <v>1574</v>
      </c>
      <c r="GV20" s="214" t="s">
        <v>1536</v>
      </c>
      <c r="GW20" s="214" t="s">
        <v>1574</v>
      </c>
      <c r="GX20" s="214" t="s">
        <v>1536</v>
      </c>
      <c r="GY20" s="214" t="s">
        <v>1574</v>
      </c>
      <c r="GZ20" s="214" t="s">
        <v>1536</v>
      </c>
      <c r="HA20" s="214" t="s">
        <v>1554</v>
      </c>
      <c r="HB20" s="214" t="s">
        <v>1551</v>
      </c>
      <c r="HC20" s="214" t="s">
        <v>1578</v>
      </c>
      <c r="HD20" s="214" t="s">
        <v>1536</v>
      </c>
      <c r="HE20" s="214" t="s">
        <v>1575</v>
      </c>
      <c r="HF20" s="214" t="s">
        <v>1552</v>
      </c>
      <c r="HG20" s="214" t="s">
        <v>1536</v>
      </c>
      <c r="HH20" s="214" t="s">
        <v>1575</v>
      </c>
      <c r="HI20" s="214" t="s">
        <v>1552</v>
      </c>
      <c r="HJ20" s="214" t="s">
        <v>1536</v>
      </c>
      <c r="HK20" s="214" t="s">
        <v>1575</v>
      </c>
      <c r="HL20" s="214" t="s">
        <v>1552</v>
      </c>
      <c r="HM20" s="214" t="s">
        <v>1536</v>
      </c>
      <c r="HN20" s="214" t="s">
        <v>1575</v>
      </c>
      <c r="HO20" s="214" t="s">
        <v>1552</v>
      </c>
      <c r="HP20" s="214" t="s">
        <v>1536</v>
      </c>
      <c r="HQ20" s="214" t="s">
        <v>1575</v>
      </c>
      <c r="HR20" s="214" t="s">
        <v>1552</v>
      </c>
      <c r="HS20" s="214" t="s">
        <v>1536</v>
      </c>
      <c r="HT20" s="214" t="s">
        <v>1575</v>
      </c>
      <c r="HU20" s="214" t="s">
        <v>1552</v>
      </c>
      <c r="HV20" s="214" t="s">
        <v>1536</v>
      </c>
      <c r="HW20" s="214" t="s">
        <v>1552</v>
      </c>
      <c r="HX20" s="214" t="s">
        <v>1536</v>
      </c>
      <c r="HY20" s="214" t="s">
        <v>1552</v>
      </c>
      <c r="HZ20" s="214" t="s">
        <v>1536</v>
      </c>
      <c r="IA20" s="214" t="s">
        <v>1552</v>
      </c>
      <c r="IB20" s="214" t="s">
        <v>1536</v>
      </c>
      <c r="IC20" s="214" t="s">
        <v>1552</v>
      </c>
      <c r="ID20" s="214" t="s">
        <v>1536</v>
      </c>
      <c r="IE20" s="214" t="s">
        <v>1552</v>
      </c>
      <c r="IF20" s="214" t="s">
        <v>1536</v>
      </c>
      <c r="IG20" s="214" t="s">
        <v>1552</v>
      </c>
      <c r="IH20" s="214" t="s">
        <v>1536</v>
      </c>
      <c r="II20" s="214" t="s">
        <v>1552</v>
      </c>
      <c r="IJ20" s="214" t="s">
        <v>1536</v>
      </c>
      <c r="IK20" s="214" t="s">
        <v>1552</v>
      </c>
      <c r="IL20" s="214" t="s">
        <v>1536</v>
      </c>
      <c r="IM20" s="214" t="s">
        <v>1552</v>
      </c>
      <c r="IN20" s="214" t="s">
        <v>1536</v>
      </c>
      <c r="IO20" s="214" t="s">
        <v>1552</v>
      </c>
      <c r="IP20" s="214" t="s">
        <v>1536</v>
      </c>
      <c r="IQ20" s="214" t="s">
        <v>1551</v>
      </c>
      <c r="IR20" s="214" t="s">
        <v>1552</v>
      </c>
      <c r="IS20" s="214" t="s">
        <v>1558</v>
      </c>
      <c r="IT20" s="214" t="s">
        <v>1551</v>
      </c>
      <c r="IU20" s="214" t="s">
        <v>1552</v>
      </c>
      <c r="IV20" s="214" t="s">
        <v>1558</v>
      </c>
      <c r="IW20" s="214" t="s">
        <v>1573</v>
      </c>
      <c r="IX20" s="214" t="s">
        <v>1560</v>
      </c>
      <c r="IY20" s="214" t="s">
        <v>1560</v>
      </c>
      <c r="IZ20" s="214" t="s">
        <v>1560</v>
      </c>
      <c r="JA20" s="214" t="s">
        <v>1536</v>
      </c>
      <c r="JB20" s="214" t="s">
        <v>1536</v>
      </c>
      <c r="JC20" s="214" t="s">
        <v>1536</v>
      </c>
      <c r="JD20" s="214" t="s">
        <v>1536</v>
      </c>
      <c r="JE20" s="214" t="s">
        <v>1536</v>
      </c>
      <c r="JF20" s="214" t="s">
        <v>1536</v>
      </c>
      <c r="JG20" s="214" t="s">
        <v>1536</v>
      </c>
      <c r="JH20" s="214" t="s">
        <v>1554</v>
      </c>
      <c r="JI20" s="214" t="s">
        <v>1554</v>
      </c>
      <c r="JJ20" s="214" t="s">
        <v>1554</v>
      </c>
      <c r="JK20" s="214" t="s">
        <v>1554</v>
      </c>
      <c r="JL20" s="214" t="s">
        <v>1575</v>
      </c>
      <c r="JM20" s="214" t="s">
        <v>1575</v>
      </c>
      <c r="JN20" s="214" t="s">
        <v>1575</v>
      </c>
      <c r="JO20" s="214" t="s">
        <v>1575</v>
      </c>
      <c r="JP20" s="214" t="s">
        <v>1576</v>
      </c>
      <c r="JQ20" s="214" t="s">
        <v>1576</v>
      </c>
      <c r="JR20" s="214" t="s">
        <v>1576</v>
      </c>
      <c r="JS20" s="214" t="s">
        <v>1576</v>
      </c>
      <c r="JT20" s="214" t="s">
        <v>1559</v>
      </c>
      <c r="JU20" s="214" t="s">
        <v>1559</v>
      </c>
      <c r="JV20" s="214" t="s">
        <v>1559</v>
      </c>
      <c r="JW20" s="214" t="s">
        <v>1559</v>
      </c>
      <c r="JX20" s="214" t="s">
        <v>1536</v>
      </c>
      <c r="JY20" s="214" t="s">
        <v>1536</v>
      </c>
      <c r="JZ20" s="214" t="s">
        <v>1536</v>
      </c>
      <c r="KA20" s="214" t="s">
        <v>1536</v>
      </c>
      <c r="KB20" s="214" t="s">
        <v>1536</v>
      </c>
      <c r="KC20" s="214" t="s">
        <v>1536</v>
      </c>
      <c r="KD20" s="214" t="s">
        <v>1536</v>
      </c>
      <c r="KE20" s="214" t="s">
        <v>1551</v>
      </c>
      <c r="KF20" s="214" t="s">
        <v>1551</v>
      </c>
      <c r="KG20" s="214" t="s">
        <v>1552</v>
      </c>
      <c r="KH20" s="214" t="s">
        <v>1558</v>
      </c>
      <c r="KI20" s="214" t="s">
        <v>1573</v>
      </c>
      <c r="KJ20" s="214" t="s">
        <v>1560</v>
      </c>
      <c r="KK20" s="214" t="s">
        <v>1579</v>
      </c>
      <c r="KL20" s="214" t="s">
        <v>1579</v>
      </c>
      <c r="KM20" s="214" t="s">
        <v>1580</v>
      </c>
      <c r="KN20" s="214" t="s">
        <v>1580</v>
      </c>
      <c r="KO20" s="214" t="s">
        <v>1536</v>
      </c>
      <c r="KP20" s="214" t="s">
        <v>1550</v>
      </c>
      <c r="KQ20" s="214" t="s">
        <v>1552</v>
      </c>
      <c r="KR20" s="214" t="s">
        <v>1558</v>
      </c>
      <c r="KS20" s="214" t="s">
        <v>1536</v>
      </c>
      <c r="KT20" s="214" t="s">
        <v>1550</v>
      </c>
      <c r="KU20" s="214" t="s">
        <v>1552</v>
      </c>
      <c r="KV20" s="214" t="s">
        <v>1558</v>
      </c>
      <c r="KW20" s="214" t="s">
        <v>1559</v>
      </c>
      <c r="KX20" s="214" t="s">
        <v>1560</v>
      </c>
      <c r="KY20" s="214" t="s">
        <v>1581</v>
      </c>
      <c r="KZ20" s="214" t="s">
        <v>1582</v>
      </c>
      <c r="LA20" s="214" t="s">
        <v>1559</v>
      </c>
      <c r="LB20" s="214" t="s">
        <v>1559</v>
      </c>
      <c r="LC20" s="214" t="s">
        <v>1560</v>
      </c>
      <c r="LD20" s="214" t="s">
        <v>1581</v>
      </c>
      <c r="LE20" s="214" t="s">
        <v>1582</v>
      </c>
      <c r="LF20" s="214" t="s">
        <v>1536</v>
      </c>
      <c r="LG20" s="214" t="s">
        <v>1536</v>
      </c>
      <c r="LH20" s="214" t="s">
        <v>1536</v>
      </c>
      <c r="LI20" s="214" t="s">
        <v>1551</v>
      </c>
      <c r="LJ20" s="214" t="s">
        <v>1576</v>
      </c>
      <c r="LK20" s="214" t="s">
        <v>1559</v>
      </c>
      <c r="LL20" s="214" t="s">
        <v>1562</v>
      </c>
      <c r="LM20" s="214" t="s">
        <v>1583</v>
      </c>
      <c r="LN20" s="214" t="s">
        <v>1559</v>
      </c>
      <c r="LO20" s="214" t="s">
        <v>1584</v>
      </c>
      <c r="LP20" s="214" t="s">
        <v>1560</v>
      </c>
      <c r="LQ20" s="214" t="s">
        <v>1583</v>
      </c>
      <c r="LR20" s="214" t="s">
        <v>1559</v>
      </c>
      <c r="LS20" s="214" t="s">
        <v>1584</v>
      </c>
      <c r="LT20" s="214" t="s">
        <v>1560</v>
      </c>
      <c r="LU20" s="214" t="s">
        <v>1557</v>
      </c>
      <c r="LV20" s="214" t="s">
        <v>1558</v>
      </c>
      <c r="LW20" s="214" t="s">
        <v>1559</v>
      </c>
      <c r="LX20" s="214" t="s">
        <v>1585</v>
      </c>
      <c r="LY20" s="214" t="s">
        <v>1579</v>
      </c>
      <c r="LZ20" s="214" t="s">
        <v>1581</v>
      </c>
      <c r="MA20" s="214" t="s">
        <v>1561</v>
      </c>
      <c r="MB20" s="214" t="s">
        <v>1586</v>
      </c>
      <c r="MC20" s="214" t="s">
        <v>1587</v>
      </c>
      <c r="MD20" s="214" t="s">
        <v>1588</v>
      </c>
      <c r="ME20" s="214" t="s">
        <v>1589</v>
      </c>
      <c r="MF20" s="214" t="s">
        <v>1577</v>
      </c>
      <c r="MG20" s="214" t="s">
        <v>1554</v>
      </c>
      <c r="MH20" s="214" t="s">
        <v>1575</v>
      </c>
      <c r="MI20" s="214" t="s">
        <v>1576</v>
      </c>
      <c r="MJ20" s="214" t="s">
        <v>1559</v>
      </c>
      <c r="MK20" s="214" t="s">
        <v>1560</v>
      </c>
      <c r="ML20" s="214" t="s">
        <v>1536</v>
      </c>
      <c r="MM20" s="214" t="s">
        <v>1536</v>
      </c>
      <c r="MN20" s="214" t="s">
        <v>1554</v>
      </c>
      <c r="MO20" s="214" t="s">
        <v>1575</v>
      </c>
      <c r="MP20" s="214" t="s">
        <v>1576</v>
      </c>
      <c r="MQ20" s="214" t="s">
        <v>1559</v>
      </c>
      <c r="MR20" s="214" t="s">
        <v>1560</v>
      </c>
      <c r="MS20" s="214" t="s">
        <v>1590</v>
      </c>
      <c r="MT20" s="214" t="s">
        <v>1591</v>
      </c>
      <c r="MU20" s="214" t="s">
        <v>1559</v>
      </c>
      <c r="MV20" s="214" t="s">
        <v>1592</v>
      </c>
      <c r="MW20" s="214" t="s">
        <v>1593</v>
      </c>
      <c r="MX20" s="214" t="s">
        <v>1554</v>
      </c>
      <c r="MY20" s="214" t="s">
        <v>1575</v>
      </c>
      <c r="MZ20" s="214" t="s">
        <v>1576</v>
      </c>
      <c r="NA20" s="214" t="s">
        <v>1559</v>
      </c>
      <c r="NB20" s="214" t="s">
        <v>1560</v>
      </c>
      <c r="NC20" s="214" t="s">
        <v>1552</v>
      </c>
      <c r="ND20" s="214" t="s">
        <v>1554</v>
      </c>
      <c r="NE20" s="214" t="s">
        <v>1555</v>
      </c>
      <c r="NF20" s="214" t="s">
        <v>1575</v>
      </c>
      <c r="NG20" s="214" t="s">
        <v>1552</v>
      </c>
      <c r="NH20" s="214" t="s">
        <v>1576</v>
      </c>
      <c r="NI20" s="214" t="s">
        <v>1553</v>
      </c>
      <c r="NJ20" s="214" t="s">
        <v>1554</v>
      </c>
      <c r="NK20" s="214" t="s">
        <v>1555</v>
      </c>
      <c r="NL20" s="214" t="s">
        <v>1575</v>
      </c>
      <c r="NM20" s="214" t="s">
        <v>1583</v>
      </c>
      <c r="NN20" s="214" t="s">
        <v>1594</v>
      </c>
      <c r="NO20" s="214" t="s">
        <v>1595</v>
      </c>
      <c r="NP20" s="214" t="s">
        <v>1596</v>
      </c>
      <c r="NQ20" s="214" t="s">
        <v>1559</v>
      </c>
      <c r="NR20" s="214" t="s">
        <v>1553</v>
      </c>
      <c r="NS20" s="214" t="s">
        <v>1554</v>
      </c>
      <c r="NT20" s="214" t="s">
        <v>1584</v>
      </c>
      <c r="NU20" s="214" t="s">
        <v>1553</v>
      </c>
      <c r="NV20" s="214" t="s">
        <v>1560</v>
      </c>
      <c r="NW20" s="214" t="s">
        <v>1536</v>
      </c>
      <c r="NX20" s="214" t="s">
        <v>1536</v>
      </c>
      <c r="NY20" s="214" t="s">
        <v>1597</v>
      </c>
      <c r="NZ20" s="214" t="s">
        <v>1536</v>
      </c>
      <c r="OA20" s="214" t="s">
        <v>1597</v>
      </c>
      <c r="OB20" s="214" t="s">
        <v>1536</v>
      </c>
      <c r="OC20" s="214" t="s">
        <v>1597</v>
      </c>
      <c r="OD20" s="214" t="s">
        <v>1536</v>
      </c>
      <c r="OE20" s="214" t="s">
        <v>1597</v>
      </c>
      <c r="OF20" s="214" t="s">
        <v>1536</v>
      </c>
      <c r="OG20" s="214" t="s">
        <v>1597</v>
      </c>
      <c r="OH20" s="214" t="s">
        <v>1536</v>
      </c>
      <c r="OI20" s="214" t="s">
        <v>1597</v>
      </c>
      <c r="OJ20" s="214" t="s">
        <v>1597</v>
      </c>
      <c r="OK20" s="214"/>
      <c r="OL20" s="214"/>
      <c r="OM20" s="214"/>
      <c r="ON20" s="214"/>
      <c r="OO20" s="214"/>
      <c r="OP20" s="214"/>
    </row>
    <row r="21" spans="1:406" s="216" customFormat="1" ht="30" x14ac:dyDescent="0.25">
      <c r="A21" s="230" t="s">
        <v>1598</v>
      </c>
      <c r="B21" s="214" t="s">
        <v>1389</v>
      </c>
      <c r="C21" s="214" t="s">
        <v>1389</v>
      </c>
      <c r="D21" s="214" t="s">
        <v>1389</v>
      </c>
      <c r="E21" s="221" t="s">
        <v>1502</v>
      </c>
      <c r="F21" s="221" t="s">
        <v>1502</v>
      </c>
      <c r="G21" s="214" t="s">
        <v>1389</v>
      </c>
      <c r="H21" s="214" t="s">
        <v>1389</v>
      </c>
      <c r="I21" s="221" t="s">
        <v>1502</v>
      </c>
      <c r="J21" s="221" t="s">
        <v>1502</v>
      </c>
      <c r="K21" s="214" t="s">
        <v>1389</v>
      </c>
      <c r="L21" s="214" t="s">
        <v>1389</v>
      </c>
      <c r="M21" s="221" t="s">
        <v>1502</v>
      </c>
      <c r="N21" s="221" t="s">
        <v>1504</v>
      </c>
      <c r="O21" s="214" t="s">
        <v>1389</v>
      </c>
      <c r="P21" s="221" t="s">
        <v>1502</v>
      </c>
      <c r="Q21" s="221" t="s">
        <v>1504</v>
      </c>
      <c r="R21" s="221" t="s">
        <v>1502</v>
      </c>
      <c r="S21" s="221" t="s">
        <v>1504</v>
      </c>
      <c r="T21" s="214" t="s">
        <v>1389</v>
      </c>
      <c r="U21" s="214" t="s">
        <v>1389</v>
      </c>
      <c r="V21" s="221" t="s">
        <v>1502</v>
      </c>
      <c r="W21" s="221" t="s">
        <v>1504</v>
      </c>
      <c r="X21" s="214" t="s">
        <v>1389</v>
      </c>
      <c r="Y21" s="221" t="s">
        <v>1502</v>
      </c>
      <c r="Z21" s="221" t="s">
        <v>1504</v>
      </c>
      <c r="AA21" s="221" t="s">
        <v>1502</v>
      </c>
      <c r="AB21" s="221" t="s">
        <v>1504</v>
      </c>
      <c r="AC21" s="214" t="s">
        <v>1389</v>
      </c>
      <c r="AD21" s="214" t="s">
        <v>1389</v>
      </c>
      <c r="AE21" s="221" t="s">
        <v>1502</v>
      </c>
      <c r="AF21" s="221" t="s">
        <v>1504</v>
      </c>
      <c r="AG21" s="214" t="s">
        <v>1389</v>
      </c>
      <c r="AH21" s="221" t="s">
        <v>1502</v>
      </c>
      <c r="AI21" s="221" t="s">
        <v>1504</v>
      </c>
      <c r="AJ21" s="221" t="s">
        <v>1502</v>
      </c>
      <c r="AK21" s="221" t="s">
        <v>1504</v>
      </c>
      <c r="AL21" s="214" t="s">
        <v>1389</v>
      </c>
      <c r="AM21" s="214" t="s">
        <v>1389</v>
      </c>
      <c r="AN21" s="221" t="s">
        <v>1502</v>
      </c>
      <c r="AO21" s="221" t="s">
        <v>1504</v>
      </c>
      <c r="AP21" s="214" t="s">
        <v>1389</v>
      </c>
      <c r="AQ21" s="221" t="s">
        <v>1502</v>
      </c>
      <c r="AR21" s="221" t="s">
        <v>1504</v>
      </c>
      <c r="AS21" s="221" t="s">
        <v>1502</v>
      </c>
      <c r="AT21" s="221" t="s">
        <v>1504</v>
      </c>
      <c r="AU21" s="214" t="s">
        <v>1389</v>
      </c>
      <c r="AV21" s="214" t="s">
        <v>1389</v>
      </c>
      <c r="AW21" s="221" t="s">
        <v>1502</v>
      </c>
      <c r="AX21" s="221" t="s">
        <v>1504</v>
      </c>
      <c r="AY21" s="214" t="s">
        <v>1389</v>
      </c>
      <c r="AZ21" s="221" t="s">
        <v>1502</v>
      </c>
      <c r="BA21" s="221" t="s">
        <v>1504</v>
      </c>
      <c r="BB21" s="221" t="s">
        <v>1502</v>
      </c>
      <c r="BC21" s="221" t="s">
        <v>1504</v>
      </c>
      <c r="BD21" s="214" t="s">
        <v>1389</v>
      </c>
      <c r="BE21" s="214" t="s">
        <v>1506</v>
      </c>
      <c r="BF21" s="214" t="s">
        <v>1506</v>
      </c>
      <c r="BG21" s="214" t="s">
        <v>1501</v>
      </c>
      <c r="BH21" s="214" t="s">
        <v>1506</v>
      </c>
      <c r="BI21" s="214" t="s">
        <v>1418</v>
      </c>
      <c r="BJ21" s="214" t="s">
        <v>1501</v>
      </c>
      <c r="BK21" s="214" t="s">
        <v>1497</v>
      </c>
      <c r="BL21" s="214" t="s">
        <v>1498</v>
      </c>
      <c r="BM21" s="214" t="s">
        <v>1389</v>
      </c>
      <c r="BN21" s="214" t="s">
        <v>1418</v>
      </c>
      <c r="BO21" s="214" t="s">
        <v>1502</v>
      </c>
      <c r="BP21" s="214" t="s">
        <v>1498</v>
      </c>
      <c r="BQ21" s="214" t="s">
        <v>1442</v>
      </c>
      <c r="BR21" s="214" t="s">
        <v>1599</v>
      </c>
      <c r="BS21" s="214" t="s">
        <v>1600</v>
      </c>
      <c r="BT21" s="214" t="s">
        <v>1389</v>
      </c>
      <c r="BU21" s="214" t="s">
        <v>1389</v>
      </c>
      <c r="BV21" s="214" t="s">
        <v>1389</v>
      </c>
      <c r="BW21" s="214" t="s">
        <v>1389</v>
      </c>
      <c r="BX21" s="214" t="s">
        <v>1389</v>
      </c>
      <c r="BY21" s="214" t="s">
        <v>1389</v>
      </c>
      <c r="BZ21" s="214" t="s">
        <v>1389</v>
      </c>
      <c r="CA21" s="214" t="s">
        <v>1389</v>
      </c>
      <c r="CB21" s="214" t="s">
        <v>1389</v>
      </c>
      <c r="CC21" s="214" t="s">
        <v>1389</v>
      </c>
      <c r="CD21" s="214" t="s">
        <v>1389</v>
      </c>
      <c r="CE21" s="214" t="s">
        <v>1389</v>
      </c>
      <c r="CF21" s="214" t="s">
        <v>1389</v>
      </c>
      <c r="CG21" s="214" t="s">
        <v>1389</v>
      </c>
      <c r="CH21" s="214" t="s">
        <v>1389</v>
      </c>
      <c r="CI21" s="214" t="s">
        <v>1389</v>
      </c>
      <c r="CJ21" s="214" t="s">
        <v>1389</v>
      </c>
      <c r="CK21" s="214" t="s">
        <v>1506</v>
      </c>
      <c r="CL21" s="214" t="s">
        <v>1501</v>
      </c>
      <c r="CM21" s="214" t="s">
        <v>1501</v>
      </c>
      <c r="CN21" s="214" t="s">
        <v>1501</v>
      </c>
      <c r="CO21" s="214" t="s">
        <v>1501</v>
      </c>
      <c r="CP21" s="214" t="s">
        <v>1418</v>
      </c>
      <c r="CQ21" s="214" t="s">
        <v>1418</v>
      </c>
      <c r="CR21" s="214" t="s">
        <v>1418</v>
      </c>
      <c r="CS21" s="214" t="s">
        <v>1418</v>
      </c>
      <c r="CT21" s="214" t="s">
        <v>1502</v>
      </c>
      <c r="CU21" s="214" t="s">
        <v>1502</v>
      </c>
      <c r="CV21" s="214" t="s">
        <v>1502</v>
      </c>
      <c r="CW21" s="214" t="s">
        <v>1502</v>
      </c>
      <c r="CX21" s="214" t="s">
        <v>1497</v>
      </c>
      <c r="CY21" s="214" t="s">
        <v>1497</v>
      </c>
      <c r="CZ21" s="214" t="s">
        <v>1497</v>
      </c>
      <c r="DA21" s="214" t="s">
        <v>1497</v>
      </c>
      <c r="DB21" s="214" t="s">
        <v>1418</v>
      </c>
      <c r="DC21" s="214" t="s">
        <v>1418</v>
      </c>
      <c r="DD21" s="214" t="s">
        <v>1418</v>
      </c>
      <c r="DE21" s="214" t="s">
        <v>1418</v>
      </c>
      <c r="DF21" s="214" t="s">
        <v>1418</v>
      </c>
      <c r="DG21" s="214" t="s">
        <v>1418</v>
      </c>
      <c r="DH21" s="214" t="s">
        <v>1418</v>
      </c>
      <c r="DI21" s="214" t="s">
        <v>1418</v>
      </c>
      <c r="DJ21" s="214" t="s">
        <v>1418</v>
      </c>
      <c r="DK21" s="214" t="s">
        <v>1502</v>
      </c>
      <c r="DL21" s="214" t="s">
        <v>1502</v>
      </c>
      <c r="DM21" s="214" t="s">
        <v>1502</v>
      </c>
      <c r="DN21" s="214" t="s">
        <v>1502</v>
      </c>
      <c r="DO21" s="214" t="s">
        <v>1502</v>
      </c>
      <c r="DP21" s="214" t="s">
        <v>1502</v>
      </c>
      <c r="DQ21" s="214" t="s">
        <v>1502</v>
      </c>
      <c r="DR21" s="214" t="s">
        <v>1502</v>
      </c>
      <c r="DS21" s="214" t="s">
        <v>1502</v>
      </c>
      <c r="DT21" s="214" t="s">
        <v>1498</v>
      </c>
      <c r="DU21" s="214" t="s">
        <v>1498</v>
      </c>
      <c r="DV21" s="214" t="s">
        <v>1498</v>
      </c>
      <c r="DW21" s="214" t="s">
        <v>1498</v>
      </c>
      <c r="DX21" s="214" t="s">
        <v>1498</v>
      </c>
      <c r="DY21" s="214" t="s">
        <v>1498</v>
      </c>
      <c r="DZ21" s="214" t="s">
        <v>1498</v>
      </c>
      <c r="EA21" s="214" t="s">
        <v>1498</v>
      </c>
      <c r="EB21" s="214" t="s">
        <v>1498</v>
      </c>
      <c r="EC21" s="214" t="s">
        <v>1504</v>
      </c>
      <c r="ED21" s="214" t="s">
        <v>1504</v>
      </c>
      <c r="EE21" s="214" t="s">
        <v>1504</v>
      </c>
      <c r="EF21" s="214" t="s">
        <v>1504</v>
      </c>
      <c r="EG21" s="214" t="s">
        <v>1504</v>
      </c>
      <c r="EH21" s="214" t="s">
        <v>1504</v>
      </c>
      <c r="EI21" s="214" t="s">
        <v>1504</v>
      </c>
      <c r="EJ21" s="214" t="s">
        <v>1504</v>
      </c>
      <c r="EK21" s="214" t="s">
        <v>1504</v>
      </c>
      <c r="EL21" s="214" t="s">
        <v>1442</v>
      </c>
      <c r="EM21" s="214" t="s">
        <v>1442</v>
      </c>
      <c r="EN21" s="214" t="s">
        <v>1442</v>
      </c>
      <c r="EO21" s="214" t="s">
        <v>1442</v>
      </c>
      <c r="EP21" s="214" t="s">
        <v>1442</v>
      </c>
      <c r="EQ21" s="214" t="s">
        <v>1442</v>
      </c>
      <c r="ER21" s="214" t="s">
        <v>1442</v>
      </c>
      <c r="ES21" s="214" t="s">
        <v>1442</v>
      </c>
      <c r="ET21" s="214" t="s">
        <v>1442</v>
      </c>
      <c r="EU21" s="214" t="s">
        <v>1389</v>
      </c>
      <c r="EV21" s="214" t="s">
        <v>1389</v>
      </c>
      <c r="EW21" s="214" t="s">
        <v>1389</v>
      </c>
      <c r="EX21" s="214" t="s">
        <v>1389</v>
      </c>
      <c r="EY21" s="214" t="s">
        <v>1389</v>
      </c>
      <c r="EZ21" s="214" t="s">
        <v>1389</v>
      </c>
      <c r="FA21" s="214" t="s">
        <v>1389</v>
      </c>
      <c r="FB21" s="214" t="s">
        <v>1389</v>
      </c>
      <c r="FC21" s="214" t="s">
        <v>1389</v>
      </c>
      <c r="FD21" s="214" t="s">
        <v>1601</v>
      </c>
      <c r="FE21" s="214" t="s">
        <v>1389</v>
      </c>
      <c r="FF21" s="214" t="s">
        <v>1601</v>
      </c>
      <c r="FG21" s="214" t="s">
        <v>1389</v>
      </c>
      <c r="FH21" s="214" t="s">
        <v>1601</v>
      </c>
      <c r="FI21" s="214" t="s">
        <v>1601</v>
      </c>
      <c r="FJ21" s="214" t="s">
        <v>1389</v>
      </c>
      <c r="FK21" s="214" t="s">
        <v>1389</v>
      </c>
      <c r="FL21" s="214" t="s">
        <v>1601</v>
      </c>
      <c r="FM21" s="214" t="s">
        <v>1389</v>
      </c>
      <c r="FN21" s="214" t="s">
        <v>1601</v>
      </c>
      <c r="FO21" s="214" t="s">
        <v>1389</v>
      </c>
      <c r="FP21" s="214" t="s">
        <v>1601</v>
      </c>
      <c r="FQ21" s="214" t="s">
        <v>1601</v>
      </c>
      <c r="FR21" s="214" t="s">
        <v>1389</v>
      </c>
      <c r="FS21" s="214" t="s">
        <v>1389</v>
      </c>
      <c r="FT21" s="214" t="s">
        <v>1601</v>
      </c>
      <c r="FU21" s="214" t="s">
        <v>1389</v>
      </c>
      <c r="FV21" s="214" t="s">
        <v>1601</v>
      </c>
      <c r="FW21" s="214" t="s">
        <v>1389</v>
      </c>
      <c r="FX21" s="214" t="s">
        <v>1601</v>
      </c>
      <c r="FY21" s="214" t="s">
        <v>1601</v>
      </c>
      <c r="FZ21" s="214" t="s">
        <v>1389</v>
      </c>
      <c r="GA21" s="214" t="s">
        <v>1389</v>
      </c>
      <c r="GB21" s="214" t="s">
        <v>1601</v>
      </c>
      <c r="GC21" s="214" t="s">
        <v>1389</v>
      </c>
      <c r="GD21" s="214" t="s">
        <v>1601</v>
      </c>
      <c r="GE21" s="214" t="s">
        <v>1389</v>
      </c>
      <c r="GF21" s="214" t="s">
        <v>1601</v>
      </c>
      <c r="GG21" s="214" t="s">
        <v>1601</v>
      </c>
      <c r="GH21" s="214" t="s">
        <v>1389</v>
      </c>
      <c r="GI21" s="214" t="s">
        <v>1389</v>
      </c>
      <c r="GJ21" s="214" t="s">
        <v>1601</v>
      </c>
      <c r="GK21" s="214" t="s">
        <v>1389</v>
      </c>
      <c r="GL21" s="214" t="s">
        <v>1601</v>
      </c>
      <c r="GM21" s="214" t="s">
        <v>1389</v>
      </c>
      <c r="GN21" s="214" t="s">
        <v>1601</v>
      </c>
      <c r="GO21" s="214" t="s">
        <v>1601</v>
      </c>
      <c r="GP21" s="214" t="s">
        <v>1418</v>
      </c>
      <c r="GQ21" s="214" t="s">
        <v>1418</v>
      </c>
      <c r="GR21" s="214" t="s">
        <v>1602</v>
      </c>
      <c r="GS21" s="214" t="s">
        <v>1602</v>
      </c>
      <c r="GT21" s="214" t="s">
        <v>1603</v>
      </c>
      <c r="GU21" s="214" t="s">
        <v>1603</v>
      </c>
      <c r="GV21" s="214" t="s">
        <v>1604</v>
      </c>
      <c r="GW21" s="214" t="s">
        <v>1604</v>
      </c>
      <c r="GX21" s="214" t="s">
        <v>1605</v>
      </c>
      <c r="GY21" s="214" t="s">
        <v>1605</v>
      </c>
      <c r="GZ21" s="214" t="s">
        <v>1606</v>
      </c>
      <c r="HA21" s="214" t="s">
        <v>1606</v>
      </c>
      <c r="HB21" s="214" t="s">
        <v>1606</v>
      </c>
      <c r="HC21" s="214" t="s">
        <v>1606</v>
      </c>
      <c r="HD21" s="214" t="s">
        <v>1606</v>
      </c>
      <c r="HE21" s="214" t="s">
        <v>1606</v>
      </c>
      <c r="HF21" s="214" t="s">
        <v>1418</v>
      </c>
      <c r="HG21" s="214" t="s">
        <v>1606</v>
      </c>
      <c r="HH21" s="214" t="s">
        <v>1606</v>
      </c>
      <c r="HI21" s="214" t="s">
        <v>1418</v>
      </c>
      <c r="HJ21" s="214" t="s">
        <v>1606</v>
      </c>
      <c r="HK21" s="214" t="s">
        <v>1606</v>
      </c>
      <c r="HL21" s="214" t="s">
        <v>1418</v>
      </c>
      <c r="HM21" s="214" t="s">
        <v>1606</v>
      </c>
      <c r="HN21" s="214" t="s">
        <v>1606</v>
      </c>
      <c r="HO21" s="214" t="s">
        <v>1418</v>
      </c>
      <c r="HP21" s="214" t="s">
        <v>1606</v>
      </c>
      <c r="HQ21" s="214" t="s">
        <v>1606</v>
      </c>
      <c r="HR21" s="214" t="s">
        <v>1418</v>
      </c>
      <c r="HS21" s="214" t="s">
        <v>1606</v>
      </c>
      <c r="HT21" s="214" t="s">
        <v>1606</v>
      </c>
      <c r="HU21" s="214" t="s">
        <v>1418</v>
      </c>
      <c r="HV21" s="214" t="s">
        <v>1606</v>
      </c>
      <c r="HW21" s="214" t="s">
        <v>1606</v>
      </c>
      <c r="HX21" s="214" t="s">
        <v>1607</v>
      </c>
      <c r="HY21" s="214" t="s">
        <v>1607</v>
      </c>
      <c r="HZ21" s="214" t="s">
        <v>1606</v>
      </c>
      <c r="IA21" s="214" t="s">
        <v>1606</v>
      </c>
      <c r="IB21" s="214" t="s">
        <v>1607</v>
      </c>
      <c r="IC21" s="214" t="s">
        <v>1607</v>
      </c>
      <c r="ID21" s="214" t="s">
        <v>1606</v>
      </c>
      <c r="IE21" s="214" t="s">
        <v>1606</v>
      </c>
      <c r="IF21" s="214" t="s">
        <v>1607</v>
      </c>
      <c r="IG21" s="214" t="s">
        <v>1607</v>
      </c>
      <c r="IH21" s="214" t="s">
        <v>1606</v>
      </c>
      <c r="II21" s="214" t="s">
        <v>1606</v>
      </c>
      <c r="IJ21" s="214" t="s">
        <v>1607</v>
      </c>
      <c r="IK21" s="214" t="s">
        <v>1607</v>
      </c>
      <c r="IL21" s="214" t="s">
        <v>1606</v>
      </c>
      <c r="IM21" s="214" t="s">
        <v>1606</v>
      </c>
      <c r="IN21" s="214" t="s">
        <v>1607</v>
      </c>
      <c r="IO21" s="214" t="s">
        <v>1607</v>
      </c>
      <c r="IP21" s="214" t="s">
        <v>1606</v>
      </c>
      <c r="IQ21" s="214" t="s">
        <v>1606</v>
      </c>
      <c r="IR21" s="214" t="s">
        <v>1606</v>
      </c>
      <c r="IS21" s="214" t="s">
        <v>1606</v>
      </c>
      <c r="IT21" s="214" t="s">
        <v>1500</v>
      </c>
      <c r="IU21" s="214" t="s">
        <v>1506</v>
      </c>
      <c r="IV21" s="214" t="s">
        <v>1501</v>
      </c>
      <c r="IW21" s="214" t="s">
        <v>1418</v>
      </c>
      <c r="IX21" s="214" t="s">
        <v>1507</v>
      </c>
      <c r="IY21" s="214" t="s">
        <v>1507</v>
      </c>
      <c r="IZ21" s="214" t="s">
        <v>1507</v>
      </c>
      <c r="JA21" s="214" t="s">
        <v>1389</v>
      </c>
      <c r="JB21" s="214" t="s">
        <v>1389</v>
      </c>
      <c r="JC21" s="214" t="s">
        <v>1389</v>
      </c>
      <c r="JD21" s="214" t="s">
        <v>1389</v>
      </c>
      <c r="JE21" s="214" t="s">
        <v>1389</v>
      </c>
      <c r="JF21" s="214" t="s">
        <v>1389</v>
      </c>
      <c r="JG21" s="214" t="s">
        <v>1389</v>
      </c>
      <c r="JH21" s="214" t="s">
        <v>1418</v>
      </c>
      <c r="JI21" s="214" t="s">
        <v>1418</v>
      </c>
      <c r="JJ21" s="214" t="s">
        <v>1418</v>
      </c>
      <c r="JK21" s="214" t="s">
        <v>1418</v>
      </c>
      <c r="JL21" s="214" t="s">
        <v>1608</v>
      </c>
      <c r="JM21" s="214" t="s">
        <v>1608</v>
      </c>
      <c r="JN21" s="214" t="s">
        <v>1608</v>
      </c>
      <c r="JO21" s="214" t="s">
        <v>1608</v>
      </c>
      <c r="JP21" s="214" t="s">
        <v>1609</v>
      </c>
      <c r="JQ21" s="214" t="s">
        <v>1609</v>
      </c>
      <c r="JR21" s="214" t="s">
        <v>1609</v>
      </c>
      <c r="JS21" s="214" t="s">
        <v>1609</v>
      </c>
      <c r="JT21" s="214" t="s">
        <v>1610</v>
      </c>
      <c r="JU21" s="214" t="s">
        <v>1610</v>
      </c>
      <c r="JV21" s="214" t="s">
        <v>1610</v>
      </c>
      <c r="JW21" s="214" t="s">
        <v>1610</v>
      </c>
      <c r="JX21" s="214" t="s">
        <v>1389</v>
      </c>
      <c r="JY21" s="214" t="s">
        <v>1389</v>
      </c>
      <c r="JZ21" s="214" t="s">
        <v>1389</v>
      </c>
      <c r="KA21" s="214" t="s">
        <v>1389</v>
      </c>
      <c r="KB21" s="214" t="s">
        <v>1389</v>
      </c>
      <c r="KC21" s="214" t="s">
        <v>1389</v>
      </c>
      <c r="KD21" s="214" t="s">
        <v>1389</v>
      </c>
      <c r="KE21" s="214" t="s">
        <v>1389</v>
      </c>
      <c r="KF21" s="214" t="s">
        <v>1389</v>
      </c>
      <c r="KG21" s="214" t="s">
        <v>1398</v>
      </c>
      <c r="KH21" s="214" t="s">
        <v>1396</v>
      </c>
      <c r="KI21" s="214" t="s">
        <v>1404</v>
      </c>
      <c r="KJ21" s="214" t="s">
        <v>1397</v>
      </c>
      <c r="KK21" s="214" t="s">
        <v>1611</v>
      </c>
      <c r="KL21" s="214" t="s">
        <v>1612</v>
      </c>
      <c r="KM21" s="214" t="s">
        <v>1613</v>
      </c>
      <c r="KN21" s="214" t="s">
        <v>1614</v>
      </c>
      <c r="KO21" s="214" t="s">
        <v>1389</v>
      </c>
      <c r="KP21" s="214" t="s">
        <v>1389</v>
      </c>
      <c r="KQ21" s="214" t="s">
        <v>1506</v>
      </c>
      <c r="KR21" s="214" t="s">
        <v>1418</v>
      </c>
      <c r="KS21" s="214" t="s">
        <v>1389</v>
      </c>
      <c r="KT21" s="214" t="s">
        <v>1389</v>
      </c>
      <c r="KU21" s="214" t="s">
        <v>1506</v>
      </c>
      <c r="KV21" s="214" t="s">
        <v>1418</v>
      </c>
      <c r="KW21" s="214" t="s">
        <v>1502</v>
      </c>
      <c r="KX21" s="214" t="s">
        <v>1497</v>
      </c>
      <c r="KY21" s="214" t="s">
        <v>1498</v>
      </c>
      <c r="KZ21" s="214" t="s">
        <v>1504</v>
      </c>
      <c r="LA21" s="214" t="s">
        <v>1506</v>
      </c>
      <c r="LB21" s="214" t="s">
        <v>1418</v>
      </c>
      <c r="LC21" s="214" t="s">
        <v>1497</v>
      </c>
      <c r="LD21" s="214" t="s">
        <v>1504</v>
      </c>
      <c r="LE21" s="214" t="s">
        <v>1442</v>
      </c>
      <c r="LF21" s="214" t="s">
        <v>1389</v>
      </c>
      <c r="LG21" s="214" t="s">
        <v>1389</v>
      </c>
      <c r="LH21" s="214" t="s">
        <v>1389</v>
      </c>
      <c r="LI21" s="214" t="s">
        <v>1389</v>
      </c>
      <c r="LJ21" s="214" t="s">
        <v>1396</v>
      </c>
      <c r="LK21" s="214" t="s">
        <v>1397</v>
      </c>
      <c r="LL21" s="214" t="s">
        <v>1401</v>
      </c>
      <c r="LM21" s="214" t="s">
        <v>1615</v>
      </c>
      <c r="LN21" s="214" t="s">
        <v>1616</v>
      </c>
      <c r="LO21" s="214" t="s">
        <v>1617</v>
      </c>
      <c r="LP21" s="214" t="s">
        <v>1618</v>
      </c>
      <c r="LQ21" s="214" t="s">
        <v>1615</v>
      </c>
      <c r="LR21" s="214" t="s">
        <v>1616</v>
      </c>
      <c r="LS21" s="214" t="s">
        <v>1617</v>
      </c>
      <c r="LT21" s="214" t="s">
        <v>1618</v>
      </c>
      <c r="LU21" s="214" t="s">
        <v>1619</v>
      </c>
      <c r="LV21" s="214" t="s">
        <v>1620</v>
      </c>
      <c r="LW21" s="214" t="s">
        <v>1621</v>
      </c>
      <c r="LX21" s="214" t="s">
        <v>1622</v>
      </c>
      <c r="LY21" s="214" t="s">
        <v>1623</v>
      </c>
      <c r="LZ21" s="214" t="s">
        <v>1624</v>
      </c>
      <c r="MA21" s="214" t="s">
        <v>1625</v>
      </c>
      <c r="MB21" s="214" t="s">
        <v>1626</v>
      </c>
      <c r="MC21" s="214" t="s">
        <v>1627</v>
      </c>
      <c r="MD21" s="214" t="s">
        <v>1628</v>
      </c>
      <c r="ME21" s="214" t="s">
        <v>1629</v>
      </c>
      <c r="MF21" s="214" t="s">
        <v>1630</v>
      </c>
      <c r="MG21" s="214" t="s">
        <v>1631</v>
      </c>
      <c r="MH21" s="214" t="s">
        <v>1632</v>
      </c>
      <c r="MI21" s="214" t="s">
        <v>1633</v>
      </c>
      <c r="MJ21" s="214" t="s">
        <v>1456</v>
      </c>
      <c r="MK21" s="214" t="s">
        <v>1469</v>
      </c>
      <c r="ML21" s="214" t="s">
        <v>1408</v>
      </c>
      <c r="MM21" s="214" t="s">
        <v>1408</v>
      </c>
      <c r="MN21" s="214" t="s">
        <v>1634</v>
      </c>
      <c r="MO21" s="214" t="s">
        <v>1633</v>
      </c>
      <c r="MP21" s="214" t="s">
        <v>1635</v>
      </c>
      <c r="MQ21" s="214" t="s">
        <v>1636</v>
      </c>
      <c r="MR21" s="214" t="s">
        <v>1637</v>
      </c>
      <c r="MS21" s="214" t="s">
        <v>1638</v>
      </c>
      <c r="MT21" s="214" t="s">
        <v>1639</v>
      </c>
      <c r="MU21" s="214" t="s">
        <v>1640</v>
      </c>
      <c r="MV21" s="214" t="s">
        <v>1641</v>
      </c>
      <c r="MW21" s="214" t="s">
        <v>1642</v>
      </c>
      <c r="MX21" s="214" t="s">
        <v>1631</v>
      </c>
      <c r="MY21" s="214" t="s">
        <v>1632</v>
      </c>
      <c r="MZ21" s="214" t="s">
        <v>1633</v>
      </c>
      <c r="NA21" s="214" t="s">
        <v>1456</v>
      </c>
      <c r="NB21" s="214" t="s">
        <v>1469</v>
      </c>
      <c r="NC21" s="214" t="s">
        <v>1389</v>
      </c>
      <c r="ND21" s="214" t="s">
        <v>1615</v>
      </c>
      <c r="NE21" s="214" t="s">
        <v>1616</v>
      </c>
      <c r="NF21" s="214" t="s">
        <v>1617</v>
      </c>
      <c r="NG21" s="214" t="s">
        <v>1618</v>
      </c>
      <c r="NH21" s="214" t="s">
        <v>1421</v>
      </c>
      <c r="NI21" s="214" t="s">
        <v>1615</v>
      </c>
      <c r="NJ21" s="214" t="s">
        <v>1616</v>
      </c>
      <c r="NK21" s="214" t="s">
        <v>1617</v>
      </c>
      <c r="NL21" s="214" t="s">
        <v>1618</v>
      </c>
      <c r="NM21" s="214" t="s">
        <v>1615</v>
      </c>
      <c r="NN21" s="214" t="s">
        <v>1643</v>
      </c>
      <c r="NO21" s="214" t="s">
        <v>1644</v>
      </c>
      <c r="NP21" s="214" t="s">
        <v>1645</v>
      </c>
      <c r="NQ21" s="214" t="s">
        <v>1616</v>
      </c>
      <c r="NR21" s="214" t="s">
        <v>1643</v>
      </c>
      <c r="NS21" s="214" t="s">
        <v>1644</v>
      </c>
      <c r="NT21" s="214" t="s">
        <v>1617</v>
      </c>
      <c r="NU21" s="214" t="s">
        <v>1643</v>
      </c>
      <c r="NV21" s="214" t="s">
        <v>1618</v>
      </c>
      <c r="NW21" s="214" t="s">
        <v>1408</v>
      </c>
      <c r="NX21" s="214" t="s">
        <v>1408</v>
      </c>
      <c r="NY21" s="214" t="s">
        <v>1408</v>
      </c>
      <c r="NZ21" s="214" t="s">
        <v>1418</v>
      </c>
      <c r="OA21" s="214" t="s">
        <v>1418</v>
      </c>
      <c r="OB21" s="214" t="s">
        <v>1602</v>
      </c>
      <c r="OC21" s="214" t="s">
        <v>1602</v>
      </c>
      <c r="OD21" s="214" t="s">
        <v>1603</v>
      </c>
      <c r="OE21" s="214" t="s">
        <v>1603</v>
      </c>
      <c r="OF21" s="214" t="s">
        <v>1646</v>
      </c>
      <c r="OG21" s="214" t="s">
        <v>1646</v>
      </c>
      <c r="OH21" s="214" t="s">
        <v>1605</v>
      </c>
      <c r="OI21" s="214" t="s">
        <v>1605</v>
      </c>
      <c r="OJ21" s="214"/>
      <c r="OK21" s="214" t="s">
        <v>1632</v>
      </c>
      <c r="OL21" s="214" t="s">
        <v>1456</v>
      </c>
      <c r="OM21" s="214" t="s">
        <v>1471</v>
      </c>
      <c r="ON21" s="214"/>
      <c r="OO21" s="214"/>
      <c r="OP21" s="214"/>
    </row>
    <row r="22" spans="1:406" s="216" customFormat="1" ht="30" x14ac:dyDescent="0.25">
      <c r="A22" s="231" t="s">
        <v>1647</v>
      </c>
      <c r="B22" s="214" t="s">
        <v>1474</v>
      </c>
      <c r="C22" s="214" t="s">
        <v>1504</v>
      </c>
      <c r="D22" s="214" t="s">
        <v>1504</v>
      </c>
      <c r="E22" s="214" t="s">
        <v>1504</v>
      </c>
      <c r="F22" s="214" t="s">
        <v>1504</v>
      </c>
      <c r="G22" s="214" t="s">
        <v>1442</v>
      </c>
      <c r="H22" s="214" t="s">
        <v>1442</v>
      </c>
      <c r="I22" s="214" t="s">
        <v>1442</v>
      </c>
      <c r="J22" s="214" t="s">
        <v>1442</v>
      </c>
      <c r="K22" s="214" t="s">
        <v>1648</v>
      </c>
      <c r="L22" s="214" t="s">
        <v>1648</v>
      </c>
      <c r="M22" s="214" t="s">
        <v>1648</v>
      </c>
      <c r="N22" s="214" t="s">
        <v>1648</v>
      </c>
      <c r="O22" s="214" t="s">
        <v>1648</v>
      </c>
      <c r="P22" s="214" t="s">
        <v>1648</v>
      </c>
      <c r="Q22" s="214" t="s">
        <v>1648</v>
      </c>
      <c r="R22" s="214" t="s">
        <v>1648</v>
      </c>
      <c r="S22" s="214" t="s">
        <v>1648</v>
      </c>
      <c r="T22" s="214" t="s">
        <v>1649</v>
      </c>
      <c r="U22" s="214" t="s">
        <v>1649</v>
      </c>
      <c r="V22" s="214" t="s">
        <v>1649</v>
      </c>
      <c r="W22" s="214" t="s">
        <v>1649</v>
      </c>
      <c r="X22" s="214" t="s">
        <v>1649</v>
      </c>
      <c r="Y22" s="214" t="s">
        <v>1649</v>
      </c>
      <c r="Z22" s="214" t="s">
        <v>1649</v>
      </c>
      <c r="AA22" s="214" t="s">
        <v>1649</v>
      </c>
      <c r="AB22" s="214" t="s">
        <v>1649</v>
      </c>
      <c r="AC22" s="214" t="s">
        <v>1650</v>
      </c>
      <c r="AD22" s="214" t="s">
        <v>1650</v>
      </c>
      <c r="AE22" s="214" t="s">
        <v>1650</v>
      </c>
      <c r="AF22" s="214" t="s">
        <v>1650</v>
      </c>
      <c r="AG22" s="214" t="s">
        <v>1650</v>
      </c>
      <c r="AH22" s="214" t="s">
        <v>1650</v>
      </c>
      <c r="AI22" s="214" t="s">
        <v>1650</v>
      </c>
      <c r="AJ22" s="214" t="s">
        <v>1650</v>
      </c>
      <c r="AK22" s="214" t="s">
        <v>1650</v>
      </c>
      <c r="AL22" s="214" t="s">
        <v>1651</v>
      </c>
      <c r="AM22" s="214" t="s">
        <v>1651</v>
      </c>
      <c r="AN22" s="214" t="s">
        <v>1651</v>
      </c>
      <c r="AO22" s="214" t="s">
        <v>1651</v>
      </c>
      <c r="AP22" s="214" t="s">
        <v>1651</v>
      </c>
      <c r="AQ22" s="214" t="s">
        <v>1651</v>
      </c>
      <c r="AR22" s="214" t="s">
        <v>1651</v>
      </c>
      <c r="AS22" s="214" t="s">
        <v>1651</v>
      </c>
      <c r="AT22" s="214" t="s">
        <v>1651</v>
      </c>
      <c r="AU22" s="214" t="s">
        <v>1652</v>
      </c>
      <c r="AV22" s="214" t="s">
        <v>1652</v>
      </c>
      <c r="AW22" s="214" t="s">
        <v>1652</v>
      </c>
      <c r="AX22" s="214" t="s">
        <v>1652</v>
      </c>
      <c r="AY22" s="214" t="s">
        <v>1652</v>
      </c>
      <c r="AZ22" s="214" t="s">
        <v>1652</v>
      </c>
      <c r="BA22" s="214" t="s">
        <v>1652</v>
      </c>
      <c r="BB22" s="214" t="s">
        <v>1652</v>
      </c>
      <c r="BC22" s="214" t="s">
        <v>1652</v>
      </c>
      <c r="BD22" s="214" t="s">
        <v>1504</v>
      </c>
      <c r="BE22" s="214" t="s">
        <v>1653</v>
      </c>
      <c r="BF22" s="214" t="s">
        <v>1648</v>
      </c>
      <c r="BG22" s="214" t="s">
        <v>1648</v>
      </c>
      <c r="BH22" s="214" t="s">
        <v>1650</v>
      </c>
      <c r="BI22" s="214" t="s">
        <v>1654</v>
      </c>
      <c r="BJ22" s="214" t="s">
        <v>1650</v>
      </c>
      <c r="BK22" s="214" t="s">
        <v>1655</v>
      </c>
      <c r="BL22" s="214" t="s">
        <v>1652</v>
      </c>
      <c r="BM22" s="214" t="s">
        <v>1389</v>
      </c>
      <c r="BN22" s="214" t="s">
        <v>1411</v>
      </c>
      <c r="BO22" s="214" t="s">
        <v>1396</v>
      </c>
      <c r="BP22" s="214" t="s">
        <v>1397</v>
      </c>
      <c r="BQ22" s="214" t="s">
        <v>1656</v>
      </c>
      <c r="BR22" s="214" t="s">
        <v>1657</v>
      </c>
      <c r="BS22" s="214" t="s">
        <v>1413</v>
      </c>
      <c r="BT22" s="214" t="s">
        <v>1389</v>
      </c>
      <c r="BU22" s="214" t="s">
        <v>1389</v>
      </c>
      <c r="BV22" s="214" t="s">
        <v>1389</v>
      </c>
      <c r="BW22" s="214" t="s">
        <v>1398</v>
      </c>
      <c r="BX22" s="214" t="s">
        <v>1396</v>
      </c>
      <c r="BY22" s="214" t="s">
        <v>1397</v>
      </c>
      <c r="BZ22" s="214" t="s">
        <v>1389</v>
      </c>
      <c r="CA22" s="214" t="s">
        <v>1398</v>
      </c>
      <c r="CB22" s="214" t="s">
        <v>1398</v>
      </c>
      <c r="CC22" s="214" t="s">
        <v>1396</v>
      </c>
      <c r="CD22" s="214" t="s">
        <v>1396</v>
      </c>
      <c r="CE22" s="214" t="s">
        <v>1404</v>
      </c>
      <c r="CF22" s="214" t="s">
        <v>1404</v>
      </c>
      <c r="CG22" s="214" t="s">
        <v>1400</v>
      </c>
      <c r="CH22" s="214" t="s">
        <v>1400</v>
      </c>
      <c r="CI22" s="214" t="s">
        <v>1401</v>
      </c>
      <c r="CJ22" s="214" t="s">
        <v>1401</v>
      </c>
      <c r="CK22" s="214" t="s">
        <v>1502</v>
      </c>
      <c r="CL22" s="214" t="s">
        <v>1498</v>
      </c>
      <c r="CM22" s="214" t="s">
        <v>1498</v>
      </c>
      <c r="CN22" s="214" t="s">
        <v>1498</v>
      </c>
      <c r="CO22" s="214" t="s">
        <v>1498</v>
      </c>
      <c r="CP22" s="214" t="s">
        <v>1505</v>
      </c>
      <c r="CQ22" s="214" t="s">
        <v>1505</v>
      </c>
      <c r="CR22" s="214" t="s">
        <v>1505</v>
      </c>
      <c r="CS22" s="214" t="s">
        <v>1505</v>
      </c>
      <c r="CT22" s="214" t="s">
        <v>1653</v>
      </c>
      <c r="CU22" s="214" t="s">
        <v>1653</v>
      </c>
      <c r="CV22" s="214" t="s">
        <v>1653</v>
      </c>
      <c r="CW22" s="214" t="s">
        <v>1653</v>
      </c>
      <c r="CX22" s="214" t="s">
        <v>1599</v>
      </c>
      <c r="CY22" s="214" t="s">
        <v>1599</v>
      </c>
      <c r="CZ22" s="214" t="s">
        <v>1599</v>
      </c>
      <c r="DA22" s="214" t="s">
        <v>1599</v>
      </c>
      <c r="DB22" s="214" t="s">
        <v>1418</v>
      </c>
      <c r="DC22" s="214" t="s">
        <v>1418</v>
      </c>
      <c r="DD22" s="214" t="s">
        <v>1418</v>
      </c>
      <c r="DE22" s="214" t="s">
        <v>1418</v>
      </c>
      <c r="DF22" s="214" t="s">
        <v>1418</v>
      </c>
      <c r="DG22" s="214" t="s">
        <v>1418</v>
      </c>
      <c r="DH22" s="214" t="s">
        <v>1418</v>
      </c>
      <c r="DI22" s="214" t="s">
        <v>1418</v>
      </c>
      <c r="DJ22" s="214" t="s">
        <v>1418</v>
      </c>
      <c r="DK22" s="214" t="s">
        <v>1658</v>
      </c>
      <c r="DL22" s="214" t="s">
        <v>1658</v>
      </c>
      <c r="DM22" s="214" t="s">
        <v>1658</v>
      </c>
      <c r="DN22" s="214" t="s">
        <v>1658</v>
      </c>
      <c r="DO22" s="214" t="s">
        <v>1658</v>
      </c>
      <c r="DP22" s="214" t="s">
        <v>1658</v>
      </c>
      <c r="DQ22" s="214" t="s">
        <v>1658</v>
      </c>
      <c r="DR22" s="214" t="s">
        <v>1658</v>
      </c>
      <c r="DS22" s="214" t="s">
        <v>1658</v>
      </c>
      <c r="DT22" s="214" t="s">
        <v>1659</v>
      </c>
      <c r="DU22" s="214" t="s">
        <v>1659</v>
      </c>
      <c r="DV22" s="214" t="s">
        <v>1659</v>
      </c>
      <c r="DW22" s="214" t="s">
        <v>1659</v>
      </c>
      <c r="DX22" s="214" t="s">
        <v>1659</v>
      </c>
      <c r="DY22" s="214" t="s">
        <v>1659</v>
      </c>
      <c r="DZ22" s="214" t="s">
        <v>1659</v>
      </c>
      <c r="EA22" s="214" t="s">
        <v>1659</v>
      </c>
      <c r="EB22" s="214" t="s">
        <v>1659</v>
      </c>
      <c r="EC22" s="214" t="s">
        <v>1660</v>
      </c>
      <c r="ED22" s="214" t="s">
        <v>1660</v>
      </c>
      <c r="EE22" s="214" t="s">
        <v>1660</v>
      </c>
      <c r="EF22" s="214" t="s">
        <v>1660</v>
      </c>
      <c r="EG22" s="214" t="s">
        <v>1660</v>
      </c>
      <c r="EH22" s="214" t="s">
        <v>1660</v>
      </c>
      <c r="EI22" s="214" t="s">
        <v>1660</v>
      </c>
      <c r="EJ22" s="214" t="s">
        <v>1660</v>
      </c>
      <c r="EK22" s="214" t="s">
        <v>1660</v>
      </c>
      <c r="EL22" s="214" t="s">
        <v>1661</v>
      </c>
      <c r="EM22" s="214" t="s">
        <v>1661</v>
      </c>
      <c r="EN22" s="214" t="s">
        <v>1661</v>
      </c>
      <c r="EO22" s="214" t="s">
        <v>1661</v>
      </c>
      <c r="EP22" s="214" t="s">
        <v>1661</v>
      </c>
      <c r="EQ22" s="214" t="s">
        <v>1661</v>
      </c>
      <c r="ER22" s="214" t="s">
        <v>1661</v>
      </c>
      <c r="ES22" s="214" t="s">
        <v>1661</v>
      </c>
      <c r="ET22" s="214" t="s">
        <v>1661</v>
      </c>
      <c r="EU22" s="214" t="s">
        <v>1474</v>
      </c>
      <c r="EV22" s="214" t="s">
        <v>1474</v>
      </c>
      <c r="EW22" s="214" t="s">
        <v>1474</v>
      </c>
      <c r="EX22" s="214" t="s">
        <v>1474</v>
      </c>
      <c r="EY22" s="214" t="s">
        <v>1389</v>
      </c>
      <c r="EZ22" s="214" t="s">
        <v>1389</v>
      </c>
      <c r="FA22" s="214" t="s">
        <v>1389</v>
      </c>
      <c r="FB22" s="214" t="s">
        <v>1389</v>
      </c>
      <c r="FC22" s="214" t="s">
        <v>1418</v>
      </c>
      <c r="FD22" s="214" t="s">
        <v>1389</v>
      </c>
      <c r="FE22" s="214" t="s">
        <v>1389</v>
      </c>
      <c r="FF22" s="214" t="s">
        <v>1418</v>
      </c>
      <c r="FG22" s="214" t="s">
        <v>1418</v>
      </c>
      <c r="FH22" s="214" t="s">
        <v>1418</v>
      </c>
      <c r="FI22" s="214" t="s">
        <v>1389</v>
      </c>
      <c r="FJ22" s="214" t="s">
        <v>1398</v>
      </c>
      <c r="FK22" s="214" t="s">
        <v>1419</v>
      </c>
      <c r="FL22" s="214" t="s">
        <v>1398</v>
      </c>
      <c r="FM22" s="214" t="s">
        <v>1398</v>
      </c>
      <c r="FN22" s="214" t="s">
        <v>1419</v>
      </c>
      <c r="FO22" s="214" t="s">
        <v>1419</v>
      </c>
      <c r="FP22" s="214" t="s">
        <v>1419</v>
      </c>
      <c r="FQ22" s="214" t="s">
        <v>1398</v>
      </c>
      <c r="FR22" s="214" t="s">
        <v>1396</v>
      </c>
      <c r="FS22" s="214" t="s">
        <v>1414</v>
      </c>
      <c r="FT22" s="214" t="s">
        <v>1396</v>
      </c>
      <c r="FU22" s="214" t="s">
        <v>1396</v>
      </c>
      <c r="FV22" s="214" t="s">
        <v>1414</v>
      </c>
      <c r="FW22" s="214" t="s">
        <v>1414</v>
      </c>
      <c r="FX22" s="214" t="s">
        <v>1414</v>
      </c>
      <c r="FY22" s="214" t="s">
        <v>1396</v>
      </c>
      <c r="FZ22" s="214" t="s">
        <v>1397</v>
      </c>
      <c r="GA22" s="214" t="s">
        <v>1416</v>
      </c>
      <c r="GB22" s="214" t="s">
        <v>1397</v>
      </c>
      <c r="GC22" s="214" t="s">
        <v>1397</v>
      </c>
      <c r="GD22" s="214" t="s">
        <v>1416</v>
      </c>
      <c r="GE22" s="214" t="s">
        <v>1416</v>
      </c>
      <c r="GF22" s="214" t="s">
        <v>1416</v>
      </c>
      <c r="GG22" s="214" t="s">
        <v>1397</v>
      </c>
      <c r="GH22" s="214" t="s">
        <v>1401</v>
      </c>
      <c r="GI22" s="214" t="s">
        <v>1420</v>
      </c>
      <c r="GJ22" s="214" t="s">
        <v>1401</v>
      </c>
      <c r="GK22" s="214" t="s">
        <v>1401</v>
      </c>
      <c r="GL22" s="214" t="s">
        <v>1420</v>
      </c>
      <c r="GM22" s="214" t="s">
        <v>1420</v>
      </c>
      <c r="GN22" s="214" t="s">
        <v>1420</v>
      </c>
      <c r="GO22" s="214" t="s">
        <v>1401</v>
      </c>
      <c r="GP22" s="214" t="s">
        <v>1396</v>
      </c>
      <c r="GQ22" s="214" t="s">
        <v>1396</v>
      </c>
      <c r="GR22" s="214" t="s">
        <v>1397</v>
      </c>
      <c r="GS22" s="214" t="s">
        <v>1397</v>
      </c>
      <c r="GT22" s="214" t="s">
        <v>1400</v>
      </c>
      <c r="GU22" s="214" t="s">
        <v>1400</v>
      </c>
      <c r="GV22" s="214" t="s">
        <v>1401</v>
      </c>
      <c r="GW22" s="214" t="s">
        <v>1401</v>
      </c>
      <c r="GX22" s="214" t="s">
        <v>1403</v>
      </c>
      <c r="GY22" s="214" t="s">
        <v>1403</v>
      </c>
      <c r="GZ22" s="214" t="s">
        <v>1389</v>
      </c>
      <c r="HA22" s="214" t="s">
        <v>1389</v>
      </c>
      <c r="HB22" s="214" t="s">
        <v>1398</v>
      </c>
      <c r="HC22" s="214" t="s">
        <v>1396</v>
      </c>
      <c r="HD22" s="214" t="s">
        <v>1389</v>
      </c>
      <c r="HE22" s="214" t="s">
        <v>1389</v>
      </c>
      <c r="HF22" s="214" t="s">
        <v>1502</v>
      </c>
      <c r="HG22" s="214" t="s">
        <v>1389</v>
      </c>
      <c r="HH22" s="214" t="s">
        <v>1389</v>
      </c>
      <c r="HI22" s="214" t="s">
        <v>1502</v>
      </c>
      <c r="HJ22" s="214" t="s">
        <v>1389</v>
      </c>
      <c r="HK22" s="214" t="s">
        <v>1389</v>
      </c>
      <c r="HL22" s="214" t="s">
        <v>1502</v>
      </c>
      <c r="HM22" s="214" t="s">
        <v>1389</v>
      </c>
      <c r="HN22" s="214" t="s">
        <v>1389</v>
      </c>
      <c r="HO22" s="214" t="s">
        <v>1502</v>
      </c>
      <c r="HP22" s="214" t="s">
        <v>1389</v>
      </c>
      <c r="HQ22" s="214" t="s">
        <v>1389</v>
      </c>
      <c r="HR22" s="214" t="s">
        <v>1502</v>
      </c>
      <c r="HS22" s="214" t="s">
        <v>1398</v>
      </c>
      <c r="HT22" s="214" t="s">
        <v>1398</v>
      </c>
      <c r="HU22" s="214" t="s">
        <v>1658</v>
      </c>
      <c r="HV22" s="214" t="s">
        <v>1389</v>
      </c>
      <c r="HW22" s="214" t="s">
        <v>1389</v>
      </c>
      <c r="HX22" s="214" t="s">
        <v>1504</v>
      </c>
      <c r="HY22" s="214" t="s">
        <v>1504</v>
      </c>
      <c r="HZ22" s="214" t="s">
        <v>1389</v>
      </c>
      <c r="IA22" s="214" t="s">
        <v>1389</v>
      </c>
      <c r="IB22" s="214" t="s">
        <v>1504</v>
      </c>
      <c r="IC22" s="214" t="s">
        <v>1504</v>
      </c>
      <c r="ID22" s="214" t="s">
        <v>1389</v>
      </c>
      <c r="IE22" s="214" t="s">
        <v>1389</v>
      </c>
      <c r="IF22" s="214" t="s">
        <v>1504</v>
      </c>
      <c r="IG22" s="214" t="s">
        <v>1504</v>
      </c>
      <c r="IH22" s="214" t="s">
        <v>1396</v>
      </c>
      <c r="II22" s="214" t="s">
        <v>1396</v>
      </c>
      <c r="IJ22" s="214" t="s">
        <v>1662</v>
      </c>
      <c r="IK22" s="214" t="s">
        <v>1662</v>
      </c>
      <c r="IL22" s="214" t="s">
        <v>1421</v>
      </c>
      <c r="IM22" s="214" t="s">
        <v>1421</v>
      </c>
      <c r="IN22" s="214" t="s">
        <v>1663</v>
      </c>
      <c r="IO22" s="214" t="s">
        <v>1663</v>
      </c>
      <c r="IP22" s="214" t="s">
        <v>1389</v>
      </c>
      <c r="IQ22" s="214" t="s">
        <v>1389</v>
      </c>
      <c r="IR22" s="214" t="s">
        <v>1389</v>
      </c>
      <c r="IS22" s="214" t="s">
        <v>1389</v>
      </c>
      <c r="IT22" s="214" t="s">
        <v>1389</v>
      </c>
      <c r="IU22" s="214" t="s">
        <v>1389</v>
      </c>
      <c r="IV22" s="214" t="s">
        <v>1389</v>
      </c>
      <c r="IW22" s="214" t="s">
        <v>1398</v>
      </c>
      <c r="IX22" s="214" t="s">
        <v>1396</v>
      </c>
      <c r="IY22" s="214" t="s">
        <v>1404</v>
      </c>
      <c r="IZ22" s="214" t="s">
        <v>1397</v>
      </c>
      <c r="JA22" s="214" t="s">
        <v>1474</v>
      </c>
      <c r="JB22" s="214" t="s">
        <v>1389</v>
      </c>
      <c r="JC22" s="214" t="s">
        <v>1389</v>
      </c>
      <c r="JD22" s="214" t="s">
        <v>1389</v>
      </c>
      <c r="JE22" s="214" t="s">
        <v>1389</v>
      </c>
      <c r="JF22" s="214" t="s">
        <v>1389</v>
      </c>
      <c r="JG22" s="214" t="s">
        <v>1389</v>
      </c>
      <c r="JH22" s="214" t="s">
        <v>1389</v>
      </c>
      <c r="JI22" s="214" t="s">
        <v>1389</v>
      </c>
      <c r="JJ22" s="214" t="s">
        <v>1389</v>
      </c>
      <c r="JK22" s="214" t="s">
        <v>1389</v>
      </c>
      <c r="JL22" s="214" t="s">
        <v>1502</v>
      </c>
      <c r="JM22" s="214" t="s">
        <v>1502</v>
      </c>
      <c r="JN22" s="214" t="s">
        <v>1502</v>
      </c>
      <c r="JO22" s="214" t="s">
        <v>1502</v>
      </c>
      <c r="JP22" s="214" t="s">
        <v>1498</v>
      </c>
      <c r="JQ22" s="214" t="s">
        <v>1498</v>
      </c>
      <c r="JR22" s="214" t="s">
        <v>1498</v>
      </c>
      <c r="JS22" s="214" t="s">
        <v>1498</v>
      </c>
      <c r="JT22" s="214" t="s">
        <v>1505</v>
      </c>
      <c r="JU22" s="214" t="s">
        <v>1505</v>
      </c>
      <c r="JV22" s="214" t="s">
        <v>1505</v>
      </c>
      <c r="JW22" s="214" t="s">
        <v>1505</v>
      </c>
      <c r="JX22" s="214" t="s">
        <v>1474</v>
      </c>
      <c r="JY22" s="214" t="s">
        <v>1474</v>
      </c>
      <c r="JZ22" s="214" t="s">
        <v>1474</v>
      </c>
      <c r="KA22" s="214" t="s">
        <v>1474</v>
      </c>
      <c r="KB22" s="214" t="s">
        <v>1474</v>
      </c>
      <c r="KC22" s="214" t="s">
        <v>1474</v>
      </c>
      <c r="KD22" s="214" t="s">
        <v>1474</v>
      </c>
      <c r="KE22" s="214" t="s">
        <v>1389</v>
      </c>
      <c r="KF22" s="214" t="s">
        <v>1389</v>
      </c>
      <c r="KG22" s="214" t="s">
        <v>1398</v>
      </c>
      <c r="KH22" s="214" t="s">
        <v>1396</v>
      </c>
      <c r="KI22" s="214" t="s">
        <v>1404</v>
      </c>
      <c r="KJ22" s="214" t="s">
        <v>1397</v>
      </c>
      <c r="KK22" s="214" t="s">
        <v>1664</v>
      </c>
      <c r="KL22" s="214" t="s">
        <v>1665</v>
      </c>
      <c r="KM22" s="214" t="s">
        <v>1666</v>
      </c>
      <c r="KN22" s="214" t="s">
        <v>1667</v>
      </c>
      <c r="KO22" s="214" t="s">
        <v>1389</v>
      </c>
      <c r="KP22" s="214" t="s">
        <v>1389</v>
      </c>
      <c r="KQ22" s="214" t="s">
        <v>1398</v>
      </c>
      <c r="KR22" s="214" t="s">
        <v>1396</v>
      </c>
      <c r="KS22" s="214" t="s">
        <v>1389</v>
      </c>
      <c r="KT22" s="214" t="s">
        <v>1389</v>
      </c>
      <c r="KU22" s="214" t="s">
        <v>1398</v>
      </c>
      <c r="KV22" s="214" t="s">
        <v>1396</v>
      </c>
      <c r="KW22" s="214" t="s">
        <v>1396</v>
      </c>
      <c r="KX22" s="214" t="s">
        <v>1404</v>
      </c>
      <c r="KY22" s="214" t="s">
        <v>1397</v>
      </c>
      <c r="KZ22" s="214" t="s">
        <v>1399</v>
      </c>
      <c r="LA22" s="214" t="s">
        <v>1389</v>
      </c>
      <c r="LB22" s="214" t="s">
        <v>1398</v>
      </c>
      <c r="LC22" s="214" t="s">
        <v>1396</v>
      </c>
      <c r="LD22" s="214" t="s">
        <v>1397</v>
      </c>
      <c r="LE22" s="214" t="s">
        <v>1400</v>
      </c>
      <c r="LF22" s="214" t="s">
        <v>1389</v>
      </c>
      <c r="LG22" s="214" t="s">
        <v>1389</v>
      </c>
      <c r="LH22" s="214" t="s">
        <v>1653</v>
      </c>
      <c r="LI22" s="214" t="s">
        <v>1389</v>
      </c>
      <c r="LJ22" s="214" t="s">
        <v>1397</v>
      </c>
      <c r="LK22" s="214" t="s">
        <v>1401</v>
      </c>
      <c r="LL22" s="214" t="s">
        <v>1403</v>
      </c>
      <c r="LM22" s="214" t="s">
        <v>1668</v>
      </c>
      <c r="LN22" s="214" t="s">
        <v>1669</v>
      </c>
      <c r="LO22" s="214" t="s">
        <v>1670</v>
      </c>
      <c r="LP22" s="214" t="s">
        <v>1671</v>
      </c>
      <c r="LQ22" s="214" t="s">
        <v>1668</v>
      </c>
      <c r="LR22" s="214" t="s">
        <v>1669</v>
      </c>
      <c r="LS22" s="214" t="s">
        <v>1670</v>
      </c>
      <c r="LT22" s="214" t="s">
        <v>1671</v>
      </c>
      <c r="LU22" s="214" t="s">
        <v>1396</v>
      </c>
      <c r="LV22" s="214" t="s">
        <v>1404</v>
      </c>
      <c r="LW22" s="214" t="s">
        <v>1397</v>
      </c>
      <c r="LX22" s="214" t="s">
        <v>1399</v>
      </c>
      <c r="LY22" s="214" t="s">
        <v>1400</v>
      </c>
      <c r="LZ22" s="214" t="s">
        <v>1409</v>
      </c>
      <c r="MA22" s="214" t="s">
        <v>1401</v>
      </c>
      <c r="MB22" s="214" t="s">
        <v>1402</v>
      </c>
      <c r="MC22" s="214" t="s">
        <v>1403</v>
      </c>
      <c r="MD22" s="214" t="s">
        <v>1405</v>
      </c>
      <c r="ME22" s="214" t="s">
        <v>1413</v>
      </c>
      <c r="MF22" s="214" t="s">
        <v>1429</v>
      </c>
      <c r="MG22" s="214" t="s">
        <v>1430</v>
      </c>
      <c r="MH22" s="214" t="s">
        <v>1431</v>
      </c>
      <c r="MI22" s="214" t="s">
        <v>1432</v>
      </c>
      <c r="MJ22" s="214" t="s">
        <v>1389</v>
      </c>
      <c r="MK22" s="214" t="s">
        <v>1398</v>
      </c>
      <c r="ML22" s="214" t="s">
        <v>1389</v>
      </c>
      <c r="MM22" s="214" t="s">
        <v>1396</v>
      </c>
      <c r="MN22" s="214" t="s">
        <v>1430</v>
      </c>
      <c r="MO22" s="214" t="s">
        <v>1431</v>
      </c>
      <c r="MP22" s="214" t="s">
        <v>1431</v>
      </c>
      <c r="MQ22" s="214" t="s">
        <v>1432</v>
      </c>
      <c r="MR22" s="214" t="s">
        <v>1389</v>
      </c>
      <c r="MS22" s="214" t="s">
        <v>1396</v>
      </c>
      <c r="MT22" s="214" t="s">
        <v>1421</v>
      </c>
      <c r="MU22" s="214" t="s">
        <v>1433</v>
      </c>
      <c r="MV22" s="214" t="s">
        <v>1434</v>
      </c>
      <c r="MW22" s="214" t="s">
        <v>1435</v>
      </c>
      <c r="MX22" s="214" t="s">
        <v>1430</v>
      </c>
      <c r="MY22" s="214" t="s">
        <v>1431</v>
      </c>
      <c r="MZ22" s="214" t="s">
        <v>1432</v>
      </c>
      <c r="NA22" s="214" t="s">
        <v>1389</v>
      </c>
      <c r="NB22" s="214" t="s">
        <v>1398</v>
      </c>
      <c r="NC22" s="214" t="s">
        <v>1389</v>
      </c>
      <c r="ND22" s="214" t="s">
        <v>1447</v>
      </c>
      <c r="NE22" s="214" t="s">
        <v>1668</v>
      </c>
      <c r="NF22" s="214" t="s">
        <v>1669</v>
      </c>
      <c r="NG22" s="214" t="s">
        <v>1670</v>
      </c>
      <c r="NH22" s="214" t="s">
        <v>1447</v>
      </c>
      <c r="NI22" s="214" t="s">
        <v>1389</v>
      </c>
      <c r="NJ22" s="214" t="s">
        <v>1397</v>
      </c>
      <c r="NK22" s="214" t="s">
        <v>1401</v>
      </c>
      <c r="NL22" s="214" t="s">
        <v>1403</v>
      </c>
      <c r="NM22" s="214" t="s">
        <v>1668</v>
      </c>
      <c r="NN22" s="214" t="s">
        <v>1389</v>
      </c>
      <c r="NO22" s="214" t="s">
        <v>1397</v>
      </c>
      <c r="NP22" s="214" t="s">
        <v>1401</v>
      </c>
      <c r="NQ22" s="214" t="s">
        <v>1669</v>
      </c>
      <c r="NR22" s="214" t="s">
        <v>1389</v>
      </c>
      <c r="NS22" s="214" t="s">
        <v>1397</v>
      </c>
      <c r="NT22" s="214" t="s">
        <v>1670</v>
      </c>
      <c r="NU22" s="214" t="s">
        <v>1389</v>
      </c>
      <c r="NV22" s="214" t="s">
        <v>1671</v>
      </c>
      <c r="NW22" s="214" t="s">
        <v>1440</v>
      </c>
      <c r="NX22" s="214" t="s">
        <v>1389</v>
      </c>
      <c r="NY22" s="214" t="s">
        <v>1389</v>
      </c>
      <c r="NZ22" s="214" t="s">
        <v>1396</v>
      </c>
      <c r="OA22" s="214" t="s">
        <v>1396</v>
      </c>
      <c r="OB22" s="214" t="s">
        <v>1397</v>
      </c>
      <c r="OC22" s="214" t="s">
        <v>1397</v>
      </c>
      <c r="OD22" s="214" t="s">
        <v>1400</v>
      </c>
      <c r="OE22" s="214" t="s">
        <v>1400</v>
      </c>
      <c r="OF22" s="214" t="s">
        <v>1401</v>
      </c>
      <c r="OG22" s="214" t="s">
        <v>1401</v>
      </c>
      <c r="OH22" s="214" t="s">
        <v>1403</v>
      </c>
      <c r="OI22" s="214" t="s">
        <v>1403</v>
      </c>
      <c r="OJ22" s="214"/>
      <c r="OK22" s="214" t="s">
        <v>1431</v>
      </c>
      <c r="OL22" s="214" t="s">
        <v>1389</v>
      </c>
      <c r="OM22" s="214" t="s">
        <v>1397</v>
      </c>
      <c r="ON22" s="214"/>
      <c r="OO22" s="214"/>
      <c r="OP22" s="214"/>
    </row>
  </sheetData>
  <autoFilter ref="A1:LH22"/>
  <dataValidations count="1">
    <dataValidation type="list" allowBlank="1" showInputMessage="1" showErrorMessage="1" sqref="LE2 IP1:IZ2 KW1:LD2 GP1:GY1 FA1:GO2 BV1:EZ1 KO1:KV1 A1:BU2 BV2:BY2 LE1:LL1 GZ1:HC2 HD1:HU1 JX1:KN2">
      <formula1>$A$1:$LH$1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40</vt:i4>
      </vt:variant>
    </vt:vector>
  </HeadingPairs>
  <TitlesOfParts>
    <vt:vector size="45" baseType="lpstr">
      <vt:lpstr>Recherche</vt:lpstr>
      <vt:lpstr>Complet</vt:lpstr>
      <vt:lpstr>Matrice</vt:lpstr>
      <vt:lpstr>Matrice Tel</vt:lpstr>
      <vt:lpstr>Mutuelles</vt:lpstr>
      <vt:lpstr>agepro</vt:lpstr>
      <vt:lpstr>Complet!année</vt:lpstr>
      <vt:lpstr>Complet!annéecomplet</vt:lpstr>
      <vt:lpstr>aprilentre</vt:lpstr>
      <vt:lpstr>aprilpart</vt:lpstr>
      <vt:lpstr>Complet!assurance</vt:lpstr>
      <vt:lpstr>avecro</vt:lpstr>
      <vt:lpstr>blabla</vt:lpstr>
      <vt:lpstr>Complet!Campagne</vt:lpstr>
      <vt:lpstr>capdec</vt:lpstr>
      <vt:lpstr>Codesrenforts</vt:lpstr>
      <vt:lpstr>fraispro</vt:lpstr>
      <vt:lpstr>franchise</vt:lpstr>
      <vt:lpstr>Complet!Infoman</vt:lpstr>
      <vt:lpstr>invalidité</vt:lpstr>
      <vt:lpstr>Complet!mens</vt:lpstr>
      <vt:lpstr>MutuellesF</vt:lpstr>
      <vt:lpstr>MutuellesRenforts</vt:lpstr>
      <vt:lpstr>nompren</vt:lpstr>
      <vt:lpstr>optdos</vt:lpstr>
      <vt:lpstr>optpsy</vt:lpstr>
      <vt:lpstr>p_nm</vt:lpstr>
      <vt:lpstr>prevapriltel</vt:lpstr>
      <vt:lpstr>prevaviva</vt:lpstr>
      <vt:lpstr>prevcipres</vt:lpstr>
      <vt:lpstr>regime</vt:lpstr>
      <vt:lpstr>renteconj</vt:lpstr>
      <vt:lpstr>renteed</vt:lpstr>
      <vt:lpstr>salairepro</vt:lpstr>
      <vt:lpstr>santéindivalptis</vt:lpstr>
      <vt:lpstr>santéindivapril</vt:lpstr>
      <vt:lpstr>santéindivasaf</vt:lpstr>
      <vt:lpstr>santéindivceg</vt:lpstr>
      <vt:lpstr>santéindivneo</vt:lpstr>
      <vt:lpstr>slinterm</vt:lpstr>
      <vt:lpstr>Complet!tarif2016</vt:lpstr>
      <vt:lpstr>Complet!tarif2017</vt:lpstr>
      <vt:lpstr>Complet!tarif2019</vt:lpstr>
      <vt:lpstr>Complet!tarif2020</vt:lpstr>
      <vt:lpstr>Complet!typecomm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2018-06-08T08:27:56Z</dcterms:modified>
</cp:coreProperties>
</file>