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defaultThemeVersion="153222"/>
  <mc:AlternateContent xmlns:mc="http://schemas.openxmlformats.org/markup-compatibility/2006">
    <mc:Choice Requires="x15">
      <x15ac:absPath xmlns:x15ac="http://schemas.microsoft.com/office/spreadsheetml/2010/11/ac" url="\\fileruser2\Users\SARRAZIND\Bureau\"/>
    </mc:Choice>
  </mc:AlternateContent>
  <bookViews>
    <workbookView xWindow="0" yWindow="0" windowWidth="28800" windowHeight="12435" tabRatio="903" firstSheet="1" activeTab="2"/>
  </bookViews>
  <sheets>
    <sheet name="LISTES" sheetId="2" state="hidden" r:id="rId1"/>
    <sheet name="MODE EMPLOI" sheetId="21" r:id="rId2"/>
    <sheet name="DONNEES" sheetId="8" r:id="rId3"/>
    <sheet name="CALCUL AVANCE TITULAIRE" sheetId="7" state="hidden" r:id="rId4"/>
    <sheet name="CALCUL AVANCE COTRAITANT" sheetId="15" state="hidden" r:id="rId5"/>
    <sheet name="CPP TITULAIRE-ST" sheetId="17" r:id="rId6"/>
    <sheet name="RECUP AVANCE TITULAIRE " sheetId="6" state="hidden" r:id="rId7"/>
    <sheet name="RESTITUTION AVANCE SUITE DC4" sheetId="14" state="hidden" r:id="rId8"/>
    <sheet name="CPP CO-TRAITANT-ST" sheetId="12" r:id="rId9"/>
    <sheet name="RECUP AVANCE CO-TRAITANT" sheetId="19" state="hidden" r:id="rId10"/>
    <sheet name="ACTUALISATION" sheetId="11" state="hidden" r:id="rId11"/>
    <sheet name="REVISION" sheetId="9" state="hidden" r:id="rId12"/>
    <sheet name="RECAP CPP" sheetId="4" state="hidden" r:id="rId13"/>
  </sheets>
  <externalReferences>
    <externalReference r:id="rId14"/>
    <externalReference r:id="rId15"/>
  </externalReferences>
  <definedNames>
    <definedName name="_16">LISTES!$M$68:$M$84</definedName>
    <definedName name="_17">LISTES!$M$42:$M$67</definedName>
    <definedName name="_19">LISTES!$M$85:$M$98</definedName>
    <definedName name="_23">LISTES!$M$98:$M$107</definedName>
    <definedName name="_79">LISTES!$M$25:$M$41</definedName>
    <definedName name="_86">LISTES!$M$2:$M$24</definedName>
    <definedName name="_87">LISTES!$M$108:$M$128</definedName>
    <definedName name="LYCEES">LISTES!$M1:$M84</definedName>
    <definedName name="LYCEES1" localSheetId="1">[1]LISTES!$M$1:$M$84</definedName>
    <definedName name="LYCEES1">LISTES!$M$1:$M$84</definedName>
    <definedName name="_xlnm.Print_Area" localSheetId="4">'CALCUL AVANCE COTRAITANT'!$A$1:$E$375</definedName>
    <definedName name="_xlnm.Print_Area" localSheetId="3">'CALCUL AVANCE TITULAIRE'!$A$1:$E$56</definedName>
    <definedName name="_xlnm.Print_Area" localSheetId="8">'CPP CO-TRAITANT-ST'!$A$1:$J$178</definedName>
    <definedName name="_xlnm.Print_Area" localSheetId="5">'CPP TITULAIRE-ST'!$A$1:$J$204</definedName>
    <definedName name="_xlnm.Print_Area" localSheetId="2">DONNEES!$A$1:$I$169</definedName>
    <definedName name="_xlnm.Print_Area" localSheetId="1">'MODE EMPLOI'!$A$1:$P$56</definedName>
    <definedName name="_xlnm.Print_Area" localSheetId="12">'RECAP CPP'!$A$1:$L$86</definedName>
    <definedName name="_xlnm.Print_Area" localSheetId="9">'RECUP AVANCE CO-TRAITANT'!$A$2:$F$35</definedName>
    <definedName name="_xlnm.Print_Area" localSheetId="6">'RECUP AVANCE TITULAIRE '!$A$2:$F$35</definedName>
    <definedName name="_xlnm.Print_Area" localSheetId="7">'RESTITUTION AVANCE SUITE DC4'!$A$1:$K$57</definedName>
    <definedName name="_xlnm.Print_Area" localSheetId="11">REVISION!$A$1:$K$47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73" i="8" l="1"/>
  <c r="B135" i="17"/>
  <c r="B134" i="17"/>
  <c r="B137" i="17"/>
  <c r="B136" i="17"/>
  <c r="B133" i="17"/>
  <c r="B132" i="17"/>
  <c r="B110" i="17"/>
  <c r="B118" i="17" s="1"/>
  <c r="B106" i="17"/>
  <c r="B114" i="17" s="1"/>
  <c r="B107" i="17"/>
  <c r="B115" i="17" s="1"/>
  <c r="B108" i="17"/>
  <c r="B116" i="17" s="1"/>
  <c r="B109" i="17"/>
  <c r="B117" i="17" s="1"/>
  <c r="B105" i="17"/>
  <c r="B113" i="17" s="1"/>
  <c r="G123" i="17"/>
  <c r="G124" i="17"/>
  <c r="G125" i="17"/>
  <c r="C28" i="17"/>
  <c r="D50" i="17" l="1"/>
  <c r="E50" i="17"/>
  <c r="D51" i="17"/>
  <c r="E51" i="17"/>
  <c r="D52" i="17"/>
  <c r="E52" i="17"/>
  <c r="D53" i="17"/>
  <c r="E53" i="17"/>
  <c r="D54" i="17"/>
  <c r="E54" i="17"/>
  <c r="D55" i="17"/>
  <c r="E55" i="17"/>
  <c r="D56" i="17"/>
  <c r="E56" i="17"/>
  <c r="D57" i="17"/>
  <c r="E57" i="17"/>
  <c r="E49" i="17"/>
  <c r="D49" i="17"/>
  <c r="C50" i="17"/>
  <c r="C51" i="17"/>
  <c r="C52" i="17"/>
  <c r="C53" i="17"/>
  <c r="C54" i="17"/>
  <c r="C55" i="17"/>
  <c r="C56" i="17"/>
  <c r="C57" i="17"/>
  <c r="C58" i="17"/>
  <c r="C49" i="17"/>
  <c r="B50" i="17"/>
  <c r="B51" i="17"/>
  <c r="B52" i="17"/>
  <c r="B53" i="17"/>
  <c r="B54" i="17"/>
  <c r="B55" i="17"/>
  <c r="B56" i="17"/>
  <c r="B57" i="17"/>
  <c r="B58" i="17"/>
  <c r="B49" i="17"/>
  <c r="C127" i="17" l="1"/>
  <c r="D90" i="17"/>
  <c r="E90" i="17"/>
  <c r="D91" i="17"/>
  <c r="E91" i="17"/>
  <c r="D92" i="17"/>
  <c r="E92" i="17"/>
  <c r="D93" i="17"/>
  <c r="E93" i="17"/>
  <c r="D94" i="17"/>
  <c r="E94" i="17"/>
  <c r="D95" i="17"/>
  <c r="E95" i="17"/>
  <c r="D96" i="17"/>
  <c r="E96" i="17"/>
  <c r="D97" i="17"/>
  <c r="E97" i="17"/>
  <c r="D98" i="17"/>
  <c r="E98" i="17"/>
  <c r="E89" i="17"/>
  <c r="D89" i="17"/>
  <c r="D80" i="17"/>
  <c r="E80" i="17"/>
  <c r="D81" i="17"/>
  <c r="E81" i="17"/>
  <c r="D82" i="17"/>
  <c r="E82" i="17"/>
  <c r="D83" i="17"/>
  <c r="E83" i="17"/>
  <c r="D84" i="17"/>
  <c r="E84" i="17"/>
  <c r="D85" i="17"/>
  <c r="E85" i="17"/>
  <c r="D86" i="17"/>
  <c r="E86" i="17"/>
  <c r="D87" i="17"/>
  <c r="E87" i="17"/>
  <c r="D88" i="17"/>
  <c r="E88" i="17"/>
  <c r="E79" i="17"/>
  <c r="D79" i="17"/>
  <c r="D70" i="17"/>
  <c r="E70" i="17"/>
  <c r="D71" i="17"/>
  <c r="E71" i="17"/>
  <c r="D72" i="17"/>
  <c r="E72" i="17"/>
  <c r="D73" i="17"/>
  <c r="E73" i="17"/>
  <c r="D74" i="17"/>
  <c r="E74" i="17"/>
  <c r="D75" i="17"/>
  <c r="E75" i="17"/>
  <c r="D76" i="17"/>
  <c r="E76" i="17"/>
  <c r="D77" i="17"/>
  <c r="E77" i="17"/>
  <c r="D78" i="17"/>
  <c r="E78" i="17"/>
  <c r="E69" i="17"/>
  <c r="D69" i="17"/>
  <c r="D60" i="17"/>
  <c r="E60" i="17"/>
  <c r="D61" i="17"/>
  <c r="E61" i="17"/>
  <c r="D62" i="17"/>
  <c r="E62" i="17"/>
  <c r="D63" i="17"/>
  <c r="E63" i="17"/>
  <c r="D64" i="17"/>
  <c r="E64" i="17"/>
  <c r="D65" i="17"/>
  <c r="E65" i="17"/>
  <c r="D66" i="17"/>
  <c r="E66" i="17"/>
  <c r="D67" i="17"/>
  <c r="E67" i="17"/>
  <c r="D68" i="17"/>
  <c r="E68" i="17"/>
  <c r="E59" i="17"/>
  <c r="D59" i="17"/>
  <c r="D58" i="17"/>
  <c r="E58" i="17"/>
  <c r="D40" i="17"/>
  <c r="E40" i="17"/>
  <c r="D41" i="17"/>
  <c r="E41" i="17"/>
  <c r="D42" i="17"/>
  <c r="E42" i="17"/>
  <c r="D43" i="17"/>
  <c r="E43" i="17"/>
  <c r="D44" i="17"/>
  <c r="E44" i="17"/>
  <c r="D45" i="17"/>
  <c r="E45" i="17"/>
  <c r="D46" i="17"/>
  <c r="E46" i="17"/>
  <c r="D47" i="17"/>
  <c r="E47" i="17"/>
  <c r="D48" i="17"/>
  <c r="E48" i="17"/>
  <c r="E39" i="17"/>
  <c r="D39" i="17"/>
  <c r="D30" i="17"/>
  <c r="E30" i="17"/>
  <c r="D31" i="17"/>
  <c r="E31" i="17"/>
  <c r="D32" i="17"/>
  <c r="E32" i="17"/>
  <c r="D33" i="17"/>
  <c r="E33" i="17"/>
  <c r="D34" i="17"/>
  <c r="E34" i="17"/>
  <c r="D35" i="17"/>
  <c r="E35" i="17"/>
  <c r="D36" i="17"/>
  <c r="E36" i="17"/>
  <c r="D37" i="17"/>
  <c r="E37" i="17"/>
  <c r="D38" i="17"/>
  <c r="E38" i="17"/>
  <c r="E29" i="17"/>
  <c r="D29" i="17"/>
  <c r="B90" i="17"/>
  <c r="C90" i="17"/>
  <c r="B91" i="17"/>
  <c r="C91" i="17"/>
  <c r="B92" i="17"/>
  <c r="C92" i="17"/>
  <c r="B93" i="17"/>
  <c r="C93" i="17"/>
  <c r="B94" i="17"/>
  <c r="C94" i="17"/>
  <c r="B95" i="17"/>
  <c r="C95" i="17"/>
  <c r="B96" i="17"/>
  <c r="C96" i="17"/>
  <c r="B97" i="17"/>
  <c r="C97" i="17"/>
  <c r="B98" i="17"/>
  <c r="C98" i="17"/>
  <c r="C89" i="17"/>
  <c r="B80" i="17"/>
  <c r="C80" i="17"/>
  <c r="B81" i="17"/>
  <c r="C81" i="17"/>
  <c r="B82" i="17"/>
  <c r="C82" i="17"/>
  <c r="B83" i="17"/>
  <c r="C83" i="17"/>
  <c r="B84" i="17"/>
  <c r="C84" i="17"/>
  <c r="B85" i="17"/>
  <c r="C85" i="17"/>
  <c r="B86" i="17"/>
  <c r="C86" i="17"/>
  <c r="B87" i="17"/>
  <c r="C87" i="17"/>
  <c r="B88" i="17"/>
  <c r="C88" i="17"/>
  <c r="C79" i="17"/>
  <c r="B70" i="17"/>
  <c r="C70" i="17"/>
  <c r="B71" i="17"/>
  <c r="C71" i="17"/>
  <c r="B72" i="17"/>
  <c r="C72" i="17"/>
  <c r="B73" i="17"/>
  <c r="C73" i="17"/>
  <c r="B74" i="17"/>
  <c r="C74" i="17"/>
  <c r="B75" i="17"/>
  <c r="C75" i="17"/>
  <c r="B76" i="17"/>
  <c r="C76" i="17"/>
  <c r="B77" i="17"/>
  <c r="C77" i="17"/>
  <c r="B78" i="17"/>
  <c r="C78" i="17"/>
  <c r="C69" i="17"/>
  <c r="B60" i="17"/>
  <c r="C60" i="17"/>
  <c r="B61" i="17"/>
  <c r="C61" i="17"/>
  <c r="B62" i="17"/>
  <c r="C62" i="17"/>
  <c r="B63" i="17"/>
  <c r="C63" i="17"/>
  <c r="B64" i="17"/>
  <c r="C64" i="17"/>
  <c r="B65" i="17"/>
  <c r="C65" i="17"/>
  <c r="B66" i="17"/>
  <c r="C66" i="17"/>
  <c r="B67" i="17"/>
  <c r="C67" i="17"/>
  <c r="B68" i="17"/>
  <c r="C68" i="17"/>
  <c r="C59" i="17"/>
  <c r="B40" i="17"/>
  <c r="C40" i="17"/>
  <c r="B41" i="17"/>
  <c r="C41" i="17"/>
  <c r="B42" i="17"/>
  <c r="C42" i="17"/>
  <c r="B43" i="17"/>
  <c r="C43" i="17"/>
  <c r="B44" i="17"/>
  <c r="C44" i="17"/>
  <c r="B45" i="17"/>
  <c r="C45" i="17"/>
  <c r="B46" i="17"/>
  <c r="C46" i="17"/>
  <c r="B47" i="17"/>
  <c r="C47" i="17"/>
  <c r="B48" i="17"/>
  <c r="C48" i="17"/>
  <c r="C39" i="17"/>
  <c r="B30" i="17"/>
  <c r="C30" i="17"/>
  <c r="B31" i="17"/>
  <c r="C31" i="17"/>
  <c r="B32" i="17"/>
  <c r="C32" i="17"/>
  <c r="B33" i="17"/>
  <c r="C33" i="17"/>
  <c r="B34" i="17"/>
  <c r="C34" i="17"/>
  <c r="B35" i="17"/>
  <c r="C35" i="17"/>
  <c r="B36" i="17"/>
  <c r="C36" i="17"/>
  <c r="B37" i="17"/>
  <c r="C37" i="17"/>
  <c r="B38" i="17"/>
  <c r="C38" i="17"/>
  <c r="C29" i="17"/>
  <c r="B89" i="17"/>
  <c r="B79" i="17"/>
  <c r="B69" i="17"/>
  <c r="B59" i="17"/>
  <c r="B39" i="17"/>
  <c r="B29" i="17"/>
  <c r="B28" i="17"/>
  <c r="F999" i="8"/>
  <c r="E999" i="8"/>
  <c r="AA125" i="8" s="1"/>
  <c r="F986" i="8"/>
  <c r="AB124" i="8" s="1"/>
  <c r="E986" i="8"/>
  <c r="AA124" i="8" s="1"/>
  <c r="F973" i="8"/>
  <c r="AB123" i="8" s="1"/>
  <c r="E973" i="8"/>
  <c r="AA123" i="8" s="1"/>
  <c r="F960" i="8"/>
  <c r="AB122" i="8" s="1"/>
  <c r="E960" i="8"/>
  <c r="AA122" i="8" s="1"/>
  <c r="F947" i="8"/>
  <c r="AB121" i="8" s="1"/>
  <c r="E947" i="8"/>
  <c r="AA121" i="8" s="1"/>
  <c r="F934" i="8"/>
  <c r="AB120" i="8" s="1"/>
  <c r="E934" i="8"/>
  <c r="AA120" i="8" s="1"/>
  <c r="F921" i="8"/>
  <c r="AB119" i="8" s="1"/>
  <c r="E921" i="8"/>
  <c r="AA119" i="8" s="1"/>
  <c r="F908" i="8"/>
  <c r="AB118" i="8" s="1"/>
  <c r="E908" i="8"/>
  <c r="G897" i="8"/>
  <c r="G898" i="8"/>
  <c r="G899" i="8"/>
  <c r="G900" i="8"/>
  <c r="G901" i="8"/>
  <c r="G902" i="8"/>
  <c r="G903" i="8"/>
  <c r="G904" i="8"/>
  <c r="G905" i="8"/>
  <c r="G896" i="8"/>
  <c r="AF53" i="8"/>
  <c r="AE53" i="8"/>
  <c r="AB125" i="8"/>
  <c r="E895" i="8" l="1"/>
  <c r="C18" i="17" s="1"/>
  <c r="AA118" i="8"/>
  <c r="F895" i="8"/>
  <c r="D18" i="17" s="1"/>
  <c r="AE81" i="8"/>
  <c r="AE54" i="8"/>
  <c r="AF54" i="8"/>
  <c r="AF108" i="8"/>
  <c r="AF63" i="8"/>
  <c r="AE72" i="8"/>
  <c r="AF81" i="8"/>
  <c r="AF99" i="8"/>
  <c r="AF72" i="8"/>
  <c r="AE90" i="8"/>
  <c r="AE108" i="8"/>
  <c r="AE99" i="8"/>
  <c r="AE63" i="8"/>
  <c r="AF90" i="8"/>
  <c r="AB109" i="8"/>
  <c r="AB110" i="8"/>
  <c r="AB111" i="8"/>
  <c r="AB112" i="8"/>
  <c r="AB113" i="8"/>
  <c r="AB114" i="8"/>
  <c r="AB115" i="8"/>
  <c r="AB116" i="8"/>
  <c r="AA116" i="8"/>
  <c r="AA115" i="8"/>
  <c r="AA114" i="8"/>
  <c r="AA113" i="8"/>
  <c r="AA112" i="8"/>
  <c r="AA111" i="8"/>
  <c r="AA110" i="8"/>
  <c r="AA109" i="8"/>
  <c r="AB100" i="8"/>
  <c r="AB101" i="8"/>
  <c r="AB102" i="8"/>
  <c r="AB103" i="8"/>
  <c r="AB104" i="8"/>
  <c r="AB105" i="8"/>
  <c r="AB106" i="8"/>
  <c r="AB107" i="8"/>
  <c r="AA107" i="8"/>
  <c r="AA106" i="8"/>
  <c r="AA105" i="8"/>
  <c r="AA104" i="8"/>
  <c r="AA103" i="8"/>
  <c r="AA102" i="8"/>
  <c r="AA101" i="8"/>
  <c r="AA100" i="8"/>
  <c r="AB91" i="8"/>
  <c r="AB92" i="8"/>
  <c r="AB93" i="8"/>
  <c r="AB94" i="8"/>
  <c r="AB95" i="8"/>
  <c r="AB96" i="8"/>
  <c r="AB97" i="8"/>
  <c r="AB98" i="8"/>
  <c r="AA98" i="8"/>
  <c r="AA97" i="8"/>
  <c r="AA96" i="8"/>
  <c r="AA95" i="8"/>
  <c r="AA94" i="8"/>
  <c r="AA93" i="8"/>
  <c r="AA92" i="8"/>
  <c r="AA91" i="8"/>
  <c r="AB82" i="8"/>
  <c r="AB83" i="8"/>
  <c r="AB84" i="8"/>
  <c r="AB85" i="8"/>
  <c r="AB86" i="8"/>
  <c r="AB87" i="8"/>
  <c r="AB88" i="8"/>
  <c r="AB89" i="8"/>
  <c r="AA89" i="8"/>
  <c r="AA88" i="8"/>
  <c r="AA87" i="8"/>
  <c r="AA86" i="8"/>
  <c r="AA85" i="8"/>
  <c r="AA84" i="8"/>
  <c r="AA83" i="8"/>
  <c r="AA82" i="8"/>
  <c r="AB73" i="8"/>
  <c r="AB74" i="8"/>
  <c r="AB75" i="8"/>
  <c r="AB76" i="8"/>
  <c r="AB77" i="8"/>
  <c r="AB78" i="8"/>
  <c r="AB79" i="8"/>
  <c r="AB80" i="8"/>
  <c r="AA80" i="8"/>
  <c r="AA79" i="8"/>
  <c r="AA78" i="8"/>
  <c r="AA77" i="8"/>
  <c r="AA76" i="8"/>
  <c r="AA75" i="8"/>
  <c r="AA74" i="8"/>
  <c r="AA73" i="8"/>
  <c r="AB64" i="8"/>
  <c r="AB65" i="8"/>
  <c r="AB66" i="8"/>
  <c r="AB67" i="8"/>
  <c r="AB68" i="8"/>
  <c r="AB69" i="8"/>
  <c r="AB70" i="8"/>
  <c r="AB71" i="8"/>
  <c r="AA71" i="8"/>
  <c r="AA70" i="8"/>
  <c r="AA69" i="8"/>
  <c r="AA68" i="8"/>
  <c r="AA67" i="8"/>
  <c r="AA66" i="8"/>
  <c r="AA65" i="8"/>
  <c r="AA64" i="8"/>
  <c r="AB55" i="8"/>
  <c r="AB56" i="8"/>
  <c r="AB57" i="8"/>
  <c r="AB58" i="8"/>
  <c r="AB59" i="8"/>
  <c r="AB60" i="8"/>
  <c r="AB61" i="8"/>
  <c r="AB62" i="8"/>
  <c r="AA62" i="8"/>
  <c r="AA61" i="8"/>
  <c r="AA60" i="8"/>
  <c r="AA59" i="8"/>
  <c r="AA58" i="8"/>
  <c r="AA57" i="8"/>
  <c r="AA56" i="8"/>
  <c r="AA55" i="8"/>
  <c r="AB53" i="8"/>
  <c r="AA53" i="8"/>
  <c r="E97" i="12"/>
  <c r="E87" i="12"/>
  <c r="E77" i="12"/>
  <c r="E67" i="12"/>
  <c r="E57" i="12"/>
  <c r="D97" i="12"/>
  <c r="D87" i="12"/>
  <c r="D77" i="12"/>
  <c r="D67" i="12"/>
  <c r="D57" i="12"/>
  <c r="E47" i="12"/>
  <c r="D47" i="12"/>
  <c r="E37" i="12"/>
  <c r="D37" i="12"/>
  <c r="B100" i="12"/>
  <c r="C100" i="12"/>
  <c r="B101" i="12"/>
  <c r="C101" i="12"/>
  <c r="B102" i="12"/>
  <c r="C102" i="12"/>
  <c r="B103" i="12"/>
  <c r="C103" i="12"/>
  <c r="B104" i="12"/>
  <c r="C104" i="12"/>
  <c r="C99" i="12"/>
  <c r="B90" i="12"/>
  <c r="C90" i="12"/>
  <c r="B91" i="12"/>
  <c r="C91" i="12"/>
  <c r="B92" i="12"/>
  <c r="C92" i="12"/>
  <c r="B93" i="12"/>
  <c r="C93" i="12"/>
  <c r="B94" i="12"/>
  <c r="C94" i="12"/>
  <c r="C89" i="12"/>
  <c r="B80" i="12"/>
  <c r="C80" i="12"/>
  <c r="B81" i="12"/>
  <c r="C81" i="12"/>
  <c r="B82" i="12"/>
  <c r="C82" i="12"/>
  <c r="B83" i="12"/>
  <c r="C83" i="12"/>
  <c r="B84" i="12"/>
  <c r="C84" i="12"/>
  <c r="C79" i="12"/>
  <c r="B70" i="12"/>
  <c r="C70" i="12"/>
  <c r="B71" i="12"/>
  <c r="C71" i="12"/>
  <c r="B72" i="12"/>
  <c r="C72" i="12"/>
  <c r="B73" i="12"/>
  <c r="C73" i="12"/>
  <c r="B74" i="12"/>
  <c r="C74" i="12"/>
  <c r="C69" i="12"/>
  <c r="B60" i="12"/>
  <c r="C60" i="12"/>
  <c r="B61" i="12"/>
  <c r="C61" i="12"/>
  <c r="B62" i="12"/>
  <c r="C62" i="12"/>
  <c r="B63" i="12"/>
  <c r="C63" i="12"/>
  <c r="B64" i="12"/>
  <c r="C64" i="12"/>
  <c r="C59" i="12"/>
  <c r="B50" i="12"/>
  <c r="C50" i="12"/>
  <c r="B51" i="12"/>
  <c r="C51" i="12"/>
  <c r="B52" i="12"/>
  <c r="C52" i="12"/>
  <c r="B53" i="12"/>
  <c r="C53" i="12"/>
  <c r="B54" i="12"/>
  <c r="C54" i="12"/>
  <c r="C49" i="12"/>
  <c r="B40" i="12"/>
  <c r="C40" i="12"/>
  <c r="B41" i="12"/>
  <c r="C41" i="12"/>
  <c r="B42" i="12"/>
  <c r="C42" i="12"/>
  <c r="B43" i="12"/>
  <c r="C43" i="12"/>
  <c r="B44" i="12"/>
  <c r="C44" i="12"/>
  <c r="C39" i="12"/>
  <c r="B99" i="12"/>
  <c r="B89" i="12"/>
  <c r="B79" i="12"/>
  <c r="B69" i="12"/>
  <c r="B59" i="12"/>
  <c r="B49" i="12"/>
  <c r="B39" i="12"/>
  <c r="N24" i="8"/>
  <c r="M24" i="8"/>
  <c r="E105" i="12"/>
  <c r="D105" i="12"/>
  <c r="E104" i="12"/>
  <c r="D104" i="12"/>
  <c r="E101" i="12"/>
  <c r="D101" i="12"/>
  <c r="E100" i="12"/>
  <c r="D100" i="12"/>
  <c r="E99" i="12"/>
  <c r="D99" i="12"/>
  <c r="E94" i="12"/>
  <c r="D94" i="12"/>
  <c r="E93" i="12"/>
  <c r="D93" i="12"/>
  <c r="E92" i="12"/>
  <c r="D92" i="12"/>
  <c r="E89" i="12"/>
  <c r="D89" i="12"/>
  <c r="E84" i="12"/>
  <c r="D84" i="12"/>
  <c r="E83" i="12"/>
  <c r="D83" i="12"/>
  <c r="E80" i="12"/>
  <c r="D80" i="12"/>
  <c r="E79" i="12"/>
  <c r="D79" i="12"/>
  <c r="E75" i="12"/>
  <c r="D75" i="12"/>
  <c r="E74" i="12"/>
  <c r="D74" i="12"/>
  <c r="E71" i="12"/>
  <c r="D71" i="12"/>
  <c r="E70" i="12"/>
  <c r="D70" i="12"/>
  <c r="E69" i="12"/>
  <c r="D69" i="12"/>
  <c r="E65" i="12"/>
  <c r="D65" i="12"/>
  <c r="E62" i="12"/>
  <c r="D62" i="12"/>
  <c r="E61" i="12"/>
  <c r="D61" i="12"/>
  <c r="E60" i="12"/>
  <c r="D60" i="12"/>
  <c r="E59" i="12"/>
  <c r="D59" i="12"/>
  <c r="E55" i="12"/>
  <c r="D55" i="12"/>
  <c r="E53" i="12"/>
  <c r="D53" i="12"/>
  <c r="E52" i="12"/>
  <c r="D52" i="12"/>
  <c r="E51" i="12"/>
  <c r="D51" i="12"/>
  <c r="E50" i="12"/>
  <c r="D50" i="12"/>
  <c r="E49" i="12"/>
  <c r="D49" i="12"/>
  <c r="E45" i="12"/>
  <c r="D45" i="12"/>
  <c r="E44" i="12"/>
  <c r="D44" i="12"/>
  <c r="E43" i="12"/>
  <c r="D43" i="12"/>
  <c r="E42" i="12"/>
  <c r="D42" i="12"/>
  <c r="E41" i="12"/>
  <c r="D41" i="12"/>
  <c r="E40" i="12"/>
  <c r="D40" i="12"/>
  <c r="E39" i="12"/>
  <c r="D39" i="12"/>
  <c r="AA129" i="8" l="1"/>
  <c r="D48" i="12" s="1"/>
  <c r="AB128" i="8"/>
  <c r="E38" i="12" s="1"/>
  <c r="AB132" i="8"/>
  <c r="E78" i="12" s="1"/>
  <c r="AA133" i="8"/>
  <c r="D88" i="12" s="1"/>
  <c r="AA127" i="8"/>
  <c r="D28" i="12" s="1"/>
  <c r="AA131" i="8"/>
  <c r="D68" i="12" s="1"/>
  <c r="AB133" i="8"/>
  <c r="E88" i="12" s="1"/>
  <c r="AB129" i="8"/>
  <c r="E48" i="12" s="1"/>
  <c r="AB131" i="8"/>
  <c r="E68" i="12" s="1"/>
  <c r="AB127" i="8"/>
  <c r="E28" i="12" s="1"/>
  <c r="AA130" i="8"/>
  <c r="D58" i="12" s="1"/>
  <c r="AA134" i="8"/>
  <c r="D98" i="12" s="1"/>
  <c r="AA128" i="8"/>
  <c r="D38" i="12" s="1"/>
  <c r="AA132" i="8"/>
  <c r="D78" i="12" s="1"/>
  <c r="AB134" i="8"/>
  <c r="E98" i="12" s="1"/>
  <c r="AB130" i="8"/>
  <c r="E58" i="12" s="1"/>
  <c r="D30" i="7"/>
  <c r="A4" i="7" l="1"/>
  <c r="B366" i="15" l="1"/>
  <c r="B367" i="15"/>
  <c r="B368" i="15"/>
  <c r="B369" i="15"/>
  <c r="B370" i="15"/>
  <c r="B371" i="15"/>
  <c r="B365" i="15"/>
  <c r="B356" i="15"/>
  <c r="B357" i="15"/>
  <c r="B358" i="15"/>
  <c r="B359" i="15"/>
  <c r="B360" i="15"/>
  <c r="B361" i="15"/>
  <c r="B355" i="15"/>
  <c r="D351" i="15"/>
  <c r="A339" i="15"/>
  <c r="B337" i="15"/>
  <c r="A335" i="15"/>
  <c r="A333" i="15"/>
  <c r="A331" i="15"/>
  <c r="D350" i="15"/>
  <c r="A341" i="15"/>
  <c r="B320" i="15"/>
  <c r="B321" i="15"/>
  <c r="B322" i="15"/>
  <c r="B323" i="15"/>
  <c r="B324" i="15"/>
  <c r="B325" i="15"/>
  <c r="B319" i="15"/>
  <c r="B310" i="15"/>
  <c r="B311" i="15"/>
  <c r="B312" i="15"/>
  <c r="B313" i="15"/>
  <c r="B314" i="15"/>
  <c r="B315" i="15"/>
  <c r="B309" i="15"/>
  <c r="D305" i="15"/>
  <c r="A293" i="15"/>
  <c r="B291" i="15"/>
  <c r="A289" i="15"/>
  <c r="A287" i="15"/>
  <c r="A285" i="15"/>
  <c r="D304" i="15"/>
  <c r="A295" i="15"/>
  <c r="B274" i="15"/>
  <c r="B275" i="15"/>
  <c r="B276" i="15"/>
  <c r="B277" i="15"/>
  <c r="B278" i="15"/>
  <c r="B279" i="15"/>
  <c r="B273" i="15"/>
  <c r="B264" i="15"/>
  <c r="B265" i="15"/>
  <c r="B266" i="15"/>
  <c r="B267" i="15"/>
  <c r="B268" i="15"/>
  <c r="B269" i="15"/>
  <c r="B263" i="15"/>
  <c r="D259" i="15"/>
  <c r="A247" i="15"/>
  <c r="B245" i="15"/>
  <c r="A243" i="15"/>
  <c r="A241" i="15"/>
  <c r="A239" i="15"/>
  <c r="D258" i="15"/>
  <c r="A249" i="15"/>
  <c r="B228" i="15"/>
  <c r="B229" i="15"/>
  <c r="B230" i="15"/>
  <c r="B231" i="15"/>
  <c r="B232" i="15"/>
  <c r="B233" i="15"/>
  <c r="B227" i="15"/>
  <c r="B223" i="15"/>
  <c r="B218" i="15"/>
  <c r="B219" i="15"/>
  <c r="B220" i="15"/>
  <c r="B221" i="15"/>
  <c r="B222" i="15"/>
  <c r="B217" i="15"/>
  <c r="D213" i="15"/>
  <c r="A201" i="15"/>
  <c r="B199" i="15"/>
  <c r="A197" i="15"/>
  <c r="A195" i="15"/>
  <c r="A193" i="15"/>
  <c r="D212" i="15"/>
  <c r="A203" i="15"/>
  <c r="B182" i="15"/>
  <c r="B183" i="15"/>
  <c r="B184" i="15"/>
  <c r="B185" i="15"/>
  <c r="B186" i="15"/>
  <c r="B187" i="15"/>
  <c r="B181" i="15"/>
  <c r="B172" i="15"/>
  <c r="B173" i="15"/>
  <c r="B174" i="15"/>
  <c r="B175" i="15"/>
  <c r="B176" i="15"/>
  <c r="B177" i="15"/>
  <c r="B171" i="15"/>
  <c r="D167" i="15"/>
  <c r="A155" i="15"/>
  <c r="B153" i="15"/>
  <c r="A151" i="15"/>
  <c r="A149" i="15"/>
  <c r="A147" i="15"/>
  <c r="D166" i="15"/>
  <c r="A157" i="15"/>
  <c r="C140" i="15"/>
  <c r="B136" i="15"/>
  <c r="B137" i="15"/>
  <c r="B138" i="15"/>
  <c r="B139" i="15"/>
  <c r="B140" i="15"/>
  <c r="B141" i="15"/>
  <c r="B135" i="15"/>
  <c r="B126" i="15"/>
  <c r="B127" i="15"/>
  <c r="B128" i="15"/>
  <c r="B129" i="15"/>
  <c r="B130" i="15"/>
  <c r="B131" i="15"/>
  <c r="B125" i="15"/>
  <c r="D121" i="15"/>
  <c r="A109" i="15"/>
  <c r="B107" i="15"/>
  <c r="A105" i="15"/>
  <c r="A103" i="15"/>
  <c r="A101" i="15"/>
  <c r="D120" i="15"/>
  <c r="A111" i="15"/>
  <c r="A63" i="15"/>
  <c r="B61" i="15"/>
  <c r="A59" i="15"/>
  <c r="A57" i="15"/>
  <c r="A65" i="15"/>
  <c r="C48" i="15"/>
  <c r="B90" i="15"/>
  <c r="B91" i="15"/>
  <c r="B92" i="15"/>
  <c r="B93" i="15"/>
  <c r="B94" i="15"/>
  <c r="B95" i="15"/>
  <c r="B89" i="15"/>
  <c r="B80" i="15"/>
  <c r="B81" i="15"/>
  <c r="B82" i="15"/>
  <c r="B83" i="15"/>
  <c r="B84" i="15"/>
  <c r="B85" i="15"/>
  <c r="B79" i="15"/>
  <c r="D75" i="15"/>
  <c r="A55" i="15"/>
  <c r="D74" i="15"/>
  <c r="B34" i="15"/>
  <c r="B35" i="15"/>
  <c r="B36" i="15"/>
  <c r="B37" i="15"/>
  <c r="B38" i="15"/>
  <c r="B39" i="15"/>
  <c r="A47" i="15" l="1"/>
  <c r="A48" i="15"/>
  <c r="A49" i="15"/>
  <c r="A37" i="15"/>
  <c r="A38" i="15"/>
  <c r="A39" i="15"/>
  <c r="A9" i="15"/>
  <c r="E55" i="8"/>
  <c r="A48" i="7"/>
  <c r="A49" i="7"/>
  <c r="A50" i="7"/>
  <c r="A38" i="7"/>
  <c r="A39" i="7"/>
  <c r="A40" i="7"/>
  <c r="V118" i="8"/>
  <c r="V119" i="8"/>
  <c r="V120" i="8"/>
  <c r="V121" i="8"/>
  <c r="V122" i="8"/>
  <c r="V123" i="8"/>
  <c r="V124" i="8"/>
  <c r="V125" i="8"/>
  <c r="V117" i="8"/>
  <c r="M53" i="8"/>
  <c r="L53" i="8"/>
  <c r="K55" i="8"/>
  <c r="K56" i="8"/>
  <c r="K57" i="8"/>
  <c r="K58" i="8"/>
  <c r="K59" i="8"/>
  <c r="K60" i="8"/>
  <c r="K61" i="8"/>
  <c r="K62" i="8"/>
  <c r="K54" i="8"/>
  <c r="V109" i="8"/>
  <c r="Z109" i="8" s="1"/>
  <c r="AD109" i="8" s="1"/>
  <c r="V110" i="8"/>
  <c r="Z110" i="8" s="1"/>
  <c r="AD110" i="8" s="1"/>
  <c r="V111" i="8"/>
  <c r="Z111" i="8" s="1"/>
  <c r="AD111" i="8" s="1"/>
  <c r="V112" i="8"/>
  <c r="Z112" i="8" s="1"/>
  <c r="AD112" i="8" s="1"/>
  <c r="V113" i="8"/>
  <c r="Z113" i="8" s="1"/>
  <c r="AD113" i="8" s="1"/>
  <c r="V114" i="8"/>
  <c r="Z114" i="8" s="1"/>
  <c r="AD114" i="8" s="1"/>
  <c r="V115" i="8"/>
  <c r="Z115" i="8" s="1"/>
  <c r="AD115" i="8" s="1"/>
  <c r="V116" i="8"/>
  <c r="Z116" i="8" s="1"/>
  <c r="AD116" i="8" s="1"/>
  <c r="V108" i="8"/>
  <c r="Z108" i="8" s="1"/>
  <c r="AD108" i="8" s="1"/>
  <c r="V100" i="8"/>
  <c r="Z100" i="8" s="1"/>
  <c r="AD100" i="8" s="1"/>
  <c r="V101" i="8"/>
  <c r="Z101" i="8" s="1"/>
  <c r="AD101" i="8" s="1"/>
  <c r="V102" i="8"/>
  <c r="Z102" i="8" s="1"/>
  <c r="AD102" i="8" s="1"/>
  <c r="V103" i="8"/>
  <c r="Z103" i="8" s="1"/>
  <c r="AD103" i="8" s="1"/>
  <c r="V104" i="8"/>
  <c r="Z104" i="8" s="1"/>
  <c r="AD104" i="8" s="1"/>
  <c r="V105" i="8"/>
  <c r="Z105" i="8" s="1"/>
  <c r="AD105" i="8" s="1"/>
  <c r="V106" i="8"/>
  <c r="Z106" i="8" s="1"/>
  <c r="AD106" i="8" s="1"/>
  <c r="V107" i="8"/>
  <c r="Z107" i="8" s="1"/>
  <c r="AD107" i="8" s="1"/>
  <c r="V99" i="8"/>
  <c r="Z99" i="8" s="1"/>
  <c r="AD99" i="8" s="1"/>
  <c r="V91" i="8"/>
  <c r="Z91" i="8" s="1"/>
  <c r="AD91" i="8" s="1"/>
  <c r="V92" i="8"/>
  <c r="Z92" i="8" s="1"/>
  <c r="AD92" i="8" s="1"/>
  <c r="V93" i="8"/>
  <c r="Z93" i="8" s="1"/>
  <c r="AD93" i="8" s="1"/>
  <c r="V94" i="8"/>
  <c r="Z94" i="8" s="1"/>
  <c r="AD94" i="8" s="1"/>
  <c r="V95" i="8"/>
  <c r="Z95" i="8" s="1"/>
  <c r="AD95" i="8" s="1"/>
  <c r="V96" i="8"/>
  <c r="Z96" i="8" s="1"/>
  <c r="AD96" i="8" s="1"/>
  <c r="V97" i="8"/>
  <c r="Z97" i="8" s="1"/>
  <c r="AD97" i="8" s="1"/>
  <c r="V98" i="8"/>
  <c r="Z98" i="8" s="1"/>
  <c r="AD98" i="8" s="1"/>
  <c r="V90" i="8"/>
  <c r="Z90" i="8" s="1"/>
  <c r="AD90" i="8" s="1"/>
  <c r="V82" i="8"/>
  <c r="Z82" i="8" s="1"/>
  <c r="AD82" i="8" s="1"/>
  <c r="V83" i="8"/>
  <c r="Z83" i="8" s="1"/>
  <c r="AD83" i="8" s="1"/>
  <c r="V84" i="8"/>
  <c r="Z84" i="8" s="1"/>
  <c r="AD84" i="8" s="1"/>
  <c r="V85" i="8"/>
  <c r="Z85" i="8" s="1"/>
  <c r="AD85" i="8" s="1"/>
  <c r="V86" i="8"/>
  <c r="Z86" i="8" s="1"/>
  <c r="AD86" i="8" s="1"/>
  <c r="V87" i="8"/>
  <c r="Z87" i="8" s="1"/>
  <c r="AD87" i="8" s="1"/>
  <c r="V88" i="8"/>
  <c r="Z88" i="8" s="1"/>
  <c r="AD88" i="8" s="1"/>
  <c r="V89" i="8"/>
  <c r="Z89" i="8" s="1"/>
  <c r="AD89" i="8" s="1"/>
  <c r="V81" i="8"/>
  <c r="Z81" i="8" s="1"/>
  <c r="AD81" i="8" s="1"/>
  <c r="V73" i="8"/>
  <c r="Z73" i="8" s="1"/>
  <c r="AD73" i="8" s="1"/>
  <c r="V74" i="8"/>
  <c r="Z74" i="8" s="1"/>
  <c r="AD74" i="8" s="1"/>
  <c r="V75" i="8"/>
  <c r="Z75" i="8" s="1"/>
  <c r="AD75" i="8" s="1"/>
  <c r="V76" i="8"/>
  <c r="Z76" i="8" s="1"/>
  <c r="AD76" i="8" s="1"/>
  <c r="V77" i="8"/>
  <c r="Z77" i="8" s="1"/>
  <c r="AD77" i="8" s="1"/>
  <c r="V78" i="8"/>
  <c r="Z78" i="8" s="1"/>
  <c r="AD78" i="8" s="1"/>
  <c r="V79" i="8"/>
  <c r="Z79" i="8" s="1"/>
  <c r="AD79" i="8" s="1"/>
  <c r="V80" i="8"/>
  <c r="Z80" i="8" s="1"/>
  <c r="AD80" i="8" s="1"/>
  <c r="V72" i="8"/>
  <c r="Z72" i="8" s="1"/>
  <c r="AD72" i="8" s="1"/>
  <c r="V64" i="8"/>
  <c r="Z64" i="8" s="1"/>
  <c r="AD64" i="8" s="1"/>
  <c r="V65" i="8"/>
  <c r="Z65" i="8" s="1"/>
  <c r="AD65" i="8" s="1"/>
  <c r="V66" i="8"/>
  <c r="Z66" i="8" s="1"/>
  <c r="AD66" i="8" s="1"/>
  <c r="V67" i="8"/>
  <c r="Z67" i="8" s="1"/>
  <c r="AD67" i="8" s="1"/>
  <c r="V68" i="8"/>
  <c r="Z68" i="8" s="1"/>
  <c r="AD68" i="8" s="1"/>
  <c r="V69" i="8"/>
  <c r="Z69" i="8" s="1"/>
  <c r="AD69" i="8" s="1"/>
  <c r="V70" i="8"/>
  <c r="Z70" i="8" s="1"/>
  <c r="AD70" i="8" s="1"/>
  <c r="V71" i="8"/>
  <c r="Z71" i="8" s="1"/>
  <c r="AD71" i="8" s="1"/>
  <c r="V63" i="8"/>
  <c r="Z63" i="8" s="1"/>
  <c r="AD63" i="8" s="1"/>
  <c r="V55" i="8"/>
  <c r="Z55" i="8" s="1"/>
  <c r="AD55" i="8" s="1"/>
  <c r="V56" i="8"/>
  <c r="Z56" i="8" s="1"/>
  <c r="AD56" i="8" s="1"/>
  <c r="V57" i="8"/>
  <c r="Z57" i="8" s="1"/>
  <c r="AD57" i="8" s="1"/>
  <c r="V58" i="8"/>
  <c r="Z58" i="8" s="1"/>
  <c r="AD58" i="8" s="1"/>
  <c r="V59" i="8"/>
  <c r="Z59" i="8" s="1"/>
  <c r="AD59" i="8" s="1"/>
  <c r="V60" i="8"/>
  <c r="Z60" i="8" s="1"/>
  <c r="AD60" i="8" s="1"/>
  <c r="V61" i="8"/>
  <c r="Z61" i="8" s="1"/>
  <c r="AD61" i="8" s="1"/>
  <c r="V62" i="8"/>
  <c r="Z62" i="8" s="1"/>
  <c r="AD62" i="8" s="1"/>
  <c r="V54" i="8"/>
  <c r="Z54" i="8" s="1"/>
  <c r="AD54" i="8" s="1"/>
  <c r="X53" i="8"/>
  <c r="W53" i="8"/>
  <c r="C801" i="8"/>
  <c r="S116" i="8"/>
  <c r="S115" i="8"/>
  <c r="S114" i="8"/>
  <c r="S113" i="8"/>
  <c r="S112" i="8"/>
  <c r="S111" i="8"/>
  <c r="S110" i="8"/>
  <c r="S109" i="8"/>
  <c r="R116" i="8"/>
  <c r="R115" i="8"/>
  <c r="R114" i="8"/>
  <c r="R113" i="8"/>
  <c r="R112" i="8"/>
  <c r="R111" i="8"/>
  <c r="R110" i="8"/>
  <c r="R109" i="8"/>
  <c r="C921" i="8"/>
  <c r="Q109" i="8"/>
  <c r="Q110" i="8"/>
  <c r="Q111" i="8"/>
  <c r="Q112" i="8"/>
  <c r="Q113" i="8"/>
  <c r="Q114" i="8"/>
  <c r="Q115" i="8"/>
  <c r="Q116" i="8"/>
  <c r="Q108" i="8"/>
  <c r="S107" i="8"/>
  <c r="S106" i="8"/>
  <c r="S105" i="8"/>
  <c r="S104" i="8"/>
  <c r="S103" i="8"/>
  <c r="S102" i="8"/>
  <c r="S101" i="8"/>
  <c r="S100" i="8"/>
  <c r="R107" i="8"/>
  <c r="R106" i="8"/>
  <c r="R105" i="8"/>
  <c r="R104" i="8"/>
  <c r="R103" i="8"/>
  <c r="R102" i="8"/>
  <c r="C681" i="8"/>
  <c r="R101" i="8"/>
  <c r="R100" i="8"/>
  <c r="Q100" i="8"/>
  <c r="Q101" i="8"/>
  <c r="Q102" i="8"/>
  <c r="Q103" i="8"/>
  <c r="Q104" i="8"/>
  <c r="Q105" i="8"/>
  <c r="Q106" i="8"/>
  <c r="Q107" i="8"/>
  <c r="Q99" i="8"/>
  <c r="S94" i="8"/>
  <c r="S93" i="8"/>
  <c r="S92" i="8"/>
  <c r="S91" i="8"/>
  <c r="S95" i="8"/>
  <c r="S96" i="8"/>
  <c r="S97" i="8"/>
  <c r="S98" i="8"/>
  <c r="R98" i="8"/>
  <c r="R97" i="8"/>
  <c r="R96" i="8"/>
  <c r="R95" i="8"/>
  <c r="R94" i="8"/>
  <c r="R93" i="8"/>
  <c r="C561" i="8"/>
  <c r="R92" i="8"/>
  <c r="R91" i="8"/>
  <c r="Q91" i="8"/>
  <c r="Q92" i="8"/>
  <c r="Q93" i="8"/>
  <c r="Q94" i="8"/>
  <c r="Q95" i="8"/>
  <c r="Q96" i="8"/>
  <c r="Q97" i="8"/>
  <c r="Q98" i="8"/>
  <c r="Q90" i="8"/>
  <c r="S89" i="8"/>
  <c r="S88" i="8"/>
  <c r="S87" i="8"/>
  <c r="S86" i="8"/>
  <c r="S85" i="8"/>
  <c r="S84" i="8"/>
  <c r="S83" i="8"/>
  <c r="S82" i="8"/>
  <c r="R89" i="8"/>
  <c r="R88" i="8"/>
  <c r="R87" i="8"/>
  <c r="R86" i="8"/>
  <c r="R85" i="8"/>
  <c r="R84" i="8"/>
  <c r="R83" i="8"/>
  <c r="C441" i="8"/>
  <c r="R82" i="8"/>
  <c r="S76" i="8"/>
  <c r="S75" i="8"/>
  <c r="S74" i="8"/>
  <c r="S73" i="8"/>
  <c r="S77" i="8"/>
  <c r="S78" i="8"/>
  <c r="S79" i="8"/>
  <c r="S80" i="8"/>
  <c r="R80" i="8"/>
  <c r="R79" i="8"/>
  <c r="R78" i="8"/>
  <c r="R77" i="8"/>
  <c r="R76" i="8"/>
  <c r="C321" i="8"/>
  <c r="R75" i="8"/>
  <c r="R74" i="8"/>
  <c r="R73" i="8"/>
  <c r="Q82" i="8"/>
  <c r="Q83" i="8"/>
  <c r="Q84" i="8"/>
  <c r="Q85" i="8"/>
  <c r="Q86" i="8"/>
  <c r="Q87" i="8"/>
  <c r="Q88" i="8"/>
  <c r="Q89" i="8"/>
  <c r="Q81" i="8"/>
  <c r="Q73" i="8"/>
  <c r="Q74" i="8"/>
  <c r="Q75" i="8"/>
  <c r="Q76" i="8"/>
  <c r="Q77" i="8"/>
  <c r="Q78" i="8"/>
  <c r="Q79" i="8"/>
  <c r="Q80" i="8"/>
  <c r="Q72" i="8"/>
  <c r="Q64" i="8"/>
  <c r="Q65" i="8"/>
  <c r="Q66" i="8"/>
  <c r="Q67" i="8"/>
  <c r="Q68" i="8"/>
  <c r="Q69" i="8"/>
  <c r="Q70" i="8"/>
  <c r="Q71" i="8"/>
  <c r="Q63" i="8"/>
  <c r="Q55" i="8"/>
  <c r="Q56" i="8"/>
  <c r="Q57" i="8"/>
  <c r="Q58" i="8"/>
  <c r="Q59" i="8"/>
  <c r="Q60" i="8"/>
  <c r="Q61" i="8"/>
  <c r="Q62" i="8"/>
  <c r="Q54" i="8"/>
  <c r="R66" i="8"/>
  <c r="S66" i="8"/>
  <c r="S65" i="8"/>
  <c r="S64" i="8"/>
  <c r="S67" i="8"/>
  <c r="S68" i="8"/>
  <c r="S69" i="8"/>
  <c r="S70" i="8"/>
  <c r="S71" i="8"/>
  <c r="R69" i="8"/>
  <c r="R70" i="8"/>
  <c r="R71" i="8"/>
  <c r="R68" i="8"/>
  <c r="R67" i="8"/>
  <c r="C201" i="8"/>
  <c r="R65" i="8"/>
  <c r="R64" i="8"/>
  <c r="S55" i="8"/>
  <c r="S56" i="8"/>
  <c r="S57" i="8"/>
  <c r="S58" i="8"/>
  <c r="S59" i="8"/>
  <c r="S60" i="8"/>
  <c r="S61" i="8"/>
  <c r="S62" i="8"/>
  <c r="R62" i="8"/>
  <c r="R61" i="8"/>
  <c r="R60" i="8"/>
  <c r="R59" i="8"/>
  <c r="R58" i="8"/>
  <c r="R57" i="8"/>
  <c r="R56" i="8"/>
  <c r="R55" i="8"/>
  <c r="S53" i="8"/>
  <c r="R53" i="8"/>
  <c r="R54" i="8" l="1"/>
  <c r="W54" i="8" s="1"/>
  <c r="AA54" i="8"/>
  <c r="Z126" i="8"/>
  <c r="Z117" i="8"/>
  <c r="Z125" i="8"/>
  <c r="Z134" i="8"/>
  <c r="Z121" i="8"/>
  <c r="Z130" i="8"/>
  <c r="Z124" i="8"/>
  <c r="Z133" i="8"/>
  <c r="Z120" i="8"/>
  <c r="Z129" i="8"/>
  <c r="Z123" i="8"/>
  <c r="Z132" i="8"/>
  <c r="Z119" i="8"/>
  <c r="Z128" i="8"/>
  <c r="Z131" i="8"/>
  <c r="Z122" i="8"/>
  <c r="Z127" i="8"/>
  <c r="Z118" i="8"/>
  <c r="W109" i="8"/>
  <c r="W113" i="8"/>
  <c r="C49" i="15"/>
  <c r="C233" i="15"/>
  <c r="C269" i="15"/>
  <c r="C95" i="15"/>
  <c r="C279" i="15"/>
  <c r="C315" i="15"/>
  <c r="C141" i="15"/>
  <c r="C325" i="15"/>
  <c r="C187" i="15"/>
  <c r="C371" i="15"/>
  <c r="C38" i="15"/>
  <c r="C268" i="15"/>
  <c r="C94" i="15"/>
  <c r="C314" i="15"/>
  <c r="X102" i="8"/>
  <c r="C324" i="15"/>
  <c r="C370" i="15"/>
  <c r="C360" i="15"/>
  <c r="C186" i="15"/>
  <c r="C84" i="15"/>
  <c r="W104" i="8"/>
  <c r="X100" i="8"/>
  <c r="C232" i="15"/>
  <c r="C278" i="15"/>
  <c r="C83" i="15"/>
  <c r="C221" i="15"/>
  <c r="C369" i="15"/>
  <c r="C47" i="15"/>
  <c r="C267" i="15"/>
  <c r="C323" i="15"/>
  <c r="C93" i="15"/>
  <c r="C139" i="15"/>
  <c r="C313" i="15"/>
  <c r="C277" i="15"/>
  <c r="C175" i="15"/>
  <c r="W98" i="8"/>
  <c r="C231" i="15"/>
  <c r="C185" i="15"/>
  <c r="C312" i="15"/>
  <c r="C138" i="15"/>
  <c r="C322" i="15"/>
  <c r="C36" i="15"/>
  <c r="C358" i="15"/>
  <c r="C184" i="15"/>
  <c r="C368" i="15"/>
  <c r="C220" i="15"/>
  <c r="C46" i="15"/>
  <c r="C230" i="15"/>
  <c r="C82" i="15"/>
  <c r="C266" i="15"/>
  <c r="C92" i="15"/>
  <c r="C276" i="15"/>
  <c r="W73" i="8"/>
  <c r="C357" i="15"/>
  <c r="C81" i="15"/>
  <c r="C219" i="15"/>
  <c r="C367" i="15"/>
  <c r="C45" i="15"/>
  <c r="C183" i="15"/>
  <c r="C127" i="15"/>
  <c r="C265" i="15"/>
  <c r="C321" i="15"/>
  <c r="C91" i="15"/>
  <c r="C173" i="15"/>
  <c r="C229" i="15"/>
  <c r="C311" i="15"/>
  <c r="C275" i="15"/>
  <c r="C137" i="15"/>
  <c r="C320" i="15"/>
  <c r="C44" i="15"/>
  <c r="C274" i="15"/>
  <c r="C90" i="15"/>
  <c r="C228" i="15"/>
  <c r="C136" i="15"/>
  <c r="C366" i="15"/>
  <c r="C182" i="15"/>
  <c r="L57" i="8"/>
  <c r="L61" i="8"/>
  <c r="L58" i="8"/>
  <c r="L62" i="8"/>
  <c r="L55" i="8"/>
  <c r="X82" i="8"/>
  <c r="L59" i="8"/>
  <c r="L56" i="8"/>
  <c r="L60" i="8"/>
  <c r="C273" i="15"/>
  <c r="M60" i="8"/>
  <c r="C227" i="15"/>
  <c r="M59" i="8"/>
  <c r="C43" i="15"/>
  <c r="M55" i="8"/>
  <c r="C365" i="15"/>
  <c r="M62" i="8"/>
  <c r="C181" i="15"/>
  <c r="M58" i="8"/>
  <c r="C89" i="15"/>
  <c r="M56" i="8"/>
  <c r="C319" i="15"/>
  <c r="M61" i="8"/>
  <c r="C135" i="15"/>
  <c r="M57" i="8"/>
  <c r="X109" i="8"/>
  <c r="X107" i="8"/>
  <c r="X111" i="8"/>
  <c r="X115" i="8"/>
  <c r="X113" i="8"/>
  <c r="X101" i="8"/>
  <c r="X105" i="8"/>
  <c r="X103" i="8"/>
  <c r="W92" i="8"/>
  <c r="W96" i="8"/>
  <c r="W94" i="8"/>
  <c r="X86" i="8"/>
  <c r="W79" i="8"/>
  <c r="W75" i="8"/>
  <c r="T111" i="8"/>
  <c r="C131" i="15"/>
  <c r="W115" i="8"/>
  <c r="W111" i="8"/>
  <c r="T112" i="8"/>
  <c r="C177" i="15"/>
  <c r="T116" i="8"/>
  <c r="C361" i="15"/>
  <c r="X116" i="8"/>
  <c r="X114" i="8"/>
  <c r="X112" i="8"/>
  <c r="X110" i="8"/>
  <c r="T110" i="8"/>
  <c r="C85" i="15"/>
  <c r="T109" i="8"/>
  <c r="C39" i="15"/>
  <c r="T113" i="8"/>
  <c r="C223" i="15"/>
  <c r="W116" i="8"/>
  <c r="W114" i="8"/>
  <c r="W112" i="8"/>
  <c r="W110" i="8"/>
  <c r="T102" i="8"/>
  <c r="C130" i="15"/>
  <c r="T103" i="8"/>
  <c r="C176" i="15"/>
  <c r="W106" i="8"/>
  <c r="W102" i="8"/>
  <c r="W100" i="8"/>
  <c r="W107" i="8"/>
  <c r="W105" i="8"/>
  <c r="W103" i="8"/>
  <c r="W101" i="8"/>
  <c r="T104" i="8"/>
  <c r="C222" i="15"/>
  <c r="X106" i="8"/>
  <c r="X104" i="8"/>
  <c r="X98" i="8"/>
  <c r="X96" i="8"/>
  <c r="X94" i="8"/>
  <c r="X92" i="8"/>
  <c r="T91" i="8"/>
  <c r="C37" i="15"/>
  <c r="T98" i="8"/>
  <c r="C359" i="15"/>
  <c r="X97" i="8"/>
  <c r="X95" i="8"/>
  <c r="X93" i="8"/>
  <c r="X91" i="8"/>
  <c r="T93" i="8"/>
  <c r="C129" i="15"/>
  <c r="W97" i="8"/>
  <c r="W95" i="8"/>
  <c r="W93" i="8"/>
  <c r="W91" i="8"/>
  <c r="T84" i="8"/>
  <c r="C128" i="15"/>
  <c r="X88" i="8"/>
  <c r="T85" i="8"/>
  <c r="C174" i="15"/>
  <c r="W89" i="8"/>
  <c r="W87" i="8"/>
  <c r="W85" i="8"/>
  <c r="W83" i="8"/>
  <c r="W88" i="8"/>
  <c r="W86" i="8"/>
  <c r="W84" i="8"/>
  <c r="W82" i="8"/>
  <c r="X84" i="8"/>
  <c r="X89" i="8"/>
  <c r="X87" i="8"/>
  <c r="X85" i="8"/>
  <c r="X83" i="8"/>
  <c r="T73" i="8"/>
  <c r="C35" i="15"/>
  <c r="X79" i="8"/>
  <c r="X77" i="8"/>
  <c r="X75" i="8"/>
  <c r="X73" i="8"/>
  <c r="X80" i="8"/>
  <c r="X78" i="8"/>
  <c r="X76" i="8"/>
  <c r="X74" i="8"/>
  <c r="W77" i="8"/>
  <c r="W80" i="8"/>
  <c r="W78" i="8"/>
  <c r="W76" i="8"/>
  <c r="W74" i="8"/>
  <c r="T86" i="8"/>
  <c r="T76" i="8"/>
  <c r="T107" i="8"/>
  <c r="T114" i="8"/>
  <c r="T87" i="8"/>
  <c r="T89" i="8"/>
  <c r="T96" i="8"/>
  <c r="T106" i="8"/>
  <c r="T88" i="8"/>
  <c r="T83" i="8"/>
  <c r="T115" i="8"/>
  <c r="T55" i="8"/>
  <c r="T59" i="8"/>
  <c r="T94" i="8"/>
  <c r="T77" i="8"/>
  <c r="T100" i="8"/>
  <c r="T82" i="8"/>
  <c r="T75" i="8"/>
  <c r="T78" i="8"/>
  <c r="T80" i="8"/>
  <c r="T57" i="8"/>
  <c r="T101" i="8"/>
  <c r="T105" i="8"/>
  <c r="T92" i="8"/>
  <c r="T95" i="8"/>
  <c r="T97" i="8"/>
  <c r="T79" i="8"/>
  <c r="T74" i="8"/>
  <c r="C126" i="15"/>
  <c r="T66" i="8"/>
  <c r="C172" i="15"/>
  <c r="T67" i="8"/>
  <c r="C264" i="15"/>
  <c r="T69" i="8"/>
  <c r="C80" i="15"/>
  <c r="T65" i="8"/>
  <c r="C356" i="15"/>
  <c r="T71" i="8"/>
  <c r="C34" i="15"/>
  <c r="T64" i="8"/>
  <c r="C218" i="15"/>
  <c r="T68" i="8"/>
  <c r="C310" i="15"/>
  <c r="T70" i="8"/>
  <c r="W61" i="8"/>
  <c r="T61" i="8"/>
  <c r="C171" i="15"/>
  <c r="T58" i="8"/>
  <c r="W62" i="8"/>
  <c r="T62" i="8"/>
  <c r="T56" i="8"/>
  <c r="W60" i="8"/>
  <c r="T60" i="8"/>
  <c r="W65" i="8"/>
  <c r="X69" i="8"/>
  <c r="X65" i="8"/>
  <c r="W69" i="8"/>
  <c r="W70" i="8"/>
  <c r="W66" i="8"/>
  <c r="X70" i="8"/>
  <c r="X66" i="8"/>
  <c r="W68" i="8"/>
  <c r="W64" i="8"/>
  <c r="X68" i="8"/>
  <c r="X64" i="8"/>
  <c r="W71" i="8"/>
  <c r="W67" i="8"/>
  <c r="X71" i="8"/>
  <c r="X67" i="8"/>
  <c r="D165" i="15"/>
  <c r="W58" i="8"/>
  <c r="X62" i="8"/>
  <c r="X58" i="8"/>
  <c r="C79" i="15"/>
  <c r="D73" i="15"/>
  <c r="X61" i="8"/>
  <c r="D349" i="15"/>
  <c r="C355" i="15"/>
  <c r="W56" i="8"/>
  <c r="X60" i="8"/>
  <c r="X56" i="8"/>
  <c r="D257" i="15"/>
  <c r="C263" i="15"/>
  <c r="C125" i="15"/>
  <c r="D119" i="15"/>
  <c r="D303" i="15"/>
  <c r="C309" i="15"/>
  <c r="W57" i="8"/>
  <c r="X57" i="8"/>
  <c r="C33" i="15"/>
  <c r="D27" i="15"/>
  <c r="C217" i="15"/>
  <c r="D211" i="15"/>
  <c r="W59" i="8"/>
  <c r="W55" i="8"/>
  <c r="X59" i="8"/>
  <c r="X55" i="8"/>
  <c r="A906" i="8"/>
  <c r="A919" i="8"/>
  <c r="A932" i="8"/>
  <c r="A945" i="8"/>
  <c r="A958" i="8"/>
  <c r="A971" i="8"/>
  <c r="A984" i="8"/>
  <c r="A997" i="8"/>
  <c r="A893" i="8"/>
  <c r="C999" i="8"/>
  <c r="B999" i="8"/>
  <c r="F998" i="8"/>
  <c r="E998" i="8"/>
  <c r="F997" i="8"/>
  <c r="C986" i="8"/>
  <c r="B986" i="8"/>
  <c r="F985" i="8"/>
  <c r="E985" i="8"/>
  <c r="F984" i="8"/>
  <c r="C973" i="8"/>
  <c r="B973" i="8"/>
  <c r="F972" i="8"/>
  <c r="E972" i="8"/>
  <c r="F971" i="8"/>
  <c r="C960" i="8"/>
  <c r="B960" i="8"/>
  <c r="F959" i="8"/>
  <c r="E959" i="8"/>
  <c r="F958" i="8"/>
  <c r="C947" i="8"/>
  <c r="B947" i="8"/>
  <c r="F946" i="8"/>
  <c r="E946" i="8"/>
  <c r="F945" i="8"/>
  <c r="C934" i="8"/>
  <c r="B934" i="8"/>
  <c r="F933" i="8"/>
  <c r="E933" i="8"/>
  <c r="F932" i="8"/>
  <c r="B921" i="8"/>
  <c r="F920" i="8"/>
  <c r="E920" i="8"/>
  <c r="F919" i="8"/>
  <c r="C908" i="8"/>
  <c r="B908" i="8"/>
  <c r="F907" i="8"/>
  <c r="E907" i="8"/>
  <c r="F906" i="8"/>
  <c r="C895" i="8"/>
  <c r="F894" i="8"/>
  <c r="E894" i="8"/>
  <c r="F893" i="8"/>
  <c r="C81" i="8"/>
  <c r="C38" i="12" s="1"/>
  <c r="A786" i="8"/>
  <c r="A799" i="8"/>
  <c r="A812" i="8"/>
  <c r="A825" i="8"/>
  <c r="A838" i="8"/>
  <c r="A851" i="8"/>
  <c r="A864" i="8"/>
  <c r="A877" i="8"/>
  <c r="A773" i="8"/>
  <c r="F775" i="8"/>
  <c r="E775" i="8"/>
  <c r="H879" i="8"/>
  <c r="G879" i="8"/>
  <c r="C879" i="8"/>
  <c r="B879" i="8"/>
  <c r="H878" i="8"/>
  <c r="G878" i="8"/>
  <c r="F878" i="8"/>
  <c r="E878" i="8"/>
  <c r="F877" i="8"/>
  <c r="H866" i="8"/>
  <c r="G866" i="8"/>
  <c r="C866" i="8"/>
  <c r="B866" i="8"/>
  <c r="H865" i="8"/>
  <c r="G865" i="8"/>
  <c r="F865" i="8"/>
  <c r="E865" i="8"/>
  <c r="F864" i="8"/>
  <c r="H853" i="8"/>
  <c r="G853" i="8"/>
  <c r="C853" i="8"/>
  <c r="B853" i="8"/>
  <c r="H852" i="8"/>
  <c r="G852" i="8"/>
  <c r="F852" i="8"/>
  <c r="E852" i="8"/>
  <c r="F851" i="8"/>
  <c r="H840" i="8"/>
  <c r="G840" i="8"/>
  <c r="C840" i="8"/>
  <c r="B840" i="8"/>
  <c r="H839" i="8"/>
  <c r="G839" i="8"/>
  <c r="F839" i="8"/>
  <c r="E839" i="8"/>
  <c r="F838" i="8"/>
  <c r="H827" i="8"/>
  <c r="G827" i="8"/>
  <c r="C827" i="8"/>
  <c r="B827" i="8"/>
  <c r="H826" i="8"/>
  <c r="G826" i="8"/>
  <c r="F826" i="8"/>
  <c r="E826" i="8"/>
  <c r="F825" i="8"/>
  <c r="H814" i="8"/>
  <c r="G814" i="8"/>
  <c r="C814" i="8"/>
  <c r="B814" i="8"/>
  <c r="H813" i="8"/>
  <c r="G813" i="8"/>
  <c r="F813" i="8"/>
  <c r="E813" i="8"/>
  <c r="F812" i="8"/>
  <c r="H801" i="8"/>
  <c r="G801" i="8"/>
  <c r="B801" i="8"/>
  <c r="H800" i="8"/>
  <c r="G800" i="8"/>
  <c r="F800" i="8"/>
  <c r="E800" i="8"/>
  <c r="F799" i="8"/>
  <c r="H788" i="8"/>
  <c r="G788" i="8"/>
  <c r="C788" i="8"/>
  <c r="B788" i="8"/>
  <c r="H787" i="8"/>
  <c r="G787" i="8"/>
  <c r="F787" i="8"/>
  <c r="E787" i="8"/>
  <c r="F786" i="8"/>
  <c r="D785" i="8"/>
  <c r="D784" i="8"/>
  <c r="D783" i="8"/>
  <c r="D782" i="8"/>
  <c r="D781" i="8"/>
  <c r="D776" i="8"/>
  <c r="C775" i="8"/>
  <c r="H774" i="8"/>
  <c r="G774" i="8"/>
  <c r="F774" i="8"/>
  <c r="E774" i="8"/>
  <c r="F655" i="8"/>
  <c r="E655" i="8"/>
  <c r="A666" i="8"/>
  <c r="A679" i="8"/>
  <c r="A692" i="8"/>
  <c r="A705" i="8"/>
  <c r="A718" i="8"/>
  <c r="A731" i="8"/>
  <c r="A744" i="8"/>
  <c r="A757" i="8"/>
  <c r="A653" i="8"/>
  <c r="H759" i="8"/>
  <c r="G759" i="8"/>
  <c r="C759" i="8"/>
  <c r="B759" i="8"/>
  <c r="H758" i="8"/>
  <c r="G758" i="8"/>
  <c r="F758" i="8"/>
  <c r="E758" i="8"/>
  <c r="F757" i="8"/>
  <c r="H746" i="8"/>
  <c r="G746" i="8"/>
  <c r="C746" i="8"/>
  <c r="B746" i="8"/>
  <c r="H745" i="8"/>
  <c r="G745" i="8"/>
  <c r="F745" i="8"/>
  <c r="E745" i="8"/>
  <c r="F744" i="8"/>
  <c r="H733" i="8"/>
  <c r="G733" i="8"/>
  <c r="C733" i="8"/>
  <c r="B733" i="8"/>
  <c r="H732" i="8"/>
  <c r="G732" i="8"/>
  <c r="F732" i="8"/>
  <c r="E732" i="8"/>
  <c r="F731" i="8"/>
  <c r="H720" i="8"/>
  <c r="G720" i="8"/>
  <c r="C720" i="8"/>
  <c r="B720" i="8"/>
  <c r="H719" i="8"/>
  <c r="G719" i="8"/>
  <c r="F719" i="8"/>
  <c r="E719" i="8"/>
  <c r="F718" i="8"/>
  <c r="H707" i="8"/>
  <c r="G707" i="8"/>
  <c r="C707" i="8"/>
  <c r="B707" i="8"/>
  <c r="H706" i="8"/>
  <c r="G706" i="8"/>
  <c r="F706" i="8"/>
  <c r="E706" i="8"/>
  <c r="F705" i="8"/>
  <c r="H694" i="8"/>
  <c r="G694" i="8"/>
  <c r="C694" i="8"/>
  <c r="B694" i="8"/>
  <c r="H693" i="8"/>
  <c r="G693" i="8"/>
  <c r="F693" i="8"/>
  <c r="E693" i="8"/>
  <c r="F692" i="8"/>
  <c r="H681" i="8"/>
  <c r="G681" i="8"/>
  <c r="B681" i="8"/>
  <c r="H680" i="8"/>
  <c r="G680" i="8"/>
  <c r="F680" i="8"/>
  <c r="E680" i="8"/>
  <c r="F679" i="8"/>
  <c r="H668" i="8"/>
  <c r="G668" i="8"/>
  <c r="C668" i="8"/>
  <c r="B668" i="8"/>
  <c r="H667" i="8"/>
  <c r="G667" i="8"/>
  <c r="F667" i="8"/>
  <c r="E667" i="8"/>
  <c r="F666" i="8"/>
  <c r="D665" i="8"/>
  <c r="D664" i="8"/>
  <c r="D663" i="8"/>
  <c r="D662" i="8"/>
  <c r="D661" i="8"/>
  <c r="D656" i="8"/>
  <c r="C655" i="8"/>
  <c r="H654" i="8"/>
  <c r="G654" i="8"/>
  <c r="F654" i="8"/>
  <c r="E654" i="8"/>
  <c r="F653" i="8"/>
  <c r="F535" i="8"/>
  <c r="E535" i="8"/>
  <c r="A546" i="8"/>
  <c r="A559" i="8"/>
  <c r="A572" i="8"/>
  <c r="A585" i="8"/>
  <c r="A598" i="8"/>
  <c r="A611" i="8"/>
  <c r="A624" i="8"/>
  <c r="A637" i="8"/>
  <c r="A533" i="8"/>
  <c r="H639" i="8"/>
  <c r="G639" i="8"/>
  <c r="C639" i="8"/>
  <c r="B639" i="8"/>
  <c r="H638" i="8"/>
  <c r="G638" i="8"/>
  <c r="F638" i="8"/>
  <c r="E638" i="8"/>
  <c r="F637" i="8"/>
  <c r="H626" i="8"/>
  <c r="G626" i="8"/>
  <c r="C626" i="8"/>
  <c r="B626" i="8"/>
  <c r="H625" i="8"/>
  <c r="G625" i="8"/>
  <c r="F625" i="8"/>
  <c r="E625" i="8"/>
  <c r="F624" i="8"/>
  <c r="H613" i="8"/>
  <c r="G613" i="8"/>
  <c r="C613" i="8"/>
  <c r="B613" i="8"/>
  <c r="H612" i="8"/>
  <c r="G612" i="8"/>
  <c r="F612" i="8"/>
  <c r="E612" i="8"/>
  <c r="F611" i="8"/>
  <c r="H600" i="8"/>
  <c r="G600" i="8"/>
  <c r="C600" i="8"/>
  <c r="B600" i="8"/>
  <c r="H599" i="8"/>
  <c r="G599" i="8"/>
  <c r="F599" i="8"/>
  <c r="E599" i="8"/>
  <c r="F598" i="8"/>
  <c r="H587" i="8"/>
  <c r="G587" i="8"/>
  <c r="C587" i="8"/>
  <c r="B587" i="8"/>
  <c r="H586" i="8"/>
  <c r="G586" i="8"/>
  <c r="F586" i="8"/>
  <c r="E586" i="8"/>
  <c r="F585" i="8"/>
  <c r="H574" i="8"/>
  <c r="G574" i="8"/>
  <c r="C574" i="8"/>
  <c r="B574" i="8"/>
  <c r="H573" i="8"/>
  <c r="G573" i="8"/>
  <c r="F573" i="8"/>
  <c r="E573" i="8"/>
  <c r="F572" i="8"/>
  <c r="H561" i="8"/>
  <c r="G561" i="8"/>
  <c r="B561" i="8"/>
  <c r="H560" i="8"/>
  <c r="G560" i="8"/>
  <c r="F560" i="8"/>
  <c r="E560" i="8"/>
  <c r="F559" i="8"/>
  <c r="H548" i="8"/>
  <c r="G548" i="8"/>
  <c r="C548" i="8"/>
  <c r="B548" i="8"/>
  <c r="H547" i="8"/>
  <c r="G547" i="8"/>
  <c r="F547" i="8"/>
  <c r="E547" i="8"/>
  <c r="F546" i="8"/>
  <c r="D545" i="8"/>
  <c r="D544" i="8"/>
  <c r="D543" i="8"/>
  <c r="D542" i="8"/>
  <c r="D541" i="8"/>
  <c r="D536" i="8"/>
  <c r="C535" i="8"/>
  <c r="H534" i="8"/>
  <c r="G534" i="8"/>
  <c r="F534" i="8"/>
  <c r="E534" i="8"/>
  <c r="F533" i="8"/>
  <c r="F29" i="8"/>
  <c r="F30" i="8"/>
  <c r="F31" i="8"/>
  <c r="F415" i="8"/>
  <c r="E415" i="8"/>
  <c r="C14" i="17" s="1"/>
  <c r="A426" i="8"/>
  <c r="A439" i="8"/>
  <c r="A452" i="8"/>
  <c r="A465" i="8"/>
  <c r="A478" i="8"/>
  <c r="A491" i="8"/>
  <c r="A504" i="8"/>
  <c r="A517" i="8"/>
  <c r="A413" i="8"/>
  <c r="H519" i="8"/>
  <c r="G519" i="8"/>
  <c r="C519" i="8"/>
  <c r="B519" i="8"/>
  <c r="H518" i="8"/>
  <c r="G518" i="8"/>
  <c r="F518" i="8"/>
  <c r="E518" i="8"/>
  <c r="F517" i="8"/>
  <c r="H506" i="8"/>
  <c r="G506" i="8"/>
  <c r="C506" i="8"/>
  <c r="B506" i="8"/>
  <c r="H505" i="8"/>
  <c r="G505" i="8"/>
  <c r="F505" i="8"/>
  <c r="E505" i="8"/>
  <c r="F504" i="8"/>
  <c r="H493" i="8"/>
  <c r="G493" i="8"/>
  <c r="C493" i="8"/>
  <c r="B493" i="8"/>
  <c r="H492" i="8"/>
  <c r="G492" i="8"/>
  <c r="F492" i="8"/>
  <c r="E492" i="8"/>
  <c r="F491" i="8"/>
  <c r="H480" i="8"/>
  <c r="G480" i="8"/>
  <c r="C480" i="8"/>
  <c r="B480" i="8"/>
  <c r="H479" i="8"/>
  <c r="G479" i="8"/>
  <c r="F479" i="8"/>
  <c r="E479" i="8"/>
  <c r="F478" i="8"/>
  <c r="H467" i="8"/>
  <c r="G467" i="8"/>
  <c r="C467" i="8"/>
  <c r="B467" i="8"/>
  <c r="H466" i="8"/>
  <c r="G466" i="8"/>
  <c r="F466" i="8"/>
  <c r="E466" i="8"/>
  <c r="F465" i="8"/>
  <c r="H454" i="8"/>
  <c r="G454" i="8"/>
  <c r="C454" i="8"/>
  <c r="B454" i="8"/>
  <c r="H453" i="8"/>
  <c r="G453" i="8"/>
  <c r="F453" i="8"/>
  <c r="E453" i="8"/>
  <c r="F452" i="8"/>
  <c r="H441" i="8"/>
  <c r="G441" i="8"/>
  <c r="B441" i="8"/>
  <c r="H440" i="8"/>
  <c r="G440" i="8"/>
  <c r="F440" i="8"/>
  <c r="E440" i="8"/>
  <c r="F439" i="8"/>
  <c r="H428" i="8"/>
  <c r="G428" i="8"/>
  <c r="C428" i="8"/>
  <c r="B428" i="8"/>
  <c r="H427" i="8"/>
  <c r="G427" i="8"/>
  <c r="F427" i="8"/>
  <c r="E427" i="8"/>
  <c r="F426" i="8"/>
  <c r="D425" i="8"/>
  <c r="D424" i="8"/>
  <c r="D423" i="8"/>
  <c r="D422" i="8"/>
  <c r="D421" i="8"/>
  <c r="D416" i="8"/>
  <c r="C415" i="8"/>
  <c r="H414" i="8"/>
  <c r="G414" i="8"/>
  <c r="F414" i="8"/>
  <c r="E414" i="8"/>
  <c r="F413" i="8"/>
  <c r="F295" i="8"/>
  <c r="E295" i="8"/>
  <c r="A306" i="8"/>
  <c r="A319" i="8"/>
  <c r="A332" i="8"/>
  <c r="A345" i="8"/>
  <c r="A358" i="8"/>
  <c r="A371" i="8"/>
  <c r="A384" i="8"/>
  <c r="A397" i="8"/>
  <c r="A293" i="8"/>
  <c r="H399" i="8"/>
  <c r="G399" i="8"/>
  <c r="C399" i="8"/>
  <c r="B399" i="8"/>
  <c r="H398" i="8"/>
  <c r="G398" i="8"/>
  <c r="F398" i="8"/>
  <c r="E398" i="8"/>
  <c r="F397" i="8"/>
  <c r="H386" i="8"/>
  <c r="G386" i="8"/>
  <c r="C386" i="8"/>
  <c r="B386" i="8"/>
  <c r="H385" i="8"/>
  <c r="G385" i="8"/>
  <c r="F385" i="8"/>
  <c r="E385" i="8"/>
  <c r="F384" i="8"/>
  <c r="H373" i="8"/>
  <c r="G373" i="8"/>
  <c r="C373" i="8"/>
  <c r="B373" i="8"/>
  <c r="H372" i="8"/>
  <c r="G372" i="8"/>
  <c r="F372" i="8"/>
  <c r="E372" i="8"/>
  <c r="F371" i="8"/>
  <c r="H360" i="8"/>
  <c r="G360" i="8"/>
  <c r="C360" i="8"/>
  <c r="B360" i="8"/>
  <c r="H359" i="8"/>
  <c r="G359" i="8"/>
  <c r="F359" i="8"/>
  <c r="E359" i="8"/>
  <c r="F358" i="8"/>
  <c r="H347" i="8"/>
  <c r="G347" i="8"/>
  <c r="C347" i="8"/>
  <c r="B347" i="8"/>
  <c r="H346" i="8"/>
  <c r="G346" i="8"/>
  <c r="F346" i="8"/>
  <c r="E346" i="8"/>
  <c r="F345" i="8"/>
  <c r="H334" i="8"/>
  <c r="G334" i="8"/>
  <c r="C334" i="8"/>
  <c r="B334" i="8"/>
  <c r="H333" i="8"/>
  <c r="G333" i="8"/>
  <c r="F333" i="8"/>
  <c r="E333" i="8"/>
  <c r="F332" i="8"/>
  <c r="H321" i="8"/>
  <c r="G321" i="8"/>
  <c r="B321" i="8"/>
  <c r="H320" i="8"/>
  <c r="G320" i="8"/>
  <c r="F320" i="8"/>
  <c r="E320" i="8"/>
  <c r="F319" i="8"/>
  <c r="H308" i="8"/>
  <c r="G308" i="8"/>
  <c r="C308" i="8"/>
  <c r="B308" i="8"/>
  <c r="H307" i="8"/>
  <c r="G307" i="8"/>
  <c r="F307" i="8"/>
  <c r="E307" i="8"/>
  <c r="F306" i="8"/>
  <c r="D305" i="8"/>
  <c r="D304" i="8"/>
  <c r="D303" i="8"/>
  <c r="D302" i="8"/>
  <c r="D301" i="8"/>
  <c r="D296" i="8"/>
  <c r="C295" i="8"/>
  <c r="H294" i="8"/>
  <c r="G294" i="8"/>
  <c r="F294" i="8"/>
  <c r="E294" i="8"/>
  <c r="F293" i="8"/>
  <c r="A186" i="8"/>
  <c r="A199" i="8"/>
  <c r="A212" i="8"/>
  <c r="A225" i="8"/>
  <c r="A238" i="8"/>
  <c r="A251" i="8"/>
  <c r="A264" i="8"/>
  <c r="A277" i="8"/>
  <c r="A173" i="8"/>
  <c r="F175" i="8"/>
  <c r="D12" i="17" s="1"/>
  <c r="D143" i="17" s="1"/>
  <c r="E175" i="8"/>
  <c r="H279" i="8"/>
  <c r="G279" i="8"/>
  <c r="C279" i="8"/>
  <c r="B279" i="8"/>
  <c r="H278" i="8"/>
  <c r="G278" i="8"/>
  <c r="F278" i="8"/>
  <c r="E278" i="8"/>
  <c r="F277" i="8"/>
  <c r="H266" i="8"/>
  <c r="G266" i="8"/>
  <c r="C266" i="8"/>
  <c r="B266" i="8"/>
  <c r="H265" i="8"/>
  <c r="G265" i="8"/>
  <c r="F265" i="8"/>
  <c r="E265" i="8"/>
  <c r="F264" i="8"/>
  <c r="H253" i="8"/>
  <c r="E95" i="12" s="1"/>
  <c r="G253" i="8"/>
  <c r="D95" i="12" s="1"/>
  <c r="C253" i="8"/>
  <c r="B253" i="8"/>
  <c r="H252" i="8"/>
  <c r="G252" i="8"/>
  <c r="F252" i="8"/>
  <c r="E252" i="8"/>
  <c r="F251" i="8"/>
  <c r="H240" i="8"/>
  <c r="G240" i="8"/>
  <c r="C240" i="8"/>
  <c r="B240" i="8"/>
  <c r="H239" i="8"/>
  <c r="E85" i="12" s="1"/>
  <c r="G239" i="8"/>
  <c r="D85" i="12" s="1"/>
  <c r="F239" i="8"/>
  <c r="E239" i="8"/>
  <c r="F238" i="8"/>
  <c r="H227" i="8"/>
  <c r="G227" i="8"/>
  <c r="C227" i="8"/>
  <c r="B227" i="8"/>
  <c r="H226" i="8"/>
  <c r="G226" i="8"/>
  <c r="F226" i="8"/>
  <c r="E226" i="8"/>
  <c r="F225" i="8"/>
  <c r="H214" i="8"/>
  <c r="G214" i="8"/>
  <c r="C214" i="8"/>
  <c r="B214" i="8"/>
  <c r="H213" i="8"/>
  <c r="G213" i="8"/>
  <c r="F213" i="8"/>
  <c r="E213" i="8"/>
  <c r="F212" i="8"/>
  <c r="H201" i="8"/>
  <c r="G201" i="8"/>
  <c r="B201" i="8"/>
  <c r="H200" i="8"/>
  <c r="G200" i="8"/>
  <c r="F200" i="8"/>
  <c r="E200" i="8"/>
  <c r="F199" i="8"/>
  <c r="H188" i="8"/>
  <c r="G188" i="8"/>
  <c r="C188" i="8"/>
  <c r="B188" i="8"/>
  <c r="H187" i="8"/>
  <c r="G187" i="8"/>
  <c r="F187" i="8"/>
  <c r="E187" i="8"/>
  <c r="F186" i="8"/>
  <c r="D185" i="8"/>
  <c r="D184" i="8"/>
  <c r="D183" i="8"/>
  <c r="D182" i="8"/>
  <c r="D181" i="8"/>
  <c r="D176" i="8"/>
  <c r="C175" i="8"/>
  <c r="H174" i="8"/>
  <c r="E102" i="12" s="1"/>
  <c r="G174" i="8"/>
  <c r="D102" i="12" s="1"/>
  <c r="F174" i="8"/>
  <c r="E174" i="8"/>
  <c r="F173" i="8"/>
  <c r="C159" i="8"/>
  <c r="C98" i="12" s="1"/>
  <c r="B159" i="8"/>
  <c r="C146" i="8"/>
  <c r="C88" i="12" s="1"/>
  <c r="B146" i="8"/>
  <c r="C133" i="8"/>
  <c r="C78" i="12" s="1"/>
  <c r="B133" i="8"/>
  <c r="C120" i="8"/>
  <c r="C68" i="12" s="1"/>
  <c r="B120" i="8"/>
  <c r="C107" i="8"/>
  <c r="C58" i="12" s="1"/>
  <c r="B107" i="8"/>
  <c r="C94" i="8"/>
  <c r="C48" i="12" s="1"/>
  <c r="B94" i="8"/>
  <c r="B81" i="8"/>
  <c r="C55" i="8"/>
  <c r="C68" i="8"/>
  <c r="B68" i="8"/>
  <c r="F55" i="8"/>
  <c r="F158" i="8"/>
  <c r="E158" i="8"/>
  <c r="F157" i="8"/>
  <c r="F145" i="8"/>
  <c r="E145" i="8"/>
  <c r="F144" i="8"/>
  <c r="F132" i="8"/>
  <c r="E132" i="8"/>
  <c r="F131" i="8"/>
  <c r="F119" i="8"/>
  <c r="E119" i="8"/>
  <c r="F118" i="8"/>
  <c r="F106" i="8"/>
  <c r="E106" i="8"/>
  <c r="F105" i="8"/>
  <c r="F93" i="8"/>
  <c r="E93" i="8"/>
  <c r="F92" i="8"/>
  <c r="F80" i="8"/>
  <c r="E80" i="8"/>
  <c r="F79" i="8"/>
  <c r="F67" i="8"/>
  <c r="E67" i="8"/>
  <c r="F66" i="8"/>
  <c r="F54" i="8"/>
  <c r="E54" i="8"/>
  <c r="G158" i="8"/>
  <c r="D90" i="12" s="1"/>
  <c r="H158" i="8"/>
  <c r="E90" i="12" s="1"/>
  <c r="G159" i="8"/>
  <c r="D91" i="12" s="1"/>
  <c r="H159" i="8"/>
  <c r="E91" i="12" s="1"/>
  <c r="G145" i="8"/>
  <c r="D81" i="12" s="1"/>
  <c r="H145" i="8"/>
  <c r="E81" i="12" s="1"/>
  <c r="G146" i="8"/>
  <c r="D82" i="12" s="1"/>
  <c r="H146" i="8"/>
  <c r="E82" i="12" s="1"/>
  <c r="G132" i="8"/>
  <c r="D72" i="12" s="1"/>
  <c r="H132" i="8"/>
  <c r="E72" i="12" s="1"/>
  <c r="G133" i="8"/>
  <c r="D73" i="12" s="1"/>
  <c r="H133" i="8"/>
  <c r="E73" i="12" s="1"/>
  <c r="G119" i="8"/>
  <c r="D63" i="12" s="1"/>
  <c r="H119" i="8"/>
  <c r="E63" i="12" s="1"/>
  <c r="G120" i="8"/>
  <c r="D64" i="12" s="1"/>
  <c r="H120" i="8"/>
  <c r="E64" i="12" s="1"/>
  <c r="H107" i="8"/>
  <c r="G107" i="8"/>
  <c r="H106" i="8"/>
  <c r="E54" i="12" s="1"/>
  <c r="G106" i="8"/>
  <c r="D54" i="12" s="1"/>
  <c r="H94" i="8"/>
  <c r="G94" i="8"/>
  <c r="H93" i="8"/>
  <c r="G93" i="8"/>
  <c r="H81" i="8"/>
  <c r="G81" i="8"/>
  <c r="H80" i="8"/>
  <c r="G80" i="8"/>
  <c r="C43" i="8"/>
  <c r="C44" i="8"/>
  <c r="C45" i="8"/>
  <c r="C46" i="8"/>
  <c r="C47" i="8"/>
  <c r="C48" i="8"/>
  <c r="C49" i="8"/>
  <c r="AB99" i="8" l="1"/>
  <c r="D16" i="17"/>
  <c r="AA108" i="8"/>
  <c r="C17" i="17"/>
  <c r="AB81" i="8"/>
  <c r="D14" i="17"/>
  <c r="AA90" i="8"/>
  <c r="C15" i="17"/>
  <c r="AB108" i="8"/>
  <c r="D17" i="17"/>
  <c r="AB90" i="8"/>
  <c r="D15" i="17"/>
  <c r="AA99" i="8"/>
  <c r="C16" i="17"/>
  <c r="E16" i="17" s="1"/>
  <c r="H124" i="17" s="1"/>
  <c r="G952" i="8"/>
  <c r="G956" i="8"/>
  <c r="G949" i="8"/>
  <c r="G953" i="8"/>
  <c r="G957" i="8"/>
  <c r="G950" i="8"/>
  <c r="G954" i="8"/>
  <c r="G948" i="8"/>
  <c r="G955" i="8"/>
  <c r="G951" i="8"/>
  <c r="G1004" i="8"/>
  <c r="G1008" i="8"/>
  <c r="G1001" i="8"/>
  <c r="G1005" i="8"/>
  <c r="G1009" i="8"/>
  <c r="G1002" i="8"/>
  <c r="G1006" i="8"/>
  <c r="G1000" i="8"/>
  <c r="G1003" i="8"/>
  <c r="G1007" i="8"/>
  <c r="AA72" i="8"/>
  <c r="C13" i="17"/>
  <c r="C144" i="17" s="1"/>
  <c r="G963" i="8"/>
  <c r="G967" i="8"/>
  <c r="G961" i="8"/>
  <c r="G964" i="8"/>
  <c r="G968" i="8"/>
  <c r="G965" i="8"/>
  <c r="G969" i="8"/>
  <c r="G962" i="8"/>
  <c r="G966" i="8"/>
  <c r="G970" i="8"/>
  <c r="AA63" i="8"/>
  <c r="C12" i="17"/>
  <c r="C143" i="17" s="1"/>
  <c r="AB72" i="8"/>
  <c r="D13" i="17"/>
  <c r="D144" i="17" s="1"/>
  <c r="G911" i="8"/>
  <c r="G915" i="8"/>
  <c r="G909" i="8"/>
  <c r="G912" i="8"/>
  <c r="G916" i="8"/>
  <c r="G913" i="8"/>
  <c r="G917" i="8"/>
  <c r="G918" i="8"/>
  <c r="G914" i="8"/>
  <c r="G910" i="8"/>
  <c r="G978" i="8"/>
  <c r="G982" i="8"/>
  <c r="G975" i="8"/>
  <c r="G979" i="8"/>
  <c r="G983" i="8"/>
  <c r="G976" i="8"/>
  <c r="G980" i="8"/>
  <c r="G974" i="8"/>
  <c r="G981" i="8"/>
  <c r="G977" i="8"/>
  <c r="G926" i="8"/>
  <c r="G930" i="8"/>
  <c r="G923" i="8"/>
  <c r="G927" i="8"/>
  <c r="G931" i="8"/>
  <c r="G924" i="8"/>
  <c r="G928" i="8"/>
  <c r="G922" i="8"/>
  <c r="G925" i="8"/>
  <c r="G929" i="8"/>
  <c r="G937" i="8"/>
  <c r="G941" i="8"/>
  <c r="G935" i="8"/>
  <c r="G938" i="8"/>
  <c r="G942" i="8"/>
  <c r="G939" i="8"/>
  <c r="G943" i="8"/>
  <c r="G936" i="8"/>
  <c r="G944" i="8"/>
  <c r="G940" i="8"/>
  <c r="G989" i="8"/>
  <c r="G993" i="8"/>
  <c r="G987" i="8"/>
  <c r="G990" i="8"/>
  <c r="G994" i="8"/>
  <c r="G991" i="8"/>
  <c r="G995" i="8"/>
  <c r="G992" i="8"/>
  <c r="G996" i="8"/>
  <c r="G988" i="8"/>
  <c r="N33" i="8"/>
  <c r="N29" i="8"/>
  <c r="M33" i="8"/>
  <c r="M29" i="8"/>
  <c r="M28" i="8"/>
  <c r="M31" i="8"/>
  <c r="N32" i="8"/>
  <c r="N28" i="8"/>
  <c r="M32" i="8"/>
  <c r="N31" i="8"/>
  <c r="M27" i="8"/>
  <c r="N30" i="8"/>
  <c r="N26" i="8"/>
  <c r="M30" i="8"/>
  <c r="M26" i="8"/>
  <c r="N27" i="8"/>
  <c r="N25" i="8"/>
  <c r="M25" i="8"/>
  <c r="AB54" i="8"/>
  <c r="N56" i="8"/>
  <c r="N62" i="8"/>
  <c r="S63" i="8"/>
  <c r="AB63" i="8"/>
  <c r="R81" i="8"/>
  <c r="W81" i="8" s="1"/>
  <c r="AA81" i="8"/>
  <c r="AA117" i="8"/>
  <c r="N59" i="8"/>
  <c r="AB117" i="8"/>
  <c r="N58" i="8"/>
  <c r="N61" i="8"/>
  <c r="N60" i="8"/>
  <c r="N55" i="8"/>
  <c r="N57" i="8"/>
  <c r="W124" i="8"/>
  <c r="W123" i="8"/>
  <c r="W125" i="8"/>
  <c r="X121" i="8"/>
  <c r="W119" i="8"/>
  <c r="W121" i="8"/>
  <c r="X125" i="8"/>
  <c r="X118" i="8"/>
  <c r="X120" i="8"/>
  <c r="X119" i="8"/>
  <c r="C772" i="8"/>
  <c r="E772" i="8" s="1"/>
  <c r="C532" i="8"/>
  <c r="E532" i="8" s="1"/>
  <c r="W120" i="8"/>
  <c r="X123" i="8"/>
  <c r="W118" i="8"/>
  <c r="C652" i="8"/>
  <c r="E652" i="8" s="1"/>
  <c r="W122" i="8"/>
  <c r="X122" i="8"/>
  <c r="X124" i="8"/>
  <c r="X63" i="8"/>
  <c r="D370" i="15"/>
  <c r="D368" i="15"/>
  <c r="D358" i="15"/>
  <c r="D319" i="15"/>
  <c r="D279" i="15"/>
  <c r="D273" i="15"/>
  <c r="D263" i="15"/>
  <c r="D230" i="15"/>
  <c r="D222" i="15"/>
  <c r="D175" i="15"/>
  <c r="D141" i="15"/>
  <c r="D127" i="15"/>
  <c r="D79" i="15"/>
  <c r="D34" i="15"/>
  <c r="D323" i="15"/>
  <c r="D275" i="15"/>
  <c r="D267" i="15"/>
  <c r="D218" i="15"/>
  <c r="D184" i="15"/>
  <c r="D137" i="15"/>
  <c r="D93" i="15"/>
  <c r="D131" i="15"/>
  <c r="D89" i="15"/>
  <c r="D371" i="15"/>
  <c r="D360" i="15"/>
  <c r="D320" i="15"/>
  <c r="D312" i="15"/>
  <c r="D221" i="15"/>
  <c r="D181" i="15"/>
  <c r="D140" i="15"/>
  <c r="D126" i="15"/>
  <c r="D367" i="15"/>
  <c r="D357" i="15"/>
  <c r="D324" i="15"/>
  <c r="D314" i="15"/>
  <c r="D310" i="15"/>
  <c r="D277" i="15"/>
  <c r="D233" i="15"/>
  <c r="D176" i="15"/>
  <c r="D185" i="15"/>
  <c r="D171" i="15"/>
  <c r="D136" i="15"/>
  <c r="D92" i="15"/>
  <c r="D130" i="15"/>
  <c r="D35" i="15"/>
  <c r="D361" i="15"/>
  <c r="D355" i="15"/>
  <c r="D38" i="15"/>
  <c r="D266" i="15"/>
  <c r="D229" i="15"/>
  <c r="D172" i="15"/>
  <c r="D83" i="15"/>
  <c r="D91" i="15"/>
  <c r="D174" i="15"/>
  <c r="D228" i="15"/>
  <c r="D321" i="15"/>
  <c r="D369" i="15"/>
  <c r="D128" i="15"/>
  <c r="D183" i="15"/>
  <c r="D227" i="15"/>
  <c r="D265" i="15"/>
  <c r="D309" i="15"/>
  <c r="D322" i="15"/>
  <c r="D84" i="15"/>
  <c r="D129" i="15"/>
  <c r="D182" i="15"/>
  <c r="D220" i="15"/>
  <c r="D268" i="15"/>
  <c r="D359" i="15"/>
  <c r="D177" i="15"/>
  <c r="D219" i="15"/>
  <c r="D274" i="15"/>
  <c r="D81" i="15"/>
  <c r="D135" i="15"/>
  <c r="D139" i="15"/>
  <c r="D217" i="15"/>
  <c r="D264" i="15"/>
  <c r="D325" i="15"/>
  <c r="D39" i="15"/>
  <c r="D94" i="15"/>
  <c r="D187" i="15"/>
  <c r="D223" i="15"/>
  <c r="D269" i="15"/>
  <c r="D311" i="15"/>
  <c r="D356" i="15"/>
  <c r="D36" i="15"/>
  <c r="D82" i="15"/>
  <c r="D313" i="15"/>
  <c r="D95" i="15"/>
  <c r="D186" i="15"/>
  <c r="D232" i="15"/>
  <c r="D278" i="15"/>
  <c r="D365" i="15"/>
  <c r="D125" i="15"/>
  <c r="D138" i="15"/>
  <c r="D173" i="15"/>
  <c r="D231" i="15"/>
  <c r="D276" i="15"/>
  <c r="D315" i="15"/>
  <c r="D80" i="15"/>
  <c r="D85" i="15"/>
  <c r="D90" i="15"/>
  <c r="D366" i="15"/>
  <c r="D37" i="15"/>
  <c r="H535" i="8"/>
  <c r="S90" i="8"/>
  <c r="G655" i="8"/>
  <c r="R99" i="8"/>
  <c r="H655" i="8"/>
  <c r="S99" i="8"/>
  <c r="G775" i="8"/>
  <c r="R108" i="8"/>
  <c r="G535" i="8"/>
  <c r="R90" i="8"/>
  <c r="H775" i="8"/>
  <c r="S108" i="8"/>
  <c r="S54" i="8"/>
  <c r="G175" i="8"/>
  <c r="D103" i="12" s="1"/>
  <c r="R63" i="8"/>
  <c r="H295" i="8"/>
  <c r="S72" i="8"/>
  <c r="H175" i="8"/>
  <c r="E103" i="12" s="1"/>
  <c r="G295" i="8"/>
  <c r="R72" i="8"/>
  <c r="G415" i="8"/>
  <c r="H415" i="8"/>
  <c r="S81" i="8"/>
  <c r="I45" i="8"/>
  <c r="H49" i="8"/>
  <c r="I46" i="8"/>
  <c r="I47" i="8"/>
  <c r="I48" i="8"/>
  <c r="I49" i="8"/>
  <c r="F42" i="8"/>
  <c r="F46" i="8"/>
  <c r="G41" i="8"/>
  <c r="G45" i="8"/>
  <c r="G49" i="8"/>
  <c r="H46" i="8"/>
  <c r="F43" i="8"/>
  <c r="F47" i="8"/>
  <c r="G42" i="8"/>
  <c r="G46" i="8"/>
  <c r="H43" i="8"/>
  <c r="H47" i="8"/>
  <c r="I43" i="8"/>
  <c r="F44" i="8"/>
  <c r="F48" i="8"/>
  <c r="G43" i="8"/>
  <c r="G47" i="8"/>
  <c r="H44" i="8"/>
  <c r="H48" i="8"/>
  <c r="I44" i="8"/>
  <c r="F41" i="8"/>
  <c r="F45" i="8"/>
  <c r="F49" i="8"/>
  <c r="G44" i="8"/>
  <c r="G48" i="8"/>
  <c r="H45" i="8"/>
  <c r="D889" i="8"/>
  <c r="D885" i="8"/>
  <c r="D875" i="8"/>
  <c r="D867" i="8"/>
  <c r="D861" i="8"/>
  <c r="D847" i="8"/>
  <c r="D837" i="8"/>
  <c r="D829" i="8"/>
  <c r="D823" i="8"/>
  <c r="D815" i="8"/>
  <c r="D809" i="8"/>
  <c r="D795" i="8"/>
  <c r="D767" i="8"/>
  <c r="D753" i="8"/>
  <c r="D743" i="8"/>
  <c r="D739" i="8"/>
  <c r="D729" i="8"/>
  <c r="D721" i="8"/>
  <c r="D715" i="8"/>
  <c r="D701" i="8"/>
  <c r="D691" i="8"/>
  <c r="D687" i="8"/>
  <c r="D677" i="8"/>
  <c r="D669" i="8"/>
  <c r="D647" i="8"/>
  <c r="D633" i="8"/>
  <c r="D623" i="8"/>
  <c r="D615" i="8"/>
  <c r="D609" i="8"/>
  <c r="D601" i="8"/>
  <c r="D595" i="8"/>
  <c r="D581" i="8"/>
  <c r="D571" i="8"/>
  <c r="D563" i="8"/>
  <c r="D557" i="8"/>
  <c r="D549" i="8"/>
  <c r="D396" i="8"/>
  <c r="D383" i="8"/>
  <c r="D369" i="8"/>
  <c r="D354" i="8"/>
  <c r="D340" i="8"/>
  <c r="D323" i="8"/>
  <c r="D260" i="8"/>
  <c r="D241" i="8"/>
  <c r="D208" i="8"/>
  <c r="D189" i="8"/>
  <c r="D169" i="8"/>
  <c r="D888" i="8"/>
  <c r="D880" i="8"/>
  <c r="D874" i="8"/>
  <c r="D860" i="8"/>
  <c r="D850" i="8"/>
  <c r="D846" i="8"/>
  <c r="D836" i="8"/>
  <c r="D828" i="8"/>
  <c r="D822" i="8"/>
  <c r="D808" i="8"/>
  <c r="D798" i="8"/>
  <c r="D794" i="8"/>
  <c r="D766" i="8"/>
  <c r="D756" i="8"/>
  <c r="D752" i="8"/>
  <c r="D742" i="8"/>
  <c r="D734" i="8"/>
  <c r="D728" i="8"/>
  <c r="D714" i="8"/>
  <c r="D704" i="8"/>
  <c r="D700" i="8"/>
  <c r="D690" i="8"/>
  <c r="D682" i="8"/>
  <c r="D676" i="8"/>
  <c r="D646" i="8"/>
  <c r="D636" i="8"/>
  <c r="D628" i="8"/>
  <c r="D622" i="8"/>
  <c r="D614" i="8"/>
  <c r="D608" i="8"/>
  <c r="D594" i="8"/>
  <c r="D584" i="8"/>
  <c r="D576" i="8"/>
  <c r="D198" i="8"/>
  <c r="D222" i="8"/>
  <c r="D263" i="8"/>
  <c r="D280" i="8"/>
  <c r="D317" i="8"/>
  <c r="D355" i="8"/>
  <c r="D375" i="8"/>
  <c r="D393" i="8"/>
  <c r="D556" i="8"/>
  <c r="D568" i="8"/>
  <c r="D575" i="8"/>
  <c r="D588" i="8"/>
  <c r="D627" i="8"/>
  <c r="D640" i="8"/>
  <c r="D670" i="8"/>
  <c r="D688" i="8"/>
  <c r="D702" i="8"/>
  <c r="D713" i="8"/>
  <c r="D726" i="8"/>
  <c r="D740" i="8"/>
  <c r="D754" i="8"/>
  <c r="D765" i="8"/>
  <c r="D811" i="8"/>
  <c r="D824" i="8"/>
  <c r="D863" i="8"/>
  <c r="D876" i="8"/>
  <c r="D249" i="8"/>
  <c r="D288" i="8"/>
  <c r="D341" i="8"/>
  <c r="D382" i="8"/>
  <c r="D473" i="8"/>
  <c r="D501" i="8"/>
  <c r="D525" i="8"/>
  <c r="D558" i="8"/>
  <c r="D569" i="8"/>
  <c r="D582" i="8"/>
  <c r="D593" i="8"/>
  <c r="D602" i="8"/>
  <c r="D620" i="8"/>
  <c r="D634" i="8"/>
  <c r="D645" i="8"/>
  <c r="D675" i="8"/>
  <c r="D689" i="8"/>
  <c r="D703" i="8"/>
  <c r="D716" i="8"/>
  <c r="D727" i="8"/>
  <c r="D741" i="8"/>
  <c r="D755" i="8"/>
  <c r="D768" i="8"/>
  <c r="D789" i="8"/>
  <c r="D802" i="8"/>
  <c r="D841" i="8"/>
  <c r="D854" i="8"/>
  <c r="D211" i="8"/>
  <c r="D228" i="8"/>
  <c r="D250" i="8"/>
  <c r="D274" i="8"/>
  <c r="D330" i="8"/>
  <c r="D344" i="8"/>
  <c r="D368" i="8"/>
  <c r="D406" i="8"/>
  <c r="D435" i="8"/>
  <c r="D455" i="8"/>
  <c r="D477" i="8"/>
  <c r="D554" i="8"/>
  <c r="D570" i="8"/>
  <c r="D583" i="8"/>
  <c r="D596" i="8"/>
  <c r="D607" i="8"/>
  <c r="D621" i="8"/>
  <c r="D635" i="8"/>
  <c r="D648" i="8"/>
  <c r="D678" i="8"/>
  <c r="D717" i="8"/>
  <c r="D730" i="8"/>
  <c r="D769" i="8"/>
  <c r="D796" i="8"/>
  <c r="D807" i="8"/>
  <c r="D816" i="8"/>
  <c r="D834" i="8"/>
  <c r="D848" i="8"/>
  <c r="D859" i="8"/>
  <c r="D872" i="8"/>
  <c r="D886" i="8"/>
  <c r="D197" i="8"/>
  <c r="D236" i="8"/>
  <c r="D316" i="8"/>
  <c r="D331" i="8"/>
  <c r="D388" i="8"/>
  <c r="D407" i="8"/>
  <c r="D436" i="8"/>
  <c r="D463" i="8"/>
  <c r="D515" i="8"/>
  <c r="D555" i="8"/>
  <c r="D562" i="8"/>
  <c r="D597" i="8"/>
  <c r="D610" i="8"/>
  <c r="D649" i="8"/>
  <c r="D695" i="8"/>
  <c r="D708" i="8"/>
  <c r="D747" i="8"/>
  <c r="D760" i="8"/>
  <c r="D797" i="8"/>
  <c r="D810" i="8"/>
  <c r="D821" i="8"/>
  <c r="D835" i="8"/>
  <c r="D849" i="8"/>
  <c r="D862" i="8"/>
  <c r="D873" i="8"/>
  <c r="D887" i="8"/>
  <c r="D528" i="8"/>
  <c r="D520" i="8"/>
  <c r="D514" i="8"/>
  <c r="D500" i="8"/>
  <c r="D490" i="8"/>
  <c r="D486" i="8"/>
  <c r="D476" i="8"/>
  <c r="D468" i="8"/>
  <c r="D462" i="8"/>
  <c r="D448" i="8"/>
  <c r="D438" i="8"/>
  <c r="D434" i="8"/>
  <c r="D409" i="8"/>
  <c r="D405" i="8"/>
  <c r="D395" i="8"/>
  <c r="D387" i="8"/>
  <c r="D381" i="8"/>
  <c r="D367" i="8"/>
  <c r="D357" i="8"/>
  <c r="D349" i="8"/>
  <c r="D343" i="8"/>
  <c r="D335" i="8"/>
  <c r="D329" i="8"/>
  <c r="D315" i="8"/>
  <c r="D286" i="8"/>
  <c r="D276" i="8"/>
  <c r="D272" i="8"/>
  <c r="D262" i="8"/>
  <c r="D254" i="8"/>
  <c r="D248" i="8"/>
  <c r="D234" i="8"/>
  <c r="D224" i="8"/>
  <c r="D216" i="8"/>
  <c r="D210" i="8"/>
  <c r="D202" i="8"/>
  <c r="D196" i="8"/>
  <c r="D130" i="8"/>
  <c r="D527" i="8"/>
  <c r="D513" i="8"/>
  <c r="D503" i="8"/>
  <c r="D495" i="8"/>
  <c r="D489" i="8"/>
  <c r="D481" i="8"/>
  <c r="D475" i="8"/>
  <c r="D461" i="8"/>
  <c r="D451" i="8"/>
  <c r="D447" i="8"/>
  <c r="D437" i="8"/>
  <c r="D429" i="8"/>
  <c r="D408" i="8"/>
  <c r="D400" i="8"/>
  <c r="D394" i="8"/>
  <c r="D380" i="8"/>
  <c r="D370" i="8"/>
  <c r="D362" i="8"/>
  <c r="D356" i="8"/>
  <c r="D348" i="8"/>
  <c r="D342" i="8"/>
  <c r="D328" i="8"/>
  <c r="D318" i="8"/>
  <c r="D314" i="8"/>
  <c r="D289" i="8"/>
  <c r="D285" i="8"/>
  <c r="D275" i="8"/>
  <c r="D267" i="8"/>
  <c r="D261" i="8"/>
  <c r="D247" i="8"/>
  <c r="D237" i="8"/>
  <c r="D229" i="8"/>
  <c r="D223" i="8"/>
  <c r="D215" i="8"/>
  <c r="D209" i="8"/>
  <c r="D195" i="8"/>
  <c r="D108" i="8"/>
  <c r="D526" i="8"/>
  <c r="D516" i="8"/>
  <c r="D512" i="8"/>
  <c r="D502" i="8"/>
  <c r="D494" i="8"/>
  <c r="D488" i="8"/>
  <c r="D474" i="8"/>
  <c r="D464" i="8"/>
  <c r="D460" i="8"/>
  <c r="D450" i="8"/>
  <c r="D442" i="8"/>
  <c r="D194" i="8"/>
  <c r="D207" i="8"/>
  <c r="D235" i="8"/>
  <c r="D242" i="8"/>
  <c r="D255" i="8"/>
  <c r="D273" i="8"/>
  <c r="D287" i="8"/>
  <c r="D309" i="8"/>
  <c r="D322" i="8"/>
  <c r="D361" i="8"/>
  <c r="D374" i="8"/>
  <c r="D449" i="8"/>
  <c r="D487" i="8"/>
  <c r="D507" i="8"/>
  <c r="D529" i="8"/>
  <c r="D95" i="8"/>
  <c r="D156" i="8"/>
  <c r="D91" i="8"/>
  <c r="D143" i="8"/>
  <c r="D103" i="8"/>
  <c r="D116" i="8"/>
  <c r="D126" i="8"/>
  <c r="D139" i="8"/>
  <c r="D152" i="8"/>
  <c r="D165" i="8"/>
  <c r="D100" i="8"/>
  <c r="D104" i="8"/>
  <c r="D113" i="8"/>
  <c r="D117" i="8"/>
  <c r="D129" i="8"/>
  <c r="D121" i="8"/>
  <c r="D142" i="8"/>
  <c r="D134" i="8"/>
  <c r="D155" i="8"/>
  <c r="D147" i="8"/>
  <c r="D168" i="8"/>
  <c r="D160" i="8"/>
  <c r="D101" i="8"/>
  <c r="D114" i="8"/>
  <c r="D128" i="8"/>
  <c r="D141" i="8"/>
  <c r="D154" i="8"/>
  <c r="D167" i="8"/>
  <c r="D102" i="8"/>
  <c r="D115" i="8"/>
  <c r="D127" i="8"/>
  <c r="D140" i="8"/>
  <c r="D153" i="8"/>
  <c r="D166" i="8"/>
  <c r="D89" i="8"/>
  <c r="D88" i="8"/>
  <c r="D82" i="8"/>
  <c r="D90" i="8"/>
  <c r="D87" i="8"/>
  <c r="E17" i="17" l="1"/>
  <c r="H125" i="17" s="1"/>
  <c r="E15" i="17"/>
  <c r="H123" i="17" s="1"/>
  <c r="AE110" i="8"/>
  <c r="AE83" i="8"/>
  <c r="AF110" i="8"/>
  <c r="AF74" i="8"/>
  <c r="AE101" i="8"/>
  <c r="AF101" i="8"/>
  <c r="AF65" i="8"/>
  <c r="AE92" i="8"/>
  <c r="AE74" i="8"/>
  <c r="AF92" i="8"/>
  <c r="AF56" i="8"/>
  <c r="AE65" i="8"/>
  <c r="AF83" i="8"/>
  <c r="AE56" i="8"/>
  <c r="AF103" i="8"/>
  <c r="AF94" i="8"/>
  <c r="AF67" i="8"/>
  <c r="AE67" i="8"/>
  <c r="AE85" i="8"/>
  <c r="AF85" i="8"/>
  <c r="AE112" i="8"/>
  <c r="AE94" i="8"/>
  <c r="AE103" i="8"/>
  <c r="AF112" i="8"/>
  <c r="AE58" i="8"/>
  <c r="AF58" i="8"/>
  <c r="AF76" i="8"/>
  <c r="AE76" i="8"/>
  <c r="AF106" i="8"/>
  <c r="AF88" i="8"/>
  <c r="AF70" i="8"/>
  <c r="AE106" i="8"/>
  <c r="AE88" i="8"/>
  <c r="AE70" i="8"/>
  <c r="AF115" i="8"/>
  <c r="AF97" i="8"/>
  <c r="AF79" i="8"/>
  <c r="AF61" i="8"/>
  <c r="AE61" i="8"/>
  <c r="AE115" i="8"/>
  <c r="AE97" i="8"/>
  <c r="AE79" i="8"/>
  <c r="AF109" i="8"/>
  <c r="AF91" i="8"/>
  <c r="AF73" i="8"/>
  <c r="AF55" i="8"/>
  <c r="AE109" i="8"/>
  <c r="AE91" i="8"/>
  <c r="AE73" i="8"/>
  <c r="AF100" i="8"/>
  <c r="AF82" i="8"/>
  <c r="AF64" i="8"/>
  <c r="AE64" i="8"/>
  <c r="AE82" i="8"/>
  <c r="AE100" i="8"/>
  <c r="AF114" i="8"/>
  <c r="AF96" i="8"/>
  <c r="AF78" i="8"/>
  <c r="AF60" i="8"/>
  <c r="AE114" i="8"/>
  <c r="AE96" i="8"/>
  <c r="AE78" i="8"/>
  <c r="AE60" i="8"/>
  <c r="AF105" i="8"/>
  <c r="AF87" i="8"/>
  <c r="AF69" i="8"/>
  <c r="AE105" i="8"/>
  <c r="AE69" i="8"/>
  <c r="AE87" i="8"/>
  <c r="AE55" i="8"/>
  <c r="AF116" i="8"/>
  <c r="AF98" i="8"/>
  <c r="AF80" i="8"/>
  <c r="AF62" i="8"/>
  <c r="AE116" i="8"/>
  <c r="AE98" i="8"/>
  <c r="AE80" i="8"/>
  <c r="AE62" i="8"/>
  <c r="AF107" i="8"/>
  <c r="AF89" i="8"/>
  <c r="AF71" i="8"/>
  <c r="AE107" i="8"/>
  <c r="AE89" i="8"/>
  <c r="AE71" i="8"/>
  <c r="AF102" i="8"/>
  <c r="AE84" i="8"/>
  <c r="AF84" i="8"/>
  <c r="AF93" i="8"/>
  <c r="AE75" i="8"/>
  <c r="AE66" i="8"/>
  <c r="AE57" i="8"/>
  <c r="AF111" i="8"/>
  <c r="AE111" i="8"/>
  <c r="AE102" i="8"/>
  <c r="AE93" i="8"/>
  <c r="AF66" i="8"/>
  <c r="AF57" i="8"/>
  <c r="AF75" i="8"/>
  <c r="AF104" i="8"/>
  <c r="AF86" i="8"/>
  <c r="AE68" i="8"/>
  <c r="AE77" i="8"/>
  <c r="AE104" i="8"/>
  <c r="AE86" i="8"/>
  <c r="AF59" i="8"/>
  <c r="AF113" i="8"/>
  <c r="AF95" i="8"/>
  <c r="AF77" i="8"/>
  <c r="AE59" i="8"/>
  <c r="AE113" i="8"/>
  <c r="AE95" i="8"/>
  <c r="AF68" i="8"/>
  <c r="AA126" i="8"/>
  <c r="D28" i="17" s="1"/>
  <c r="D99" i="17" s="1"/>
  <c r="M34" i="8"/>
  <c r="N34" i="8"/>
  <c r="AB126" i="8"/>
  <c r="E28" i="17" s="1"/>
  <c r="X72" i="8"/>
  <c r="W72" i="8"/>
  <c r="X108" i="8"/>
  <c r="W108" i="8"/>
  <c r="W99" i="8"/>
  <c r="C38" i="7"/>
  <c r="X99" i="8"/>
  <c r="X90" i="8"/>
  <c r="F7" i="6"/>
  <c r="T63" i="8"/>
  <c r="D23" i="7" s="1"/>
  <c r="C7" i="6"/>
  <c r="L54" i="8"/>
  <c r="T54" i="8"/>
  <c r="D22" i="7" s="1"/>
  <c r="M54" i="8"/>
  <c r="T90" i="8"/>
  <c r="D26" i="7" s="1"/>
  <c r="W90" i="8"/>
  <c r="C48" i="7"/>
  <c r="C49" i="7"/>
  <c r="T81" i="8"/>
  <c r="D25" i="7" s="1"/>
  <c r="X81" i="8"/>
  <c r="C39" i="7"/>
  <c r="C40" i="7"/>
  <c r="T72" i="8"/>
  <c r="D24" i="7" s="1"/>
  <c r="T108" i="8"/>
  <c r="D28" i="7" s="1"/>
  <c r="T99" i="8"/>
  <c r="D27" i="7" s="1"/>
  <c r="W63" i="8"/>
  <c r="X54" i="8"/>
  <c r="F21" i="8"/>
  <c r="F20" i="8"/>
  <c r="C20" i="8"/>
  <c r="B20" i="8"/>
  <c r="N54" i="8" l="1"/>
  <c r="X117" i="8"/>
  <c r="W117" i="8"/>
  <c r="I40" i="8" l="1"/>
  <c r="H40" i="8"/>
  <c r="B134" i="12" l="1"/>
  <c r="B142" i="12"/>
  <c r="B141" i="12"/>
  <c r="B140" i="12"/>
  <c r="B139" i="12"/>
  <c r="B138" i="12"/>
  <c r="B137" i="12"/>
  <c r="B136" i="12"/>
  <c r="B135" i="12"/>
  <c r="B120" i="12"/>
  <c r="B128" i="12" s="1"/>
  <c r="A3" i="9" l="1"/>
  <c r="B129" i="17"/>
  <c r="B146" i="17" s="1"/>
  <c r="H67" i="8" l="1"/>
  <c r="G67" i="8"/>
  <c r="H54" i="8"/>
  <c r="G54" i="8"/>
  <c r="C175" i="17" l="1"/>
  <c r="A19" i="14" l="1"/>
  <c r="M108" i="2" l="1"/>
  <c r="M109" i="2"/>
  <c r="M110" i="2"/>
  <c r="M111" i="2"/>
  <c r="M112" i="2"/>
  <c r="M113" i="2"/>
  <c r="M114" i="2"/>
  <c r="M115" i="2"/>
  <c r="M116" i="2"/>
  <c r="M117" i="2"/>
  <c r="M118" i="2"/>
  <c r="M119" i="2"/>
  <c r="M120" i="2"/>
  <c r="M121" i="2"/>
  <c r="M122" i="2"/>
  <c r="M123" i="2"/>
  <c r="M124" i="2"/>
  <c r="M125" i="2"/>
  <c r="M126" i="2"/>
  <c r="M127" i="2"/>
  <c r="M128" i="2"/>
  <c r="M99" i="2"/>
  <c r="M100" i="2"/>
  <c r="M101" i="2"/>
  <c r="M102" i="2"/>
  <c r="M103" i="2"/>
  <c r="M104" i="2"/>
  <c r="M105" i="2"/>
  <c r="M106" i="2"/>
  <c r="M107" i="2"/>
  <c r="M96" i="2"/>
  <c r="M97" i="2"/>
  <c r="M98" i="2"/>
  <c r="M86" i="2"/>
  <c r="M87" i="2"/>
  <c r="M88" i="2"/>
  <c r="M89" i="2"/>
  <c r="M90" i="2"/>
  <c r="M91" i="2"/>
  <c r="M92" i="2"/>
  <c r="M93" i="2"/>
  <c r="M94" i="2"/>
  <c r="M95" i="2"/>
  <c r="M85" i="2"/>
  <c r="B47" i="4" l="1"/>
  <c r="E19" i="8" l="1"/>
  <c r="D28" i="15"/>
  <c r="D29" i="7"/>
  <c r="D36" i="14" l="1"/>
  <c r="B15" i="15" l="1"/>
  <c r="A17" i="15"/>
  <c r="B10" i="7"/>
  <c r="E366" i="15" l="1"/>
  <c r="E139" i="15"/>
  <c r="E183" i="15"/>
  <c r="E176" i="15"/>
  <c r="E138" i="15"/>
  <c r="E219" i="15"/>
  <c r="E228" i="15"/>
  <c r="E314" i="15"/>
  <c r="E323" i="15"/>
  <c r="E125" i="15"/>
  <c r="E135" i="15"/>
  <c r="E128" i="15"/>
  <c r="E136" i="15"/>
  <c r="E320" i="15"/>
  <c r="E273" i="15"/>
  <c r="E356" i="15"/>
  <c r="E129" i="15"/>
  <c r="E171" i="15"/>
  <c r="E360" i="15"/>
  <c r="E370" i="15"/>
  <c r="E278" i="15"/>
  <c r="E274" i="15"/>
  <c r="E130" i="15"/>
  <c r="E221" i="15"/>
  <c r="E127" i="15"/>
  <c r="E232" i="15"/>
  <c r="E220" i="15"/>
  <c r="E172" i="15"/>
  <c r="E126" i="15"/>
  <c r="E141" i="15"/>
  <c r="E186" i="15"/>
  <c r="E177" i="15"/>
  <c r="E174" i="15"/>
  <c r="E233" i="15"/>
  <c r="E131" i="15"/>
  <c r="E368" i="15"/>
  <c r="E187" i="15"/>
  <c r="E265" i="15"/>
  <c r="E277" i="15"/>
  <c r="E267" i="15"/>
  <c r="E315" i="15"/>
  <c r="E313" i="15"/>
  <c r="E268" i="15"/>
  <c r="E185" i="15"/>
  <c r="E371" i="15"/>
  <c r="E230" i="15"/>
  <c r="E269" i="15"/>
  <c r="E322" i="15"/>
  <c r="E355" i="15"/>
  <c r="E312" i="15"/>
  <c r="E358" i="15"/>
  <c r="E223" i="15"/>
  <c r="E182" i="15"/>
  <c r="E229" i="15"/>
  <c r="E324" i="15"/>
  <c r="E218" i="15"/>
  <c r="E231" i="15"/>
  <c r="E264" i="15"/>
  <c r="E369" i="15"/>
  <c r="E357" i="15"/>
  <c r="E222" i="15"/>
  <c r="E263" i="15"/>
  <c r="E311" i="15"/>
  <c r="E227" i="15"/>
  <c r="E310" i="15"/>
  <c r="E137" i="15"/>
  <c r="E319" i="15"/>
  <c r="E184" i="15"/>
  <c r="E276" i="15"/>
  <c r="E325" i="15"/>
  <c r="E309" i="15"/>
  <c r="E361" i="15"/>
  <c r="E140" i="15"/>
  <c r="E175" i="15"/>
  <c r="E365" i="15"/>
  <c r="E359" i="15"/>
  <c r="E266" i="15"/>
  <c r="E181" i="15"/>
  <c r="E279" i="15"/>
  <c r="E173" i="15"/>
  <c r="E321" i="15"/>
  <c r="E367" i="15"/>
  <c r="E275" i="15"/>
  <c r="E217" i="15"/>
  <c r="E81" i="15"/>
  <c r="E47" i="15"/>
  <c r="E93" i="15"/>
  <c r="E95" i="15"/>
  <c r="E49" i="15"/>
  <c r="E48" i="15"/>
  <c r="E94" i="15"/>
  <c r="E37" i="15"/>
  <c r="E82" i="15"/>
  <c r="E90" i="15"/>
  <c r="E89" i="15"/>
  <c r="E79" i="15"/>
  <c r="E85" i="15"/>
  <c r="E83" i="15"/>
  <c r="E38" i="15"/>
  <c r="E91" i="15"/>
  <c r="E39" i="15"/>
  <c r="E92" i="15"/>
  <c r="E84" i="15"/>
  <c r="E80" i="15"/>
  <c r="F16" i="19"/>
  <c r="C16" i="19"/>
  <c r="F6" i="19"/>
  <c r="C6" i="19"/>
  <c r="B4" i="19"/>
  <c r="F16" i="6"/>
  <c r="E362" i="15" l="1"/>
  <c r="E364" i="15" s="1"/>
  <c r="E224" i="15"/>
  <c r="E226" i="15" s="1"/>
  <c r="E234" i="15"/>
  <c r="E236" i="15" s="1"/>
  <c r="E372" i="15"/>
  <c r="E374" i="15" s="1"/>
  <c r="E316" i="15"/>
  <c r="E318" i="15" s="1"/>
  <c r="E326" i="15"/>
  <c r="E328" i="15" s="1"/>
  <c r="E280" i="15"/>
  <c r="E282" i="15" s="1"/>
  <c r="E142" i="15"/>
  <c r="E144" i="15" s="1"/>
  <c r="E188" i="15"/>
  <c r="E190" i="15" s="1"/>
  <c r="E270" i="15"/>
  <c r="E272" i="15" s="1"/>
  <c r="E178" i="15"/>
  <c r="E180" i="15" s="1"/>
  <c r="E132" i="15"/>
  <c r="E134" i="15" s="1"/>
  <c r="E86" i="15"/>
  <c r="E88" i="15" s="1"/>
  <c r="E96" i="15"/>
  <c r="E98" i="15" s="1"/>
  <c r="C7" i="19"/>
  <c r="I18" i="19" s="1"/>
  <c r="F7" i="19"/>
  <c r="F18" i="19" s="1"/>
  <c r="J18" i="19" s="1"/>
  <c r="A19" i="15"/>
  <c r="A14" i="7"/>
  <c r="D168" i="15" l="1"/>
  <c r="D352" i="15"/>
  <c r="D214" i="15"/>
  <c r="D260" i="15"/>
  <c r="D122" i="15"/>
  <c r="D306" i="15"/>
  <c r="D76" i="15"/>
  <c r="H2" i="19"/>
  <c r="C8" i="19" s="1"/>
  <c r="F19" i="19" s="1"/>
  <c r="F21" i="19" s="1"/>
  <c r="C18" i="19"/>
  <c r="F9" i="19" l="1"/>
  <c r="F11" i="19" s="1"/>
  <c r="C19" i="19"/>
  <c r="C22" i="19" s="1"/>
  <c r="C9" i="19"/>
  <c r="C11" i="19" s="1"/>
  <c r="J19" i="19"/>
  <c r="F23" i="19"/>
  <c r="F22" i="19"/>
  <c r="D10" i="12"/>
  <c r="C10" i="12"/>
  <c r="D10" i="17"/>
  <c r="C10" i="17"/>
  <c r="F143" i="17" l="1"/>
  <c r="F142" i="17"/>
  <c r="F144" i="17"/>
  <c r="E143" i="17"/>
  <c r="E142" i="17"/>
  <c r="E144" i="17"/>
  <c r="F28" i="19"/>
  <c r="F33" i="19" s="1"/>
  <c r="I19" i="19"/>
  <c r="C23" i="19"/>
  <c r="C21" i="19"/>
  <c r="A67" i="4"/>
  <c r="B67" i="4"/>
  <c r="B66" i="4"/>
  <c r="A66" i="4"/>
  <c r="G143" i="17" l="1"/>
  <c r="G144" i="17"/>
  <c r="C28" i="19"/>
  <c r="C33" i="19" s="1"/>
  <c r="G82" i="4"/>
  <c r="G83" i="4"/>
  <c r="G84" i="4"/>
  <c r="G85" i="4"/>
  <c r="G86" i="4"/>
  <c r="G81" i="4"/>
  <c r="D82" i="4"/>
  <c r="D83" i="4"/>
  <c r="D84" i="4"/>
  <c r="D85" i="4"/>
  <c r="D86" i="4"/>
  <c r="G74" i="4"/>
  <c r="G75" i="4"/>
  <c r="G76" i="4"/>
  <c r="G77" i="4"/>
  <c r="G78" i="4"/>
  <c r="G73" i="4"/>
  <c r="D74" i="4"/>
  <c r="D75" i="4"/>
  <c r="D76" i="4"/>
  <c r="D77" i="4"/>
  <c r="D78" i="4"/>
  <c r="C70" i="4"/>
  <c r="E61" i="4"/>
  <c r="C61" i="4"/>
  <c r="E60" i="4"/>
  <c r="C60" i="4"/>
  <c r="A36" i="4" l="1"/>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35" i="4"/>
  <c r="B36" i="4"/>
  <c r="B37" i="4"/>
  <c r="B38" i="4"/>
  <c r="B39" i="4"/>
  <c r="B40" i="4"/>
  <c r="B41" i="4"/>
  <c r="B42" i="4"/>
  <c r="B43" i="4"/>
  <c r="B44" i="4"/>
  <c r="B46" i="4"/>
  <c r="B48" i="4"/>
  <c r="B49" i="4"/>
  <c r="B50" i="4"/>
  <c r="B51" i="4"/>
  <c r="B52" i="4"/>
  <c r="B54" i="4"/>
  <c r="B55" i="4"/>
  <c r="B56" i="4"/>
  <c r="B57" i="4"/>
  <c r="B58" i="4"/>
  <c r="B60" i="4"/>
  <c r="B61" i="4"/>
  <c r="B62" i="4"/>
  <c r="B63" i="4"/>
  <c r="B64" i="4"/>
  <c r="B65" i="4"/>
  <c r="B35" i="4"/>
  <c r="C38" i="4"/>
  <c r="D38" i="4"/>
  <c r="E38" i="4"/>
  <c r="F38" i="4"/>
  <c r="C39" i="4"/>
  <c r="D39" i="4"/>
  <c r="E39" i="4"/>
  <c r="F39" i="4"/>
  <c r="C40" i="4"/>
  <c r="D40" i="4"/>
  <c r="E40" i="4"/>
  <c r="F40" i="4"/>
  <c r="C41" i="4"/>
  <c r="D41" i="4"/>
  <c r="E41" i="4"/>
  <c r="F41" i="4"/>
  <c r="C42" i="4"/>
  <c r="D42" i="4"/>
  <c r="E42" i="4"/>
  <c r="F42" i="4"/>
  <c r="C45" i="4"/>
  <c r="D45" i="4"/>
  <c r="E45" i="4"/>
  <c r="F45" i="4"/>
  <c r="D37" i="4"/>
  <c r="E37" i="4"/>
  <c r="F37" i="4"/>
  <c r="C37" i="4"/>
  <c r="D36" i="4"/>
  <c r="E36" i="4"/>
  <c r="F36" i="4"/>
  <c r="C36" i="4"/>
  <c r="F35" i="4"/>
  <c r="E35" i="4"/>
  <c r="B24" i="4"/>
  <c r="C16" i="4"/>
  <c r="D16" i="4"/>
  <c r="G7" i="4"/>
  <c r="E7" i="4"/>
  <c r="E1" i="4"/>
  <c r="J31" i="9"/>
  <c r="I31" i="9"/>
  <c r="C31" i="9"/>
  <c r="B31" i="9"/>
  <c r="C41" i="9"/>
  <c r="B41" i="9"/>
  <c r="J6" i="9"/>
  <c r="I6" i="9"/>
  <c r="C6" i="9"/>
  <c r="B6" i="9"/>
  <c r="C3" i="9"/>
  <c r="E39" i="9" s="1"/>
  <c r="G39" i="9" s="1"/>
  <c r="H39" i="9" s="1"/>
  <c r="B30" i="12"/>
  <c r="B31" i="12"/>
  <c r="B32" i="12"/>
  <c r="B33" i="12"/>
  <c r="B34" i="12"/>
  <c r="B29" i="12"/>
  <c r="C32" i="12"/>
  <c r="C31" i="12"/>
  <c r="C147" i="12"/>
  <c r="G36" i="4" l="1"/>
  <c r="G37" i="4"/>
  <c r="E36" i="9"/>
  <c r="G36" i="9" s="1"/>
  <c r="H36" i="9" s="1"/>
  <c r="J36" i="9" s="1"/>
  <c r="E34" i="9"/>
  <c r="G34" i="9" s="1"/>
  <c r="H34" i="9" s="1"/>
  <c r="I34" i="9" s="1"/>
  <c r="E37" i="9"/>
  <c r="G37" i="9" s="1"/>
  <c r="H37" i="9" s="1"/>
  <c r="I37" i="9" s="1"/>
  <c r="E33" i="9"/>
  <c r="G33" i="9" s="1"/>
  <c r="H33" i="9" s="1"/>
  <c r="I33" i="9" s="1"/>
  <c r="E40" i="9"/>
  <c r="G40" i="9" s="1"/>
  <c r="H40" i="9" s="1"/>
  <c r="J40" i="9" s="1"/>
  <c r="E35" i="9"/>
  <c r="G35" i="9" s="1"/>
  <c r="H35" i="9" s="1"/>
  <c r="J35" i="9" s="1"/>
  <c r="E38" i="9"/>
  <c r="G38" i="9" s="1"/>
  <c r="H38" i="9" s="1"/>
  <c r="J38" i="9" s="1"/>
  <c r="E32" i="9"/>
  <c r="G32" i="9" s="1"/>
  <c r="H32" i="9" s="1"/>
  <c r="I32" i="9" s="1"/>
  <c r="J39" i="9"/>
  <c r="I39" i="9"/>
  <c r="B42" i="9"/>
  <c r="B43" i="9" s="1"/>
  <c r="C42" i="9"/>
  <c r="C43" i="9" s="1"/>
  <c r="B181" i="17"/>
  <c r="B178" i="17"/>
  <c r="C171" i="17"/>
  <c r="C64" i="4" s="1"/>
  <c r="G168" i="17"/>
  <c r="G167" i="17"/>
  <c r="D154" i="17"/>
  <c r="C154" i="17"/>
  <c r="F147" i="17"/>
  <c r="E147" i="17"/>
  <c r="D147" i="17"/>
  <c r="C147" i="17"/>
  <c r="F146" i="17"/>
  <c r="E146" i="17"/>
  <c r="D146" i="17"/>
  <c r="F145" i="17"/>
  <c r="E145" i="17"/>
  <c r="D145" i="17"/>
  <c r="C145" i="17"/>
  <c r="F141" i="17"/>
  <c r="E141" i="17"/>
  <c r="D141" i="17"/>
  <c r="C141" i="17"/>
  <c r="F140" i="17"/>
  <c r="E140" i="17"/>
  <c r="D140" i="17"/>
  <c r="C140" i="17"/>
  <c r="F139" i="17"/>
  <c r="E139" i="17"/>
  <c r="D139" i="17"/>
  <c r="C139" i="17"/>
  <c r="F138" i="17"/>
  <c r="E138" i="17"/>
  <c r="D138" i="17"/>
  <c r="D131" i="17"/>
  <c r="C131" i="17"/>
  <c r="C146" i="17"/>
  <c r="F127" i="17"/>
  <c r="E127" i="17"/>
  <c r="D127" i="17"/>
  <c r="D128" i="17" s="1"/>
  <c r="D130" i="17" s="1"/>
  <c r="G126" i="17"/>
  <c r="G122" i="17"/>
  <c r="G121" i="17"/>
  <c r="G120" i="17"/>
  <c r="G112" i="17"/>
  <c r="G111" i="17"/>
  <c r="F103" i="17"/>
  <c r="F154" i="17" s="1"/>
  <c r="E103" i="17"/>
  <c r="E154" i="17" s="1"/>
  <c r="D103" i="17"/>
  <c r="C103" i="17"/>
  <c r="D30" i="4"/>
  <c r="C29" i="4"/>
  <c r="B29" i="4"/>
  <c r="C28" i="4"/>
  <c r="E19" i="17"/>
  <c r="B26" i="4"/>
  <c r="B25" i="4"/>
  <c r="E27" i="17"/>
  <c r="D27" i="17"/>
  <c r="D6" i="17"/>
  <c r="D5" i="17"/>
  <c r="D4" i="17"/>
  <c r="D3" i="17"/>
  <c r="D2" i="17"/>
  <c r="G139" i="17" l="1"/>
  <c r="G140" i="17"/>
  <c r="G141" i="17"/>
  <c r="G145" i="17"/>
  <c r="B30" i="4"/>
  <c r="B187" i="17"/>
  <c r="F187" i="17" s="1"/>
  <c r="H187" i="17" s="1"/>
  <c r="I187" i="17" s="1"/>
  <c r="C30" i="4"/>
  <c r="C187" i="17"/>
  <c r="D26" i="4"/>
  <c r="D27" i="4"/>
  <c r="D28" i="4"/>
  <c r="D29" i="4"/>
  <c r="D25" i="4"/>
  <c r="I36" i="9"/>
  <c r="I40" i="9"/>
  <c r="F128" i="17"/>
  <c r="F130" i="17" s="1"/>
  <c r="C174" i="17"/>
  <c r="E131" i="17"/>
  <c r="E155" i="17" s="1"/>
  <c r="J37" i="9"/>
  <c r="J34" i="9"/>
  <c r="J33" i="9"/>
  <c r="C186" i="17"/>
  <c r="I35" i="9"/>
  <c r="B183" i="17"/>
  <c r="F183" i="17" s="1"/>
  <c r="F75" i="4" s="1"/>
  <c r="B186" i="17"/>
  <c r="F186" i="17" s="1"/>
  <c r="F78" i="4" s="1"/>
  <c r="B184" i="17"/>
  <c r="F184" i="17" s="1"/>
  <c r="B27" i="4"/>
  <c r="B185" i="17"/>
  <c r="F185" i="17" s="1"/>
  <c r="B28" i="4"/>
  <c r="J32" i="9"/>
  <c r="B182" i="17"/>
  <c r="F182" i="17" s="1"/>
  <c r="G146" i="17"/>
  <c r="G147" i="17"/>
  <c r="C182" i="17"/>
  <c r="C25" i="4"/>
  <c r="C183" i="17"/>
  <c r="C26" i="4"/>
  <c r="C185" i="17"/>
  <c r="I38" i="9"/>
  <c r="B59" i="4"/>
  <c r="B53" i="4"/>
  <c r="B45" i="4"/>
  <c r="C128" i="17"/>
  <c r="C130" i="17" s="1"/>
  <c r="C138" i="17"/>
  <c r="G104" i="17"/>
  <c r="G129" i="17"/>
  <c r="G119" i="17"/>
  <c r="F131" i="17"/>
  <c r="E128" i="17"/>
  <c r="E130" i="17" s="1"/>
  <c r="G154" i="17"/>
  <c r="I124" i="17" l="1"/>
  <c r="I123" i="17"/>
  <c r="I125" i="17"/>
  <c r="F181" i="17"/>
  <c r="H181" i="17" s="1"/>
  <c r="H73" i="4" s="1"/>
  <c r="G138" i="17"/>
  <c r="H112" i="17"/>
  <c r="J41" i="9"/>
  <c r="J42" i="9" s="1"/>
  <c r="J43" i="9" s="1"/>
  <c r="I41" i="9"/>
  <c r="I42" i="9" s="1"/>
  <c r="I43" i="9" s="1"/>
  <c r="H186" i="17"/>
  <c r="H183" i="17"/>
  <c r="H182" i="17"/>
  <c r="I182" i="17" s="1"/>
  <c r="F74" i="4"/>
  <c r="H185" i="17"/>
  <c r="I185" i="17" s="1"/>
  <c r="F77" i="4"/>
  <c r="H184" i="17"/>
  <c r="I184" i="17" s="1"/>
  <c r="F76" i="4"/>
  <c r="F155" i="17"/>
  <c r="G127" i="17"/>
  <c r="H58" i="4"/>
  <c r="G128" i="17"/>
  <c r="G131" i="17"/>
  <c r="E8" i="9"/>
  <c r="G8" i="9" s="1"/>
  <c r="E9" i="9"/>
  <c r="G9" i="9" s="1"/>
  <c r="E10" i="9"/>
  <c r="G10" i="9" s="1"/>
  <c r="E11" i="9"/>
  <c r="G11" i="9" s="1"/>
  <c r="E12" i="9"/>
  <c r="G12" i="9" s="1"/>
  <c r="E13" i="9"/>
  <c r="G13" i="9" s="1"/>
  <c r="E14" i="9"/>
  <c r="G14" i="9" s="1"/>
  <c r="E15" i="9"/>
  <c r="G15" i="9" s="1"/>
  <c r="E7" i="9"/>
  <c r="G7" i="9" s="1"/>
  <c r="B3" i="9"/>
  <c r="D19" i="11"/>
  <c r="C169" i="17" l="1"/>
  <c r="G169" i="17" s="1"/>
  <c r="R158" i="17"/>
  <c r="C173" i="17" s="1"/>
  <c r="H78" i="4"/>
  <c r="I186" i="17"/>
  <c r="I78" i="4" s="1"/>
  <c r="H75" i="4"/>
  <c r="I183" i="17"/>
  <c r="I75" i="4" s="1"/>
  <c r="F73" i="4"/>
  <c r="H76" i="4"/>
  <c r="I76" i="4"/>
  <c r="H74" i="4"/>
  <c r="I74" i="4"/>
  <c r="H77" i="4"/>
  <c r="I77" i="4"/>
  <c r="F156" i="17"/>
  <c r="E156" i="17"/>
  <c r="G130" i="17"/>
  <c r="D29" i="15"/>
  <c r="B46" i="15"/>
  <c r="A46" i="15"/>
  <c r="B45" i="15"/>
  <c r="A45" i="15"/>
  <c r="B44" i="15"/>
  <c r="A44" i="15"/>
  <c r="B43" i="15"/>
  <c r="A43" i="15"/>
  <c r="A36" i="15"/>
  <c r="A35" i="15"/>
  <c r="A34" i="15"/>
  <c r="B33" i="15"/>
  <c r="A33" i="15"/>
  <c r="A13" i="15"/>
  <c r="A11" i="15"/>
  <c r="E24" i="4"/>
  <c r="B81" i="4" s="1"/>
  <c r="F34" i="14"/>
  <c r="D34" i="14"/>
  <c r="C14" i="14"/>
  <c r="C7" i="14"/>
  <c r="D6" i="12"/>
  <c r="D5" i="12"/>
  <c r="D4" i="12"/>
  <c r="D3" i="12"/>
  <c r="D2" i="12"/>
  <c r="E27" i="12"/>
  <c r="D27" i="12"/>
  <c r="F33" i="14" l="1"/>
  <c r="F31" i="14"/>
  <c r="F32" i="14"/>
  <c r="D31" i="14"/>
  <c r="D33" i="14"/>
  <c r="F30" i="14"/>
  <c r="D32" i="14"/>
  <c r="D30" i="14"/>
  <c r="D46" i="15"/>
  <c r="E46" i="15" s="1"/>
  <c r="E34" i="15"/>
  <c r="D33" i="15"/>
  <c r="E33" i="15" s="1"/>
  <c r="D43" i="15"/>
  <c r="E43" i="15" s="1"/>
  <c r="E35" i="15"/>
  <c r="D44" i="15"/>
  <c r="E44" i="15" s="1"/>
  <c r="E36" i="15"/>
  <c r="D45" i="15"/>
  <c r="E45" i="15" s="1"/>
  <c r="G45" i="4"/>
  <c r="D11" i="12"/>
  <c r="C42" i="8"/>
  <c r="E29" i="12"/>
  <c r="E30" i="12"/>
  <c r="E31" i="12"/>
  <c r="E32" i="12"/>
  <c r="E33" i="12"/>
  <c r="E34" i="12"/>
  <c r="E35" i="12"/>
  <c r="D29" i="12"/>
  <c r="D30" i="12"/>
  <c r="D31" i="12"/>
  <c r="D32" i="12"/>
  <c r="D33" i="12"/>
  <c r="D34" i="12"/>
  <c r="D35" i="12"/>
  <c r="C30" i="12"/>
  <c r="F26" i="4" s="1"/>
  <c r="C29" i="12"/>
  <c r="F25" i="4" s="1"/>
  <c r="D18" i="12"/>
  <c r="C18" i="12"/>
  <c r="C11" i="12"/>
  <c r="E50" i="15" l="1"/>
  <c r="E52" i="15" s="1"/>
  <c r="E40" i="15"/>
  <c r="E42" i="15" s="1"/>
  <c r="M29" i="14"/>
  <c r="D35" i="14" s="1"/>
  <c r="G29" i="4"/>
  <c r="G25" i="4"/>
  <c r="G28" i="4"/>
  <c r="G27" i="4"/>
  <c r="G30" i="4"/>
  <c r="G26" i="4"/>
  <c r="B156" i="12"/>
  <c r="B153" i="12"/>
  <c r="G144" i="12"/>
  <c r="G143" i="12"/>
  <c r="D130" i="12"/>
  <c r="D55" i="4" s="1"/>
  <c r="C130" i="12"/>
  <c r="F129" i="12"/>
  <c r="F54" i="4" s="1"/>
  <c r="E129" i="12"/>
  <c r="E54" i="4" s="1"/>
  <c r="D129" i="12"/>
  <c r="D54" i="4" s="1"/>
  <c r="C129" i="12"/>
  <c r="C54" i="4" s="1"/>
  <c r="F128" i="12"/>
  <c r="F53" i="4" s="1"/>
  <c r="E128" i="12"/>
  <c r="E53" i="4" s="1"/>
  <c r="D128" i="12"/>
  <c r="D53" i="4" s="1"/>
  <c r="C128" i="12"/>
  <c r="F127" i="12"/>
  <c r="F52" i="4" s="1"/>
  <c r="E127" i="12"/>
  <c r="E52" i="4" s="1"/>
  <c r="D127" i="12"/>
  <c r="D52" i="4" s="1"/>
  <c r="C127" i="12"/>
  <c r="C52" i="4" s="1"/>
  <c r="F126" i="12"/>
  <c r="F51" i="4" s="1"/>
  <c r="E126" i="12"/>
  <c r="E51" i="4" s="1"/>
  <c r="D126" i="12"/>
  <c r="D51" i="4" s="1"/>
  <c r="C126" i="12"/>
  <c r="F125" i="12"/>
  <c r="F50" i="4" s="1"/>
  <c r="E125" i="12"/>
  <c r="E50" i="4" s="1"/>
  <c r="D125" i="12"/>
  <c r="D50" i="4" s="1"/>
  <c r="C125" i="12"/>
  <c r="C50" i="4" s="1"/>
  <c r="F124" i="12"/>
  <c r="F49" i="4" s="1"/>
  <c r="E124" i="12"/>
  <c r="E49" i="4" s="1"/>
  <c r="D124" i="12"/>
  <c r="D49" i="4" s="1"/>
  <c r="C124" i="12"/>
  <c r="F123" i="12"/>
  <c r="F48" i="4" s="1"/>
  <c r="E123" i="12"/>
  <c r="E48" i="4" s="1"/>
  <c r="D123" i="12"/>
  <c r="D48" i="4" s="1"/>
  <c r="C123" i="12"/>
  <c r="C48" i="4" s="1"/>
  <c r="F122" i="12"/>
  <c r="E122" i="12"/>
  <c r="D122" i="12"/>
  <c r="C122" i="12"/>
  <c r="G120" i="12"/>
  <c r="F118" i="12"/>
  <c r="F119" i="12" s="1"/>
  <c r="E118" i="12"/>
  <c r="E119" i="12" s="1"/>
  <c r="D118" i="12"/>
  <c r="D119" i="12" s="1"/>
  <c r="C118" i="12"/>
  <c r="C119" i="12" s="1"/>
  <c r="G117" i="12"/>
  <c r="G116" i="12"/>
  <c r="G115" i="12"/>
  <c r="G114" i="12"/>
  <c r="G113" i="12"/>
  <c r="G112" i="12"/>
  <c r="G111" i="12"/>
  <c r="G110" i="12"/>
  <c r="F109" i="12"/>
  <c r="F130" i="12" s="1"/>
  <c r="F55" i="4" s="1"/>
  <c r="E109" i="12"/>
  <c r="E130" i="12" s="1"/>
  <c r="E55" i="4" s="1"/>
  <c r="D109" i="12"/>
  <c r="C109" i="12"/>
  <c r="C34" i="12"/>
  <c r="F30" i="4" s="1"/>
  <c r="E30" i="4"/>
  <c r="C33" i="12"/>
  <c r="E19" i="12"/>
  <c r="C158" i="12"/>
  <c r="C157" i="12"/>
  <c r="C16" i="11"/>
  <c r="I29" i="11" s="1"/>
  <c r="C15" i="11"/>
  <c r="H29" i="11" s="1"/>
  <c r="D30" i="11"/>
  <c r="F14" i="11"/>
  <c r="E14" i="11"/>
  <c r="D24" i="11"/>
  <c r="E18" i="11"/>
  <c r="D20" i="11"/>
  <c r="C9" i="11"/>
  <c r="B9" i="11" s="1"/>
  <c r="C8" i="11"/>
  <c r="C7" i="11"/>
  <c r="C6" i="11"/>
  <c r="E24" i="11"/>
  <c r="I45" i="14" l="1"/>
  <c r="F43" i="4"/>
  <c r="G24" i="11"/>
  <c r="F24" i="11"/>
  <c r="D44" i="4"/>
  <c r="D43" i="4"/>
  <c r="E44" i="4"/>
  <c r="E43" i="4"/>
  <c r="H112" i="12"/>
  <c r="C44" i="4"/>
  <c r="C43" i="4"/>
  <c r="D30" i="15"/>
  <c r="D131" i="12"/>
  <c r="D47" i="4"/>
  <c r="F131" i="12"/>
  <c r="F56" i="4" s="1"/>
  <c r="F47" i="4"/>
  <c r="G124" i="12"/>
  <c r="C49" i="4"/>
  <c r="G128" i="12"/>
  <c r="C53" i="4"/>
  <c r="C150" i="12"/>
  <c r="C67" i="4" s="1"/>
  <c r="C55" i="4"/>
  <c r="G122" i="12"/>
  <c r="C131" i="12"/>
  <c r="C47" i="4"/>
  <c r="G126" i="12"/>
  <c r="C51" i="4"/>
  <c r="E131" i="12"/>
  <c r="E56" i="4" s="1"/>
  <c r="E47" i="4"/>
  <c r="H133" i="12"/>
  <c r="F134" i="12"/>
  <c r="E134" i="12"/>
  <c r="D134" i="12"/>
  <c r="C134" i="12"/>
  <c r="E30" i="11"/>
  <c r="F30" i="11" s="1"/>
  <c r="G30" i="11" s="1"/>
  <c r="G127" i="12"/>
  <c r="B157" i="12"/>
  <c r="F157" i="12" s="1"/>
  <c r="E25" i="4"/>
  <c r="B159" i="12"/>
  <c r="F159" i="12" s="1"/>
  <c r="E27" i="4"/>
  <c r="C160" i="12"/>
  <c r="F28" i="4"/>
  <c r="C159" i="12"/>
  <c r="F27" i="4"/>
  <c r="B161" i="12"/>
  <c r="F161" i="12" s="1"/>
  <c r="E29" i="4"/>
  <c r="B158" i="12"/>
  <c r="F158" i="12" s="1"/>
  <c r="E26" i="4"/>
  <c r="C161" i="12"/>
  <c r="F29" i="4"/>
  <c r="B160" i="12"/>
  <c r="F160" i="12" s="1"/>
  <c r="E28" i="4"/>
  <c r="G123" i="12"/>
  <c r="G125" i="12"/>
  <c r="G129" i="12"/>
  <c r="G130" i="12"/>
  <c r="G118" i="12"/>
  <c r="H23" i="11"/>
  <c r="I23" i="11"/>
  <c r="C41" i="8"/>
  <c r="A45" i="7"/>
  <c r="A46" i="7"/>
  <c r="A47" i="7"/>
  <c r="A44" i="7"/>
  <c r="A35" i="7"/>
  <c r="A36" i="7"/>
  <c r="A37" i="7"/>
  <c r="F6" i="6"/>
  <c r="C6" i="6"/>
  <c r="D70" i="8"/>
  <c r="D71" i="8"/>
  <c r="D72" i="8"/>
  <c r="D77" i="8"/>
  <c r="D78" i="8"/>
  <c r="D69" i="8"/>
  <c r="D57" i="8"/>
  <c r="D58" i="8"/>
  <c r="D59" i="8"/>
  <c r="D60" i="8"/>
  <c r="D65" i="8"/>
  <c r="D56" i="8"/>
  <c r="F16" i="11"/>
  <c r="C30" i="11" s="1"/>
  <c r="F15" i="11"/>
  <c r="B30" i="11" s="1"/>
  <c r="G40" i="8"/>
  <c r="F40" i="8"/>
  <c r="A34" i="7"/>
  <c r="A12" i="7"/>
  <c r="A8" i="7"/>
  <c r="A6" i="7"/>
  <c r="B4" i="6"/>
  <c r="H68" i="8"/>
  <c r="I42" i="8" s="1"/>
  <c r="G68" i="8"/>
  <c r="H42" i="8" s="1"/>
  <c r="F53" i="8"/>
  <c r="D6" i="4"/>
  <c r="D5" i="4"/>
  <c r="D4" i="4"/>
  <c r="D3" i="4"/>
  <c r="D2" i="4"/>
  <c r="C16" i="9"/>
  <c r="B16" i="9"/>
  <c r="H15" i="9"/>
  <c r="I15" i="9" s="1"/>
  <c r="H14" i="9"/>
  <c r="I14" i="9" s="1"/>
  <c r="H13" i="9"/>
  <c r="I13" i="9" s="1"/>
  <c r="H12" i="9"/>
  <c r="I12" i="9" s="1"/>
  <c r="H11" i="9"/>
  <c r="I11" i="9" s="1"/>
  <c r="H10" i="9"/>
  <c r="I10" i="9" s="1"/>
  <c r="H9" i="9"/>
  <c r="I9" i="9" s="1"/>
  <c r="H8" i="9"/>
  <c r="I8" i="9" s="1"/>
  <c r="H7" i="9"/>
  <c r="I7" i="9" s="1"/>
  <c r="M3" i="2"/>
  <c r="M4" i="2"/>
  <c r="M5" i="2"/>
  <c r="M6" i="2"/>
  <c r="M7" i="2"/>
  <c r="M8" i="2"/>
  <c r="M9" i="2"/>
  <c r="M10" i="2"/>
  <c r="M11" i="2"/>
  <c r="M12" i="2"/>
  <c r="M13" i="2"/>
  <c r="M14" i="2"/>
  <c r="M15" i="2"/>
  <c r="M16" i="2"/>
  <c r="M17" i="2"/>
  <c r="M1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M57" i="2"/>
  <c r="M58" i="2"/>
  <c r="M59" i="2"/>
  <c r="M60" i="2"/>
  <c r="M61" i="2"/>
  <c r="M62" i="2"/>
  <c r="M63" i="2"/>
  <c r="M64" i="2"/>
  <c r="M65" i="2"/>
  <c r="M66" i="2"/>
  <c r="M67" i="2"/>
  <c r="M68" i="2"/>
  <c r="M69" i="2"/>
  <c r="M70" i="2"/>
  <c r="M71" i="2"/>
  <c r="M72" i="2"/>
  <c r="M73" i="2"/>
  <c r="M74" i="2"/>
  <c r="M75" i="2"/>
  <c r="M76" i="2"/>
  <c r="M77" i="2"/>
  <c r="M78" i="2"/>
  <c r="M79" i="2"/>
  <c r="M80" i="2"/>
  <c r="M81" i="2"/>
  <c r="M82" i="2"/>
  <c r="M83" i="2"/>
  <c r="M84" i="2"/>
  <c r="M2" i="2"/>
  <c r="F32" i="8"/>
  <c r="F28" i="8"/>
  <c r="F27" i="8"/>
  <c r="C184" i="17" l="1"/>
  <c r="C27" i="4"/>
  <c r="C892" i="8"/>
  <c r="C50" i="7"/>
  <c r="C412" i="8"/>
  <c r="E412" i="8" s="1"/>
  <c r="C37" i="7"/>
  <c r="C47" i="7"/>
  <c r="C292" i="8"/>
  <c r="E292" i="8" s="1"/>
  <c r="C36" i="7"/>
  <c r="C46" i="7"/>
  <c r="G32" i="8"/>
  <c r="G33" i="8"/>
  <c r="G28" i="8"/>
  <c r="G27" i="8"/>
  <c r="F156" i="12"/>
  <c r="D15" i="4"/>
  <c r="H30" i="11"/>
  <c r="H31" i="11" s="1"/>
  <c r="H32" i="11" s="1"/>
  <c r="D121" i="12"/>
  <c r="D46" i="4" s="1"/>
  <c r="F44" i="4"/>
  <c r="F121" i="12"/>
  <c r="F46" i="4" s="1"/>
  <c r="G119" i="12"/>
  <c r="E121" i="12"/>
  <c r="E46" i="4" s="1"/>
  <c r="C121" i="12"/>
  <c r="C46" i="4" s="1"/>
  <c r="C181" i="17"/>
  <c r="D11" i="17"/>
  <c r="C11" i="17"/>
  <c r="C142" i="17" s="1"/>
  <c r="E59" i="4"/>
  <c r="H161" i="12"/>
  <c r="I161" i="12" s="1"/>
  <c r="F86" i="4"/>
  <c r="H157" i="12"/>
  <c r="I157" i="12" s="1"/>
  <c r="F82" i="4"/>
  <c r="H160" i="12"/>
  <c r="I160" i="12" s="1"/>
  <c r="F85" i="4"/>
  <c r="H158" i="12"/>
  <c r="I158" i="12" s="1"/>
  <c r="F83" i="4"/>
  <c r="H159" i="12"/>
  <c r="I159" i="12" s="1"/>
  <c r="F84" i="4"/>
  <c r="C145" i="12"/>
  <c r="C62" i="4" s="1"/>
  <c r="G134" i="12"/>
  <c r="C59" i="4"/>
  <c r="C58" i="4"/>
  <c r="I30" i="11"/>
  <c r="I31" i="11" s="1"/>
  <c r="I32" i="11" s="1"/>
  <c r="C28" i="12"/>
  <c r="G131" i="12"/>
  <c r="C12" i="12"/>
  <c r="D14" i="12"/>
  <c r="C13" i="12"/>
  <c r="C149" i="12"/>
  <c r="D12" i="12"/>
  <c r="C14" i="12"/>
  <c r="E18" i="12"/>
  <c r="H117" i="12" s="1"/>
  <c r="D13" i="12"/>
  <c r="J9" i="9"/>
  <c r="J14" i="9"/>
  <c r="J7" i="9"/>
  <c r="J11" i="9"/>
  <c r="J15" i="9"/>
  <c r="J13" i="9"/>
  <c r="J10" i="9"/>
  <c r="J8" i="9"/>
  <c r="J12" i="9"/>
  <c r="C17" i="9"/>
  <c r="C18" i="9" s="1"/>
  <c r="B17" i="9"/>
  <c r="B18" i="9" s="1"/>
  <c r="E34" i="8"/>
  <c r="F26" i="8"/>
  <c r="F33" i="8"/>
  <c r="C155" i="17" l="1"/>
  <c r="D11" i="4"/>
  <c r="D142" i="17"/>
  <c r="D155" i="17" s="1"/>
  <c r="C35" i="7"/>
  <c r="C45" i="7"/>
  <c r="G26" i="8"/>
  <c r="C172" i="8"/>
  <c r="D132" i="12"/>
  <c r="E132" i="12"/>
  <c r="E57" i="4" s="1"/>
  <c r="E18" i="17"/>
  <c r="H126" i="17" s="1"/>
  <c r="C15" i="4"/>
  <c r="F18" i="6"/>
  <c r="J18" i="6" s="1"/>
  <c r="F132" i="12"/>
  <c r="F57" i="4" s="1"/>
  <c r="C132" i="12"/>
  <c r="G121" i="12"/>
  <c r="G132" i="12" s="1"/>
  <c r="C24" i="4"/>
  <c r="C66" i="4"/>
  <c r="G145" i="12"/>
  <c r="E11" i="17"/>
  <c r="H119" i="17" s="1"/>
  <c r="C11" i="4"/>
  <c r="D13" i="4"/>
  <c r="C14" i="4"/>
  <c r="D12" i="4"/>
  <c r="I84" i="4"/>
  <c r="H84" i="4"/>
  <c r="I85" i="4"/>
  <c r="H85" i="4"/>
  <c r="I86" i="4"/>
  <c r="H86" i="4"/>
  <c r="E13" i="17"/>
  <c r="H121" i="17" s="1"/>
  <c r="C13" i="4"/>
  <c r="E14" i="17"/>
  <c r="H122" i="17" s="1"/>
  <c r="D14" i="4"/>
  <c r="H156" i="12"/>
  <c r="H81" i="4" s="1"/>
  <c r="F81" i="4"/>
  <c r="C12" i="4"/>
  <c r="I83" i="4"/>
  <c r="H83" i="4"/>
  <c r="I82" i="4"/>
  <c r="H82" i="4"/>
  <c r="D20" i="17"/>
  <c r="D21" i="17" s="1"/>
  <c r="D22" i="17" s="1"/>
  <c r="E12" i="17"/>
  <c r="H120" i="17" s="1"/>
  <c r="C20" i="17"/>
  <c r="E15" i="11"/>
  <c r="B24" i="11" s="1"/>
  <c r="H24" i="11" s="1"/>
  <c r="H25" i="11" s="1"/>
  <c r="H26" i="11" s="1"/>
  <c r="C156" i="12"/>
  <c r="F24" i="4"/>
  <c r="C81" i="4" s="1"/>
  <c r="G24" i="4"/>
  <c r="E16" i="11"/>
  <c r="C24" i="11" s="1"/>
  <c r="I24" i="11" s="1"/>
  <c r="I25" i="11" s="1"/>
  <c r="I26" i="11" s="1"/>
  <c r="E14" i="12"/>
  <c r="H116" i="12" s="1"/>
  <c r="I116" i="12" s="1"/>
  <c r="E12" i="12"/>
  <c r="H114" i="12" s="1"/>
  <c r="I114" i="12" s="1"/>
  <c r="D20" i="12"/>
  <c r="E13" i="12"/>
  <c r="H115" i="12" s="1"/>
  <c r="I115" i="12" s="1"/>
  <c r="C20" i="12"/>
  <c r="E11" i="12"/>
  <c r="H113" i="12" s="1"/>
  <c r="I113" i="12" s="1"/>
  <c r="I16" i="9"/>
  <c r="I17" i="9" s="1"/>
  <c r="I18" i="9" s="1"/>
  <c r="E35" i="8"/>
  <c r="E36" i="8" s="1"/>
  <c r="H55" i="8"/>
  <c r="I41" i="8" s="1"/>
  <c r="J16" i="9"/>
  <c r="C16" i="6"/>
  <c r="D156" i="17" l="1"/>
  <c r="D57" i="4" s="1"/>
  <c r="D56" i="4"/>
  <c r="C156" i="17"/>
  <c r="C56" i="4"/>
  <c r="G142" i="17"/>
  <c r="G155" i="17" s="1"/>
  <c r="G156" i="17" s="1"/>
  <c r="E172" i="8"/>
  <c r="I41" i="14"/>
  <c r="C133" i="12"/>
  <c r="C146" i="12" s="1"/>
  <c r="H2" i="6"/>
  <c r="C8" i="6" s="1"/>
  <c r="F9" i="6" s="1"/>
  <c r="F11" i="6" s="1"/>
  <c r="I18" i="6"/>
  <c r="C18" i="6"/>
  <c r="E99" i="17"/>
  <c r="I156" i="12"/>
  <c r="I81" i="4" s="1"/>
  <c r="C21" i="17"/>
  <c r="C22" i="17" s="1"/>
  <c r="C23" i="17" s="1"/>
  <c r="H127" i="17"/>
  <c r="E20" i="17"/>
  <c r="H118" i="12"/>
  <c r="C21" i="12"/>
  <c r="C22" i="12" s="1"/>
  <c r="E20" i="12"/>
  <c r="D21" i="12"/>
  <c r="D22" i="12" s="1"/>
  <c r="J17" i="9"/>
  <c r="J18" i="9" s="1"/>
  <c r="B82" i="4"/>
  <c r="C82" i="4"/>
  <c r="B83" i="4"/>
  <c r="C83" i="4"/>
  <c r="B84" i="4"/>
  <c r="C84" i="4"/>
  <c r="B85" i="4"/>
  <c r="C85" i="4"/>
  <c r="B86" i="4"/>
  <c r="C86" i="4"/>
  <c r="B74" i="4"/>
  <c r="C74" i="4"/>
  <c r="B75" i="4"/>
  <c r="C75" i="4"/>
  <c r="B76" i="4"/>
  <c r="C76" i="4"/>
  <c r="B77" i="4"/>
  <c r="C77" i="4"/>
  <c r="B78" i="4"/>
  <c r="C78" i="4"/>
  <c r="C73" i="4"/>
  <c r="B73" i="4"/>
  <c r="C157" i="17" l="1"/>
  <c r="C170" i="17" s="1"/>
  <c r="C172" i="17" s="1"/>
  <c r="C176" i="17" s="1"/>
  <c r="D181" i="17" s="1"/>
  <c r="D73" i="4" s="1"/>
  <c r="C57" i="4"/>
  <c r="G57" i="4" s="1"/>
  <c r="C148" i="12"/>
  <c r="C151" i="12" s="1"/>
  <c r="D156" i="12" s="1"/>
  <c r="D81" i="4" s="1"/>
  <c r="I46" i="14"/>
  <c r="K51" i="14" s="1"/>
  <c r="C19" i="6"/>
  <c r="F19" i="6"/>
  <c r="F22" i="6" s="1"/>
  <c r="C9" i="6"/>
  <c r="C11" i="6" s="1"/>
  <c r="G54" i="4"/>
  <c r="C23" i="12"/>
  <c r="H134" i="12" s="1"/>
  <c r="B70" i="4"/>
  <c r="C63" i="4" l="1"/>
  <c r="C65" i="4" s="1"/>
  <c r="J19" i="6"/>
  <c r="C23" i="6"/>
  <c r="I19" i="6"/>
  <c r="F21" i="6"/>
  <c r="C21" i="6"/>
  <c r="F23" i="6"/>
  <c r="C22" i="6"/>
  <c r="G60" i="4"/>
  <c r="G59" i="4"/>
  <c r="F34" i="4"/>
  <c r="E34" i="4"/>
  <c r="I119" i="17" l="1"/>
  <c r="C28" i="6"/>
  <c r="C33" i="6" s="1"/>
  <c r="F28" i="6"/>
  <c r="F33" i="6" s="1"/>
  <c r="I122" i="17"/>
  <c r="I121" i="17"/>
  <c r="I120" i="17"/>
  <c r="G35" i="4"/>
  <c r="G55" i="4" l="1"/>
  <c r="E16" i="4"/>
  <c r="E14" i="4"/>
  <c r="H41" i="4" s="1"/>
  <c r="E15" i="4"/>
  <c r="H42" i="4" s="1"/>
  <c r="G42" i="4"/>
  <c r="G39" i="4"/>
  <c r="G41" i="4"/>
  <c r="G40" i="4"/>
  <c r="E12" i="4"/>
  <c r="H39" i="4" s="1"/>
  <c r="G38" i="4"/>
  <c r="E13" i="4"/>
  <c r="H40" i="4" s="1"/>
  <c r="D17" i="4"/>
  <c r="D18" i="4" s="1"/>
  <c r="D19" i="4" s="1"/>
  <c r="G52" i="4"/>
  <c r="G47" i="4" l="1"/>
  <c r="G49" i="4"/>
  <c r="G51" i="4"/>
  <c r="G50" i="4"/>
  <c r="G53" i="4"/>
  <c r="G48" i="4"/>
  <c r="G43" i="4"/>
  <c r="G56" i="4" l="1"/>
  <c r="G46" i="4"/>
  <c r="G44" i="4"/>
  <c r="G61" i="4" l="1"/>
  <c r="F25" i="8" l="1"/>
  <c r="C17" i="4"/>
  <c r="H43" i="4" s="1"/>
  <c r="C34" i="8"/>
  <c r="E11" i="4"/>
  <c r="H38" i="4" s="1"/>
  <c r="D38" i="7" l="1"/>
  <c r="E38" i="7" s="1"/>
  <c r="B38" i="7" s="1"/>
  <c r="D50" i="7"/>
  <c r="E50" i="7" s="1"/>
  <c r="B50" i="7" s="1"/>
  <c r="D47" i="7"/>
  <c r="E47" i="7" s="1"/>
  <c r="B47" i="7" s="1"/>
  <c r="D39" i="7"/>
  <c r="E39" i="7" s="1"/>
  <c r="B39" i="7" s="1"/>
  <c r="D36" i="7"/>
  <c r="E36" i="7" s="1"/>
  <c r="B36" i="7" s="1"/>
  <c r="D40" i="7"/>
  <c r="E40" i="7" s="1"/>
  <c r="B40" i="7" s="1"/>
  <c r="D35" i="7"/>
  <c r="E35" i="7" s="1"/>
  <c r="B35" i="7" s="1"/>
  <c r="D48" i="7"/>
  <c r="E48" i="7" s="1"/>
  <c r="B48" i="7" s="1"/>
  <c r="D45" i="7"/>
  <c r="E45" i="7" s="1"/>
  <c r="B45" i="7" s="1"/>
  <c r="D37" i="7"/>
  <c r="E37" i="7" s="1"/>
  <c r="B37" i="7" s="1"/>
  <c r="D49" i="7"/>
  <c r="E49" i="7" s="1"/>
  <c r="B49" i="7" s="1"/>
  <c r="D46" i="7"/>
  <c r="E46" i="7" s="1"/>
  <c r="B46" i="7" s="1"/>
  <c r="D44" i="7"/>
  <c r="D34" i="7"/>
  <c r="C34" i="7"/>
  <c r="C44" i="7"/>
  <c r="C52" i="8"/>
  <c r="G25" i="8"/>
  <c r="E17" i="4"/>
  <c r="C35" i="8"/>
  <c r="C36" i="8" s="1"/>
  <c r="C37" i="8" s="1"/>
  <c r="F34" i="8"/>
  <c r="G55" i="8"/>
  <c r="H41" i="8" s="1"/>
  <c r="C18" i="4"/>
  <c r="C19" i="4" s="1"/>
  <c r="C20" i="4" s="1"/>
  <c r="H59" i="4" s="1"/>
  <c r="E34" i="7" l="1"/>
  <c r="B34" i="7" s="1"/>
  <c r="E41" i="7" s="1"/>
  <c r="E43" i="7" s="1"/>
  <c r="E44" i="7"/>
  <c r="B44" i="7" s="1"/>
  <c r="E51" i="7" s="1"/>
  <c r="E53" i="7" s="1"/>
  <c r="D24" i="4"/>
  <c r="D31" i="7" l="1"/>
  <c r="I181" i="17"/>
  <c r="I73" i="4" s="1"/>
</calcChain>
</file>

<file path=xl/comments1.xml><?xml version="1.0" encoding="utf-8"?>
<comments xmlns="http://schemas.openxmlformats.org/spreadsheetml/2006/main">
  <authors>
    <author>SARRAZIN David</author>
  </authors>
  <commentList>
    <comment ref="C17" authorId="0" shapeId="0">
      <text>
        <r>
          <rPr>
            <b/>
            <sz val="8"/>
            <color indexed="81"/>
            <rFont val="Tahoma"/>
            <family val="2"/>
          </rPr>
          <t>SARRAZIN David:</t>
        </r>
        <r>
          <rPr>
            <sz val="8"/>
            <color indexed="81"/>
            <rFont val="Tahoma"/>
            <family val="2"/>
          </rPr>
          <t xml:space="preserve">
Inidiquer la durée en mois
</t>
        </r>
      </text>
    </comment>
    <comment ref="E18" authorId="0" shapeId="0">
      <text>
        <r>
          <rPr>
            <b/>
            <sz val="8"/>
            <color indexed="81"/>
            <rFont val="Tahoma"/>
            <family val="2"/>
          </rPr>
          <t>SARRAZIN David:</t>
        </r>
        <r>
          <rPr>
            <sz val="8"/>
            <color indexed="81"/>
            <rFont val="Tahoma"/>
            <family val="2"/>
          </rPr>
          <t xml:space="preserve">
Mentionner ici l'article de l'AE prévoyant le versement de l'avance</t>
        </r>
      </text>
    </comment>
    <comment ref="F18" authorId="0" shapeId="0">
      <text>
        <r>
          <rPr>
            <b/>
            <sz val="8"/>
            <color indexed="81"/>
            <rFont val="Tahoma"/>
            <family val="2"/>
          </rPr>
          <t xml:space="preserve">SARRAZIN David:
</t>
        </r>
        <r>
          <rPr>
            <sz val="8"/>
            <color indexed="81"/>
            <rFont val="Tahoma"/>
            <family val="2"/>
          </rPr>
          <t>indiquer ici l'article mentionnant l'avance dans le CCAP</t>
        </r>
      </text>
    </comment>
    <comment ref="C19" authorId="0" shapeId="0">
      <text>
        <r>
          <rPr>
            <b/>
            <sz val="8"/>
            <color indexed="81"/>
            <rFont val="Tahoma"/>
            <family val="2"/>
          </rPr>
          <t>SARRAZIN David:</t>
        </r>
        <r>
          <rPr>
            <sz val="8"/>
            <color indexed="81"/>
            <rFont val="Tahoma"/>
            <family val="2"/>
          </rPr>
          <t xml:space="preserve">
Inidiquer si le marché est actualisable ou pas</t>
        </r>
      </text>
    </comment>
    <comment ref="E20" authorId="0" shapeId="0">
      <text>
        <r>
          <rPr>
            <b/>
            <sz val="8"/>
            <color indexed="81"/>
            <rFont val="Tahoma"/>
            <family val="2"/>
          </rPr>
          <t>SARRAZIN David:</t>
        </r>
        <r>
          <rPr>
            <sz val="8"/>
            <color indexed="81"/>
            <rFont val="Tahoma"/>
            <family val="2"/>
          </rPr>
          <t xml:space="preserve">
mentionner le mois Mo en format mm/aa
</t>
        </r>
      </text>
    </comment>
    <comment ref="G20" authorId="0" shapeId="0">
      <text>
        <r>
          <rPr>
            <b/>
            <sz val="8"/>
            <color indexed="81"/>
            <rFont val="Tahoma"/>
            <family val="2"/>
          </rPr>
          <t>SARRAZIN David:</t>
        </r>
        <r>
          <rPr>
            <sz val="8"/>
            <color indexed="81"/>
            <rFont val="Tahoma"/>
            <family val="2"/>
          </rPr>
          <t xml:space="preserve">
indiquer l'indice (ex : BT01)</t>
        </r>
      </text>
    </comment>
    <comment ref="G21" authorId="0" shapeId="0">
      <text>
        <r>
          <rPr>
            <b/>
            <sz val="8"/>
            <color indexed="81"/>
            <rFont val="Tahoma"/>
            <family val="2"/>
          </rPr>
          <t>SARRAZIN David:</t>
        </r>
        <r>
          <rPr>
            <sz val="8"/>
            <color indexed="81"/>
            <rFont val="Tahoma"/>
            <family val="2"/>
          </rPr>
          <t xml:space="preserve">
inidiquer le montant du Mo</t>
        </r>
      </text>
    </comment>
    <comment ref="B23" authorId="0" shapeId="0">
      <text>
        <r>
          <rPr>
            <b/>
            <sz val="8"/>
            <color indexed="81"/>
            <rFont val="Tahoma"/>
            <family val="2"/>
          </rPr>
          <t>SARRAZIN David:</t>
        </r>
        <r>
          <rPr>
            <sz val="8"/>
            <color indexed="81"/>
            <rFont val="Tahoma"/>
            <family val="2"/>
          </rPr>
          <t xml:space="preserve">
indiquer ici le montant de la TF et les TO affermies uniquement
</t>
        </r>
      </text>
    </comment>
    <comment ref="F52" authorId="0" shapeId="0">
      <text>
        <r>
          <rPr>
            <b/>
            <sz val="8"/>
            <color indexed="81"/>
            <rFont val="Tahoma"/>
            <family val="2"/>
          </rPr>
          <t>SARRAZIN David:</t>
        </r>
        <r>
          <rPr>
            <sz val="8"/>
            <color indexed="81"/>
            <rFont val="Tahoma"/>
            <family val="2"/>
          </rPr>
          <t xml:space="preserve">
indiquer si la tranche fait l'objet d'une avance
</t>
        </r>
      </text>
    </comment>
    <comment ref="G52" authorId="0" shapeId="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52" authorId="0" shapeId="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53" authorId="0" shapeId="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55"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56" authorId="0" shapeId="0">
      <text>
        <r>
          <rPr>
            <b/>
            <sz val="8"/>
            <color indexed="81"/>
            <rFont val="Tahoma"/>
            <family val="2"/>
          </rPr>
          <t>SARRAZIN David:</t>
        </r>
        <r>
          <rPr>
            <sz val="8"/>
            <color indexed="81"/>
            <rFont val="Tahoma"/>
            <family val="2"/>
          </rPr>
          <t xml:space="preserve">
Sélectionner si le sous traitant est en TVA autoliquidée ou pas.
</t>
        </r>
      </text>
    </comment>
    <comment ref="C56" authorId="0" shapeId="0">
      <text>
        <r>
          <rPr>
            <b/>
            <sz val="8"/>
            <color indexed="81"/>
            <rFont val="Tahoma"/>
            <family val="2"/>
          </rPr>
          <t>SARRAZIN David:</t>
        </r>
        <r>
          <rPr>
            <sz val="8"/>
            <color indexed="81"/>
            <rFont val="Tahoma"/>
            <family val="2"/>
          </rPr>
          <t xml:space="preserve">
Mentionner le nom du sous tritant
</t>
        </r>
      </text>
    </comment>
    <comment ref="G56" authorId="0" shapeId="0">
      <text>
        <r>
          <rPr>
            <b/>
            <sz val="8"/>
            <color indexed="81"/>
            <rFont val="Tahoma"/>
            <family val="2"/>
          </rPr>
          <t>SARRAZIN David:</t>
        </r>
        <r>
          <rPr>
            <sz val="8"/>
            <color indexed="81"/>
            <rFont val="Tahoma"/>
            <family val="2"/>
          </rPr>
          <t xml:space="preserve">
Mentionner le montant du DC4 par sous traitant
</t>
        </r>
      </text>
    </comment>
    <comment ref="E68"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81"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94"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107"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172" authorId="0" shapeId="0">
      <text>
        <r>
          <rPr>
            <b/>
            <sz val="8"/>
            <color indexed="81"/>
            <rFont val="Tahoma"/>
            <family val="2"/>
          </rPr>
          <t>SARRAZIN David:</t>
        </r>
        <r>
          <rPr>
            <sz val="8"/>
            <color indexed="81"/>
            <rFont val="Tahoma"/>
            <family val="2"/>
          </rPr>
          <t xml:space="preserve">
indiquer si la tranche fait l'objet d'une avance
</t>
        </r>
      </text>
    </comment>
    <comment ref="G172" authorId="0" shapeId="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172" authorId="0" shapeId="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173" authorId="0" shapeId="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175"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176" authorId="0" shapeId="0">
      <text>
        <r>
          <rPr>
            <b/>
            <sz val="8"/>
            <color indexed="81"/>
            <rFont val="Tahoma"/>
            <family val="2"/>
          </rPr>
          <t>SARRAZIN David:</t>
        </r>
        <r>
          <rPr>
            <sz val="8"/>
            <color indexed="81"/>
            <rFont val="Tahoma"/>
            <family val="2"/>
          </rPr>
          <t xml:space="preserve">
Sélectionner si le sous traitant est en TVA autoliquidée ou pas.
</t>
        </r>
      </text>
    </comment>
    <comment ref="C176" authorId="0" shapeId="0">
      <text>
        <r>
          <rPr>
            <b/>
            <sz val="8"/>
            <color indexed="81"/>
            <rFont val="Tahoma"/>
            <family val="2"/>
          </rPr>
          <t>SARRAZIN David:</t>
        </r>
        <r>
          <rPr>
            <sz val="8"/>
            <color indexed="81"/>
            <rFont val="Tahoma"/>
            <family val="2"/>
          </rPr>
          <t xml:space="preserve">
Mentionner le nom du sous tritant
</t>
        </r>
      </text>
    </comment>
    <comment ref="G176" authorId="0" shapeId="0">
      <text>
        <r>
          <rPr>
            <b/>
            <sz val="8"/>
            <color indexed="81"/>
            <rFont val="Tahoma"/>
            <family val="2"/>
          </rPr>
          <t>SARRAZIN David:</t>
        </r>
        <r>
          <rPr>
            <sz val="8"/>
            <color indexed="81"/>
            <rFont val="Tahoma"/>
            <family val="2"/>
          </rPr>
          <t xml:space="preserve">
Mentionner le montant du DC4 par sous traitant
</t>
        </r>
      </text>
    </comment>
    <comment ref="E188"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201"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214"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227"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292" authorId="0" shapeId="0">
      <text>
        <r>
          <rPr>
            <b/>
            <sz val="8"/>
            <color indexed="81"/>
            <rFont val="Tahoma"/>
            <family val="2"/>
          </rPr>
          <t>SARRAZIN David:</t>
        </r>
        <r>
          <rPr>
            <sz val="8"/>
            <color indexed="81"/>
            <rFont val="Tahoma"/>
            <family val="2"/>
          </rPr>
          <t xml:space="preserve">
indiquer si la tranche fait l'objet d'une avance
</t>
        </r>
      </text>
    </comment>
    <comment ref="G292" authorId="0" shapeId="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292" authorId="0" shapeId="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293" authorId="0" shapeId="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295"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296" authorId="0" shapeId="0">
      <text>
        <r>
          <rPr>
            <b/>
            <sz val="8"/>
            <color indexed="81"/>
            <rFont val="Tahoma"/>
            <family val="2"/>
          </rPr>
          <t>SARRAZIN David:</t>
        </r>
        <r>
          <rPr>
            <sz val="8"/>
            <color indexed="81"/>
            <rFont val="Tahoma"/>
            <family val="2"/>
          </rPr>
          <t xml:space="preserve">
Sélectionner si le sous traitant est en TVA autoliquidée ou pas.
</t>
        </r>
      </text>
    </comment>
    <comment ref="C296" authorId="0" shapeId="0">
      <text>
        <r>
          <rPr>
            <b/>
            <sz val="8"/>
            <color indexed="81"/>
            <rFont val="Tahoma"/>
            <family val="2"/>
          </rPr>
          <t>SARRAZIN David:</t>
        </r>
        <r>
          <rPr>
            <sz val="8"/>
            <color indexed="81"/>
            <rFont val="Tahoma"/>
            <family val="2"/>
          </rPr>
          <t xml:space="preserve">
Mentionner le nom du sous tritant
</t>
        </r>
      </text>
    </comment>
    <comment ref="G296" authorId="0" shapeId="0">
      <text>
        <r>
          <rPr>
            <b/>
            <sz val="8"/>
            <color indexed="81"/>
            <rFont val="Tahoma"/>
            <family val="2"/>
          </rPr>
          <t>SARRAZIN David:</t>
        </r>
        <r>
          <rPr>
            <sz val="8"/>
            <color indexed="81"/>
            <rFont val="Tahoma"/>
            <family val="2"/>
          </rPr>
          <t xml:space="preserve">
Mentionner le montant du DC4 par sous traitant
</t>
        </r>
      </text>
    </comment>
    <comment ref="E308"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321"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334"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347"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412" authorId="0" shapeId="0">
      <text>
        <r>
          <rPr>
            <b/>
            <sz val="8"/>
            <color indexed="81"/>
            <rFont val="Tahoma"/>
            <family val="2"/>
          </rPr>
          <t>SARRAZIN David:</t>
        </r>
        <r>
          <rPr>
            <sz val="8"/>
            <color indexed="81"/>
            <rFont val="Tahoma"/>
            <family val="2"/>
          </rPr>
          <t xml:space="preserve">
indiquer si la tranche fait l'objet d'une avance
</t>
        </r>
      </text>
    </comment>
    <comment ref="G412" authorId="0" shapeId="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412" authorId="0" shapeId="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413" authorId="0" shapeId="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415"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416" authorId="0" shapeId="0">
      <text>
        <r>
          <rPr>
            <b/>
            <sz val="8"/>
            <color indexed="81"/>
            <rFont val="Tahoma"/>
            <family val="2"/>
          </rPr>
          <t>SARRAZIN David:</t>
        </r>
        <r>
          <rPr>
            <sz val="8"/>
            <color indexed="81"/>
            <rFont val="Tahoma"/>
            <family val="2"/>
          </rPr>
          <t xml:space="preserve">
Sélectionner si le sous traitant est en TVA autoliquidée ou pas.
</t>
        </r>
      </text>
    </comment>
    <comment ref="C416" authorId="0" shapeId="0">
      <text>
        <r>
          <rPr>
            <b/>
            <sz val="8"/>
            <color indexed="81"/>
            <rFont val="Tahoma"/>
            <family val="2"/>
          </rPr>
          <t>SARRAZIN David:</t>
        </r>
        <r>
          <rPr>
            <sz val="8"/>
            <color indexed="81"/>
            <rFont val="Tahoma"/>
            <family val="2"/>
          </rPr>
          <t xml:space="preserve">
Mentionner le nom du sous tritant
</t>
        </r>
      </text>
    </comment>
    <comment ref="G416" authorId="0" shapeId="0">
      <text>
        <r>
          <rPr>
            <b/>
            <sz val="8"/>
            <color indexed="81"/>
            <rFont val="Tahoma"/>
            <family val="2"/>
          </rPr>
          <t>SARRAZIN David:</t>
        </r>
        <r>
          <rPr>
            <sz val="8"/>
            <color indexed="81"/>
            <rFont val="Tahoma"/>
            <family val="2"/>
          </rPr>
          <t xml:space="preserve">
Mentionner le montant du DC4 par sous traitant
</t>
        </r>
      </text>
    </comment>
    <comment ref="E428"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441"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454"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467"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532" authorId="0" shapeId="0">
      <text>
        <r>
          <rPr>
            <b/>
            <sz val="8"/>
            <color indexed="81"/>
            <rFont val="Tahoma"/>
            <family val="2"/>
          </rPr>
          <t>SARRAZIN David:</t>
        </r>
        <r>
          <rPr>
            <sz val="8"/>
            <color indexed="81"/>
            <rFont val="Tahoma"/>
            <family val="2"/>
          </rPr>
          <t xml:space="preserve">
indiquer si la tranche fait l'objet d'une avance
</t>
        </r>
      </text>
    </comment>
    <comment ref="G532" authorId="0" shapeId="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532" authorId="0" shapeId="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533" authorId="0" shapeId="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535"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536" authorId="0" shapeId="0">
      <text>
        <r>
          <rPr>
            <b/>
            <sz val="8"/>
            <color indexed="81"/>
            <rFont val="Tahoma"/>
            <family val="2"/>
          </rPr>
          <t>SARRAZIN David:</t>
        </r>
        <r>
          <rPr>
            <sz val="8"/>
            <color indexed="81"/>
            <rFont val="Tahoma"/>
            <family val="2"/>
          </rPr>
          <t xml:space="preserve">
Sélectionner si le sous traitant est en TVA autoliquidée ou pas.
</t>
        </r>
      </text>
    </comment>
    <comment ref="C536" authorId="0" shapeId="0">
      <text>
        <r>
          <rPr>
            <b/>
            <sz val="8"/>
            <color indexed="81"/>
            <rFont val="Tahoma"/>
            <family val="2"/>
          </rPr>
          <t>SARRAZIN David:</t>
        </r>
        <r>
          <rPr>
            <sz val="8"/>
            <color indexed="81"/>
            <rFont val="Tahoma"/>
            <family val="2"/>
          </rPr>
          <t xml:space="preserve">
Mentionner le nom du sous tritant
</t>
        </r>
      </text>
    </comment>
    <comment ref="G536" authorId="0" shapeId="0">
      <text>
        <r>
          <rPr>
            <b/>
            <sz val="8"/>
            <color indexed="81"/>
            <rFont val="Tahoma"/>
            <family val="2"/>
          </rPr>
          <t>SARRAZIN David:</t>
        </r>
        <r>
          <rPr>
            <sz val="8"/>
            <color indexed="81"/>
            <rFont val="Tahoma"/>
            <family val="2"/>
          </rPr>
          <t xml:space="preserve">
Mentionner le montant du DC4 par sous traitant
</t>
        </r>
      </text>
    </comment>
    <comment ref="E548"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561"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574"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587"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652" authorId="0" shapeId="0">
      <text>
        <r>
          <rPr>
            <b/>
            <sz val="8"/>
            <color indexed="81"/>
            <rFont val="Tahoma"/>
            <family val="2"/>
          </rPr>
          <t>SARRAZIN David:</t>
        </r>
        <r>
          <rPr>
            <sz val="8"/>
            <color indexed="81"/>
            <rFont val="Tahoma"/>
            <family val="2"/>
          </rPr>
          <t xml:space="preserve">
indiquer si la tranche fait l'objet d'une avance
</t>
        </r>
      </text>
    </comment>
    <comment ref="G652" authorId="0" shapeId="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652" authorId="0" shapeId="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653" authorId="0" shapeId="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655"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656" authorId="0" shapeId="0">
      <text>
        <r>
          <rPr>
            <b/>
            <sz val="8"/>
            <color indexed="81"/>
            <rFont val="Tahoma"/>
            <family val="2"/>
          </rPr>
          <t>SARRAZIN David:</t>
        </r>
        <r>
          <rPr>
            <sz val="8"/>
            <color indexed="81"/>
            <rFont val="Tahoma"/>
            <family val="2"/>
          </rPr>
          <t xml:space="preserve">
Sélectionner si le sous traitant est en TVA autoliquidée ou pas.
</t>
        </r>
      </text>
    </comment>
    <comment ref="C656" authorId="0" shapeId="0">
      <text>
        <r>
          <rPr>
            <b/>
            <sz val="8"/>
            <color indexed="81"/>
            <rFont val="Tahoma"/>
            <family val="2"/>
          </rPr>
          <t>SARRAZIN David:</t>
        </r>
        <r>
          <rPr>
            <sz val="8"/>
            <color indexed="81"/>
            <rFont val="Tahoma"/>
            <family val="2"/>
          </rPr>
          <t xml:space="preserve">
Mentionner le nom du sous tritant
</t>
        </r>
      </text>
    </comment>
    <comment ref="G656" authorId="0" shapeId="0">
      <text>
        <r>
          <rPr>
            <b/>
            <sz val="8"/>
            <color indexed="81"/>
            <rFont val="Tahoma"/>
            <family val="2"/>
          </rPr>
          <t>SARRAZIN David:</t>
        </r>
        <r>
          <rPr>
            <sz val="8"/>
            <color indexed="81"/>
            <rFont val="Tahoma"/>
            <family val="2"/>
          </rPr>
          <t xml:space="preserve">
Mentionner le montant du DC4 par sous traitant
</t>
        </r>
      </text>
    </comment>
    <comment ref="E668"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681"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694"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707"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772" authorId="0" shapeId="0">
      <text>
        <r>
          <rPr>
            <b/>
            <sz val="8"/>
            <color indexed="81"/>
            <rFont val="Tahoma"/>
            <family val="2"/>
          </rPr>
          <t>SARRAZIN David:</t>
        </r>
        <r>
          <rPr>
            <sz val="8"/>
            <color indexed="81"/>
            <rFont val="Tahoma"/>
            <family val="2"/>
          </rPr>
          <t xml:space="preserve">
indiquer si la tranche fait l'objet d'une avance
</t>
        </r>
      </text>
    </comment>
    <comment ref="G772" authorId="0" shapeId="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772" authorId="0" shapeId="0">
      <text>
        <r>
          <rPr>
            <b/>
            <sz val="8"/>
            <color indexed="81"/>
            <rFont val="Tahoma"/>
            <family val="2"/>
          </rPr>
          <t>SARRAZIN David:</t>
        </r>
        <r>
          <rPr>
            <sz val="8"/>
            <color indexed="81"/>
            <rFont val="Tahoma"/>
            <family val="2"/>
          </rPr>
          <t xml:space="preserve">
</t>
        </r>
        <r>
          <rPr>
            <sz val="12"/>
            <color indexed="81"/>
            <rFont val="Tahoma"/>
            <family val="2"/>
          </rPr>
          <t>Indiquer ici si la RG est remplacée par une GAPD pendant l'exécution de la tranche.
Cela a pour effet de stopper le calcul de la RG sur la feuille CPP titulaire tout en conservant les montants de RG déjà précomptés (qui seront libérés par un ordre de paiement)</t>
        </r>
      </text>
    </comment>
    <comment ref="I773" authorId="0" shapeId="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 ref="E775" authorId="0" shapeId="0">
      <text>
        <r>
          <rPr>
            <b/>
            <sz val="8"/>
            <color indexed="81"/>
            <rFont val="Tahoma"/>
            <family val="2"/>
          </rPr>
          <t>SARRAZIN David:</t>
        </r>
        <r>
          <rPr>
            <sz val="8"/>
            <color indexed="81"/>
            <rFont val="Tahoma"/>
            <family val="2"/>
          </rPr>
          <t xml:space="preserve">
mentionner le montant HT total (titulaire du ST) pour ensuite opérer la répartition par ST et taux de TVA dan les colonnes E et F
</t>
        </r>
      </text>
    </comment>
    <comment ref="B776" authorId="0" shapeId="0">
      <text>
        <r>
          <rPr>
            <b/>
            <sz val="8"/>
            <color indexed="81"/>
            <rFont val="Tahoma"/>
            <family val="2"/>
          </rPr>
          <t>SARRAZIN David:</t>
        </r>
        <r>
          <rPr>
            <sz val="8"/>
            <color indexed="81"/>
            <rFont val="Tahoma"/>
            <family val="2"/>
          </rPr>
          <t xml:space="preserve">
Sélectionner si le sous traitant est en TVA autoliquidée ou pas.
</t>
        </r>
      </text>
    </comment>
    <comment ref="C776" authorId="0" shapeId="0">
      <text>
        <r>
          <rPr>
            <b/>
            <sz val="8"/>
            <color indexed="81"/>
            <rFont val="Tahoma"/>
            <family val="2"/>
          </rPr>
          <t>SARRAZIN David:</t>
        </r>
        <r>
          <rPr>
            <sz val="8"/>
            <color indexed="81"/>
            <rFont val="Tahoma"/>
            <family val="2"/>
          </rPr>
          <t xml:space="preserve">
Mentionner le nom du sous tritant
</t>
        </r>
      </text>
    </comment>
    <comment ref="G776" authorId="0" shapeId="0">
      <text>
        <r>
          <rPr>
            <b/>
            <sz val="8"/>
            <color indexed="81"/>
            <rFont val="Tahoma"/>
            <family val="2"/>
          </rPr>
          <t>SARRAZIN David:</t>
        </r>
        <r>
          <rPr>
            <sz val="8"/>
            <color indexed="81"/>
            <rFont val="Tahoma"/>
            <family val="2"/>
          </rPr>
          <t xml:space="preserve">
Mentionner le montant du DC4 par sous traitant
</t>
        </r>
      </text>
    </comment>
    <comment ref="E788"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801"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814"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E827" authorId="0" shapeId="0">
      <text>
        <r>
          <rPr>
            <b/>
            <sz val="8"/>
            <color indexed="81"/>
            <rFont val="Tahoma"/>
            <family val="2"/>
          </rPr>
          <t>SARRAZIN David:</t>
        </r>
        <r>
          <rPr>
            <sz val="8"/>
            <color indexed="81"/>
            <rFont val="Tahoma"/>
            <family val="2"/>
          </rPr>
          <t xml:space="preserve">
mentionner le montant du co-traitant ventilés entre les deux taux de TVA. Le montant du titulaire est automatiquement recalculé</t>
        </r>
      </text>
    </comment>
    <comment ref="F892" authorId="0" shapeId="0">
      <text>
        <r>
          <rPr>
            <b/>
            <sz val="8"/>
            <color indexed="81"/>
            <rFont val="Tahoma"/>
            <family val="2"/>
          </rPr>
          <t>SARRAZIN David:</t>
        </r>
        <r>
          <rPr>
            <sz val="8"/>
            <color indexed="81"/>
            <rFont val="Tahoma"/>
            <family val="2"/>
          </rPr>
          <t xml:space="preserve">
</t>
        </r>
        <r>
          <rPr>
            <sz val="11"/>
            <color indexed="81"/>
            <rFont val="Tahoma"/>
            <family val="2"/>
          </rPr>
          <t>indiquer si la tranche fait l'objet d'une garantie et sa forme</t>
        </r>
        <r>
          <rPr>
            <sz val="8"/>
            <color indexed="81"/>
            <rFont val="Tahoma"/>
            <family val="2"/>
          </rPr>
          <t xml:space="preserve">
</t>
        </r>
      </text>
    </comment>
    <comment ref="I893" authorId="0" shapeId="0">
      <text>
        <r>
          <rPr>
            <b/>
            <sz val="8"/>
            <color indexed="81"/>
            <rFont val="Tahoma"/>
            <family val="2"/>
          </rPr>
          <t xml:space="preserve">SARRAZIN David:
</t>
        </r>
        <r>
          <rPr>
            <sz val="12"/>
            <color indexed="81"/>
            <rFont val="Tahoma"/>
            <family val="2"/>
          </rPr>
          <t>mentionner "OUI" si le sous traitant est introduit dés la notification et avant le versment de l'avance
Si vous ne mentionnez rien, le sous traitant est considéré comme introduit après versement de l'avance et vous devez calculer la resitution d'avance suite à cette introduction</t>
        </r>
      </text>
    </comment>
  </commentList>
</comments>
</file>

<file path=xl/comments2.xml><?xml version="1.0" encoding="utf-8"?>
<comments xmlns="http://schemas.openxmlformats.org/spreadsheetml/2006/main">
  <authors>
    <author>SARRAZIN David</author>
  </authors>
  <commentList>
    <comment ref="E42"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52" authorId="0" shapeId="0">
      <text>
        <r>
          <rPr>
            <b/>
            <sz val="8"/>
            <color indexed="81"/>
            <rFont val="Tahoma"/>
            <family val="2"/>
          </rPr>
          <t>SARRAZIN David:</t>
        </r>
        <r>
          <rPr>
            <sz val="8"/>
            <color indexed="81"/>
            <rFont val="Tahoma"/>
            <family val="2"/>
          </rPr>
          <t xml:space="preserve">
SARRAZIN David:
Mentionner ici le montant de l'avance déjà versée (utile si vous avez un affermissement de tranche éligible à l'avance et que l'affermissement intervient après le versement de l'avance sur la tranche ferme)</t>
        </r>
      </text>
    </comment>
  </commentList>
</comments>
</file>

<file path=xl/comments3.xml><?xml version="1.0" encoding="utf-8"?>
<comments xmlns="http://schemas.openxmlformats.org/spreadsheetml/2006/main">
  <authors>
    <author>SARRAZIN David</author>
  </authors>
  <commentList>
    <comment ref="E41"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51"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87"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97"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133"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143"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179"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189"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225"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235"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271"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281"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317"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327"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363"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 ref="E373" authorId="0" shapeId="0">
      <text>
        <r>
          <rPr>
            <b/>
            <sz val="8"/>
            <color indexed="81"/>
            <rFont val="Tahoma"/>
            <family val="2"/>
          </rPr>
          <t>SARRAZIN David:</t>
        </r>
        <r>
          <rPr>
            <sz val="8"/>
            <color indexed="81"/>
            <rFont val="Tahoma"/>
            <family val="2"/>
          </rPr>
          <t xml:space="preserve">
Mentionner ici le montant de l'avance déjà versée (utile si vous avez un affermissement de tranche éligible à l'avance et que l'affermissement intervient après le versement de l'avance sur la tranche ferme)</t>
        </r>
      </text>
    </comment>
  </commentList>
</comments>
</file>

<file path=xl/comments4.xml><?xml version="1.0" encoding="utf-8"?>
<comments xmlns="http://schemas.openxmlformats.org/spreadsheetml/2006/main">
  <authors>
    <author>SARRAZIN David</author>
  </authors>
  <commentList>
    <comment ref="B104" authorId="0" shapeId="0">
      <text>
        <r>
          <rPr>
            <b/>
            <sz val="8"/>
            <color indexed="81"/>
            <rFont val="Tahoma"/>
            <family val="2"/>
          </rPr>
          <t>SARRAZIN David:</t>
        </r>
        <r>
          <rPr>
            <sz val="8"/>
            <color indexed="81"/>
            <rFont val="Tahoma"/>
            <family val="2"/>
          </rPr>
          <t xml:space="preserve">
</t>
        </r>
        <r>
          <rPr>
            <b/>
            <sz val="8"/>
            <color indexed="81"/>
            <rFont val="Tahoma"/>
            <family val="2"/>
          </rPr>
          <t>le montant de l'avance une fois versée ne doit pas être modifiée</t>
        </r>
        <r>
          <rPr>
            <sz val="8"/>
            <color indexed="81"/>
            <rFont val="Tahoma"/>
            <family val="2"/>
          </rPr>
          <t>. Utiliser la ligne 1a en cas de restitution suite DC4</t>
        </r>
      </text>
    </comment>
    <comment ref="C104" authorId="0" shapeId="0">
      <text>
        <r>
          <rPr>
            <b/>
            <sz val="8"/>
            <color indexed="81"/>
            <rFont val="Tahoma"/>
            <family val="2"/>
          </rPr>
          <t>SARRAZIN David:</t>
        </r>
        <r>
          <rPr>
            <sz val="8"/>
            <color indexed="81"/>
            <rFont val="Tahoma"/>
            <family val="2"/>
          </rPr>
          <t xml:space="preserve">
à griser à partir du PV2
</t>
        </r>
      </text>
    </comment>
    <comment ref="B111" authorId="0" shapeId="0">
      <text>
        <r>
          <rPr>
            <b/>
            <sz val="8"/>
            <color indexed="81"/>
            <rFont val="Tahoma"/>
            <family val="2"/>
          </rPr>
          <t>SARRAZIN David:</t>
        </r>
        <r>
          <rPr>
            <sz val="8"/>
            <color indexed="81"/>
            <rFont val="Tahoma"/>
            <family val="2"/>
          </rPr>
          <t xml:space="preserve">
mentionner un montant positif calculé sur la base de la feuille RESTITUTIION AVANCE SUITE DC4
</t>
        </r>
      </text>
    </comment>
    <comment ref="C131" authorId="0" shapeId="0">
      <text>
        <r>
          <rPr>
            <b/>
            <sz val="8"/>
            <color indexed="81"/>
            <rFont val="Tahoma"/>
            <family val="2"/>
          </rPr>
          <t>SARRAZIN David:</t>
        </r>
        <r>
          <rPr>
            <sz val="8"/>
            <color indexed="81"/>
            <rFont val="Tahoma"/>
            <family val="2"/>
          </rPr>
          <t xml:space="preserve">
à griser à partir du PV2</t>
        </r>
      </text>
    </comment>
    <comment ref="B167" authorId="0" shapeId="0">
      <text>
        <r>
          <rPr>
            <b/>
            <sz val="8"/>
            <color indexed="81"/>
            <rFont val="Tahoma"/>
            <family val="2"/>
          </rPr>
          <t>SARRAZIN David:</t>
        </r>
        <r>
          <rPr>
            <sz val="8"/>
            <color indexed="81"/>
            <rFont val="Tahoma"/>
            <family val="2"/>
          </rPr>
          <t xml:space="preserve">
ATTENTION LIGNE 2 (si pas de RG) ou 3 si il y a RG
</t>
        </r>
      </text>
    </comment>
    <comment ref="B178" authorId="0" shapeId="0">
      <text>
        <r>
          <rPr>
            <b/>
            <sz val="8"/>
            <color indexed="81"/>
            <rFont val="Tahoma"/>
            <family val="2"/>
          </rPr>
          <t>SARRAZIN David:</t>
        </r>
        <r>
          <rPr>
            <sz val="8"/>
            <color indexed="81"/>
            <rFont val="Tahoma"/>
            <family val="2"/>
          </rPr>
          <t xml:space="preserve">
ATTENTION la réfaction se fait au DGD, ne rien inscrire ici avant le DG
Emettre un titre de recettes
</t>
        </r>
      </text>
    </comment>
    <comment ref="D181" authorId="0" shapeId="0">
      <text>
        <r>
          <rPr>
            <b/>
            <sz val="8"/>
            <color indexed="81"/>
            <rFont val="Tahoma"/>
            <family val="2"/>
          </rPr>
          <t>SARRAZIN David:</t>
        </r>
        <r>
          <rPr>
            <sz val="8"/>
            <color indexed="81"/>
            <rFont val="Tahoma"/>
            <family val="2"/>
          </rPr>
          <t xml:space="preserve">
17
-somme des montants à payer sur les autres prestataires
</t>
        </r>
      </text>
    </comment>
  </commentList>
</comments>
</file>

<file path=xl/comments5.xml><?xml version="1.0" encoding="utf-8"?>
<comments xmlns="http://schemas.openxmlformats.org/spreadsheetml/2006/main">
  <authors>
    <author>SARRAZIN David</author>
  </authors>
  <commentList>
    <comment ref="D27" authorId="0" shapeId="0">
      <text>
        <r>
          <rPr>
            <b/>
            <sz val="8"/>
            <color indexed="81"/>
            <rFont val="Tahoma"/>
            <family val="2"/>
          </rPr>
          <t>SARRAZIN David:</t>
        </r>
        <r>
          <rPr>
            <sz val="8"/>
            <color indexed="81"/>
            <rFont val="Tahoma"/>
            <family val="2"/>
          </rPr>
          <t xml:space="preserve">
indiquer ici le nom du ou des sous-traitants concernés
</t>
        </r>
      </text>
    </comment>
  </commentList>
</comments>
</file>

<file path=xl/comments6.xml><?xml version="1.0" encoding="utf-8"?>
<comments xmlns="http://schemas.openxmlformats.org/spreadsheetml/2006/main">
  <authors>
    <author>SARRAZIN David</author>
  </authors>
  <commentList>
    <comment ref="B110" authorId="0" shapeId="0">
      <text>
        <r>
          <rPr>
            <b/>
            <sz val="8"/>
            <color indexed="81"/>
            <rFont val="Tahoma"/>
            <family val="2"/>
          </rPr>
          <t>SARRAZIN David:</t>
        </r>
        <r>
          <rPr>
            <sz val="8"/>
            <color indexed="81"/>
            <rFont val="Tahoma"/>
            <family val="2"/>
          </rPr>
          <t xml:space="preserve">
le montant de l'avance une fois versée ne doit pas être modifiée. Utiliser la ligne 1a en cas de restitution suite DC4</t>
        </r>
      </text>
    </comment>
    <comment ref="C110" authorId="0" shapeId="0">
      <text>
        <r>
          <rPr>
            <b/>
            <sz val="8"/>
            <color indexed="81"/>
            <rFont val="Tahoma"/>
            <family val="2"/>
          </rPr>
          <t>SARRAZIN David:</t>
        </r>
        <r>
          <rPr>
            <sz val="8"/>
            <color indexed="81"/>
            <rFont val="Tahoma"/>
            <family val="2"/>
          </rPr>
          <t xml:space="preserve">
à griser à partir du PV2
</t>
        </r>
      </text>
    </comment>
    <comment ref="B111" authorId="0" shapeId="0">
      <text>
        <r>
          <rPr>
            <b/>
            <sz val="8"/>
            <color indexed="81"/>
            <rFont val="Tahoma"/>
            <family val="2"/>
          </rPr>
          <t>SARRAZIN David:</t>
        </r>
        <r>
          <rPr>
            <sz val="8"/>
            <color indexed="81"/>
            <rFont val="Tahoma"/>
            <family val="2"/>
          </rPr>
          <t xml:space="preserve">
mentionner un montant positif calculé sur la base de la feuille xxxxx
</t>
        </r>
      </text>
    </comment>
    <comment ref="C122" authorId="0" shapeId="0">
      <text>
        <r>
          <rPr>
            <b/>
            <sz val="8"/>
            <color indexed="81"/>
            <rFont val="Tahoma"/>
            <family val="2"/>
          </rPr>
          <t>SARRAZIN David:</t>
        </r>
        <r>
          <rPr>
            <sz val="8"/>
            <color indexed="81"/>
            <rFont val="Tahoma"/>
            <family val="2"/>
          </rPr>
          <t xml:space="preserve">
à griser à partir du PV2</t>
        </r>
      </text>
    </comment>
    <comment ref="B134" authorId="0" shapeId="0">
      <text>
        <r>
          <rPr>
            <b/>
            <sz val="8"/>
            <color indexed="81"/>
            <rFont val="Tahoma"/>
            <family val="2"/>
          </rPr>
          <t>SARRAZIN David:</t>
        </r>
        <r>
          <rPr>
            <sz val="8"/>
            <color indexed="81"/>
            <rFont val="Tahoma"/>
            <family val="2"/>
          </rPr>
          <t xml:space="preserve">
ATTENTION LIGNE 2 du mandat
</t>
        </r>
      </text>
    </comment>
    <comment ref="B143" authorId="0" shapeId="0">
      <text>
        <r>
          <rPr>
            <b/>
            <sz val="8"/>
            <color indexed="81"/>
            <rFont val="Tahoma"/>
            <family val="2"/>
          </rPr>
          <t>SARRAZIN David:</t>
        </r>
        <r>
          <rPr>
            <sz val="8"/>
            <color indexed="81"/>
            <rFont val="Tahoma"/>
            <family val="2"/>
          </rPr>
          <t xml:space="preserve">
ATTENTION LIGNE 2 (si pas de RG) ou 3 si il y a RG
</t>
        </r>
      </text>
    </comment>
    <comment ref="B153" authorId="0" shapeId="0">
      <text>
        <r>
          <rPr>
            <b/>
            <sz val="8"/>
            <color indexed="81"/>
            <rFont val="Tahoma"/>
            <family val="2"/>
          </rPr>
          <t>SARRAZIN David:</t>
        </r>
        <r>
          <rPr>
            <sz val="8"/>
            <color indexed="81"/>
            <rFont val="Tahoma"/>
            <family val="2"/>
          </rPr>
          <t xml:space="preserve">
ATTENTION la réfaction se fait au DGD, ne rien inscrire ici avant le DG
Emettre un titre de recettes
</t>
        </r>
      </text>
    </comment>
    <comment ref="D156" authorId="0" shapeId="0">
      <text>
        <r>
          <rPr>
            <b/>
            <sz val="8"/>
            <color indexed="81"/>
            <rFont val="Tahoma"/>
            <family val="2"/>
          </rPr>
          <t>SARRAZIN David:</t>
        </r>
        <r>
          <rPr>
            <sz val="8"/>
            <color indexed="81"/>
            <rFont val="Tahoma"/>
            <family val="2"/>
          </rPr>
          <t xml:space="preserve">
20-21-somme des montants à payer sur les autres prestataires
</t>
        </r>
      </text>
    </comment>
  </commentList>
</comments>
</file>

<file path=xl/comments7.xml><?xml version="1.0" encoding="utf-8"?>
<comments xmlns="http://schemas.openxmlformats.org/spreadsheetml/2006/main">
  <authors>
    <author>SARRAZIN David</author>
  </authors>
  <commentList>
    <comment ref="C35" authorId="0" shapeId="0">
      <text>
        <r>
          <rPr>
            <b/>
            <sz val="8"/>
            <color indexed="81"/>
            <rFont val="Tahoma"/>
            <family val="2"/>
          </rPr>
          <t>SARRAZIN David:</t>
        </r>
        <r>
          <rPr>
            <sz val="8"/>
            <color indexed="81"/>
            <rFont val="Tahoma"/>
            <family val="2"/>
          </rPr>
          <t xml:space="preserve">
à griser à partir du PV2
</t>
        </r>
      </text>
    </comment>
    <comment ref="C47" authorId="0" shapeId="0">
      <text>
        <r>
          <rPr>
            <b/>
            <sz val="8"/>
            <color indexed="81"/>
            <rFont val="Tahoma"/>
            <family val="2"/>
          </rPr>
          <t>SARRAZIN David:</t>
        </r>
        <r>
          <rPr>
            <sz val="8"/>
            <color indexed="81"/>
            <rFont val="Tahoma"/>
            <family val="2"/>
          </rPr>
          <t xml:space="preserve">
à griser à partir du PV2</t>
        </r>
      </text>
    </comment>
    <comment ref="B58" authorId="0" shapeId="0">
      <text>
        <r>
          <rPr>
            <b/>
            <sz val="8"/>
            <color indexed="81"/>
            <rFont val="Tahoma"/>
            <family val="2"/>
          </rPr>
          <t>SARRAZIN David:</t>
        </r>
        <r>
          <rPr>
            <sz val="8"/>
            <color indexed="81"/>
            <rFont val="Tahoma"/>
            <family val="2"/>
          </rPr>
          <t xml:space="preserve">
ATTENTION LIGNE 2 du mandat
</t>
        </r>
      </text>
    </comment>
    <comment ref="B59" authorId="0" shapeId="0">
      <text>
        <r>
          <rPr>
            <b/>
            <sz val="8"/>
            <color indexed="81"/>
            <rFont val="Tahoma"/>
            <family val="2"/>
          </rPr>
          <t>SARRAZIN David:</t>
        </r>
        <r>
          <rPr>
            <sz val="8"/>
            <color indexed="81"/>
            <rFont val="Tahoma"/>
            <family val="2"/>
          </rPr>
          <t xml:space="preserve">
ATTENTION LIGNE 2 (si pas de RG) ou 3 si il y a RG
</t>
        </r>
      </text>
    </comment>
    <comment ref="B70" authorId="0" shapeId="0">
      <text>
        <r>
          <rPr>
            <b/>
            <sz val="8"/>
            <color indexed="81"/>
            <rFont val="Tahoma"/>
            <family val="2"/>
          </rPr>
          <t>SARRAZIN David:</t>
        </r>
        <r>
          <rPr>
            <sz val="8"/>
            <color indexed="81"/>
            <rFont val="Tahoma"/>
            <family val="2"/>
          </rPr>
          <t xml:space="preserve">
ATTENTION la réfaction se fait au DGD, ne rien inscrire ici avant le DG
Emettre un titre de recettes
</t>
        </r>
      </text>
    </comment>
  </commentList>
</comments>
</file>

<file path=xl/sharedStrings.xml><?xml version="1.0" encoding="utf-8"?>
<sst xmlns="http://schemas.openxmlformats.org/spreadsheetml/2006/main" count="1921" uniqueCount="589">
  <si>
    <t>CERTIFICAT DE PAIEMENT N°</t>
  </si>
  <si>
    <t>Titulaire</t>
  </si>
  <si>
    <t>Opération :</t>
  </si>
  <si>
    <t>Titulaire :</t>
  </si>
  <si>
    <t>n° marché :</t>
  </si>
  <si>
    <t>n°engagement :</t>
  </si>
  <si>
    <t>Mois de réalisation :</t>
  </si>
  <si>
    <t>ECONOMIE GENERALE DU CONTRAT</t>
  </si>
  <si>
    <t>Taux de TVA</t>
  </si>
  <si>
    <t>Tranche ferme HT</t>
  </si>
  <si>
    <t>Tranche optionnelle 1 HT</t>
  </si>
  <si>
    <t>Tranche optionnelle 2 HT</t>
  </si>
  <si>
    <t>Tranche optionnelle 3 HT</t>
  </si>
  <si>
    <t>Montant OS et avenants HT</t>
  </si>
  <si>
    <t>Sous total HT</t>
  </si>
  <si>
    <t>Montant TVA</t>
  </si>
  <si>
    <t>Sous total TTC</t>
  </si>
  <si>
    <t>TOTAL TTC</t>
  </si>
  <si>
    <t>CALCUL DE L'ACOMPTE</t>
  </si>
  <si>
    <t>Avance HT</t>
  </si>
  <si>
    <t>2a</t>
  </si>
  <si>
    <t>Tranche Ferme HT</t>
  </si>
  <si>
    <t>TO 1 HT</t>
  </si>
  <si>
    <t>TO 2 HT</t>
  </si>
  <si>
    <t>TO 3 HT</t>
  </si>
  <si>
    <t>2b</t>
  </si>
  <si>
    <t>2c</t>
  </si>
  <si>
    <t>2d</t>
  </si>
  <si>
    <t>avenants et OS</t>
  </si>
  <si>
    <t>2e</t>
  </si>
  <si>
    <t>Mensuel</t>
  </si>
  <si>
    <t>avancement</t>
  </si>
  <si>
    <t>Avancement du marché gobale (TF + T0 + Avenants)</t>
  </si>
  <si>
    <t>VENTILATION PAR ENTITES € HT</t>
  </si>
  <si>
    <t>Type</t>
  </si>
  <si>
    <t>Nom</t>
  </si>
  <si>
    <t>Montant</t>
  </si>
  <si>
    <t>janvier</t>
  </si>
  <si>
    <t>février</t>
  </si>
  <si>
    <t>mars</t>
  </si>
  <si>
    <t>avril</t>
  </si>
  <si>
    <t>mai</t>
  </si>
  <si>
    <t>juin</t>
  </si>
  <si>
    <t>juillet</t>
  </si>
  <si>
    <t>août</t>
  </si>
  <si>
    <t>septembre</t>
  </si>
  <si>
    <t>octobre</t>
  </si>
  <si>
    <t>novembre</t>
  </si>
  <si>
    <t>décembre</t>
  </si>
  <si>
    <t>Année :</t>
  </si>
  <si>
    <t>actualisation</t>
  </si>
  <si>
    <t>Révision</t>
  </si>
  <si>
    <t>TVA avance</t>
  </si>
  <si>
    <t>TVA Tranche ferme</t>
  </si>
  <si>
    <t>TVA TO 1</t>
  </si>
  <si>
    <t>TVA TO 3</t>
  </si>
  <si>
    <t>TVA TO 2</t>
  </si>
  <si>
    <t>TVA avenants et OS</t>
  </si>
  <si>
    <t>TVA actualisation</t>
  </si>
  <si>
    <t>TVA révision</t>
  </si>
  <si>
    <t>GAPD</t>
  </si>
  <si>
    <t>Retenue de pénalités provisoires TTC</t>
  </si>
  <si>
    <t>Cumul général</t>
  </si>
  <si>
    <t>Mandats émis antérieurement</t>
  </si>
  <si>
    <t>Acompte à payer</t>
  </si>
  <si>
    <t>S</t>
  </si>
  <si>
    <t>dont Tiulaire</t>
  </si>
  <si>
    <t>dont Sous-traitant</t>
  </si>
  <si>
    <t>dont Co-traitant</t>
  </si>
  <si>
    <t>nom</t>
  </si>
  <si>
    <t>Co-traitant</t>
  </si>
  <si>
    <t>total</t>
  </si>
  <si>
    <t>Lycée / site :</t>
  </si>
  <si>
    <t>Réfaction</t>
  </si>
  <si>
    <t>mensuel</t>
  </si>
  <si>
    <t>Acompte à payer TTC</t>
  </si>
  <si>
    <t>Montant mensuel HT</t>
  </si>
  <si>
    <t>montant antérieur HT</t>
  </si>
  <si>
    <t>Montant cumulé HT</t>
  </si>
  <si>
    <t>restant du HT</t>
  </si>
  <si>
    <t>Mandats antérieurs</t>
  </si>
  <si>
    <t>PV</t>
  </si>
  <si>
    <t>N°mandat</t>
  </si>
  <si>
    <t>Montant TTC</t>
  </si>
  <si>
    <t>Titres de recettes antérieurs</t>
  </si>
  <si>
    <t>N° titre</t>
  </si>
  <si>
    <t>Lycée</t>
  </si>
  <si>
    <t>"ÉDOUARD BRANLY"</t>
  </si>
  <si>
    <t>"LE VERGER"</t>
  </si>
  <si>
    <t>"MARCELIN BERTHELOT"</t>
  </si>
  <si>
    <t>"ANDRÉ THEURIET"</t>
  </si>
  <si>
    <t>"LES TERRES ROUGES"</t>
  </si>
  <si>
    <t>"PILOTE INNOVANT INTERNATIONAL"</t>
  </si>
  <si>
    <t>"GUY CHAUVET"</t>
  </si>
  <si>
    <t>"MARC GODRIE"</t>
  </si>
  <si>
    <t>EREA</t>
  </si>
  <si>
    <t>"ANNE FRANK"</t>
  </si>
  <si>
    <t>"JEAN-MARIE BOULOUX"</t>
  </si>
  <si>
    <t>"JEAN MOULIN"</t>
  </si>
  <si>
    <t>"RAOUL MORTIER"</t>
  </si>
  <si>
    <t>"ALIÉNOR D'AQUITAINE"</t>
  </si>
  <si>
    <t>"AUGUSTE PERRET"</t>
  </si>
  <si>
    <t>"CAMILLE GUÉRIN"</t>
  </si>
  <si>
    <t>"KYOTO"</t>
  </si>
  <si>
    <t>"LE BOIS D'AMOUR"</t>
  </si>
  <si>
    <t>"LE DOLMEN"</t>
  </si>
  <si>
    <t>"NELSON MANDELA"</t>
  </si>
  <si>
    <t>"RÉAUMUR"</t>
  </si>
  <si>
    <t>"VICTOR HUGO"</t>
  </si>
  <si>
    <t>"XAVIER BERNARD"</t>
  </si>
  <si>
    <t>"DANIÈLE MATHIRON"</t>
  </si>
  <si>
    <t>lycée</t>
  </si>
  <si>
    <t>"LÉONARD DE VINCI"</t>
  </si>
  <si>
    <t>"LES SICAUDIÈRES"</t>
  </si>
  <si>
    <t>"MAURICE GENEVOIX"/"SIMONE SIGNORET"</t>
  </si>
  <si>
    <t>"JEAN-FRANCOIS CAIL"</t>
  </si>
  <si>
    <t>"JACQUES BUJAULT"</t>
  </si>
  <si>
    <t>"JOSEPH DESFONTAINES"</t>
  </si>
  <si>
    <t>"GASTON BARRÉ"</t>
  </si>
  <si>
    <t>"GASTON CHAISSAC"</t>
  </si>
  <si>
    <t>"JEAN MACÉ"</t>
  </si>
  <si>
    <t>"LA VENISE VERTE"</t>
  </si>
  <si>
    <t>"PAUL GUERIN"</t>
  </si>
  <si>
    <t>"THOMAS-JEAN MAIN"</t>
  </si>
  <si>
    <t>"ERNEST PÉROCHON"</t>
  </si>
  <si>
    <t>"LES GRIPPEAUX"</t>
  </si>
  <si>
    <t>"FRANCOISE DOLTO"</t>
  </si>
  <si>
    <t>"HAUT VAL DE SÈVRE"</t>
  </si>
  <si>
    <t>"J.MOULIN"(79)</t>
  </si>
  <si>
    <t>"DE LA MER ET DU LITTORAL"</t>
  </si>
  <si>
    <t>"JEAN HYPPOLITE"</t>
  </si>
  <si>
    <t>"LE RENAUDIN"</t>
  </si>
  <si>
    <t>"JEAN DAUTET"</t>
  </si>
  <si>
    <t>"LÉONCE VIELJEUX"</t>
  </si>
  <si>
    <t>"HOTELIER DU PARC DE LA FRANCOPHONIE"</t>
  </si>
  <si>
    <t>"PIERRE DORIOLE"</t>
  </si>
  <si>
    <t>"RENÉ-JOSUÉ VALIN"</t>
  </si>
  <si>
    <t>"ROMPSAY"</t>
  </si>
  <si>
    <t>"ANTOINE DE SAINT EXUPÉRY"</t>
  </si>
  <si>
    <t>"EMILE COMBES"</t>
  </si>
  <si>
    <t>"GILLES JAMAIN"</t>
  </si>
  <si>
    <t>"MARCEL DASSAULT"</t>
  </si>
  <si>
    <t>"MAURICE MERLEAU PONTY"</t>
  </si>
  <si>
    <t>de "L'ATLANTIQUE"</t>
  </si>
  <si>
    <t>"CORDOUAN"</t>
  </si>
  <si>
    <t>"BELLEVUE"</t>
  </si>
  <si>
    <t>"BERNARD PALISSY"</t>
  </si>
  <si>
    <t>"LE PETIT CHADIGNAC"</t>
  </si>
  <si>
    <t>"THÉODORE MONOD"</t>
  </si>
  <si>
    <t>"BLAISE PASCAL"</t>
  </si>
  <si>
    <t>"LOUIS-AUDOUIN DUBREUIL"</t>
  </si>
  <si>
    <t>"ENILIA-ENSMIC"</t>
  </si>
  <si>
    <t>"GEORGES DESCLAUDES"</t>
  </si>
  <si>
    <t>"MARITIME ET ACQUACOLE"</t>
  </si>
  <si>
    <t>"PAYS D'AUNIS"</t>
  </si>
  <si>
    <t>"CHARLES-AUGUSTIN COULOMB"</t>
  </si>
  <si>
    <t>"GUEZ DE BALZAC"</t>
  </si>
  <si>
    <t>"DE L'IMAGE ET DU SON"</t>
  </si>
  <si>
    <t>"JEAN ROSTAND"</t>
  </si>
  <si>
    <t>"MARGUERITE DE VALOIS"</t>
  </si>
  <si>
    <t>"DE SILLAC"</t>
  </si>
  <si>
    <t>"ÉLIE VINET"</t>
  </si>
  <si>
    <t>"FÉLIX GAILLARD"</t>
  </si>
  <si>
    <t>"PIERRE-ANDRÉ CHABANNE"</t>
  </si>
  <si>
    <t>"JEAN MONNET"</t>
  </si>
  <si>
    <t>"LOUIS DELAGE"</t>
  </si>
  <si>
    <t>"ÉMILE ROUX"</t>
  </si>
  <si>
    <t>"L'OISELLERIE"</t>
  </si>
  <si>
    <t>"LES CHIRONS"</t>
  </si>
  <si>
    <t>"JEAN CAILLAUD"</t>
  </si>
  <si>
    <t>"LOUISE MICHEL"</t>
  </si>
  <si>
    <t>"JEAN-ALBERT GRÉGOIRE"</t>
  </si>
  <si>
    <t>Cumulé antérieur
TVA</t>
  </si>
  <si>
    <t>DGD</t>
  </si>
  <si>
    <t>TVA remboursement avance
(avancement travaux)</t>
  </si>
  <si>
    <t>Remboursement avance HT
(avancement travaux)</t>
  </si>
  <si>
    <r>
      <t>Sous-Total travaux (</t>
    </r>
    <r>
      <rPr>
        <sz val="14"/>
        <color theme="1"/>
        <rFont val="Symbol"/>
        <family val="1"/>
        <charset val="2"/>
      </rPr>
      <t>S</t>
    </r>
    <r>
      <rPr>
        <sz val="14"/>
        <color theme="1"/>
        <rFont val="Calibri"/>
        <family val="2"/>
      </rPr>
      <t>2 HT)</t>
    </r>
  </si>
  <si>
    <t>3a</t>
  </si>
  <si>
    <t>3b</t>
  </si>
  <si>
    <t>7a</t>
  </si>
  <si>
    <r>
      <t>Total des retenues TTC (</t>
    </r>
    <r>
      <rPr>
        <sz val="14"/>
        <color theme="1"/>
        <rFont val="Symbol"/>
        <family val="1"/>
        <charset val="2"/>
      </rPr>
      <t>S</t>
    </r>
    <r>
      <rPr>
        <sz val="14"/>
        <color theme="1"/>
        <rFont val="Calibri"/>
        <family val="2"/>
        <scheme val="minor"/>
      </rPr>
      <t xml:space="preserve"> 12 13+14)</t>
    </r>
  </si>
  <si>
    <t>Titu</t>
  </si>
  <si>
    <t>ST TVA autoliquidée</t>
  </si>
  <si>
    <t>ST TVA non-autoliquidée</t>
  </si>
  <si>
    <t>1a</t>
  </si>
  <si>
    <t>restitution avance suite DC4</t>
  </si>
  <si>
    <t>1b</t>
  </si>
  <si>
    <t>Autres retenues provisoires TTC</t>
  </si>
  <si>
    <t>6a</t>
  </si>
  <si>
    <t>6b</t>
  </si>
  <si>
    <t>6c</t>
  </si>
  <si>
    <t>6d</t>
  </si>
  <si>
    <t>6e</t>
  </si>
  <si>
    <t>6f</t>
  </si>
  <si>
    <t>TVA restitution avance suite DC4</t>
  </si>
  <si>
    <r>
      <t>Sous-Total TVA (</t>
    </r>
    <r>
      <rPr>
        <sz val="14"/>
        <color theme="1"/>
        <rFont val="Symbol"/>
        <family val="1"/>
        <charset val="2"/>
      </rPr>
      <t>S 6 - 7)</t>
    </r>
  </si>
  <si>
    <t>N° marché :</t>
  </si>
  <si>
    <t>Pourcentage de l'avance</t>
  </si>
  <si>
    <t>Montant des acomptes déjà effectués HT</t>
  </si>
  <si>
    <t>Facture transmise pour paiement HT</t>
  </si>
  <si>
    <t>Total des prestations réalisées HT</t>
  </si>
  <si>
    <t>% des prestations réalisées(total des acomptes payées et facture à payer sur total marché)</t>
  </si>
  <si>
    <t>MONTANT A DEDUIRE DE LA PRESENTE SITUATION  :</t>
  </si>
  <si>
    <t>Montant Avance HT x taux de remboursement</t>
  </si>
  <si>
    <t>____________________</t>
  </si>
  <si>
    <t>Ecart de remboursement</t>
  </si>
  <si>
    <t>Montant avance déjà récupéré</t>
  </si>
  <si>
    <t>Montant avance à récupérer</t>
  </si>
  <si>
    <t>Borne de début de remboursement</t>
  </si>
  <si>
    <t>Ici remboursement à hauteur de (en %)</t>
  </si>
  <si>
    <t>ETAT LIQUIDATIF DE VERSEMENT DE L’AVANCE</t>
  </si>
  <si>
    <t>Sous-Total TTC 5 + 8</t>
  </si>
  <si>
    <t>info RG à mandater en ligne 2</t>
  </si>
  <si>
    <t>département</t>
  </si>
  <si>
    <t>au</t>
  </si>
  <si>
    <t>à l'</t>
  </si>
  <si>
    <t>_16</t>
  </si>
  <si>
    <t>_17</t>
  </si>
  <si>
    <t>_79</t>
  </si>
  <si>
    <t>_86</t>
  </si>
  <si>
    <t>montant après ST</t>
  </si>
  <si>
    <t>AVANCE</t>
  </si>
  <si>
    <t>ACTUALISATION</t>
  </si>
  <si>
    <t>REVISION</t>
  </si>
  <si>
    <t>TABLEAU DE REVISION TITULAIRE</t>
  </si>
  <si>
    <t>Cn = 0,15 + 0,85 (In / Io)</t>
  </si>
  <si>
    <t>SITUATIONS</t>
  </si>
  <si>
    <t>MOIS EXECUTION TRAVAUX</t>
  </si>
  <si>
    <t>BT mo</t>
  </si>
  <si>
    <t>BT m</t>
  </si>
  <si>
    <t>Coeff de révisions</t>
  </si>
  <si>
    <t>arrondi</t>
  </si>
  <si>
    <t>D</t>
  </si>
  <si>
    <t>P</t>
  </si>
  <si>
    <t>TOTAL</t>
  </si>
  <si>
    <t>TVA</t>
  </si>
  <si>
    <t>(p) : index provisoire</t>
  </si>
  <si>
    <t>D : index définitif</t>
  </si>
  <si>
    <t>TABLEAU DE REVISION CO-TRAITANT</t>
  </si>
  <si>
    <t>OUI</t>
  </si>
  <si>
    <t>NON</t>
  </si>
  <si>
    <t>info restitution suite DC4 TDR</t>
  </si>
  <si>
    <t>Montant intial TVA</t>
  </si>
  <si>
    <t>Indiquer à droite les montants des sous traitants HT</t>
  </si>
  <si>
    <t>Tranche FERME</t>
  </si>
  <si>
    <t>Tranche OPTIONNELLE 1</t>
  </si>
  <si>
    <t>Tranche OPTIONNELLE 2</t>
  </si>
  <si>
    <t>Cotraitant</t>
  </si>
  <si>
    <t>Tranche OPTIONNELLE 3</t>
  </si>
  <si>
    <t>TOTAL (3b + 4)</t>
  </si>
  <si>
    <t>numérateur</t>
  </si>
  <si>
    <t>dénominateur</t>
  </si>
  <si>
    <t>ETAT LIQUIDATIF  DE RECUPERATION DE L'AVANCE</t>
  </si>
  <si>
    <t>Objet :</t>
  </si>
  <si>
    <t>AE</t>
  </si>
  <si>
    <t>CCAP</t>
  </si>
  <si>
    <t>l'article 3</t>
  </si>
  <si>
    <t>l'article 4</t>
  </si>
  <si>
    <t>l'article 5</t>
  </si>
  <si>
    <t>l'article 6</t>
  </si>
  <si>
    <t>l'article 7</t>
  </si>
  <si>
    <t>Le Président du Conseil Régional, ordonnateur de la Région Nouvelle-Aquitaine,</t>
  </si>
  <si>
    <t>CERTIFIE</t>
  </si>
  <si>
    <r>
      <t>Qu‘il convient de mandater au profit de</t>
    </r>
    <r>
      <rPr>
        <b/>
        <sz val="11"/>
        <color rgb="FF0000CC"/>
        <rFont val="Verdana"/>
        <family val="2"/>
      </rPr>
      <t/>
    </r>
  </si>
  <si>
    <t>Montant initial TVA</t>
  </si>
  <si>
    <t>Tranche Ferme</t>
  </si>
  <si>
    <t>Tranche Optionnelle 1</t>
  </si>
  <si>
    <t>Tranche Optionnelle 2</t>
  </si>
  <si>
    <t>OS et avenants</t>
  </si>
  <si>
    <t>Cotraitant :</t>
  </si>
  <si>
    <t>S HT</t>
  </si>
  <si>
    <t>reste à repartir</t>
  </si>
  <si>
    <t>taux avance</t>
  </si>
  <si>
    <t>Maître d'ouvrage :</t>
  </si>
  <si>
    <t>N° Marché :</t>
  </si>
  <si>
    <t>CALCUL DE L'ACTUALISATION :</t>
  </si>
  <si>
    <t>Indice (I) :</t>
  </si>
  <si>
    <t>Mois d-3 :</t>
  </si>
  <si>
    <t>Mois Mo :</t>
  </si>
  <si>
    <r>
      <t xml:space="preserve">Formule d'actualisation : Id-3 / Io
</t>
    </r>
    <r>
      <rPr>
        <sz val="8"/>
        <rFont val="Arial"/>
        <family val="2"/>
      </rPr>
      <t>(suivant CCAP)</t>
    </r>
  </si>
  <si>
    <t>Montant travaux réalisés HT TVA 10%</t>
  </si>
  <si>
    <t>Id-3</t>
  </si>
  <si>
    <t>Io</t>
  </si>
  <si>
    <t>Cn</t>
  </si>
  <si>
    <r>
      <t xml:space="preserve">Cn-1
</t>
    </r>
    <r>
      <rPr>
        <sz val="8"/>
        <rFont val="Arial"/>
        <family val="2"/>
      </rPr>
      <t>(arrondi svt CCAP)</t>
    </r>
  </si>
  <si>
    <t>Entreprise titulaire</t>
  </si>
  <si>
    <t>Montant travaux réalisés
HT TVA 20%</t>
  </si>
  <si>
    <t>TITULAIRE</t>
  </si>
  <si>
    <t>COTRAITANT</t>
  </si>
  <si>
    <t>Montant du marché HT TVA</t>
  </si>
  <si>
    <t>Montant actualisation TVA</t>
  </si>
  <si>
    <t>total ht</t>
  </si>
  <si>
    <t>Montant d'avance récupérée suite DC4</t>
  </si>
  <si>
    <t>Nouveau montant d'avance 
(suite introduction DC4)</t>
  </si>
  <si>
    <t>Restitution d'avance du au Sous-traitant</t>
  </si>
  <si>
    <t>Créancier</t>
  </si>
  <si>
    <t xml:space="preserve">Titulaire : </t>
  </si>
  <si>
    <t>S/Traitant :</t>
  </si>
  <si>
    <t>Co-Traitant :</t>
  </si>
  <si>
    <t>Nom :</t>
  </si>
  <si>
    <t>Objet du marché</t>
  </si>
  <si>
    <t>Mandat du versement de l'avance au  titulaire du marché</t>
  </si>
  <si>
    <t>Mandat n°</t>
  </si>
  <si>
    <t>Motif de l'Ordre de Recette</t>
  </si>
  <si>
    <t>Etat liquidatif</t>
  </si>
  <si>
    <t xml:space="preserve">Taux de TVA : </t>
  </si>
  <si>
    <t xml:space="preserve">Taux de l'avance : </t>
  </si>
  <si>
    <t>Montant de l'avance versée au titulaire HT</t>
  </si>
  <si>
    <t>Montant sous-traité HT</t>
  </si>
  <si>
    <t>Nouvelle part titulaire</t>
  </si>
  <si>
    <t>Montant de l'avance due au titulaire</t>
  </si>
  <si>
    <t>MONTANT NET A RECUPERER HT</t>
  </si>
  <si>
    <t>Arrété le présent ordre de recette à la somme figurant ci-dessus</t>
  </si>
  <si>
    <t xml:space="preserve">Fait à                                      le </t>
  </si>
  <si>
    <t>Marché n°</t>
  </si>
  <si>
    <t>Acceptation du sous-traitant</t>
  </si>
  <si>
    <t xml:space="preserve">  en cours d'exécution du marché</t>
  </si>
  <si>
    <t>Durée du marché en mois :</t>
  </si>
  <si>
    <t xml:space="preserve">Que le montant HT du marché s'élève à </t>
  </si>
  <si>
    <t>TOTAL TVA</t>
  </si>
  <si>
    <t>Total TTC</t>
  </si>
  <si>
    <t xml:space="preserve">une avance d'un montant TTC de </t>
  </si>
  <si>
    <t>Mo</t>
  </si>
  <si>
    <t>Indice Mo</t>
  </si>
  <si>
    <t>Nom indice</t>
  </si>
  <si>
    <t>TVA restitution avance suite DC4 (pour info)</t>
  </si>
  <si>
    <t>Titres de recettes antérieurs (pour info)</t>
  </si>
  <si>
    <t>Montant initial de l'avance</t>
  </si>
  <si>
    <t>MODELE UNIQUEMENT POUR LE REMBOURSEMENT DE L'AVANCE SUITE A l'AVANCEMENT DE TRAVAUX / PAS POUR LA RECUPERATION SUITE INTRO DC4</t>
  </si>
  <si>
    <t>année</t>
  </si>
  <si>
    <t>numéro</t>
  </si>
  <si>
    <r>
      <t>Sous-Total TVA (</t>
    </r>
    <r>
      <rPr>
        <sz val="14"/>
        <color theme="1"/>
        <rFont val="Symbol"/>
        <family val="1"/>
        <charset val="2"/>
      </rPr>
      <t>S 6-7)</t>
    </r>
  </si>
  <si>
    <t>ne remplir que les cases vertes</t>
  </si>
  <si>
    <t>Ordre de service du (JJ/MM/AAAA) :</t>
  </si>
  <si>
    <t>Montant TRVX réalisé TVA</t>
  </si>
  <si>
    <t>Montant Révision TVA</t>
  </si>
  <si>
    <t>P/D</t>
  </si>
  <si>
    <t>Avance déjà versée</t>
  </si>
  <si>
    <t>Soit un acompte total à mandater de</t>
  </si>
  <si>
    <t>avance</t>
  </si>
  <si>
    <t>Que le montant HT de l'avance déjà versée est de</t>
  </si>
  <si>
    <t>Que le montant d'avance déjà versé est de</t>
  </si>
  <si>
    <t>Montant du marché HT ayant donné lieu à l'avance</t>
  </si>
  <si>
    <t xml:space="preserve">Vu la durée du marché fixé à </t>
  </si>
  <si>
    <t>mois</t>
  </si>
  <si>
    <r>
      <t>Sous-Total avance +
travaux (somme 3a-1 - 1b</t>
    </r>
    <r>
      <rPr>
        <sz val="14"/>
        <color theme="1"/>
        <rFont val="Calibri"/>
        <family val="2"/>
      </rPr>
      <t>) HT</t>
    </r>
  </si>
  <si>
    <r>
      <t>Sous-Total avance +
travaux (somme 3a - 1 - 1b</t>
    </r>
    <r>
      <rPr>
        <sz val="14"/>
        <color theme="1"/>
        <rFont val="Calibri"/>
        <family val="2"/>
      </rPr>
      <t>) HT</t>
    </r>
  </si>
  <si>
    <r>
      <t>TOTAL (</t>
    </r>
    <r>
      <rPr>
        <sz val="14"/>
        <color theme="1"/>
        <rFont val="Symbol"/>
        <family val="1"/>
        <charset val="2"/>
      </rPr>
      <t>S</t>
    </r>
    <r>
      <rPr>
        <sz val="14"/>
        <color theme="1"/>
        <rFont val="Calibri"/>
        <family val="2"/>
      </rPr>
      <t xml:space="preserve"> 9 mensuel + antérieur</t>
    </r>
    <r>
      <rPr>
        <sz val="14"/>
        <color theme="1"/>
        <rFont val="Calibri"/>
        <family val="2"/>
        <scheme val="minor"/>
      </rPr>
      <t>) TTC</t>
    </r>
  </si>
  <si>
    <r>
      <t>TOTAL (</t>
    </r>
    <r>
      <rPr>
        <sz val="14"/>
        <color theme="1"/>
        <rFont val="Symbol"/>
        <family val="1"/>
        <charset val="2"/>
      </rPr>
      <t>S</t>
    </r>
    <r>
      <rPr>
        <sz val="14"/>
        <color theme="1"/>
        <rFont val="Calibri"/>
        <family val="2"/>
        <scheme val="minor"/>
      </rPr>
      <t xml:space="preserve"> 9 mensuel + antérieur) TTC</t>
    </r>
  </si>
  <si>
    <t>_19</t>
  </si>
  <si>
    <t>_23</t>
  </si>
  <si>
    <t>_87</t>
  </si>
  <si>
    <t>"D'ARSONVAL"</t>
  </si>
  <si>
    <t>"MARCEL BARBENCEYS"</t>
  </si>
  <si>
    <t>"BORT ARTENSE"</t>
  </si>
  <si>
    <t>"GEORGES CABANIS"</t>
  </si>
  <si>
    <t>"PIERRE CARAMINOT"</t>
  </si>
  <si>
    <t>"RENE CASSIN"</t>
  </si>
  <si>
    <t>"DANTON"</t>
  </si>
  <si>
    <t>"LAVOISIER"</t>
  </si>
  <si>
    <t>"DES MILLES SOURCES"</t>
  </si>
  <si>
    <t>"EDMOND PERRIER"</t>
  </si>
  <si>
    <t>"BERNART DE VENTADOUR"</t>
  </si>
  <si>
    <t>"BRIVE-VOUTEZAC"</t>
  </si>
  <si>
    <t>"DE HAUTE CORREZE"</t>
  </si>
  <si>
    <t>"EDGARD PISANI"</t>
  </si>
  <si>
    <t>"PIERRE BOURDAN"</t>
  </si>
  <si>
    <t>"JEAN FAVARD"</t>
  </si>
  <si>
    <t>"DES METIERS ET DU BATIMENT DE FELLETIN"</t>
  </si>
  <si>
    <t>"DELHPINE GAY"</t>
  </si>
  <si>
    <t>"EUGENE JAMOT"</t>
  </si>
  <si>
    <t>"JEAN JAURES"</t>
  </si>
  <si>
    <t>"RAYMOND LOEWY"</t>
  </si>
  <si>
    <t>"GASTON ROUSSILAT"</t>
  </si>
  <si>
    <t>"D'AHUN"</t>
  </si>
  <si>
    <t>"MARYSE BASTIE"</t>
  </si>
  <si>
    <t>"BAPTISTE DARNET"</t>
  </si>
  <si>
    <t>"DAUTRY"</t>
  </si>
  <si>
    <t>"PAUL EUARD"</t>
  </si>
  <si>
    <t>"GAY LUSSAC"</t>
  </si>
  <si>
    <t>"JEAN GIRAUOUX"</t>
  </si>
  <si>
    <t>"LEONARD LIMOSIN"</t>
  </si>
  <si>
    <t>"LE MAS JAMBOST"</t>
  </si>
  <si>
    <t>"MARTIN NADAUD"</t>
  </si>
  <si>
    <t>"MARCEL PAGNOL"</t>
  </si>
  <si>
    <t>"AUGUSTE RENOIR"</t>
  </si>
  <si>
    <t>"GEORGES SAND"</t>
  </si>
  <si>
    <t>"TURGOT"</t>
  </si>
  <si>
    <t>"EDOUARD VAILLANT"</t>
  </si>
  <si>
    <t>"SUZANNE VALANDON"</t>
  </si>
  <si>
    <t>"DE SAINT YRIEZIX DE LA PERCHE"</t>
  </si>
  <si>
    <t>"DE LIMOGES ET DU NORD HAUTE VIENNE" (MAGNAC LAVAL")</t>
  </si>
  <si>
    <t>"DE LIMOGES ET DU NORD HAUTE VIENNE" (LES VASEIX")</t>
  </si>
  <si>
    <t>Sans Objet</t>
  </si>
  <si>
    <t>info pénalités provisoires ligne 2 ou 3</t>
  </si>
  <si>
    <t>Soit un acompte total de</t>
  </si>
  <si>
    <t>DGD suite à Révision définitive</t>
  </si>
  <si>
    <t>RG</t>
  </si>
  <si>
    <t>Sureté INITIALE (RG / GAPD / Sans objet)</t>
  </si>
  <si>
    <t>Sureté MODIFICATIVE (RG / GAPD)</t>
  </si>
  <si>
    <t>Retenue de Garantie tranche ferme</t>
  </si>
  <si>
    <t>GAPD tranche ferme</t>
  </si>
  <si>
    <t>RG tranche ferme remplacée par GAPD</t>
  </si>
  <si>
    <t>11-1</t>
  </si>
  <si>
    <t>Retenue de Garantie TO 1</t>
  </si>
  <si>
    <t>GAPD TO 1</t>
  </si>
  <si>
    <t>RG TO1 remplacée par GAPD</t>
  </si>
  <si>
    <t>11-2</t>
  </si>
  <si>
    <t>11-3</t>
  </si>
  <si>
    <t>Retenue de Garantie TO 2</t>
  </si>
  <si>
    <t>GAPD TO 2</t>
  </si>
  <si>
    <t>RG TO2 remplacée par GAPD</t>
  </si>
  <si>
    <t>11-4</t>
  </si>
  <si>
    <t>11-5</t>
  </si>
  <si>
    <t>Retenue de Garantie TO 3</t>
  </si>
  <si>
    <t>GAPD TO 3</t>
  </si>
  <si>
    <t>RG TO3 remplacée par GAPD</t>
  </si>
  <si>
    <t>11-6</t>
  </si>
  <si>
    <t>11-7</t>
  </si>
  <si>
    <t>11-8</t>
  </si>
  <si>
    <t>Sous traitant introduit au démarrage et déduit du calcul de l'avance</t>
  </si>
  <si>
    <t>TF</t>
  </si>
  <si>
    <t>TO1</t>
  </si>
  <si>
    <t>TO2</t>
  </si>
  <si>
    <t>TO3</t>
  </si>
  <si>
    <t>Tranche :</t>
  </si>
  <si>
    <t>ferme</t>
  </si>
  <si>
    <t xml:space="preserve">Montant du marché trache ferme HT : </t>
  </si>
  <si>
    <t xml:space="preserve">Montant du marché trache optionnelle 1 HT : </t>
  </si>
  <si>
    <t xml:space="preserve">Montant du marché trache optionnelle 2 HT : </t>
  </si>
  <si>
    <t xml:space="preserve">Montant du marché trache optionnelle 3 HT : </t>
  </si>
  <si>
    <t>ACTUALISATION / REVISION</t>
  </si>
  <si>
    <t>MODE d'EMPLOI DU CLASSEUR</t>
  </si>
  <si>
    <t>Ce fichier s'utilise en activant les macros sur Excel. Pour connaire la marche à suivre pour autoriser l'activation des macros vous pouvez suivre le lien suivant</t>
  </si>
  <si>
    <t>https://support.office.com/fr-fr/article/activer-ou-d%C3%A9sactiver-les-macros-dans-les-fichiers-office-12b036fd-d140-4e74-b45e-16fed1a7e5c6</t>
  </si>
  <si>
    <t>Le fichier comporte plusieurs onglets qui s'ouvrent en fonction des éléments mentionnées dans l'onglet "DONNEES".</t>
  </si>
  <si>
    <t>La feuille DONNEES est la seule visible au lancement du fichier. Il vous faudra y mentionner un certain nombre d'informations relatives au contrat.</t>
  </si>
  <si>
    <t>L'ensemble des onglets est protégé par mot de passe pour éviter les erreurs de manipulations. Les zones nécessitant votre intervention sont déverouillées ou accessibles.</t>
  </si>
  <si>
    <t>De manière générale  :</t>
  </si>
  <si>
    <t xml:space="preserve"> les éléments </t>
  </si>
  <si>
    <t>indique une liste déroulante dans laquelle vous est proposé des éléments présaisis.</t>
  </si>
  <si>
    <t xml:space="preserve">les éléments </t>
  </si>
  <si>
    <t>mentionne une zone où s'opére un ou des calculs</t>
  </si>
  <si>
    <t>La Feuille DONNEES</t>
  </si>
  <si>
    <t>Les données nécesssaires se trouvent dans l'acte d'engagement et dans le CCAP</t>
  </si>
  <si>
    <t>Pour supprimer une donnée saisie, utilisez la touche "Suppr". L'utilisation de la touche "retour arrière" ne permet pas la prise en compte des macros.</t>
  </si>
  <si>
    <t>Si le marché ne comporte pas de co-traitant ne saisiez aucun valeur dans la case co-traitant.</t>
  </si>
  <si>
    <t>Si vous n'avez pas le numéro d'engagement du marché, vous pouvez le demander en fonction du site émétteur du marché à l'adresse :</t>
  </si>
  <si>
    <t xml:space="preserve">Site de Limoges </t>
  </si>
  <si>
    <t>crfconstructionslimoge@nouvelle-aquitaine.fr</t>
  </si>
  <si>
    <t>Site de Poitiers</t>
  </si>
  <si>
    <t>crfconstructionspoitiers@nouvelle-aquitaine.fr</t>
  </si>
  <si>
    <t>Mentionner la durée en mois du marché</t>
  </si>
  <si>
    <t>Indiquer si oui ou non une avance est à verser (case C11). Les cases E11 et F11 concernent la collectivité pour éditer l'état liquidatif de versement de l'avance.</t>
  </si>
  <si>
    <t>Répondre "oui" dans la case C11 vous affichera l'onglet "calcul avance titulaire" (et co-traitant si vous avez noté un co-traitant) ainsi que l'onglet "récup avance titulaire" (et "récupe avance co-traitant" si vous la case C6 est remplie). De même cela entraine l'affichage des lignes relatives au versement de l'avance, et à sa récupération dans les onglets "CPP titulaire ST" (et encore une fois dans l'onglet "CPP Cotraitant ST" le cas échéant).</t>
  </si>
  <si>
    <t>Si vous saisissez un co-traitant, la feuille "CPP co-traitant ST" sera affichée.</t>
  </si>
  <si>
    <t>En cas C12 mentionner si le contrat est actualisable ou révisable. Si il n'est ni actualisable, ni révisable alors ne saisissez rien.</t>
  </si>
  <si>
    <t>La sélection "ACTUALISABLE" affiche la feuille "Actualisation" et ouvre les lignes relatives à l'actualisation dans les CPP titulaires (et cotraitant si saisit en C6)</t>
  </si>
  <si>
    <t>idem pour la sélection "REVISION". Si vous ne saisissez rien , les feuilles et les lignes relatives à l'actualisation et à la révision restent fermées</t>
  </si>
  <si>
    <t>En C17 et E17 sélectionnez le ou les taux de TVA applicables.</t>
  </si>
  <si>
    <r>
      <t xml:space="preserve">puis mentionnez les montants du marché ventilés par tranche </t>
    </r>
    <r>
      <rPr>
        <b/>
        <sz val="11"/>
        <color theme="1"/>
        <rFont val="Calibri"/>
        <family val="2"/>
        <scheme val="minor"/>
      </rPr>
      <t>en ne notant que les tranches affermies</t>
    </r>
  </si>
  <si>
    <t>les tranches affermies après notification seront renseignées dans le tableau au moment de leur affermissement (pour mémoire il faut un OS d'affermissement)</t>
  </si>
  <si>
    <t>En fonction des lignes remplies en C18:E22, la feuille DONNEES ouvre un certain nombre de lignes en bas de feuille pour permettre de saisir des données complémentaires</t>
  </si>
  <si>
    <t>Ici aussi si vous ne remplisse que la tranche ferme, vous ne verrez pas apparaitre les lignes relatives au TO 1 à 3 et la ligne avenant dans les CPP.</t>
  </si>
  <si>
    <t>Dans les lignes qui se sont ouvertes, vous avez accès aux élements bleus (liste déroulante) et blanc.</t>
  </si>
  <si>
    <t>mentionne une zone dans laquelle vous devez saisir une informations pour réaliser des calculs (onglet recup avant titulaire et cotraitant)</t>
  </si>
  <si>
    <t>DUREE INITIALE en mois</t>
  </si>
  <si>
    <t>GAPD complémentaire sur avenant</t>
  </si>
  <si>
    <t xml:space="preserve">restitution avance suite DC4 </t>
  </si>
  <si>
    <t>Cotraitant 1</t>
  </si>
  <si>
    <t>Cotraitant 2</t>
  </si>
  <si>
    <t>Cotraitant 3</t>
  </si>
  <si>
    <t>Cotraitant 4</t>
  </si>
  <si>
    <t>Cotraitant 5</t>
  </si>
  <si>
    <t>Cotraitant 6</t>
  </si>
  <si>
    <t>Cotraitant 7</t>
  </si>
  <si>
    <t>Cotraitant 8</t>
  </si>
  <si>
    <t>Nb cotraitant</t>
  </si>
  <si>
    <t>Tranche optionnelle 4 HT</t>
  </si>
  <si>
    <t>Tranche optionnelle 5 HT</t>
  </si>
  <si>
    <t>Tranche optionnelle 6 HT</t>
  </si>
  <si>
    <t>Tranche OPTIONNELLE 4</t>
  </si>
  <si>
    <t>Tranche OPTIONNELLE 5</t>
  </si>
  <si>
    <t>Tranche OPTIONNELLE 6</t>
  </si>
  <si>
    <t>Avenants et OS</t>
  </si>
  <si>
    <t>Retenue de Garantie TO 4</t>
  </si>
  <si>
    <t>GAPD TO 4</t>
  </si>
  <si>
    <t>RG TO4 remplacée par GAPD</t>
  </si>
  <si>
    <t>Retenue de Garantie TO 5</t>
  </si>
  <si>
    <t>GAPD TO 5</t>
  </si>
  <si>
    <t>RG TO5 remplacée par GAPD</t>
  </si>
  <si>
    <t>Retenue de Garantie TO 6</t>
  </si>
  <si>
    <t>GAPD TO 6</t>
  </si>
  <si>
    <t>RG TO6 remplacée par GAPD</t>
  </si>
  <si>
    <t>Sureté Complémentaire</t>
  </si>
  <si>
    <t>RG complémentaire sur avenant / OS</t>
  </si>
  <si>
    <t>GAPD complémentaire sur avenant / OS</t>
  </si>
  <si>
    <t>Nb Tranche Optionnelles</t>
  </si>
  <si>
    <t>TO4</t>
  </si>
  <si>
    <t>TO5</t>
  </si>
  <si>
    <t>TF montant des DC4 au demarrage</t>
  </si>
  <si>
    <t>T01 montant des DC4 au demarrage</t>
  </si>
  <si>
    <t>T02 montant des DC4 au demarrage</t>
  </si>
  <si>
    <t>T03 montant des DC4 au demarrage</t>
  </si>
  <si>
    <t>T04 montant des DC4 au demarrage</t>
  </si>
  <si>
    <t>T05 montant des DC4 au demarrage</t>
  </si>
  <si>
    <t>T06 montant des DC4 au demarrage</t>
  </si>
  <si>
    <t>Montant tranche si DC4 introduit avant versement avance</t>
  </si>
  <si>
    <t>TO6</t>
  </si>
  <si>
    <t>Montant  pour l'avance</t>
  </si>
  <si>
    <t>Cotrtaitant 1</t>
  </si>
  <si>
    <t>Cotrtaitant 2</t>
  </si>
  <si>
    <t>Cotrtaitant 3</t>
  </si>
  <si>
    <t>Cotrtaitant 4</t>
  </si>
  <si>
    <t>Cotrtaitant 5</t>
  </si>
  <si>
    <t>Cotrtaitant 6</t>
  </si>
  <si>
    <t>Cotrtaitant 7</t>
  </si>
  <si>
    <t>Cotrtaitant 8</t>
  </si>
  <si>
    <t>Tranche Concernée</t>
  </si>
  <si>
    <t>TO 1</t>
  </si>
  <si>
    <t>TO 2</t>
  </si>
  <si>
    <t>TO 3</t>
  </si>
  <si>
    <t>TO 4</t>
  </si>
  <si>
    <t>TO 5</t>
  </si>
  <si>
    <t>TO 6</t>
  </si>
  <si>
    <t>ETAT LIQUIDATIF  DE RECUPERATION DE L'AVANCE du TITULAIRE</t>
  </si>
  <si>
    <r>
      <t xml:space="preserve">Montant d'avance récupérée suite DC4 </t>
    </r>
    <r>
      <rPr>
        <sz val="11"/>
        <rFont val="Verdana"/>
        <family val="2"/>
      </rPr>
      <t>(DC4 introduits après versement de l'avance)</t>
    </r>
  </si>
  <si>
    <t xml:space="preserve">Que le montant HT de la tranche ferme donnant lieu à avance (déduction faite des sous-traitants déjà déclarés avant le versement de l'avance) est de </t>
  </si>
  <si>
    <t xml:space="preserve">Que le montant HT de la tranche optionnelle 1 donnant lieu à avance (déduction faite des sous-traitants déjà déclarés avant le versement de l'avance) est de </t>
  </si>
  <si>
    <t xml:space="preserve">Que le montant HT de la tranche optionnelle 2 donnant lieu à avance (déduction faite des sous-traitants déjà déclarés avant le versement de l'avance) est de </t>
  </si>
  <si>
    <t xml:space="preserve">Que le montant HT de la tranche optionnelle 3 donnant lieu à avance (déduction faite des sous-traitants déjà déclarés avant le versement de l'avance) est de </t>
  </si>
  <si>
    <t xml:space="preserve">Que le montant HT de la tranche optionnelle 4 donnant lieu à avance (déduction faite des sous-traitants déjà déclarés avant le versement de l'avance) est de </t>
  </si>
  <si>
    <t xml:space="preserve">Que le montant HT de la tranche optionnelle 5 donnant lieu à avance (déduction faite des sous-traitants déjà déclarés avant le versement de l'avance) est de </t>
  </si>
  <si>
    <t xml:space="preserve">Que le montant HT de la tranche optionnelle 6 donnant lieu à avance (déduction faite des sous-traitants déjà déclarés avant le versement de l'avance) est de </t>
  </si>
  <si>
    <t>titulaire</t>
  </si>
  <si>
    <t>CO1</t>
  </si>
  <si>
    <t>CO2</t>
  </si>
  <si>
    <t>CO3</t>
  </si>
  <si>
    <t>CO4</t>
  </si>
  <si>
    <t>CO5</t>
  </si>
  <si>
    <t>CO6</t>
  </si>
  <si>
    <t>CO7</t>
  </si>
  <si>
    <t>CO8</t>
  </si>
  <si>
    <t>montant  du marché par titu et co traitant / tranche</t>
  </si>
  <si>
    <t>somme HT</t>
  </si>
  <si>
    <t>Tranche Optionnelle 3</t>
  </si>
  <si>
    <t>Tranche Optionnelle 4</t>
  </si>
  <si>
    <t>Tranche Optionnelle 6</t>
  </si>
  <si>
    <t>tt</t>
  </si>
  <si>
    <t>montant total du marché par titu et co traitant (y compris avenants)</t>
  </si>
  <si>
    <t>Montant du marché (- DC4 notifié avant l'avance) sans les avenants/OS</t>
  </si>
  <si>
    <t>OS Avenants par titulaire et cotraitant</t>
  </si>
  <si>
    <t>OS Avenants par tranche et titulaire /cotraitants</t>
  </si>
  <si>
    <t>Tranche Optionnelle 5</t>
  </si>
  <si>
    <t>Tranche optionnelle 5HT</t>
  </si>
  <si>
    <t>ST TF</t>
  </si>
  <si>
    <t>ST TO1</t>
  </si>
  <si>
    <t>ST TO2</t>
  </si>
  <si>
    <t>ST TO3</t>
  </si>
  <si>
    <t>ST TO4</t>
  </si>
  <si>
    <t>ST TO5</t>
  </si>
  <si>
    <t>ST TO6</t>
  </si>
  <si>
    <t>2f</t>
  </si>
  <si>
    <t>2g</t>
  </si>
  <si>
    <t>TO 4 HT</t>
  </si>
  <si>
    <t>TO 5 HT</t>
  </si>
  <si>
    <t>TO 6 HT</t>
  </si>
  <si>
    <t>TVA TO 4</t>
  </si>
  <si>
    <t>TVA TO 5</t>
  </si>
  <si>
    <t>TVA TO 6</t>
  </si>
  <si>
    <t>6g</t>
  </si>
  <si>
    <t>1c</t>
  </si>
  <si>
    <t>1d</t>
  </si>
  <si>
    <t>1e</t>
  </si>
  <si>
    <t>1f</t>
  </si>
  <si>
    <t>1aa</t>
  </si>
  <si>
    <t>TVA remboursement avance TO1</t>
  </si>
  <si>
    <t>TVA remboursement avance TO2</t>
  </si>
  <si>
    <t>TVA remboursement avance TO3</t>
  </si>
  <si>
    <t>TVA remboursement avance TO4</t>
  </si>
  <si>
    <t>TVA remboursement avance TO5</t>
  </si>
  <si>
    <t>TVA remboursement avance TO6</t>
  </si>
  <si>
    <t>Avance TF HT</t>
  </si>
  <si>
    <t>Remboursement avance TF HT</t>
  </si>
  <si>
    <t>TVA avance TF</t>
  </si>
  <si>
    <t>TVA remboursement avance TF</t>
  </si>
  <si>
    <t>l'article 2</t>
  </si>
  <si>
    <t>yy</t>
  </si>
  <si>
    <t>Nb sous traitants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</si>
</sst>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4" formatCode="_-* #,##0.00\ &quot;€&quot;_-;\-* #,##0.00\ &quot;€&quot;_-;_-* &quot;-&quot;??\ &quot;€&quot;_-;_-@_-"/>
    <numFmt numFmtId="43" formatCode="_-* #,##0.00\ _€_-;\-* #,##0.00\ _€_-;_-* &quot;-&quot;??\ _€_-;_-@_-"/>
    <numFmt numFmtId="164" formatCode="0.0%"/>
    <numFmt numFmtId="165" formatCode="#,##0.00\ &quot;€&quot;"/>
    <numFmt numFmtId="166" formatCode="00,000,000,000,000"/>
    <numFmt numFmtId="167" formatCode="#,##0.00_ ;\-#,##0.00\ "/>
    <numFmt numFmtId="168" formatCode="#,##0.00&quot; F&quot;"/>
    <numFmt numFmtId="169" formatCode="#,##0.00\ [$€-40C];[Red]\-#,##0.00\ [$€-40C]"/>
    <numFmt numFmtId="170" formatCode="#,##0.00&quot; €&quot;"/>
    <numFmt numFmtId="171" formatCode="0.00000"/>
    <numFmt numFmtId="172" formatCode="#,##0.0000"/>
    <numFmt numFmtId="173" formatCode="#,##0.0"/>
    <numFmt numFmtId="174" formatCode="0.000"/>
    <numFmt numFmtId="175" formatCode="_-* #,##0.00&quot; €&quot;_-;\-* #,##0.00&quot; €&quot;_-;_-* \-??&quot; €&quot;_-;_-@_-"/>
    <numFmt numFmtId="176" formatCode="_-* #,##0.0000\ _€_-;\-* #,##0.0000\ _€_-;_-* \-????\ _€_-;_-@_-"/>
    <numFmt numFmtId="177" formatCode="[$-40C]mmmm\-yy;@"/>
    <numFmt numFmtId="178" formatCode="_-* #,##0\ _€_-;\-* #,##0\ _€_-;_-* &quot;-&quot;??\ _€_-;_-@_-"/>
    <numFmt numFmtId="179" formatCode="_-* #,##0.00\ [$€-40C]_-;\-* #,##0.00\ [$€-40C]_-;_-* &quot;-&quot;??\ [$€-40C]_-;_-@_-"/>
    <numFmt numFmtId="180" formatCode="#,##0.00\ [$€-40C];\-#,##0.00\ [$€-40C]"/>
  </numFmts>
  <fonts count="65" x14ac:knownFonts="1">
    <font>
      <sz val="11"/>
      <color theme="1"/>
      <name val="Calibri"/>
      <family val="2"/>
      <scheme val="minor"/>
    </font>
    <font>
      <sz val="11"/>
      <color theme="1"/>
      <name val="Calibri"/>
      <family val="2"/>
      <scheme val="minor"/>
    </font>
    <font>
      <sz val="8"/>
      <color theme="1"/>
      <name val="Calibri"/>
      <family val="2"/>
      <scheme val="minor"/>
    </font>
    <font>
      <sz val="10"/>
      <color theme="1"/>
      <name val="Calibri"/>
      <family val="2"/>
      <scheme val="minor"/>
    </font>
    <font>
      <sz val="8"/>
      <color indexed="81"/>
      <name val="Tahoma"/>
      <family val="2"/>
    </font>
    <font>
      <b/>
      <sz val="8"/>
      <color indexed="81"/>
      <name val="Tahoma"/>
      <family val="2"/>
    </font>
    <font>
      <sz val="8"/>
      <color theme="1"/>
      <name val="Liberation Sans"/>
      <family val="2"/>
    </font>
    <font>
      <sz val="8"/>
      <color theme="1"/>
      <name val="Arial"/>
      <family val="2"/>
    </font>
    <font>
      <sz val="12"/>
      <color theme="1"/>
      <name val="Calibri"/>
      <family val="2"/>
      <scheme val="minor"/>
    </font>
    <font>
      <sz val="14"/>
      <color theme="1"/>
      <name val="Calibri"/>
      <family val="2"/>
      <scheme val="minor"/>
    </font>
    <font>
      <b/>
      <sz val="14"/>
      <color theme="1"/>
      <name val="Calibri"/>
      <family val="2"/>
      <scheme val="minor"/>
    </font>
    <font>
      <sz val="14"/>
      <color theme="1"/>
      <name val="Symbol"/>
      <family val="1"/>
      <charset val="2"/>
    </font>
    <font>
      <i/>
      <sz val="14"/>
      <color theme="1"/>
      <name val="Calibri"/>
      <family val="2"/>
      <scheme val="minor"/>
    </font>
    <font>
      <sz val="14"/>
      <color theme="1"/>
      <name val="Calibri"/>
      <family val="2"/>
    </font>
    <font>
      <sz val="14"/>
      <color rgb="FFFF0000"/>
      <name val="Calibri"/>
      <family val="2"/>
      <scheme val="minor"/>
    </font>
    <font>
      <sz val="14"/>
      <name val="Calibri"/>
      <family val="2"/>
      <scheme val="minor"/>
    </font>
    <font>
      <sz val="10"/>
      <name val="Arial"/>
      <family val="2"/>
    </font>
    <font>
      <b/>
      <sz val="16"/>
      <name val="Verdana"/>
      <family val="2"/>
    </font>
    <font>
      <b/>
      <sz val="14"/>
      <name val="Verdana"/>
      <family val="2"/>
    </font>
    <font>
      <sz val="14"/>
      <name val="Verdana"/>
      <family val="2"/>
    </font>
    <font>
      <sz val="14"/>
      <color rgb="FFFF0000"/>
      <name val="Verdana"/>
      <family val="2"/>
    </font>
    <font>
      <b/>
      <u/>
      <sz val="14"/>
      <name val="Verdana"/>
      <family val="2"/>
    </font>
    <font>
      <b/>
      <sz val="14"/>
      <color rgb="FFFF0000"/>
      <name val="Verdana"/>
      <family val="2"/>
    </font>
    <font>
      <sz val="14"/>
      <color indexed="12"/>
      <name val="Verdana"/>
      <family val="2"/>
    </font>
    <font>
      <sz val="14"/>
      <color rgb="FF00B050"/>
      <name val="Verdana"/>
      <family val="2"/>
    </font>
    <font>
      <b/>
      <sz val="14"/>
      <color rgb="FF00B050"/>
      <name val="Verdana"/>
      <family val="2"/>
    </font>
    <font>
      <b/>
      <sz val="12"/>
      <name val="Verdana"/>
      <family val="2"/>
    </font>
    <font>
      <b/>
      <sz val="14"/>
      <color indexed="12"/>
      <name val="Verdana"/>
      <family val="2"/>
    </font>
    <font>
      <b/>
      <i/>
      <sz val="14"/>
      <name val="Verdana"/>
      <family val="2"/>
    </font>
    <font>
      <b/>
      <i/>
      <sz val="10"/>
      <name val="Arial"/>
      <family val="2"/>
    </font>
    <font>
      <b/>
      <sz val="10"/>
      <name val="Arial"/>
      <family val="2"/>
    </font>
    <font>
      <u/>
      <sz val="10"/>
      <name val="Arial"/>
      <family val="2"/>
    </font>
    <font>
      <b/>
      <sz val="10"/>
      <name val="Helvetica"/>
      <family val="2"/>
    </font>
    <font>
      <b/>
      <sz val="14"/>
      <color theme="9"/>
      <name val="Verdana"/>
      <family val="2"/>
    </font>
    <font>
      <b/>
      <sz val="11"/>
      <color rgb="FF0000CC"/>
      <name val="Verdana"/>
      <family val="2"/>
    </font>
    <font>
      <sz val="14"/>
      <color theme="1"/>
      <name val="Verdana"/>
      <family val="2"/>
    </font>
    <font>
      <b/>
      <sz val="16"/>
      <name val="Arial"/>
      <family val="2"/>
    </font>
    <font>
      <sz val="12"/>
      <name val="Arial"/>
      <family val="2"/>
    </font>
    <font>
      <b/>
      <sz val="12"/>
      <name val="Arial"/>
      <family val="2"/>
    </font>
    <font>
      <u/>
      <sz val="14"/>
      <name val="Arial"/>
      <family val="2"/>
    </font>
    <font>
      <sz val="8"/>
      <name val="Arial"/>
      <family val="2"/>
    </font>
    <font>
      <b/>
      <sz val="14"/>
      <color theme="0"/>
      <name val="Verdana"/>
      <family val="2"/>
    </font>
    <font>
      <sz val="10"/>
      <color rgb="FFFF0000"/>
      <name val="Arial"/>
      <family val="2"/>
    </font>
    <font>
      <b/>
      <u/>
      <sz val="10"/>
      <name val="Verdana"/>
      <family val="2"/>
    </font>
    <font>
      <sz val="10"/>
      <name val="Verdana"/>
      <family val="2"/>
    </font>
    <font>
      <sz val="10"/>
      <color rgb="FFFF0000"/>
      <name val="Verdana"/>
      <family val="2"/>
    </font>
    <font>
      <b/>
      <sz val="14"/>
      <name val="Arial"/>
      <family val="2"/>
    </font>
    <font>
      <b/>
      <sz val="12"/>
      <color rgb="FFFF0000"/>
      <name val="Arial"/>
      <family val="2"/>
    </font>
    <font>
      <sz val="10"/>
      <color rgb="FF00B050"/>
      <name val="Verdana"/>
      <family val="2"/>
    </font>
    <font>
      <b/>
      <sz val="10"/>
      <color rgb="FFFF0000"/>
      <name val="Arial"/>
      <family val="2"/>
    </font>
    <font>
      <i/>
      <sz val="10"/>
      <name val="Arial"/>
      <family val="2"/>
    </font>
    <font>
      <i/>
      <sz val="10"/>
      <color rgb="FF0000FF"/>
      <name val="Arial"/>
      <family val="2"/>
    </font>
    <font>
      <b/>
      <sz val="12"/>
      <color rgb="FF00B050"/>
      <name val="Arial"/>
      <family val="2"/>
    </font>
    <font>
      <i/>
      <sz val="8"/>
      <name val="Arial"/>
      <family val="2"/>
    </font>
    <font>
      <sz val="14"/>
      <color theme="0"/>
      <name val="Verdana"/>
      <family val="2"/>
    </font>
    <font>
      <b/>
      <i/>
      <sz val="14"/>
      <color theme="1"/>
      <name val="Calibri"/>
      <family val="2"/>
      <scheme val="minor"/>
    </font>
    <font>
      <sz val="11"/>
      <color indexed="81"/>
      <name val="Tahoma"/>
      <family val="2"/>
    </font>
    <font>
      <sz val="12"/>
      <color indexed="81"/>
      <name val="Tahoma"/>
      <family val="2"/>
    </font>
    <font>
      <sz val="14"/>
      <color theme="0"/>
      <name val="Calibri"/>
      <family val="2"/>
      <scheme val="minor"/>
    </font>
    <font>
      <b/>
      <sz val="11"/>
      <color theme="1"/>
      <name val="Calibri"/>
      <family val="2"/>
      <scheme val="minor"/>
    </font>
    <font>
      <u/>
      <sz val="11"/>
      <color theme="10"/>
      <name val="Calibri"/>
      <family val="2"/>
      <scheme val="minor"/>
    </font>
    <font>
      <b/>
      <u/>
      <sz val="11"/>
      <color theme="1"/>
      <name val="Calibri"/>
      <family val="2"/>
      <scheme val="minor"/>
    </font>
    <font>
      <i/>
      <sz val="11"/>
      <color theme="1"/>
      <name val="Calibri"/>
      <family val="2"/>
      <scheme val="minor"/>
    </font>
    <font>
      <sz val="11"/>
      <name val="Verdana"/>
      <family val="2"/>
    </font>
    <font>
      <sz val="11"/>
      <color theme="0"/>
      <name val="Calibri"/>
      <family val="2"/>
      <scheme val="minor"/>
    </font>
  </fonts>
  <fills count="18">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1"/>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2"/>
        <bgColor indexed="64"/>
      </patternFill>
    </fill>
    <fill>
      <patternFill patternType="solid">
        <fgColor indexed="26"/>
        <bgColor indexed="9"/>
      </patternFill>
    </fill>
    <fill>
      <patternFill patternType="solid">
        <fgColor indexed="9"/>
        <bgColor indexed="26"/>
      </patternFill>
    </fill>
    <fill>
      <patternFill patternType="solid">
        <fgColor theme="4" tint="0.39997558519241921"/>
        <bgColor indexed="64"/>
      </patternFill>
    </fill>
    <fill>
      <patternFill patternType="solid">
        <fgColor indexed="31"/>
        <bgColor indexed="42"/>
      </patternFill>
    </fill>
    <fill>
      <patternFill patternType="solid">
        <fgColor theme="9" tint="0.79998168889431442"/>
        <bgColor indexed="64"/>
      </patternFill>
    </fill>
    <fill>
      <patternFill patternType="solid">
        <fgColor theme="7" tint="0.59999389629810485"/>
        <bgColor indexed="64"/>
      </patternFill>
    </fill>
    <fill>
      <patternFill patternType="solid">
        <fgColor rgb="FF92D050"/>
        <bgColor indexed="64"/>
      </patternFill>
    </fill>
    <fill>
      <patternFill patternType="solid">
        <fgColor theme="5" tint="0.79998168889431442"/>
        <bgColor indexed="9"/>
      </patternFill>
    </fill>
    <fill>
      <patternFill patternType="solid">
        <fgColor indexed="9"/>
        <bgColor indexed="64"/>
      </patternFill>
    </fill>
  </fills>
  <borders count="10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rgb="FF000000"/>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medium">
        <color indexed="8"/>
      </left>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style="thin">
        <color indexed="8"/>
      </top>
      <bottom style="thin">
        <color indexed="8"/>
      </bottom>
      <diagonal/>
    </border>
    <border>
      <left/>
      <right style="medium">
        <color indexed="8"/>
      </right>
      <top/>
      <bottom style="thin">
        <color indexed="8"/>
      </bottom>
      <diagonal/>
    </border>
    <border>
      <left style="medium">
        <color indexed="8"/>
      </left>
      <right/>
      <top style="medium">
        <color indexed="8"/>
      </top>
      <bottom/>
      <diagonal/>
    </border>
    <border>
      <left/>
      <right/>
      <top style="medium">
        <color indexed="8"/>
      </top>
      <bottom/>
      <diagonal/>
    </border>
    <border>
      <left style="medium">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ck">
        <color indexed="8"/>
      </left>
      <right style="thick">
        <color indexed="8"/>
      </right>
      <top style="thick">
        <color indexed="8"/>
      </top>
      <bottom style="thick">
        <color indexed="8"/>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right/>
      <top/>
      <bottom style="thin">
        <color indexed="8"/>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diagonal/>
    </border>
    <border>
      <left/>
      <right style="double">
        <color indexed="64"/>
      </right>
      <top/>
      <bottom/>
      <diagonal/>
    </border>
    <border>
      <left style="double">
        <color indexed="64"/>
      </left>
      <right/>
      <top/>
      <bottom/>
      <diagonal/>
    </border>
    <border>
      <left style="thin">
        <color rgb="FFFF0000"/>
      </left>
      <right style="thin">
        <color rgb="FFFF0000"/>
      </right>
      <top style="thin">
        <color rgb="FFFF0000"/>
      </top>
      <bottom style="thin">
        <color rgb="FFFF0000"/>
      </bottom>
      <diagonal/>
    </border>
    <border>
      <left style="double">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double">
        <color indexed="64"/>
      </right>
      <top/>
      <bottom style="double">
        <color indexed="64"/>
      </bottom>
      <diagonal/>
    </border>
    <border>
      <left/>
      <right style="double">
        <color indexed="64"/>
      </right>
      <top style="thin">
        <color indexed="64"/>
      </top>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medium">
        <color indexed="8"/>
      </left>
      <right style="medium">
        <color indexed="8"/>
      </right>
      <top/>
      <bottom/>
      <diagonal/>
    </border>
    <border>
      <left style="medium">
        <color indexed="8"/>
      </left>
      <right style="medium">
        <color indexed="8"/>
      </right>
      <top style="medium">
        <color indexed="8"/>
      </top>
      <bottom/>
      <diagonal/>
    </border>
    <border>
      <left style="medium">
        <color indexed="8"/>
      </left>
      <right style="medium">
        <color indexed="8"/>
      </right>
      <top/>
      <bottom style="thin">
        <color indexed="8"/>
      </bottom>
      <diagonal/>
    </border>
    <border>
      <left style="medium">
        <color indexed="8"/>
      </left>
      <right/>
      <top/>
      <bottom style="thin">
        <color indexed="8"/>
      </bottom>
      <diagonal/>
    </border>
    <border>
      <left style="medium">
        <color indexed="64"/>
      </left>
      <right style="medium">
        <color indexed="64"/>
      </right>
      <top style="medium">
        <color indexed="64"/>
      </top>
      <bottom style="medium">
        <color indexed="64"/>
      </bottom>
      <diagonal/>
    </border>
    <border>
      <left/>
      <right style="medium">
        <color indexed="8"/>
      </right>
      <top style="medium">
        <color indexed="8"/>
      </top>
      <bottom/>
      <diagonal/>
    </border>
    <border>
      <left style="thin">
        <color auto="1"/>
      </left>
      <right/>
      <top style="thin">
        <color auto="1"/>
      </top>
      <bottom/>
      <diagonal/>
    </border>
    <border>
      <left style="hair">
        <color indexed="64"/>
      </left>
      <right/>
      <top/>
      <bottom/>
      <diagonal/>
    </border>
    <border>
      <left style="hair">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9"/>
      </left>
      <right style="thin">
        <color indexed="9"/>
      </right>
      <top style="thin">
        <color indexed="9"/>
      </top>
      <bottom style="thin">
        <color indexed="9"/>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auto="1"/>
      </left>
      <right/>
      <top style="thin">
        <color auto="1"/>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diagonalUp="1" diagonalDown="1">
      <left style="thin">
        <color indexed="64"/>
      </left>
      <right style="thin">
        <color indexed="64"/>
      </right>
      <top style="thin">
        <color indexed="64"/>
      </top>
      <bottom/>
      <diagonal style="thin">
        <color indexed="64"/>
      </diagonal>
    </border>
    <border diagonalUp="1" diagonalDown="1">
      <left style="thin">
        <color indexed="64"/>
      </left>
      <right style="thin">
        <color indexed="64"/>
      </right>
      <top/>
      <bottom style="thin">
        <color indexed="64"/>
      </bottom>
      <diagonal style="thin">
        <color indexed="64"/>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16" fillId="0" borderId="0"/>
    <xf numFmtId="44" fontId="16" fillId="0" borderId="0" applyFont="0" applyFill="0" applyBorder="0" applyAlignment="0" applyProtection="0"/>
    <xf numFmtId="9" fontId="16" fillId="0" borderId="0" applyFont="0" applyFill="0" applyBorder="0" applyAlignment="0" applyProtection="0"/>
    <xf numFmtId="43" fontId="1" fillId="0" borderId="0" applyFont="0" applyFill="0" applyBorder="0" applyAlignment="0" applyProtection="0"/>
    <xf numFmtId="0" fontId="60" fillId="0" borderId="0" applyNumberFormat="0" applyFill="0" applyBorder="0" applyAlignment="0" applyProtection="0"/>
  </cellStyleXfs>
  <cellXfs count="837">
    <xf numFmtId="0" fontId="0" fillId="0" borderId="0" xfId="0"/>
    <xf numFmtId="0" fontId="3" fillId="0" borderId="0" xfId="0" applyFont="1"/>
    <xf numFmtId="164" fontId="3" fillId="0" borderId="0" xfId="2" applyNumberFormat="1" applyFont="1"/>
    <xf numFmtId="0" fontId="6" fillId="0" borderId="0" xfId="0" applyFont="1" applyAlignment="1">
      <alignment horizontal="center" vertical="center" wrapText="1"/>
    </xf>
    <xf numFmtId="0" fontId="2" fillId="0" borderId="0" xfId="0" applyFont="1"/>
    <xf numFmtId="0" fontId="6" fillId="0" borderId="0" xfId="0" applyFont="1" applyAlignment="1">
      <alignment horizontal="left" vertical="center" wrapText="1"/>
    </xf>
    <xf numFmtId="0" fontId="6" fillId="0" borderId="8" xfId="0" applyFont="1" applyBorder="1" applyAlignment="1">
      <alignment horizontal="left" vertical="center" wrapText="1"/>
    </xf>
    <xf numFmtId="0" fontId="7" fillId="0" borderId="0" xfId="0" applyFont="1" applyAlignment="1">
      <alignment horizontal="left" vertical="center" wrapText="1"/>
    </xf>
    <xf numFmtId="0" fontId="3" fillId="0" borderId="0" xfId="0" applyFont="1" applyAlignment="1">
      <alignment horizontal="right"/>
    </xf>
    <xf numFmtId="0" fontId="9" fillId="0" borderId="0" xfId="0" applyFont="1" applyAlignment="1">
      <alignment horizontal="center" vertical="center"/>
    </xf>
    <xf numFmtId="0" fontId="9" fillId="0" borderId="0" xfId="0" applyFont="1"/>
    <xf numFmtId="0" fontId="9" fillId="0" borderId="1" xfId="0" applyFont="1" applyBorder="1"/>
    <xf numFmtId="0" fontId="9" fillId="2" borderId="1" xfId="0" applyFont="1" applyFill="1" applyBorder="1"/>
    <xf numFmtId="0" fontId="9" fillId="0" borderId="1" xfId="0" applyFont="1" applyBorder="1" applyAlignment="1">
      <alignment horizontal="center"/>
    </xf>
    <xf numFmtId="0" fontId="9" fillId="4" borderId="0" xfId="0" applyFont="1" applyFill="1" applyAlignment="1">
      <alignment horizontal="center" vertical="center"/>
    </xf>
    <xf numFmtId="0" fontId="9" fillId="4" borderId="0" xfId="0" applyFont="1" applyFill="1" applyAlignment="1">
      <alignment horizontal="center"/>
    </xf>
    <xf numFmtId="164" fontId="9" fillId="2" borderId="1" xfId="2" applyNumberFormat="1" applyFont="1" applyFill="1" applyBorder="1" applyAlignment="1">
      <alignment horizontal="center" vertical="center"/>
    </xf>
    <xf numFmtId="0" fontId="11" fillId="0" borderId="1" xfId="0" applyFont="1" applyBorder="1" applyAlignment="1">
      <alignment horizontal="center" vertical="center"/>
    </xf>
    <xf numFmtId="0" fontId="11" fillId="0" borderId="0" xfId="0" applyFont="1" applyBorder="1" applyAlignment="1">
      <alignment horizontal="center" vertical="center"/>
    </xf>
    <xf numFmtId="0" fontId="12" fillId="0" borderId="0" xfId="0" applyFont="1" applyAlignment="1">
      <alignment horizontal="center"/>
    </xf>
    <xf numFmtId="44" fontId="9" fillId="6" borderId="1" xfId="0" applyNumberFormat="1" applyFont="1" applyFill="1" applyBorder="1" applyAlignment="1">
      <alignment horizontal="right" vertical="center"/>
    </xf>
    <xf numFmtId="44" fontId="9" fillId="4" borderId="0" xfId="0" applyNumberFormat="1" applyFont="1" applyFill="1" applyBorder="1" applyAlignment="1">
      <alignment horizontal="right" vertical="center"/>
    </xf>
    <xf numFmtId="0" fontId="9" fillId="0" borderId="1" xfId="0" applyFont="1" applyBorder="1" applyAlignment="1">
      <alignment horizontal="center" vertical="center"/>
    </xf>
    <xf numFmtId="44" fontId="9" fillId="0" borderId="1" xfId="1" applyFont="1" applyBorder="1" applyAlignment="1">
      <alignment vertical="center"/>
    </xf>
    <xf numFmtId="0" fontId="10" fillId="0" borderId="1" xfId="0" applyFont="1" applyBorder="1" applyAlignment="1">
      <alignment horizontal="right"/>
    </xf>
    <xf numFmtId="44" fontId="9" fillId="6" borderId="1" xfId="1" applyFont="1" applyFill="1" applyBorder="1" applyAlignment="1">
      <alignment horizontal="right" vertical="center"/>
    </xf>
    <xf numFmtId="0" fontId="9" fillId="0" borderId="0" xfId="0" applyFont="1" applyAlignment="1">
      <alignment horizontal="right" vertical="center"/>
    </xf>
    <xf numFmtId="44" fontId="9" fillId="6" borderId="1" xfId="1" applyFont="1" applyFill="1" applyBorder="1" applyAlignment="1">
      <alignment horizontal="right" vertical="center"/>
    </xf>
    <xf numFmtId="0" fontId="9" fillId="0" borderId="0" xfId="0" applyFont="1" applyBorder="1" applyAlignment="1">
      <alignment horizontal="center"/>
    </xf>
    <xf numFmtId="0" fontId="9" fillId="0" borderId="1" xfId="0" applyFont="1" applyFill="1" applyBorder="1" applyAlignment="1">
      <alignment horizontal="left"/>
    </xf>
    <xf numFmtId="164" fontId="9" fillId="6" borderId="1" xfId="0" applyNumberFormat="1" applyFont="1" applyFill="1" applyBorder="1" applyAlignment="1">
      <alignment horizontal="center" vertical="center" wrapText="1"/>
    </xf>
    <xf numFmtId="44" fontId="9" fillId="5" borderId="1" xfId="1" applyFont="1" applyFill="1" applyBorder="1"/>
    <xf numFmtId="44" fontId="9" fillId="0" borderId="1" xfId="1" applyFont="1" applyBorder="1"/>
    <xf numFmtId="44" fontId="9" fillId="6" borderId="1" xfId="1" applyFont="1" applyFill="1" applyBorder="1"/>
    <xf numFmtId="9" fontId="9" fillId="5" borderId="1" xfId="2" applyFont="1" applyFill="1" applyBorder="1"/>
    <xf numFmtId="9" fontId="9" fillId="6" borderId="1" xfId="2" applyFont="1" applyFill="1" applyBorder="1"/>
    <xf numFmtId="0" fontId="9" fillId="3" borderId="1" xfId="0" applyFont="1" applyFill="1" applyBorder="1" applyAlignment="1">
      <alignment horizontal="center" vertical="center"/>
    </xf>
    <xf numFmtId="0" fontId="9" fillId="3" borderId="1" xfId="0" applyFont="1" applyFill="1" applyBorder="1"/>
    <xf numFmtId="44" fontId="9" fillId="6" borderId="1" xfId="0" applyNumberFormat="1" applyFont="1" applyFill="1" applyBorder="1"/>
    <xf numFmtId="0" fontId="9" fillId="4" borderId="1" xfId="0" applyFont="1" applyFill="1" applyBorder="1"/>
    <xf numFmtId="0" fontId="9" fillId="0" borderId="1" xfId="0" applyFont="1" applyFill="1" applyBorder="1"/>
    <xf numFmtId="44" fontId="9" fillId="6" borderId="1" xfId="0" applyNumberFormat="1" applyFont="1" applyFill="1" applyBorder="1" applyAlignment="1"/>
    <xf numFmtId="0" fontId="9" fillId="6" borderId="1" xfId="0" applyFont="1" applyFill="1" applyBorder="1" applyAlignment="1">
      <alignment horizontal="center"/>
    </xf>
    <xf numFmtId="44" fontId="14" fillId="4" borderId="5" xfId="1" applyFont="1" applyFill="1" applyBorder="1"/>
    <xf numFmtId="44" fontId="9" fillId="0" borderId="1" xfId="0" applyNumberFormat="1" applyFont="1" applyBorder="1" applyAlignment="1">
      <alignment horizontal="center" vertical="center" wrapText="1"/>
    </xf>
    <xf numFmtId="44" fontId="9" fillId="6" borderId="1" xfId="1" applyFont="1" applyFill="1" applyBorder="1" applyAlignment="1"/>
    <xf numFmtId="44" fontId="9" fillId="6" borderId="1" xfId="1" applyFont="1" applyFill="1" applyBorder="1" applyAlignment="1">
      <alignment horizontal="center"/>
    </xf>
    <xf numFmtId="44" fontId="9" fillId="0" borderId="0" xfId="0" applyNumberFormat="1" applyFont="1"/>
    <xf numFmtId="0" fontId="10" fillId="3" borderId="1" xfId="0" applyFont="1" applyFill="1" applyBorder="1" applyAlignment="1">
      <alignment horizontal="center" vertical="center"/>
    </xf>
    <xf numFmtId="0" fontId="10" fillId="3" borderId="1" xfId="0" applyFont="1" applyFill="1" applyBorder="1"/>
    <xf numFmtId="0" fontId="10" fillId="4" borderId="1" xfId="0" applyFont="1" applyFill="1" applyBorder="1" applyAlignment="1">
      <alignment horizontal="center" vertical="center"/>
    </xf>
    <xf numFmtId="0" fontId="10" fillId="4" borderId="1" xfId="0" applyFont="1" applyFill="1" applyBorder="1"/>
    <xf numFmtId="44" fontId="10" fillId="4" borderId="5" xfId="0" applyNumberFormat="1" applyFont="1" applyFill="1" applyBorder="1" applyAlignment="1">
      <alignment horizontal="center"/>
    </xf>
    <xf numFmtId="0" fontId="12" fillId="0" borderId="1" xfId="0" applyFont="1" applyBorder="1" applyAlignment="1">
      <alignment horizontal="center"/>
    </xf>
    <xf numFmtId="0" fontId="12" fillId="0" borderId="1" xfId="0" applyFont="1" applyBorder="1" applyAlignment="1">
      <alignment horizontal="center" vertical="center" wrapText="1"/>
    </xf>
    <xf numFmtId="0" fontId="9" fillId="6" borderId="4" xfId="0" applyFont="1" applyFill="1" applyBorder="1"/>
    <xf numFmtId="0" fontId="9" fillId="6" borderId="4" xfId="0" applyFont="1" applyFill="1" applyBorder="1" applyAlignment="1">
      <alignment horizontal="center" vertical="center"/>
    </xf>
    <xf numFmtId="44" fontId="9" fillId="6" borderId="1" xfId="2" applyNumberFormat="1" applyFont="1" applyFill="1" applyBorder="1"/>
    <xf numFmtId="0" fontId="9" fillId="4" borderId="1" xfId="0" applyFont="1" applyFill="1" applyBorder="1" applyAlignment="1">
      <alignment horizontal="center" vertical="center"/>
    </xf>
    <xf numFmtId="0" fontId="9" fillId="0" borderId="12" xfId="0" applyFont="1" applyBorder="1"/>
    <xf numFmtId="0" fontId="9" fillId="0" borderId="7" xfId="0" applyFont="1" applyBorder="1"/>
    <xf numFmtId="44" fontId="9" fillId="4" borderId="0" xfId="1" applyFont="1" applyFill="1" applyBorder="1" applyAlignment="1">
      <alignment horizontal="right" vertical="center"/>
    </xf>
    <xf numFmtId="0" fontId="9" fillId="6" borderId="1" xfId="0" applyFont="1" applyFill="1" applyBorder="1"/>
    <xf numFmtId="164" fontId="15" fillId="6" borderId="0" xfId="0" applyNumberFormat="1" applyFont="1" applyFill="1" applyAlignment="1">
      <alignment horizontal="center" vertical="center"/>
    </xf>
    <xf numFmtId="44" fontId="9" fillId="6" borderId="1" xfId="1" applyFont="1" applyFill="1" applyBorder="1" applyAlignment="1">
      <alignment vertical="center"/>
    </xf>
    <xf numFmtId="0" fontId="9" fillId="0" borderId="1" xfId="0" applyFont="1" applyFill="1" applyBorder="1" applyAlignment="1">
      <alignment wrapText="1"/>
    </xf>
    <xf numFmtId="9" fontId="9" fillId="3" borderId="1" xfId="2" applyFont="1" applyFill="1" applyBorder="1"/>
    <xf numFmtId="0" fontId="9" fillId="0" borderId="1" xfId="0" applyFont="1" applyBorder="1" applyAlignment="1">
      <alignment horizontal="left" vertical="center"/>
    </xf>
    <xf numFmtId="0" fontId="10" fillId="4" borderId="7" xfId="0" applyFont="1" applyFill="1" applyBorder="1" applyAlignment="1">
      <alignment horizontal="center" vertical="center"/>
    </xf>
    <xf numFmtId="0" fontId="10" fillId="4" borderId="7" xfId="0" applyFont="1" applyFill="1" applyBorder="1"/>
    <xf numFmtId="0" fontId="10" fillId="4" borderId="10" xfId="0" applyFont="1" applyFill="1" applyBorder="1" applyAlignment="1">
      <alignment horizontal="center" vertical="center"/>
    </xf>
    <xf numFmtId="0" fontId="10" fillId="4" borderId="16" xfId="0" applyFont="1" applyFill="1" applyBorder="1"/>
    <xf numFmtId="0" fontId="9" fillId="0" borderId="1" xfId="0" applyFont="1" applyBorder="1" applyAlignment="1">
      <alignment wrapText="1"/>
    </xf>
    <xf numFmtId="0" fontId="9" fillId="3" borderId="1" xfId="0" applyFont="1" applyFill="1" applyBorder="1" applyAlignment="1">
      <alignment wrapText="1"/>
    </xf>
    <xf numFmtId="0" fontId="9" fillId="0" borderId="1" xfId="0" applyFont="1" applyFill="1" applyBorder="1" applyAlignment="1">
      <alignment vertical="center" wrapText="1"/>
    </xf>
    <xf numFmtId="44" fontId="9" fillId="6" borderId="1" xfId="0" applyNumberFormat="1" applyFont="1" applyFill="1" applyBorder="1" applyAlignment="1">
      <alignment horizontal="center" vertical="center" wrapText="1"/>
    </xf>
    <xf numFmtId="0" fontId="18" fillId="0" borderId="0" xfId="3" applyFont="1" applyAlignment="1">
      <alignment horizontal="center" vertical="center"/>
    </xf>
    <xf numFmtId="0" fontId="19" fillId="0" borderId="0" xfId="3" applyFont="1" applyAlignment="1">
      <alignment vertical="center"/>
    </xf>
    <xf numFmtId="4" fontId="19" fillId="0" borderId="0" xfId="3" applyNumberFormat="1" applyFont="1" applyAlignment="1">
      <alignment horizontal="center" vertical="center"/>
    </xf>
    <xf numFmtId="0" fontId="19" fillId="0" borderId="0" xfId="3" applyFont="1" applyAlignment="1">
      <alignment horizontal="center" vertical="center"/>
    </xf>
    <xf numFmtId="0" fontId="18" fillId="0" borderId="17" xfId="3" applyFont="1" applyBorder="1" applyAlignment="1">
      <alignment horizontal="left" vertical="center" indent="1"/>
    </xf>
    <xf numFmtId="166" fontId="20" fillId="0" borderId="18" xfId="3" applyNumberFormat="1" applyFont="1" applyBorder="1" applyAlignment="1">
      <alignment horizontal="left" vertical="center" indent="1"/>
    </xf>
    <xf numFmtId="4" fontId="19" fillId="0" borderId="18" xfId="3" applyNumberFormat="1" applyFont="1" applyBorder="1" applyAlignment="1">
      <alignment horizontal="center" vertical="center"/>
    </xf>
    <xf numFmtId="0" fontId="19" fillId="0" borderId="19" xfId="3" applyFont="1" applyBorder="1" applyAlignment="1">
      <alignment horizontal="center" vertical="center"/>
    </xf>
    <xf numFmtId="0" fontId="18" fillId="0" borderId="0" xfId="3" applyFont="1" applyBorder="1" applyAlignment="1">
      <alignment horizontal="center" vertical="center"/>
    </xf>
    <xf numFmtId="0" fontId="19" fillId="0" borderId="0" xfId="3" applyFont="1" applyBorder="1" applyAlignment="1">
      <alignment vertical="center"/>
    </xf>
    <xf numFmtId="4" fontId="19" fillId="0" borderId="0" xfId="3" applyNumberFormat="1" applyFont="1" applyBorder="1" applyAlignment="1">
      <alignment horizontal="center" vertical="center"/>
    </xf>
    <xf numFmtId="0" fontId="19" fillId="0" borderId="0" xfId="3" applyFont="1" applyBorder="1" applyAlignment="1">
      <alignment horizontal="center" vertical="center"/>
    </xf>
    <xf numFmtId="0" fontId="19" fillId="0" borderId="20" xfId="3" applyFont="1" applyBorder="1" applyAlignment="1">
      <alignment horizontal="left" vertical="center" indent="1"/>
    </xf>
    <xf numFmtId="0" fontId="19" fillId="0" borderId="21" xfId="3" applyFont="1" applyBorder="1" applyAlignment="1">
      <alignment horizontal="left" vertical="center" indent="1"/>
    </xf>
    <xf numFmtId="4" fontId="19" fillId="3" borderId="1" xfId="3" applyNumberFormat="1" applyFont="1" applyFill="1" applyBorder="1" applyAlignment="1">
      <alignment horizontal="center" vertical="center"/>
    </xf>
    <xf numFmtId="0" fontId="19" fillId="0" borderId="1" xfId="3" applyFont="1" applyBorder="1" applyAlignment="1">
      <alignment horizontal="center" vertical="center"/>
    </xf>
    <xf numFmtId="0" fontId="22" fillId="0" borderId="0" xfId="3" applyFont="1" applyBorder="1" applyAlignment="1">
      <alignment vertical="center"/>
    </xf>
    <xf numFmtId="0" fontId="19" fillId="0" borderId="22" xfId="3" applyFont="1" applyBorder="1" applyAlignment="1">
      <alignment horizontal="left" vertical="center" indent="1"/>
    </xf>
    <xf numFmtId="0" fontId="19" fillId="0" borderId="0" xfId="3" applyFont="1" applyBorder="1" applyAlignment="1">
      <alignment horizontal="left" vertical="center" indent="1"/>
    </xf>
    <xf numFmtId="4" fontId="19" fillId="3" borderId="1" xfId="3" applyNumberFormat="1" applyFont="1" applyFill="1" applyBorder="1" applyAlignment="1">
      <alignment horizontal="right" vertical="center" indent="1"/>
    </xf>
    <xf numFmtId="4" fontId="19" fillId="0" borderId="1" xfId="3" applyNumberFormat="1" applyFont="1" applyBorder="1" applyAlignment="1">
      <alignment horizontal="center" vertical="center"/>
    </xf>
    <xf numFmtId="9" fontId="19" fillId="3" borderId="1" xfId="3" applyNumberFormat="1" applyFont="1" applyFill="1" applyBorder="1" applyAlignment="1">
      <alignment horizontal="left" vertical="center"/>
    </xf>
    <xf numFmtId="9" fontId="27" fillId="0" borderId="0" xfId="3" applyNumberFormat="1" applyFont="1" applyBorder="1" applyAlignment="1">
      <alignment horizontal="left" vertical="center" indent="1"/>
    </xf>
    <xf numFmtId="0" fontId="28" fillId="0" borderId="22" xfId="3" applyFont="1" applyBorder="1" applyAlignment="1">
      <alignment horizontal="left" vertical="center" indent="1"/>
    </xf>
    <xf numFmtId="0" fontId="28" fillId="0" borderId="0" xfId="3" applyFont="1" applyBorder="1" applyAlignment="1">
      <alignment horizontal="left" vertical="center" indent="1"/>
    </xf>
    <xf numFmtId="0" fontId="28" fillId="0" borderId="23" xfId="3" applyFont="1" applyBorder="1" applyAlignment="1">
      <alignment horizontal="left" vertical="center" indent="1"/>
    </xf>
    <xf numFmtId="10" fontId="19" fillId="0" borderId="1" xfId="3" applyNumberFormat="1" applyFont="1" applyBorder="1" applyAlignment="1">
      <alignment horizontal="center" vertical="center"/>
    </xf>
    <xf numFmtId="0" fontId="19" fillId="0" borderId="20" xfId="3" applyFont="1" applyBorder="1" applyAlignment="1">
      <alignment vertical="center"/>
    </xf>
    <xf numFmtId="0" fontId="19" fillId="0" borderId="21" xfId="3" applyFont="1" applyBorder="1" applyAlignment="1">
      <alignment vertical="center"/>
    </xf>
    <xf numFmtId="4" fontId="19" fillId="0" borderId="21" xfId="3" applyNumberFormat="1" applyFont="1" applyBorder="1" applyAlignment="1">
      <alignment horizontal="center" vertical="center"/>
    </xf>
    <xf numFmtId="0" fontId="19" fillId="0" borderId="25" xfId="3" applyFont="1" applyBorder="1" applyAlignment="1">
      <alignment horizontal="center" vertical="center"/>
    </xf>
    <xf numFmtId="0" fontId="21" fillId="0" borderId="0" xfId="3" applyFont="1" applyBorder="1" applyAlignment="1">
      <alignment horizontal="center" vertical="center" wrapText="1"/>
    </xf>
    <xf numFmtId="0" fontId="19" fillId="0" borderId="26" xfId="3" applyFont="1" applyBorder="1" applyAlignment="1">
      <alignment horizontal="center" vertical="center"/>
    </xf>
    <xf numFmtId="0" fontId="19" fillId="0" borderId="22" xfId="3" applyFont="1" applyBorder="1" applyAlignment="1">
      <alignment vertical="center"/>
    </xf>
    <xf numFmtId="4" fontId="18" fillId="0" borderId="0" xfId="3" applyNumberFormat="1" applyFont="1" applyBorder="1" applyAlignment="1">
      <alignment horizontal="left" indent="1"/>
    </xf>
    <xf numFmtId="4" fontId="24" fillId="0" borderId="0" xfId="3" applyNumberFormat="1" applyFont="1" applyBorder="1" applyAlignment="1">
      <alignment vertical="center"/>
    </xf>
    <xf numFmtId="49" fontId="19" fillId="3" borderId="1" xfId="5" applyNumberFormat="1" applyFont="1" applyFill="1" applyBorder="1" applyAlignment="1">
      <alignment horizontal="center" vertical="center"/>
    </xf>
    <xf numFmtId="0" fontId="18" fillId="0" borderId="0" xfId="3" applyFont="1" applyAlignment="1">
      <alignment horizontal="left" indent="3"/>
    </xf>
    <xf numFmtId="0" fontId="19" fillId="0" borderId="0" xfId="3" applyFont="1" applyBorder="1" applyAlignment="1">
      <alignment horizontal="left" vertical="center"/>
    </xf>
    <xf numFmtId="4" fontId="18" fillId="0" borderId="0" xfId="3" applyNumberFormat="1" applyFont="1" applyBorder="1" applyAlignment="1">
      <alignment horizontal="left" vertical="center" indent="1"/>
    </xf>
    <xf numFmtId="4" fontId="19" fillId="3" borderId="1" xfId="3" applyNumberFormat="1" applyFont="1" applyFill="1" applyBorder="1" applyAlignment="1">
      <alignment vertical="center"/>
    </xf>
    <xf numFmtId="0" fontId="19" fillId="0" borderId="0" xfId="3" applyFont="1" applyBorder="1" applyAlignment="1">
      <alignment horizontal="right" vertical="center" indent="1"/>
    </xf>
    <xf numFmtId="0" fontId="19" fillId="0" borderId="22" xfId="3" applyFont="1" applyBorder="1" applyAlignment="1">
      <alignment horizontal="right" vertical="center"/>
    </xf>
    <xf numFmtId="0" fontId="18" fillId="0" borderId="0" xfId="3" applyFont="1" applyBorder="1" applyAlignment="1">
      <alignment horizontal="right" vertical="center" indent="1"/>
    </xf>
    <xf numFmtId="0" fontId="19" fillId="0" borderId="23" xfId="3" applyFont="1" applyBorder="1" applyAlignment="1">
      <alignment horizontal="right" vertical="center"/>
    </xf>
    <xf numFmtId="0" fontId="18" fillId="0" borderId="24" xfId="3" applyFont="1" applyBorder="1" applyAlignment="1">
      <alignment horizontal="right" vertical="center"/>
    </xf>
    <xf numFmtId="4" fontId="19" fillId="0" borderId="0" xfId="3" applyNumberFormat="1" applyFont="1" applyAlignment="1">
      <alignment vertical="center"/>
    </xf>
    <xf numFmtId="4" fontId="18" fillId="0" borderId="0" xfId="3" applyNumberFormat="1" applyFont="1" applyBorder="1" applyAlignment="1">
      <alignment vertical="center"/>
    </xf>
    <xf numFmtId="0" fontId="9" fillId="0" borderId="1" xfId="0" applyFont="1" applyBorder="1" applyAlignment="1">
      <alignment horizontal="center" vertical="center"/>
    </xf>
    <xf numFmtId="44" fontId="9" fillId="6" borderId="1" xfId="1" applyFont="1" applyFill="1" applyBorder="1" applyAlignment="1">
      <alignment horizontal="right" vertical="center"/>
    </xf>
    <xf numFmtId="0" fontId="9" fillId="0" borderId="1" xfId="0" applyFont="1" applyBorder="1" applyAlignment="1">
      <alignment horizontal="center"/>
    </xf>
    <xf numFmtId="0" fontId="12" fillId="0" borderId="1" xfId="0" applyFont="1" applyBorder="1" applyAlignment="1">
      <alignment horizontal="center" vertical="center" wrapText="1"/>
    </xf>
    <xf numFmtId="44" fontId="9" fillId="6" borderId="1" xfId="1" applyFont="1" applyFill="1" applyBorder="1" applyAlignment="1">
      <alignment horizontal="center"/>
    </xf>
    <xf numFmtId="0" fontId="9" fillId="4" borderId="1" xfId="0" applyFont="1" applyFill="1" applyBorder="1" applyAlignment="1"/>
    <xf numFmtId="44" fontId="9" fillId="4" borderId="0" xfId="1" applyFont="1" applyFill="1" applyBorder="1"/>
    <xf numFmtId="44" fontId="9" fillId="6" borderId="12" xfId="1" applyFont="1" applyFill="1" applyBorder="1"/>
    <xf numFmtId="0" fontId="9" fillId="8" borderId="27" xfId="0" applyFont="1" applyFill="1" applyBorder="1"/>
    <xf numFmtId="0" fontId="9" fillId="8" borderId="28" xfId="0" applyFont="1" applyFill="1" applyBorder="1"/>
    <xf numFmtId="0" fontId="9" fillId="8" borderId="29" xfId="0" applyFont="1" applyFill="1" applyBorder="1"/>
    <xf numFmtId="0" fontId="16" fillId="0" borderId="0" xfId="3"/>
    <xf numFmtId="168" fontId="16" fillId="0" borderId="0" xfId="3" applyNumberFormat="1"/>
    <xf numFmtId="0" fontId="31" fillId="0" borderId="0" xfId="3" applyFont="1" applyAlignment="1">
      <alignment horizontal="center"/>
    </xf>
    <xf numFmtId="0" fontId="16" fillId="0" borderId="0" xfId="3" applyAlignment="1">
      <alignment horizontal="center"/>
    </xf>
    <xf numFmtId="168" fontId="16" fillId="0" borderId="0" xfId="3" applyNumberFormat="1" applyAlignment="1">
      <alignment horizontal="center"/>
    </xf>
    <xf numFmtId="0" fontId="32" fillId="9" borderId="31" xfId="3" applyFont="1" applyFill="1" applyBorder="1" applyAlignment="1">
      <alignment horizontal="center" vertical="center" wrapText="1"/>
    </xf>
    <xf numFmtId="0" fontId="16" fillId="0" borderId="32" xfId="3" applyBorder="1" applyAlignment="1">
      <alignment horizontal="center" vertical="center"/>
    </xf>
    <xf numFmtId="2" fontId="16" fillId="0" borderId="32" xfId="3" applyNumberFormat="1" applyBorder="1" applyAlignment="1">
      <alignment horizontal="center" vertical="center"/>
    </xf>
    <xf numFmtId="171" fontId="16" fillId="0" borderId="32" xfId="3" applyNumberFormat="1" applyBorder="1" applyAlignment="1">
      <alignment horizontal="center" vertical="center"/>
    </xf>
    <xf numFmtId="172" fontId="16" fillId="0" borderId="33" xfId="3" applyNumberFormat="1" applyBorder="1" applyAlignment="1">
      <alignment horizontal="center" vertical="center"/>
    </xf>
    <xf numFmtId="4" fontId="16" fillId="0" borderId="33" xfId="3" applyNumberFormat="1" applyBorder="1" applyAlignment="1">
      <alignment horizontal="center" vertical="center"/>
    </xf>
    <xf numFmtId="0" fontId="16" fillId="0" borderId="32" xfId="3" applyFill="1" applyBorder="1" applyAlignment="1">
      <alignment horizontal="center" vertical="center"/>
    </xf>
    <xf numFmtId="0" fontId="30" fillId="10" borderId="30" xfId="3" applyFont="1" applyFill="1" applyBorder="1" applyAlignment="1">
      <alignment horizontal="center" vertical="center"/>
    </xf>
    <xf numFmtId="169" fontId="30" fillId="10" borderId="30" xfId="3" applyNumberFormat="1" applyFont="1" applyFill="1" applyBorder="1" applyAlignment="1">
      <alignment horizontal="center" vertical="center"/>
    </xf>
    <xf numFmtId="170" fontId="30" fillId="10" borderId="31" xfId="3" applyNumberFormat="1" applyFont="1" applyFill="1" applyBorder="1" applyAlignment="1">
      <alignment vertical="center"/>
    </xf>
    <xf numFmtId="168" fontId="30" fillId="10" borderId="34" xfId="3" applyNumberFormat="1" applyFont="1" applyFill="1" applyBorder="1" applyAlignment="1">
      <alignment vertical="center"/>
    </xf>
    <xf numFmtId="168" fontId="30" fillId="10" borderId="35" xfId="3" applyNumberFormat="1" applyFont="1" applyFill="1" applyBorder="1" applyAlignment="1">
      <alignment horizontal="center" vertical="center"/>
    </xf>
    <xf numFmtId="170" fontId="30" fillId="10" borderId="35" xfId="3" applyNumberFormat="1" applyFont="1" applyFill="1" applyBorder="1" applyAlignment="1">
      <alignment vertical="center"/>
    </xf>
    <xf numFmtId="170" fontId="30" fillId="10" borderId="31" xfId="3" applyNumberFormat="1" applyFont="1" applyFill="1" applyBorder="1" applyAlignment="1">
      <alignment horizontal="center" vertical="center"/>
    </xf>
    <xf numFmtId="0" fontId="30" fillId="0" borderId="0" xfId="3" applyFont="1"/>
    <xf numFmtId="0" fontId="30" fillId="0" borderId="31" xfId="3" applyFont="1" applyBorder="1" applyAlignment="1">
      <alignment horizontal="center"/>
    </xf>
    <xf numFmtId="169" fontId="16" fillId="0" borderId="31" xfId="3" applyNumberFormat="1" applyFont="1" applyBorder="1" applyAlignment="1">
      <alignment horizontal="center"/>
    </xf>
    <xf numFmtId="170" fontId="16" fillId="0" borderId="31" xfId="3" applyNumberFormat="1" applyBorder="1"/>
    <xf numFmtId="168" fontId="16" fillId="0" borderId="0" xfId="3" applyNumberFormat="1" applyBorder="1" applyAlignment="1">
      <alignment horizontal="center"/>
    </xf>
    <xf numFmtId="170" fontId="16" fillId="0" borderId="0" xfId="3" applyNumberFormat="1" applyBorder="1"/>
    <xf numFmtId="169" fontId="16" fillId="0" borderId="31" xfId="3" applyNumberFormat="1" applyBorder="1" applyAlignment="1">
      <alignment horizontal="center"/>
    </xf>
    <xf numFmtId="170" fontId="16" fillId="0" borderId="31" xfId="3" applyNumberFormat="1" applyBorder="1" applyAlignment="1">
      <alignment horizontal="center"/>
    </xf>
    <xf numFmtId="169" fontId="30" fillId="0" borderId="31" xfId="3" applyNumberFormat="1" applyFont="1" applyBorder="1" applyAlignment="1">
      <alignment horizontal="center"/>
    </xf>
    <xf numFmtId="170" fontId="30" fillId="0" borderId="31" xfId="3" applyNumberFormat="1" applyFont="1" applyBorder="1"/>
    <xf numFmtId="170" fontId="30" fillId="0" borderId="31" xfId="3" applyNumberFormat="1" applyFont="1" applyBorder="1" applyAlignment="1">
      <alignment horizontal="center"/>
    </xf>
    <xf numFmtId="0" fontId="16" fillId="0" borderId="0" xfId="3" applyBorder="1" applyAlignment="1">
      <alignment horizontal="center"/>
    </xf>
    <xf numFmtId="0" fontId="16" fillId="0" borderId="0" xfId="3" applyFont="1" applyAlignment="1">
      <alignment horizontal="left"/>
    </xf>
    <xf numFmtId="0" fontId="16" fillId="0" borderId="0" xfId="3" applyFont="1" applyBorder="1" applyAlignment="1">
      <alignment horizontal="left"/>
    </xf>
    <xf numFmtId="168" fontId="16" fillId="0" borderId="0" xfId="3" applyNumberFormat="1" applyBorder="1"/>
    <xf numFmtId="17" fontId="16" fillId="0" borderId="0" xfId="3" applyNumberFormat="1" applyFont="1" applyFill="1" applyBorder="1" applyAlignment="1">
      <alignment horizontal="left"/>
    </xf>
    <xf numFmtId="17" fontId="16" fillId="0" borderId="0" xfId="3" applyNumberFormat="1" applyFill="1" applyBorder="1" applyAlignment="1">
      <alignment horizontal="center"/>
    </xf>
    <xf numFmtId="17" fontId="16" fillId="0" borderId="0" xfId="3" applyNumberFormat="1" applyFill="1" applyBorder="1" applyAlignment="1">
      <alignment horizontal="left"/>
    </xf>
    <xf numFmtId="173" fontId="16" fillId="0" borderId="0" xfId="3" applyNumberFormat="1" applyFill="1" applyBorder="1" applyAlignment="1">
      <alignment horizontal="center"/>
    </xf>
    <xf numFmtId="174" fontId="16" fillId="0" borderId="0" xfId="3" applyNumberFormat="1" applyBorder="1" applyAlignment="1">
      <alignment horizontal="center" vertical="center"/>
    </xf>
    <xf numFmtId="0" fontId="16" fillId="0" borderId="0" xfId="3" applyAlignment="1">
      <alignment horizontal="left"/>
    </xf>
    <xf numFmtId="0" fontId="9" fillId="3" borderId="1" xfId="0" applyFont="1" applyFill="1" applyBorder="1" applyAlignment="1">
      <alignment vertical="center"/>
    </xf>
    <xf numFmtId="44" fontId="9" fillId="0" borderId="1" xfId="0" applyNumberFormat="1" applyFont="1" applyBorder="1"/>
    <xf numFmtId="44" fontId="9" fillId="6" borderId="4" xfId="0" applyNumberFormat="1" applyFont="1" applyFill="1" applyBorder="1"/>
    <xf numFmtId="0" fontId="12" fillId="0" borderId="12" xfId="0" applyFont="1" applyBorder="1" applyAlignment="1">
      <alignment horizontal="center"/>
    </xf>
    <xf numFmtId="0" fontId="9" fillId="4" borderId="12" xfId="0" applyFont="1" applyFill="1" applyBorder="1" applyAlignment="1">
      <alignment horizontal="center"/>
    </xf>
    <xf numFmtId="0" fontId="9" fillId="6" borderId="37" xfId="0" applyFont="1" applyFill="1" applyBorder="1" applyAlignment="1">
      <alignment horizontal="center" vertical="center"/>
    </xf>
    <xf numFmtId="0" fontId="9" fillId="6" borderId="38" xfId="0" applyFont="1" applyFill="1" applyBorder="1" applyAlignment="1">
      <alignment horizontal="center" vertical="center"/>
    </xf>
    <xf numFmtId="164" fontId="9" fillId="6" borderId="39" xfId="0" applyNumberFormat="1" applyFont="1" applyFill="1" applyBorder="1" applyAlignment="1">
      <alignment horizontal="center" vertical="center"/>
    </xf>
    <xf numFmtId="44" fontId="9" fillId="6" borderId="40" xfId="0" applyNumberFormat="1" applyFont="1" applyFill="1" applyBorder="1"/>
    <xf numFmtId="44" fontId="9" fillId="6" borderId="41" xfId="0" applyNumberFormat="1" applyFont="1" applyFill="1" applyBorder="1"/>
    <xf numFmtId="0" fontId="10" fillId="0" borderId="0" xfId="0" applyFont="1" applyAlignment="1"/>
    <xf numFmtId="0" fontId="9" fillId="6" borderId="3" xfId="0" applyFont="1" applyFill="1" applyBorder="1"/>
    <xf numFmtId="0" fontId="0" fillId="4" borderId="0" xfId="0" applyFill="1"/>
    <xf numFmtId="164" fontId="9" fillId="6" borderId="1" xfId="0" applyNumberFormat="1" applyFont="1" applyFill="1" applyBorder="1" applyAlignment="1">
      <alignment horizontal="center"/>
    </xf>
    <xf numFmtId="0" fontId="28" fillId="0" borderId="0" xfId="3" applyFont="1" applyBorder="1" applyAlignment="1">
      <alignment horizontal="right" indent="1"/>
    </xf>
    <xf numFmtId="0" fontId="28" fillId="0" borderId="24" xfId="3" applyFont="1" applyBorder="1" applyAlignment="1">
      <alignment horizontal="right" indent="1"/>
    </xf>
    <xf numFmtId="9" fontId="9" fillId="0" borderId="1" xfId="2" applyFont="1" applyBorder="1" applyAlignment="1">
      <alignment horizontal="center" vertical="center"/>
    </xf>
    <xf numFmtId="0" fontId="35" fillId="0" borderId="0" xfId="0" applyFont="1" applyAlignment="1">
      <alignment vertical="center"/>
    </xf>
    <xf numFmtId="0" fontId="10" fillId="0" borderId="1" xfId="0" applyFont="1" applyBorder="1" applyAlignment="1">
      <alignment horizontal="left" vertical="center"/>
    </xf>
    <xf numFmtId="0" fontId="10" fillId="2" borderId="1" xfId="0" applyFont="1" applyFill="1" applyBorder="1" applyAlignment="1">
      <alignment horizontal="center" vertical="center"/>
    </xf>
    <xf numFmtId="0" fontId="10" fillId="4" borderId="0" xfId="0" applyFont="1" applyFill="1" applyBorder="1" applyAlignment="1">
      <alignment horizontal="right"/>
    </xf>
    <xf numFmtId="0" fontId="10" fillId="2" borderId="0" xfId="0" applyFont="1" applyFill="1" applyBorder="1" applyAlignment="1">
      <alignment horizontal="center" vertical="center"/>
    </xf>
    <xf numFmtId="0" fontId="12" fillId="0" borderId="12" xfId="0" applyFont="1" applyBorder="1" applyAlignment="1">
      <alignment horizontal="center" vertical="center"/>
    </xf>
    <xf numFmtId="0" fontId="12" fillId="0" borderId="2" xfId="0" applyFont="1" applyBorder="1" applyAlignment="1">
      <alignment horizontal="center" vertical="center"/>
    </xf>
    <xf numFmtId="0" fontId="9" fillId="6" borderId="12" xfId="0" applyFont="1" applyFill="1" applyBorder="1" applyAlignment="1">
      <alignment horizontal="center"/>
    </xf>
    <xf numFmtId="0" fontId="9" fillId="4" borderId="6" xfId="0" applyFont="1" applyFill="1" applyBorder="1" applyAlignment="1">
      <alignment horizontal="center"/>
    </xf>
    <xf numFmtId="0" fontId="10" fillId="6" borderId="1" xfId="0" applyFont="1" applyFill="1" applyBorder="1" applyAlignment="1">
      <alignment horizontal="center" vertical="center"/>
    </xf>
    <xf numFmtId="10" fontId="19" fillId="0" borderId="11" xfId="3" applyNumberFormat="1" applyFont="1" applyBorder="1" applyAlignment="1">
      <alignment vertical="center"/>
    </xf>
    <xf numFmtId="0" fontId="10" fillId="0" borderId="1" xfId="0" applyFont="1" applyBorder="1" applyAlignment="1"/>
    <xf numFmtId="44" fontId="9" fillId="0" borderId="1" xfId="0" applyNumberFormat="1" applyFont="1" applyBorder="1" applyAlignment="1">
      <alignment horizontal="center"/>
    </xf>
    <xf numFmtId="0" fontId="37" fillId="0" borderId="0" xfId="3" applyFont="1"/>
    <xf numFmtId="0" fontId="38" fillId="0" borderId="0" xfId="3" applyFont="1" applyAlignment="1">
      <alignment vertical="center"/>
    </xf>
    <xf numFmtId="0" fontId="37" fillId="0" borderId="0" xfId="3" applyFont="1" applyAlignment="1">
      <alignment vertical="center"/>
    </xf>
    <xf numFmtId="0" fontId="16" fillId="0" borderId="0" xfId="3" applyAlignment="1">
      <alignment vertical="center"/>
    </xf>
    <xf numFmtId="0" fontId="39" fillId="0" borderId="0" xfId="3" applyFont="1" applyAlignment="1">
      <alignment vertical="center"/>
    </xf>
    <xf numFmtId="0" fontId="37" fillId="0" borderId="0" xfId="3" applyFont="1" applyAlignment="1">
      <alignment horizontal="center" vertical="center"/>
    </xf>
    <xf numFmtId="0" fontId="37" fillId="0" borderId="47" xfId="3" applyFont="1" applyBorder="1" applyAlignment="1">
      <alignment horizontal="center" vertical="center" wrapText="1"/>
    </xf>
    <xf numFmtId="0" fontId="37" fillId="0" borderId="49" xfId="3" applyFont="1" applyBorder="1" applyAlignment="1">
      <alignment horizontal="center" vertical="center" wrapText="1"/>
    </xf>
    <xf numFmtId="174" fontId="37" fillId="0" borderId="47" xfId="3" applyNumberFormat="1" applyFont="1" applyBorder="1" applyAlignment="1">
      <alignment horizontal="center" vertical="center"/>
    </xf>
    <xf numFmtId="175" fontId="38" fillId="0" borderId="50" xfId="3" applyNumberFormat="1" applyFont="1" applyBorder="1" applyAlignment="1">
      <alignment vertical="center"/>
    </xf>
    <xf numFmtId="165" fontId="37" fillId="0" borderId="1" xfId="3" applyNumberFormat="1" applyFont="1" applyBorder="1" applyAlignment="1">
      <alignment vertical="center"/>
    </xf>
    <xf numFmtId="0" fontId="16" fillId="0" borderId="47" xfId="3" applyFont="1" applyBorder="1" applyAlignment="1">
      <alignment horizontal="center" vertical="center"/>
    </xf>
    <xf numFmtId="175" fontId="37" fillId="0" borderId="50" xfId="3" applyNumberFormat="1" applyFont="1" applyBorder="1" applyAlignment="1">
      <alignment vertical="center"/>
    </xf>
    <xf numFmtId="165" fontId="37" fillId="0" borderId="1" xfId="3" applyNumberFormat="1" applyFont="1" applyBorder="1"/>
    <xf numFmtId="0" fontId="16" fillId="0" borderId="51" xfId="3" applyFont="1" applyBorder="1" applyAlignment="1">
      <alignment horizontal="center" vertical="center"/>
    </xf>
    <xf numFmtId="175" fontId="37" fillId="0" borderId="48" xfId="3" applyNumberFormat="1" applyFont="1" applyBorder="1" applyAlignment="1">
      <alignment vertical="center"/>
    </xf>
    <xf numFmtId="17" fontId="37" fillId="6" borderId="0" xfId="3" applyNumberFormat="1" applyFont="1" applyFill="1" applyAlignment="1">
      <alignment vertical="center"/>
    </xf>
    <xf numFmtId="177" fontId="37" fillId="6" borderId="0" xfId="3" applyNumberFormat="1" applyFont="1" applyFill="1" applyAlignment="1">
      <alignment vertical="center"/>
    </xf>
    <xf numFmtId="0" fontId="10" fillId="6" borderId="1" xfId="0" applyFont="1" applyFill="1" applyBorder="1" applyAlignment="1">
      <alignment horizontal="center" wrapText="1"/>
    </xf>
    <xf numFmtId="0" fontId="9" fillId="6" borderId="1" xfId="0" applyFont="1" applyFill="1" applyBorder="1" applyAlignment="1">
      <alignment horizontal="center" vertical="center"/>
    </xf>
    <xf numFmtId="175" fontId="37" fillId="6" borderId="47" xfId="3" applyNumberFormat="1" applyFont="1" applyFill="1" applyBorder="1" applyAlignment="1">
      <alignment horizontal="center" vertical="center"/>
    </xf>
    <xf numFmtId="0" fontId="37" fillId="6" borderId="47" xfId="3" applyFont="1" applyFill="1" applyBorder="1" applyAlignment="1">
      <alignment horizontal="center" vertical="center"/>
    </xf>
    <xf numFmtId="176" fontId="37" fillId="6" borderId="47" xfId="3" applyNumberFormat="1" applyFont="1" applyFill="1" applyBorder="1" applyAlignment="1">
      <alignment vertical="center"/>
    </xf>
    <xf numFmtId="0" fontId="37" fillId="0" borderId="0" xfId="3" applyFont="1" applyAlignment="1">
      <alignment horizontal="center"/>
    </xf>
    <xf numFmtId="0" fontId="37" fillId="0" borderId="54" xfId="3" applyFont="1" applyBorder="1" applyAlignment="1">
      <alignment horizontal="center"/>
    </xf>
    <xf numFmtId="0" fontId="37" fillId="0" borderId="50" xfId="3" applyFont="1" applyBorder="1" applyAlignment="1">
      <alignment horizontal="center" vertical="center" wrapText="1"/>
    </xf>
    <xf numFmtId="175" fontId="38" fillId="0" borderId="48" xfId="3" applyNumberFormat="1" applyFont="1" applyBorder="1" applyAlignment="1">
      <alignment vertical="center"/>
    </xf>
    <xf numFmtId="165" fontId="37" fillId="0" borderId="2" xfId="3" applyNumberFormat="1" applyFont="1" applyBorder="1" applyAlignment="1">
      <alignment vertical="center"/>
    </xf>
    <xf numFmtId="9" fontId="16" fillId="6" borderId="2" xfId="3" applyNumberFormat="1" applyFill="1" applyBorder="1" applyAlignment="1">
      <alignment horizontal="center" vertical="center"/>
    </xf>
    <xf numFmtId="0" fontId="37" fillId="0" borderId="0" xfId="3" applyFont="1" applyBorder="1" applyAlignment="1">
      <alignment horizontal="center"/>
    </xf>
    <xf numFmtId="0" fontId="16" fillId="0" borderId="55" xfId="3" applyFont="1" applyBorder="1" applyAlignment="1">
      <alignment horizontal="center" vertical="center"/>
    </xf>
    <xf numFmtId="175" fontId="37" fillId="0" borderId="55" xfId="3" applyNumberFormat="1" applyFont="1" applyBorder="1" applyAlignment="1">
      <alignment vertical="center"/>
    </xf>
    <xf numFmtId="165" fontId="37" fillId="0" borderId="55" xfId="3" applyNumberFormat="1" applyFont="1" applyBorder="1"/>
    <xf numFmtId="0" fontId="9" fillId="0" borderId="1" xfId="0" applyFont="1" applyBorder="1" applyAlignment="1">
      <alignment horizontal="center"/>
    </xf>
    <xf numFmtId="44" fontId="9" fillId="6" borderId="1" xfId="0" applyNumberFormat="1" applyFont="1" applyFill="1" applyBorder="1" applyAlignment="1">
      <alignment horizontal="center"/>
    </xf>
    <xf numFmtId="10" fontId="19" fillId="0" borderId="1" xfId="3" applyNumberFormat="1" applyFont="1" applyBorder="1" applyAlignment="1">
      <alignment horizontal="center" vertical="center"/>
    </xf>
    <xf numFmtId="9" fontId="9" fillId="0" borderId="2" xfId="2" applyFont="1" applyBorder="1" applyAlignment="1">
      <alignment horizontal="center" vertical="center"/>
    </xf>
    <xf numFmtId="9" fontId="9" fillId="6" borderId="2" xfId="2" applyFont="1" applyFill="1" applyBorder="1" applyAlignment="1">
      <alignment horizontal="center" vertical="center"/>
    </xf>
    <xf numFmtId="4" fontId="41" fillId="6" borderId="1" xfId="3" applyNumberFormat="1" applyFont="1" applyFill="1" applyBorder="1" applyAlignment="1">
      <alignment horizontal="center" vertical="center"/>
    </xf>
    <xf numFmtId="167" fontId="20" fillId="0" borderId="11" xfId="3" applyNumberFormat="1" applyFont="1" applyBorder="1" applyAlignment="1">
      <alignment vertical="center"/>
    </xf>
    <xf numFmtId="0" fontId="19" fillId="0" borderId="22" xfId="3" applyFont="1" applyBorder="1" applyAlignment="1">
      <alignment horizontal="left" vertical="top"/>
    </xf>
    <xf numFmtId="0" fontId="19" fillId="0" borderId="0" xfId="3" applyFont="1" applyBorder="1" applyAlignment="1">
      <alignment horizontal="left" vertical="top"/>
    </xf>
    <xf numFmtId="0" fontId="16" fillId="0" borderId="0" xfId="3" applyAlignment="1">
      <alignment horizontal="left" vertical="center"/>
    </xf>
    <xf numFmtId="0" fontId="44" fillId="0" borderId="0" xfId="3" applyFont="1" applyAlignment="1">
      <alignment vertical="center"/>
    </xf>
    <xf numFmtId="0" fontId="46" fillId="0" borderId="0" xfId="3" applyFont="1" applyAlignment="1">
      <alignment vertical="center"/>
    </xf>
    <xf numFmtId="49" fontId="47" fillId="0" borderId="0" xfId="3" applyNumberFormat="1" applyFont="1" applyAlignment="1" applyProtection="1">
      <alignment vertical="center"/>
      <protection locked="0"/>
    </xf>
    <xf numFmtId="0" fontId="48" fillId="0" borderId="0" xfId="3" applyFont="1" applyBorder="1" applyAlignment="1">
      <alignment horizontal="left" vertical="center"/>
    </xf>
    <xf numFmtId="0" fontId="30" fillId="0" borderId="59" xfId="3" applyFont="1" applyFill="1" applyBorder="1" applyAlignment="1">
      <alignment horizontal="center"/>
    </xf>
    <xf numFmtId="0" fontId="30" fillId="0" borderId="0" xfId="3" applyFont="1" applyFill="1" applyBorder="1" applyAlignment="1">
      <alignment horizontal="center"/>
    </xf>
    <xf numFmtId="0" fontId="30" fillId="0" borderId="0" xfId="3" applyFont="1" applyFill="1" applyBorder="1" applyAlignment="1">
      <alignment horizontal="left"/>
    </xf>
    <xf numFmtId="0" fontId="30" fillId="0" borderId="60" xfId="3" applyFont="1" applyFill="1" applyBorder="1" applyAlignment="1">
      <alignment horizontal="center"/>
    </xf>
    <xf numFmtId="0" fontId="16" fillId="0" borderId="0" xfId="3" applyFill="1"/>
    <xf numFmtId="0" fontId="30" fillId="0" borderId="0" xfId="3" applyFont="1" applyFill="1" applyBorder="1" applyAlignment="1">
      <alignment horizontal="right"/>
    </xf>
    <xf numFmtId="0" fontId="30" fillId="0" borderId="61" xfId="3" applyFont="1" applyFill="1" applyBorder="1" applyAlignment="1">
      <alignment horizontal="center"/>
    </xf>
    <xf numFmtId="0" fontId="16" fillId="0" borderId="0" xfId="3" applyFill="1" applyBorder="1"/>
    <xf numFmtId="0" fontId="30" fillId="0" borderId="61" xfId="3" applyFont="1" applyFill="1" applyBorder="1" applyAlignment="1">
      <alignment horizontal="left" indent="1"/>
    </xf>
    <xf numFmtId="0" fontId="30" fillId="0" borderId="0" xfId="3" applyFont="1" applyFill="1" applyBorder="1" applyAlignment="1">
      <alignment horizontal="left" indent="1"/>
    </xf>
    <xf numFmtId="0" fontId="16" fillId="0" borderId="63" xfId="3" applyBorder="1"/>
    <xf numFmtId="0" fontId="16" fillId="0" borderId="64" xfId="3" applyBorder="1"/>
    <xf numFmtId="0" fontId="16" fillId="0" borderId="65" xfId="3" applyBorder="1"/>
    <xf numFmtId="0" fontId="16" fillId="0" borderId="64" xfId="3" applyBorder="1" applyAlignment="1">
      <alignment horizontal="left"/>
    </xf>
    <xf numFmtId="0" fontId="16" fillId="0" borderId="66" xfId="3" applyBorder="1"/>
    <xf numFmtId="0" fontId="16" fillId="0" borderId="0" xfId="3" applyBorder="1"/>
    <xf numFmtId="0" fontId="50" fillId="0" borderId="63" xfId="3" applyFont="1" applyBorder="1" applyAlignment="1">
      <alignment horizontal="right"/>
    </xf>
    <xf numFmtId="0" fontId="50" fillId="0" borderId="64" xfId="3" applyFont="1" applyBorder="1" applyAlignment="1">
      <alignment horizontal="right"/>
    </xf>
    <xf numFmtId="0" fontId="50" fillId="0" borderId="64" xfId="3" applyFont="1" applyBorder="1" applyAlignment="1">
      <alignment horizontal="left"/>
    </xf>
    <xf numFmtId="0" fontId="50" fillId="0" borderId="66" xfId="3" applyFont="1" applyBorder="1" applyAlignment="1">
      <alignment horizontal="right"/>
    </xf>
    <xf numFmtId="0" fontId="16" fillId="0" borderId="61" xfId="3" applyFont="1" applyBorder="1" applyAlignment="1">
      <alignment horizontal="left"/>
    </xf>
    <xf numFmtId="0" fontId="42" fillId="0" borderId="0" xfId="3" applyFont="1" applyBorder="1" applyAlignment="1">
      <alignment horizontal="left"/>
    </xf>
    <xf numFmtId="0" fontId="16" fillId="0" borderId="0" xfId="3" applyFont="1" applyBorder="1" applyAlignment="1">
      <alignment horizontal="right"/>
    </xf>
    <xf numFmtId="14" fontId="42" fillId="0" borderId="0" xfId="3" applyNumberFormat="1" applyFont="1" applyBorder="1" applyAlignment="1" applyProtection="1">
      <alignment horizontal="right" indent="1"/>
      <protection locked="0"/>
    </xf>
    <xf numFmtId="14" fontId="16" fillId="0" borderId="0" xfId="3" applyNumberFormat="1" applyBorder="1" applyAlignment="1">
      <alignment horizontal="right"/>
    </xf>
    <xf numFmtId="0" fontId="16" fillId="0" borderId="60" xfId="3" applyBorder="1" applyAlignment="1">
      <alignment horizontal="right"/>
    </xf>
    <xf numFmtId="0" fontId="16" fillId="0" borderId="0" xfId="3" applyFont="1" applyFill="1"/>
    <xf numFmtId="0" fontId="16" fillId="0" borderId="61" xfId="3" applyFont="1" applyBorder="1" applyAlignment="1" applyProtection="1">
      <alignment vertical="center" wrapText="1"/>
      <protection locked="0"/>
    </xf>
    <xf numFmtId="0" fontId="16" fillId="0" borderId="0" xfId="3" applyFont="1" applyBorder="1" applyAlignment="1" applyProtection="1">
      <alignment vertical="center" wrapText="1"/>
      <protection locked="0"/>
    </xf>
    <xf numFmtId="0" fontId="16" fillId="0" borderId="60" xfId="3" applyFont="1" applyBorder="1" applyAlignment="1" applyProtection="1">
      <alignment vertical="center" wrapText="1"/>
      <protection locked="0"/>
    </xf>
    <xf numFmtId="0" fontId="16" fillId="0" borderId="0" xfId="3" applyBorder="1" applyAlignment="1">
      <alignment vertical="center"/>
    </xf>
    <xf numFmtId="0" fontId="16" fillId="0" borderId="0" xfId="3" applyFont="1" applyBorder="1" applyAlignment="1">
      <alignment horizontal="right" vertical="center"/>
    </xf>
    <xf numFmtId="0" fontId="16" fillId="0" borderId="0" xfId="3" applyFont="1" applyBorder="1" applyAlignment="1">
      <alignment horizontal="left" vertical="center"/>
    </xf>
    <xf numFmtId="165" fontId="16" fillId="0" borderId="0" xfId="3" applyNumberFormat="1" applyFont="1" applyBorder="1" applyAlignment="1">
      <alignment horizontal="right" vertical="center"/>
    </xf>
    <xf numFmtId="0" fontId="16" fillId="0" borderId="60" xfId="3" applyBorder="1" applyAlignment="1">
      <alignment horizontal="right" vertical="center"/>
    </xf>
    <xf numFmtId="9" fontId="16" fillId="0" borderId="0" xfId="3" applyNumberFormat="1" applyBorder="1" applyAlignment="1">
      <alignment horizontal="right" vertical="center"/>
    </xf>
    <xf numFmtId="0" fontId="42" fillId="0" borderId="0" xfId="3" applyFont="1" applyAlignment="1">
      <alignment vertical="center"/>
    </xf>
    <xf numFmtId="0" fontId="16" fillId="0" borderId="61" xfId="3" applyFont="1" applyFill="1" applyBorder="1" applyAlignment="1">
      <alignment horizontal="right" vertical="center"/>
    </xf>
    <xf numFmtId="0" fontId="16" fillId="0" borderId="0" xfId="3" applyFont="1" applyFill="1" applyBorder="1" applyAlignment="1">
      <alignment horizontal="right" vertical="center"/>
    </xf>
    <xf numFmtId="0" fontId="16" fillId="0" borderId="0" xfId="3" applyFont="1" applyFill="1" applyBorder="1" applyAlignment="1">
      <alignment horizontal="left" vertical="center"/>
    </xf>
    <xf numFmtId="0" fontId="16" fillId="0" borderId="61" xfId="3" applyBorder="1" applyAlignment="1">
      <alignment horizontal="right" vertical="center"/>
    </xf>
    <xf numFmtId="0" fontId="16" fillId="0" borderId="0" xfId="3" applyBorder="1" applyAlignment="1">
      <alignment horizontal="right" vertical="center"/>
    </xf>
    <xf numFmtId="0" fontId="16" fillId="0" borderId="0" xfId="3" applyBorder="1" applyAlignment="1">
      <alignment horizontal="left" vertical="center"/>
    </xf>
    <xf numFmtId="10" fontId="42" fillId="0" borderId="0" xfId="3" applyNumberFormat="1" applyFont="1" applyBorder="1" applyAlignment="1">
      <alignment horizontal="right" vertical="center"/>
    </xf>
    <xf numFmtId="0" fontId="16" fillId="0" borderId="61" xfId="3" applyFont="1" applyFill="1" applyBorder="1" applyAlignment="1"/>
    <xf numFmtId="0" fontId="16" fillId="0" borderId="0" xfId="3" applyFont="1" applyFill="1" applyBorder="1" applyAlignment="1"/>
    <xf numFmtId="0" fontId="16" fillId="0" borderId="60" xfId="3" applyFont="1" applyFill="1" applyBorder="1" applyAlignment="1"/>
    <xf numFmtId="165" fontId="42" fillId="0" borderId="0" xfId="5" applyNumberFormat="1" applyFont="1" applyBorder="1" applyAlignment="1" applyProtection="1">
      <alignment horizontal="right" vertical="center"/>
      <protection locked="0"/>
    </xf>
    <xf numFmtId="9" fontId="30" fillId="0" borderId="0" xfId="5" applyFont="1" applyBorder="1" applyAlignment="1">
      <alignment horizontal="right" vertical="center"/>
    </xf>
    <xf numFmtId="0" fontId="42" fillId="0" borderId="0" xfId="5" applyNumberFormat="1" applyFont="1" applyBorder="1" applyAlignment="1" applyProtection="1">
      <alignment horizontal="right" vertical="center"/>
      <protection locked="0"/>
    </xf>
    <xf numFmtId="0" fontId="16" fillId="0" borderId="63" xfId="3" applyFont="1" applyFill="1" applyBorder="1" applyAlignment="1">
      <alignment horizontal="right"/>
    </xf>
    <xf numFmtId="0" fontId="16" fillId="0" borderId="64" xfId="3" applyFont="1" applyFill="1" applyBorder="1" applyAlignment="1">
      <alignment horizontal="right"/>
    </xf>
    <xf numFmtId="0" fontId="16" fillId="0" borderId="64" xfId="3" applyFont="1" applyFill="1" applyBorder="1" applyAlignment="1">
      <alignment horizontal="left" vertical="center"/>
    </xf>
    <xf numFmtId="0" fontId="16" fillId="0" borderId="64" xfId="3" applyFont="1" applyFill="1" applyBorder="1" applyAlignment="1">
      <alignment horizontal="left"/>
    </xf>
    <xf numFmtId="0" fontId="16" fillId="0" borderId="64" xfId="3" applyFont="1" applyFill="1" applyBorder="1" applyAlignment="1">
      <alignment horizontal="right" vertical="center"/>
    </xf>
    <xf numFmtId="9" fontId="49" fillId="0" borderId="64" xfId="5" applyFont="1" applyBorder="1" applyAlignment="1" applyProtection="1">
      <alignment horizontal="right" indent="1"/>
      <protection locked="0"/>
    </xf>
    <xf numFmtId="9" fontId="30" fillId="0" borderId="64" xfId="5" applyFont="1" applyBorder="1" applyAlignment="1">
      <alignment horizontal="right"/>
    </xf>
    <xf numFmtId="0" fontId="16" fillId="0" borderId="66" xfId="3" applyBorder="1" applyAlignment="1">
      <alignment horizontal="right"/>
    </xf>
    <xf numFmtId="0" fontId="16" fillId="0" borderId="0" xfId="3" applyFont="1" applyFill="1" applyBorder="1" applyAlignment="1">
      <alignment horizontal="right"/>
    </xf>
    <xf numFmtId="0" fontId="16" fillId="0" borderId="0" xfId="3" applyFont="1" applyFill="1" applyBorder="1" applyAlignment="1">
      <alignment horizontal="left"/>
    </xf>
    <xf numFmtId="9" fontId="49" fillId="0" borderId="0" xfId="5" applyFont="1" applyBorder="1" applyAlignment="1" applyProtection="1">
      <alignment horizontal="right" indent="1"/>
      <protection locked="0"/>
    </xf>
    <xf numFmtId="9" fontId="30" fillId="0" borderId="0" xfId="5" applyFont="1" applyBorder="1" applyAlignment="1">
      <alignment horizontal="right"/>
    </xf>
    <xf numFmtId="0" fontId="16" fillId="0" borderId="0" xfId="3" applyBorder="1" applyAlignment="1">
      <alignment horizontal="right"/>
    </xf>
    <xf numFmtId="165" fontId="52" fillId="0" borderId="74" xfId="3" applyNumberFormat="1" applyFont="1" applyBorder="1" applyAlignment="1">
      <alignment horizontal="center" vertical="center"/>
    </xf>
    <xf numFmtId="0" fontId="53" fillId="0" borderId="0" xfId="3" applyFont="1"/>
    <xf numFmtId="0" fontId="16" fillId="0" borderId="0" xfId="3" applyFont="1" applyBorder="1" applyAlignment="1"/>
    <xf numFmtId="0" fontId="16" fillId="0" borderId="69" xfId="3" applyFont="1" applyFill="1" applyBorder="1" applyAlignment="1">
      <alignment vertical="center"/>
    </xf>
    <xf numFmtId="0" fontId="16" fillId="0" borderId="70" xfId="3" applyFont="1" applyFill="1" applyBorder="1" applyAlignment="1">
      <alignment vertical="center"/>
    </xf>
    <xf numFmtId="165" fontId="16" fillId="0" borderId="0" xfId="3" applyNumberFormat="1" applyBorder="1" applyAlignment="1">
      <alignment vertical="center"/>
    </xf>
    <xf numFmtId="9" fontId="10" fillId="0" borderId="0" xfId="2" applyFont="1" applyAlignment="1">
      <alignment horizontal="center"/>
    </xf>
    <xf numFmtId="9" fontId="0" fillId="0" borderId="0" xfId="2" applyFont="1"/>
    <xf numFmtId="9" fontId="9" fillId="6" borderId="1" xfId="2" applyFont="1" applyFill="1" applyBorder="1" applyAlignment="1">
      <alignment horizontal="center" vertical="center"/>
    </xf>
    <xf numFmtId="9" fontId="9" fillId="6" borderId="1" xfId="2" applyFont="1" applyFill="1" applyBorder="1" applyAlignment="1">
      <alignment horizontal="center"/>
    </xf>
    <xf numFmtId="44" fontId="10" fillId="6" borderId="0" xfId="2" applyNumberFormat="1" applyFont="1" applyFill="1" applyAlignment="1">
      <alignment horizontal="center"/>
    </xf>
    <xf numFmtId="0" fontId="35" fillId="6" borderId="0" xfId="0" applyFont="1" applyFill="1" applyAlignment="1">
      <alignment horizontal="center" vertical="center"/>
    </xf>
    <xf numFmtId="0" fontId="10" fillId="0" borderId="1" xfId="0" applyFont="1" applyBorder="1"/>
    <xf numFmtId="9" fontId="10" fillId="0" borderId="1" xfId="2" applyFont="1" applyBorder="1" applyAlignment="1">
      <alignment horizontal="center" vertical="center"/>
    </xf>
    <xf numFmtId="44" fontId="10" fillId="0" borderId="1" xfId="0" applyNumberFormat="1" applyFont="1" applyBorder="1" applyAlignment="1">
      <alignment horizontal="center"/>
    </xf>
    <xf numFmtId="44" fontId="10" fillId="6" borderId="1" xfId="0" applyNumberFormat="1" applyFont="1" applyFill="1" applyBorder="1"/>
    <xf numFmtId="44" fontId="10" fillId="6" borderId="0" xfId="0" applyNumberFormat="1" applyFont="1" applyFill="1" applyAlignment="1"/>
    <xf numFmtId="0" fontId="16" fillId="0" borderId="1" xfId="3" applyBorder="1" applyAlignment="1">
      <alignment horizontal="center"/>
    </xf>
    <xf numFmtId="0" fontId="30" fillId="6" borderId="1" xfId="3" applyFont="1" applyFill="1" applyBorder="1" applyAlignment="1">
      <alignment horizontal="center" vertical="center"/>
    </xf>
    <xf numFmtId="44" fontId="9" fillId="6" borderId="1" xfId="1" applyFont="1" applyFill="1" applyBorder="1" applyAlignment="1">
      <alignment horizontal="right" vertical="center"/>
    </xf>
    <xf numFmtId="44" fontId="9" fillId="6" borderId="1" xfId="1" applyFont="1" applyFill="1" applyBorder="1" applyAlignment="1">
      <alignment horizontal="center"/>
    </xf>
    <xf numFmtId="0" fontId="12"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xf>
    <xf numFmtId="44" fontId="9" fillId="6" borderId="1" xfId="1" applyFont="1" applyFill="1" applyBorder="1" applyAlignment="1">
      <alignment horizontal="right" vertical="center"/>
    </xf>
    <xf numFmtId="44" fontId="9" fillId="6" borderId="1" xfId="1" applyFont="1" applyFill="1" applyBorder="1" applyAlignment="1">
      <alignment horizontal="center" vertical="center"/>
    </xf>
    <xf numFmtId="0" fontId="12" fillId="0" borderId="1" xfId="0" applyFont="1" applyBorder="1" applyAlignment="1">
      <alignment horizontal="center" vertical="center" wrapText="1"/>
    </xf>
    <xf numFmtId="44" fontId="9" fillId="6" borderId="1" xfId="1" applyFont="1" applyFill="1" applyBorder="1" applyAlignment="1">
      <alignment horizontal="center"/>
    </xf>
    <xf numFmtId="0" fontId="28" fillId="0" borderId="22" xfId="3" applyFont="1" applyBorder="1" applyAlignment="1">
      <alignment horizontal="left" vertical="center" indent="1"/>
    </xf>
    <xf numFmtId="0" fontId="28" fillId="0" borderId="0" xfId="3" applyFont="1" applyBorder="1" applyAlignment="1">
      <alignment horizontal="left" vertical="center" indent="1"/>
    </xf>
    <xf numFmtId="0" fontId="30" fillId="0" borderId="0" xfId="3" applyFont="1" applyFill="1" applyBorder="1" applyAlignment="1">
      <alignment horizontal="center"/>
    </xf>
    <xf numFmtId="0" fontId="30" fillId="0" borderId="60" xfId="3" applyFont="1" applyFill="1" applyBorder="1" applyAlignment="1">
      <alignment horizontal="center"/>
    </xf>
    <xf numFmtId="0" fontId="9" fillId="0" borderId="1" xfId="0" applyFont="1" applyBorder="1" applyAlignment="1">
      <alignment horizontal="left" vertical="top" wrapText="1"/>
    </xf>
    <xf numFmtId="0" fontId="30" fillId="0" borderId="1" xfId="3" applyFont="1" applyFill="1" applyBorder="1" applyAlignment="1">
      <alignment horizontal="center"/>
    </xf>
    <xf numFmtId="167" fontId="18" fillId="3" borderId="1" xfId="4" applyNumberFormat="1" applyFont="1" applyFill="1" applyBorder="1" applyAlignment="1">
      <alignment horizontal="right" vertical="center" indent="1"/>
    </xf>
    <xf numFmtId="4" fontId="18" fillId="3" borderId="1" xfId="3" applyNumberFormat="1" applyFont="1" applyFill="1" applyBorder="1" applyAlignment="1">
      <alignment horizontal="right" vertical="center" indent="1"/>
    </xf>
    <xf numFmtId="44" fontId="19" fillId="0" borderId="1" xfId="1" applyFont="1" applyBorder="1" applyAlignment="1">
      <alignment horizontal="center" vertical="center"/>
    </xf>
    <xf numFmtId="10" fontId="18" fillId="3" borderId="1" xfId="3" applyNumberFormat="1" applyFont="1" applyFill="1" applyBorder="1" applyAlignment="1">
      <alignment horizontal="center" vertical="center"/>
    </xf>
    <xf numFmtId="2" fontId="19" fillId="0" borderId="1" xfId="3" applyNumberFormat="1" applyFont="1" applyBorder="1" applyAlignment="1">
      <alignment horizontal="center" vertical="center"/>
    </xf>
    <xf numFmtId="0" fontId="19" fillId="0" borderId="1" xfId="3" applyNumberFormat="1" applyFont="1" applyBorder="1" applyAlignment="1">
      <alignment horizontal="center" vertical="center"/>
    </xf>
    <xf numFmtId="10" fontId="18" fillId="3" borderId="1" xfId="3" applyNumberFormat="1" applyFont="1" applyFill="1" applyBorder="1" applyAlignment="1">
      <alignment horizontal="right" vertical="center" indent="1"/>
    </xf>
    <xf numFmtId="10" fontId="19" fillId="3" borderId="1" xfId="5" applyNumberFormat="1" applyFont="1" applyFill="1" applyBorder="1" applyAlignment="1">
      <alignment horizontal="right" vertical="center" indent="1"/>
    </xf>
    <xf numFmtId="44" fontId="18" fillId="8" borderId="1" xfId="1" applyFont="1" applyFill="1" applyBorder="1" applyAlignment="1">
      <alignment horizontal="center" vertical="center"/>
    </xf>
    <xf numFmtId="4" fontId="18" fillId="0" borderId="1" xfId="3" applyNumberFormat="1" applyFont="1" applyFill="1" applyBorder="1" applyAlignment="1">
      <alignment horizontal="center" vertical="center"/>
    </xf>
    <xf numFmtId="0" fontId="16" fillId="6" borderId="1" xfId="3" applyFill="1" applyBorder="1" applyAlignment="1">
      <alignment horizontal="center" vertical="center"/>
    </xf>
    <xf numFmtId="0" fontId="37" fillId="6" borderId="1" xfId="3" applyFont="1" applyFill="1" applyBorder="1" applyAlignment="1">
      <alignment horizontal="center" vertical="center"/>
    </xf>
    <xf numFmtId="175" fontId="37" fillId="6" borderId="1" xfId="3" applyNumberFormat="1" applyFont="1" applyFill="1" applyBorder="1" applyAlignment="1">
      <alignment horizontal="center" vertical="center"/>
    </xf>
    <xf numFmtId="44" fontId="37" fillId="6" borderId="1" xfId="3" applyNumberFormat="1" applyFont="1" applyFill="1" applyBorder="1" applyAlignment="1">
      <alignment vertical="center"/>
    </xf>
    <xf numFmtId="0" fontId="37" fillId="0" borderId="1" xfId="3" applyFont="1" applyBorder="1" applyAlignment="1">
      <alignment horizontal="center" vertical="center"/>
    </xf>
    <xf numFmtId="0" fontId="37" fillId="0" borderId="1" xfId="3" applyFont="1" applyBorder="1" applyAlignment="1">
      <alignment vertical="center"/>
    </xf>
    <xf numFmtId="0" fontId="38" fillId="0" borderId="1" xfId="3" applyFont="1" applyBorder="1" applyAlignment="1">
      <alignment vertical="center"/>
    </xf>
    <xf numFmtId="9" fontId="32" fillId="16" borderId="75" xfId="2" applyFont="1" applyFill="1" applyBorder="1" applyAlignment="1">
      <alignment horizontal="center" vertical="center" wrapText="1"/>
    </xf>
    <xf numFmtId="168" fontId="32" fillId="9" borderId="79" xfId="3" applyNumberFormat="1" applyFont="1" applyFill="1" applyBorder="1" applyAlignment="1">
      <alignment horizontal="center" vertical="center" wrapText="1"/>
    </xf>
    <xf numFmtId="9" fontId="32" fillId="16" borderId="79" xfId="2" applyFont="1" applyFill="1" applyBorder="1" applyAlignment="1">
      <alignment horizontal="center" vertical="center" wrapText="1"/>
    </xf>
    <xf numFmtId="168" fontId="32" fillId="9" borderId="80" xfId="3" applyNumberFormat="1" applyFont="1" applyFill="1" applyBorder="1" applyAlignment="1">
      <alignment horizontal="center" vertical="center" wrapText="1"/>
    </xf>
    <xf numFmtId="44" fontId="9" fillId="4" borderId="11" xfId="1" applyFont="1" applyFill="1" applyBorder="1"/>
    <xf numFmtId="0" fontId="49" fillId="2" borderId="62" xfId="3" applyFont="1" applyFill="1" applyBorder="1" applyAlignment="1" applyProtection="1">
      <alignment horizontal="center"/>
      <protection locked="0"/>
    </xf>
    <xf numFmtId="0" fontId="9" fillId="8" borderId="1" xfId="0" applyFont="1" applyFill="1" applyBorder="1" applyAlignment="1">
      <alignment horizontal="left" vertical="center"/>
    </xf>
    <xf numFmtId="0" fontId="10" fillId="8" borderId="1" xfId="0" applyFont="1" applyFill="1" applyBorder="1" applyAlignment="1">
      <alignment horizontal="left" vertical="center"/>
    </xf>
    <xf numFmtId="0" fontId="9" fillId="6" borderId="12" xfId="0" applyFont="1" applyFill="1" applyBorder="1"/>
    <xf numFmtId="164" fontId="9" fillId="6" borderId="1" xfId="2" applyNumberFormat="1" applyFont="1" applyFill="1" applyBorder="1" applyAlignment="1">
      <alignment horizontal="center" vertical="center"/>
    </xf>
    <xf numFmtId="9" fontId="9" fillId="4" borderId="81" xfId="2" applyFont="1" applyFill="1" applyBorder="1"/>
    <xf numFmtId="0" fontId="9" fillId="2" borderId="0" xfId="0" applyFont="1" applyFill="1" applyBorder="1" applyAlignment="1" applyProtection="1">
      <alignment horizontal="center" vertical="center"/>
    </xf>
    <xf numFmtId="0" fontId="0" fillId="0" borderId="0" xfId="0" applyProtection="1"/>
    <xf numFmtId="17" fontId="9" fillId="0" borderId="1" xfId="0" applyNumberFormat="1" applyFont="1" applyBorder="1" applyAlignment="1" applyProtection="1">
      <alignment horizontal="center" vertical="center"/>
      <protection locked="0"/>
    </xf>
    <xf numFmtId="44" fontId="9" fillId="4" borderId="1" xfId="1" applyFont="1" applyFill="1" applyBorder="1" applyProtection="1">
      <protection locked="0"/>
    </xf>
    <xf numFmtId="44" fontId="9" fillId="0" borderId="1" xfId="1" applyFont="1" applyBorder="1" applyAlignment="1" applyProtection="1">
      <alignment horizontal="right" vertical="center"/>
      <protection locked="0"/>
    </xf>
    <xf numFmtId="0" fontId="9" fillId="4" borderId="4" xfId="0" applyFont="1" applyFill="1" applyBorder="1" applyAlignment="1" applyProtection="1">
      <alignment horizontal="center"/>
      <protection locked="0"/>
    </xf>
    <xf numFmtId="44" fontId="9" fillId="4" borderId="16" xfId="1" applyFont="1" applyFill="1" applyBorder="1" applyProtection="1">
      <protection locked="0"/>
    </xf>
    <xf numFmtId="44" fontId="9" fillId="4" borderId="3" xfId="1" applyFont="1" applyFill="1" applyBorder="1" applyProtection="1">
      <protection locked="0"/>
    </xf>
    <xf numFmtId="0" fontId="9" fillId="2" borderId="3" xfId="0" applyFont="1" applyFill="1" applyBorder="1" applyProtection="1">
      <protection locked="0"/>
    </xf>
    <xf numFmtId="164" fontId="9" fillId="2" borderId="1" xfId="2" applyNumberFormat="1" applyFont="1" applyFill="1" applyBorder="1" applyAlignment="1" applyProtection="1">
      <alignment horizontal="center" vertical="center"/>
      <protection locked="0"/>
    </xf>
    <xf numFmtId="0" fontId="10" fillId="2" borderId="1" xfId="0" applyFont="1" applyFill="1" applyBorder="1" applyAlignment="1" applyProtection="1">
      <alignment horizontal="center" vertical="center"/>
      <protection locked="0"/>
    </xf>
    <xf numFmtId="0" fontId="9" fillId="2" borderId="1" xfId="0" applyFont="1" applyFill="1" applyBorder="1" applyAlignment="1" applyProtection="1">
      <alignment horizontal="center" vertical="center"/>
      <protection locked="0"/>
    </xf>
    <xf numFmtId="0" fontId="10" fillId="2" borderId="1" xfId="0" applyFont="1" applyFill="1" applyBorder="1" applyAlignment="1" applyProtection="1">
      <alignment horizontal="center"/>
      <protection locked="0"/>
    </xf>
    <xf numFmtId="44" fontId="9" fillId="4" borderId="0" xfId="1" applyFont="1" applyFill="1" applyBorder="1" applyProtection="1"/>
    <xf numFmtId="9" fontId="0" fillId="0" borderId="0" xfId="2" applyFont="1" applyProtection="1"/>
    <xf numFmtId="0" fontId="9" fillId="0" borderId="0" xfId="0" applyFont="1" applyProtection="1"/>
    <xf numFmtId="0" fontId="35" fillId="6" borderId="0" xfId="0" applyFont="1" applyFill="1" applyAlignment="1" applyProtection="1">
      <alignment horizontal="center" vertical="center"/>
    </xf>
    <xf numFmtId="44" fontId="10" fillId="6" borderId="0" xfId="0" applyNumberFormat="1" applyFont="1" applyFill="1" applyAlignment="1" applyProtection="1"/>
    <xf numFmtId="0" fontId="9" fillId="0" borderId="1" xfId="0" applyFont="1" applyBorder="1" applyAlignment="1" applyProtection="1">
      <alignment horizontal="center"/>
    </xf>
    <xf numFmtId="0" fontId="9" fillId="0" borderId="1" xfId="0" applyFont="1" applyBorder="1" applyProtection="1"/>
    <xf numFmtId="9" fontId="9" fillId="6" borderId="1" xfId="2" applyFont="1" applyFill="1" applyBorder="1" applyAlignment="1" applyProtection="1">
      <alignment horizontal="center" vertical="center"/>
    </xf>
    <xf numFmtId="44" fontId="9" fillId="6" borderId="1" xfId="0" applyNumberFormat="1" applyFont="1" applyFill="1" applyBorder="1" applyAlignment="1" applyProtection="1">
      <alignment horizontal="center"/>
    </xf>
    <xf numFmtId="44" fontId="9" fillId="6" borderId="1" xfId="0" applyNumberFormat="1" applyFont="1" applyFill="1" applyBorder="1" applyProtection="1"/>
    <xf numFmtId="9" fontId="9" fillId="0" borderId="1" xfId="2" applyFont="1" applyBorder="1" applyAlignment="1" applyProtection="1">
      <alignment horizontal="center" vertical="center"/>
    </xf>
    <xf numFmtId="44" fontId="9" fillId="0" borderId="1" xfId="0" applyNumberFormat="1" applyFont="1" applyBorder="1" applyAlignment="1" applyProtection="1">
      <alignment horizontal="center"/>
    </xf>
    <xf numFmtId="9" fontId="9" fillId="4" borderId="1" xfId="2" applyFont="1" applyFill="1" applyBorder="1" applyAlignment="1" applyProtection="1">
      <alignment horizontal="center" vertical="center"/>
    </xf>
    <xf numFmtId="0" fontId="10" fillId="0" borderId="1" xfId="0" applyFont="1" applyBorder="1" applyProtection="1"/>
    <xf numFmtId="9" fontId="10" fillId="0" borderId="1" xfId="2" applyFont="1" applyBorder="1" applyAlignment="1" applyProtection="1">
      <alignment horizontal="center" vertical="center"/>
    </xf>
    <xf numFmtId="44" fontId="10" fillId="0" borderId="1" xfId="0" applyNumberFormat="1" applyFont="1" applyBorder="1" applyAlignment="1" applyProtection="1">
      <alignment horizontal="center"/>
    </xf>
    <xf numFmtId="44" fontId="10" fillId="6" borderId="1" xfId="0" applyNumberFormat="1" applyFont="1" applyFill="1" applyBorder="1" applyProtection="1"/>
    <xf numFmtId="0" fontId="9" fillId="2" borderId="1" xfId="0" applyFont="1" applyFill="1" applyBorder="1" applyProtection="1">
      <protection locked="0"/>
    </xf>
    <xf numFmtId="165" fontId="9" fillId="0" borderId="1" xfId="1" applyNumberFormat="1" applyFont="1" applyBorder="1" applyProtection="1">
      <protection locked="0"/>
    </xf>
    <xf numFmtId="165" fontId="9" fillId="4" borderId="1" xfId="1" applyNumberFormat="1" applyFont="1" applyFill="1" applyBorder="1" applyProtection="1">
      <protection locked="0"/>
    </xf>
    <xf numFmtId="165" fontId="15" fillId="4" borderId="1" xfId="1" applyNumberFormat="1" applyFont="1" applyFill="1" applyBorder="1" applyProtection="1">
      <protection locked="0"/>
    </xf>
    <xf numFmtId="44" fontId="9" fillId="0" borderId="1" xfId="1" applyFont="1" applyBorder="1" applyProtection="1">
      <protection locked="0"/>
    </xf>
    <xf numFmtId="44" fontId="9" fillId="0" borderId="1" xfId="1" applyFont="1" applyBorder="1" applyAlignment="1" applyProtection="1">
      <alignment horizontal="center"/>
      <protection locked="0"/>
    </xf>
    <xf numFmtId="0" fontId="9" fillId="4" borderId="1" xfId="0" applyFont="1" applyFill="1" applyBorder="1" applyProtection="1">
      <protection locked="0"/>
    </xf>
    <xf numFmtId="165" fontId="9" fillId="4" borderId="1" xfId="0" applyNumberFormat="1" applyFont="1" applyFill="1" applyBorder="1" applyProtection="1">
      <protection locked="0"/>
    </xf>
    <xf numFmtId="44" fontId="19" fillId="15" borderId="1" xfId="1" applyFont="1" applyFill="1" applyBorder="1" applyAlignment="1" applyProtection="1">
      <alignment horizontal="center" vertical="center"/>
      <protection locked="0"/>
    </xf>
    <xf numFmtId="44" fontId="19" fillId="15" borderId="1" xfId="1" applyFont="1" applyFill="1" applyBorder="1" applyAlignment="1" applyProtection="1">
      <alignment vertical="center"/>
      <protection locked="0"/>
    </xf>
    <xf numFmtId="0" fontId="16" fillId="0" borderId="1" xfId="3" applyFont="1" applyBorder="1" applyAlignment="1" applyProtection="1">
      <protection locked="0"/>
    </xf>
    <xf numFmtId="165" fontId="16" fillId="6" borderId="1" xfId="3" applyNumberFormat="1" applyFont="1" applyFill="1" applyBorder="1" applyAlignment="1" applyProtection="1">
      <alignment horizontal="right" vertical="center"/>
    </xf>
    <xf numFmtId="44" fontId="15" fillId="4" borderId="1" xfId="1" applyFont="1" applyFill="1" applyBorder="1" applyProtection="1">
      <protection locked="0"/>
    </xf>
    <xf numFmtId="164" fontId="9" fillId="6" borderId="1" xfId="2" applyNumberFormat="1" applyFont="1" applyFill="1" applyBorder="1" applyAlignment="1" applyProtection="1">
      <alignment horizontal="center" vertical="center"/>
      <protection locked="0"/>
    </xf>
    <xf numFmtId="14" fontId="37" fillId="0" borderId="2" xfId="3" applyNumberFormat="1" applyFont="1" applyBorder="1" applyAlignment="1" applyProtection="1">
      <alignment horizontal="center" vertical="center"/>
      <protection locked="0"/>
    </xf>
    <xf numFmtId="0" fontId="37" fillId="0" borderId="1" xfId="3" applyNumberFormat="1" applyFont="1" applyBorder="1" applyAlignment="1" applyProtection="1">
      <alignment horizontal="center" vertical="center"/>
      <protection locked="0"/>
    </xf>
    <xf numFmtId="0" fontId="30" fillId="6" borderId="1" xfId="3" applyFont="1" applyFill="1" applyBorder="1" applyAlignment="1">
      <alignment horizontal="left"/>
    </xf>
    <xf numFmtId="169" fontId="16" fillId="0" borderId="32" xfId="3" applyNumberFormat="1" applyBorder="1" applyAlignment="1" applyProtection="1">
      <alignment horizontal="center" vertical="center"/>
      <protection locked="0"/>
    </xf>
    <xf numFmtId="170" fontId="16" fillId="0" borderId="32" xfId="3" applyNumberFormat="1" applyBorder="1" applyAlignment="1" applyProtection="1">
      <alignment horizontal="center" vertical="center"/>
      <protection locked="0"/>
    </xf>
    <xf numFmtId="169" fontId="16" fillId="0" borderId="32" xfId="3" applyNumberFormat="1" applyFill="1" applyBorder="1" applyAlignment="1" applyProtection="1">
      <alignment horizontal="center" vertical="center"/>
      <protection locked="0"/>
    </xf>
    <xf numFmtId="170" fontId="16" fillId="0" borderId="32" xfId="3" applyNumberFormat="1" applyFill="1" applyBorder="1" applyAlignment="1" applyProtection="1">
      <alignment horizontal="center" vertical="center"/>
      <protection locked="0"/>
    </xf>
    <xf numFmtId="4" fontId="16" fillId="0" borderId="32" xfId="3" applyNumberFormat="1" applyBorder="1" applyAlignment="1" applyProtection="1">
      <alignment horizontal="center" vertical="center"/>
      <protection locked="0"/>
    </xf>
    <xf numFmtId="4" fontId="16" fillId="0" borderId="32" xfId="3" applyNumberFormat="1" applyFill="1" applyBorder="1" applyAlignment="1" applyProtection="1">
      <alignment horizontal="center" vertical="center"/>
      <protection locked="0"/>
    </xf>
    <xf numFmtId="44" fontId="9" fillId="4" borderId="12" xfId="1" applyFont="1" applyFill="1" applyBorder="1" applyProtection="1">
      <protection locked="0"/>
    </xf>
    <xf numFmtId="9" fontId="32" fillId="16" borderId="17" xfId="2" applyFont="1" applyFill="1" applyBorder="1" applyAlignment="1">
      <alignment horizontal="center" vertical="center" wrapText="1"/>
    </xf>
    <xf numFmtId="4" fontId="16" fillId="0" borderId="55" xfId="3" applyNumberFormat="1" applyBorder="1" applyAlignment="1">
      <alignment horizontal="center" vertical="center"/>
    </xf>
    <xf numFmtId="0" fontId="16" fillId="2" borderId="1" xfId="3" applyFill="1" applyBorder="1" applyAlignment="1">
      <alignment horizontal="center" vertical="center"/>
    </xf>
    <xf numFmtId="0" fontId="16" fillId="2" borderId="1" xfId="3" applyFill="1" applyBorder="1" applyAlignment="1" applyProtection="1">
      <alignment horizontal="center"/>
      <protection locked="0"/>
    </xf>
    <xf numFmtId="0" fontId="19" fillId="0" borderId="22" xfId="3" applyFont="1" applyBorder="1" applyAlignment="1">
      <alignment vertical="center"/>
    </xf>
    <xf numFmtId="0" fontId="19" fillId="0" borderId="0" xfId="3" applyFont="1" applyBorder="1" applyAlignment="1">
      <alignment vertical="center"/>
    </xf>
    <xf numFmtId="44" fontId="19" fillId="0" borderId="1" xfId="1" applyFont="1" applyBorder="1" applyAlignment="1">
      <alignment horizontal="center" vertical="center"/>
    </xf>
    <xf numFmtId="44" fontId="19" fillId="15" borderId="1" xfId="1" applyFont="1" applyFill="1" applyBorder="1" applyAlignment="1" applyProtection="1">
      <alignment horizontal="center" vertical="center"/>
      <protection locked="0"/>
    </xf>
    <xf numFmtId="0" fontId="19" fillId="0" borderId="22" xfId="3" applyFont="1" applyBorder="1" applyAlignment="1">
      <alignment horizontal="left" vertical="center" indent="1"/>
    </xf>
    <xf numFmtId="0" fontId="19" fillId="0" borderId="0" xfId="3" applyFont="1" applyBorder="1" applyAlignment="1">
      <alignment horizontal="left" vertical="center" indent="1"/>
    </xf>
    <xf numFmtId="2" fontId="19" fillId="0" borderId="1" xfId="3" applyNumberFormat="1" applyFont="1" applyBorder="1" applyAlignment="1">
      <alignment horizontal="center" vertical="center"/>
    </xf>
    <xf numFmtId="0" fontId="21" fillId="0" borderId="0" xfId="3" applyFont="1" applyBorder="1" applyAlignment="1">
      <alignment horizontal="center" vertical="center" wrapText="1"/>
    </xf>
    <xf numFmtId="4" fontId="19" fillId="0" borderId="1" xfId="3" applyNumberFormat="1" applyFont="1" applyBorder="1" applyAlignment="1">
      <alignment horizontal="center" vertical="center"/>
    </xf>
    <xf numFmtId="44" fontId="9" fillId="4" borderId="1" xfId="0" applyNumberFormat="1" applyFont="1" applyFill="1" applyBorder="1" applyProtection="1">
      <protection locked="0"/>
    </xf>
    <xf numFmtId="9" fontId="25" fillId="3" borderId="0" xfId="2" applyFont="1" applyFill="1" applyBorder="1" applyAlignment="1">
      <alignment horizontal="right" vertical="center" indent="1"/>
    </xf>
    <xf numFmtId="9" fontId="19" fillId="0" borderId="0" xfId="2" applyFont="1" applyBorder="1" applyAlignment="1">
      <alignment horizontal="center" vertical="center"/>
    </xf>
    <xf numFmtId="44" fontId="19" fillId="0" borderId="0" xfId="3" applyNumberFormat="1" applyFont="1" applyAlignment="1">
      <alignment vertical="center"/>
    </xf>
    <xf numFmtId="43" fontId="19" fillId="0" borderId="1" xfId="6" applyFont="1" applyBorder="1" applyAlignment="1">
      <alignment horizontal="center" vertical="center"/>
    </xf>
    <xf numFmtId="0" fontId="54" fillId="0" borderId="0" xfId="3" applyFont="1" applyAlignment="1">
      <alignment vertical="center"/>
    </xf>
    <xf numFmtId="2" fontId="54" fillId="0" borderId="0" xfId="3" applyNumberFormat="1" applyFont="1" applyAlignment="1">
      <alignment vertical="center"/>
    </xf>
    <xf numFmtId="44" fontId="15" fillId="4" borderId="0" xfId="1" applyFont="1" applyFill="1" applyBorder="1"/>
    <xf numFmtId="44" fontId="15" fillId="4" borderId="0" xfId="1" applyFont="1" applyFill="1" applyBorder="1" applyAlignment="1">
      <alignment horizontal="right" vertical="center"/>
    </xf>
    <xf numFmtId="0" fontId="55" fillId="4" borderId="1" xfId="0" applyFont="1" applyFill="1" applyBorder="1" applyAlignment="1">
      <alignment horizontal="center" vertical="center"/>
    </xf>
    <xf numFmtId="0" fontId="55" fillId="4" borderId="1" xfId="0" applyFont="1" applyFill="1" applyBorder="1"/>
    <xf numFmtId="44" fontId="9" fillId="4" borderId="1" xfId="1" applyFont="1" applyFill="1" applyBorder="1"/>
    <xf numFmtId="44" fontId="9" fillId="4" borderId="1" xfId="1" applyFont="1" applyFill="1" applyBorder="1" applyAlignment="1">
      <alignment horizontal="center" vertical="center"/>
    </xf>
    <xf numFmtId="44" fontId="9" fillId="2" borderId="1" xfId="1" applyFont="1" applyFill="1" applyBorder="1" applyProtection="1">
      <protection locked="0"/>
    </xf>
    <xf numFmtId="0" fontId="9" fillId="4" borderId="0" xfId="1" applyNumberFormat="1" applyFont="1" applyFill="1" applyBorder="1" applyProtection="1"/>
    <xf numFmtId="178" fontId="9" fillId="4" borderId="0" xfId="6" applyNumberFormat="1" applyFont="1" applyFill="1" applyBorder="1"/>
    <xf numFmtId="178" fontId="9" fillId="4" borderId="1" xfId="6" applyNumberFormat="1" applyFont="1" applyFill="1" applyBorder="1" applyProtection="1">
      <protection locked="0"/>
    </xf>
    <xf numFmtId="164" fontId="9" fillId="4" borderId="0" xfId="1" applyNumberFormat="1" applyFont="1" applyFill="1" applyBorder="1"/>
    <xf numFmtId="44" fontId="9" fillId="6" borderId="0" xfId="1" applyFont="1" applyFill="1" applyProtection="1">
      <protection locked="0"/>
    </xf>
    <xf numFmtId="44" fontId="9" fillId="6" borderId="0" xfId="1" applyFont="1" applyFill="1"/>
    <xf numFmtId="0" fontId="10" fillId="0" borderId="5" xfId="0" applyFont="1" applyBorder="1" applyAlignment="1">
      <alignment vertical="center"/>
    </xf>
    <xf numFmtId="165" fontId="16" fillId="6" borderId="0" xfId="3" applyNumberFormat="1" applyFont="1" applyFill="1" applyBorder="1" applyAlignment="1" applyProtection="1">
      <alignment horizontal="center" vertical="center"/>
    </xf>
    <xf numFmtId="0" fontId="16" fillId="6" borderId="0" xfId="3" applyFont="1" applyFill="1" applyBorder="1" applyAlignment="1" applyProtection="1">
      <alignment horizontal="center" vertical="center"/>
    </xf>
    <xf numFmtId="44" fontId="16" fillId="6" borderId="0" xfId="1" applyFont="1" applyFill="1" applyBorder="1" applyAlignment="1" applyProtection="1">
      <alignment horizontal="center" vertical="center"/>
    </xf>
    <xf numFmtId="9" fontId="16" fillId="6" borderId="0" xfId="3" applyNumberFormat="1" applyFont="1" applyFill="1" applyBorder="1" applyAlignment="1" applyProtection="1">
      <alignment horizontal="center" vertical="center"/>
    </xf>
    <xf numFmtId="0" fontId="16" fillId="6" borderId="0" xfId="3" applyFont="1" applyFill="1" applyAlignment="1" applyProtection="1">
      <alignment horizontal="center" vertical="center"/>
    </xf>
    <xf numFmtId="9" fontId="16" fillId="6" borderId="0" xfId="2" applyFont="1" applyFill="1" applyAlignment="1" applyProtection="1">
      <alignment horizontal="center" vertical="center"/>
    </xf>
    <xf numFmtId="0" fontId="9" fillId="8" borderId="1" xfId="0" applyFont="1" applyFill="1" applyBorder="1" applyAlignment="1">
      <alignment horizontal="left" vertical="center" wrapText="1"/>
    </xf>
    <xf numFmtId="0" fontId="9" fillId="0" borderId="1" xfId="0" applyFont="1" applyBorder="1" applyAlignment="1">
      <alignment horizontal="left" vertical="center" wrapText="1"/>
    </xf>
    <xf numFmtId="0" fontId="10" fillId="8" borderId="1" xfId="0" applyFont="1" applyFill="1" applyBorder="1" applyAlignment="1">
      <alignment horizontal="left" vertical="center" wrapText="1"/>
    </xf>
    <xf numFmtId="43" fontId="9" fillId="4" borderId="0" xfId="1" applyNumberFormat="1" applyFont="1" applyFill="1" applyBorder="1"/>
    <xf numFmtId="10" fontId="9" fillId="6" borderId="1" xfId="2" applyNumberFormat="1" applyFont="1" applyFill="1" applyBorder="1"/>
    <xf numFmtId="9" fontId="54" fillId="0" borderId="0" xfId="2" applyFont="1" applyAlignment="1">
      <alignment vertical="center"/>
    </xf>
    <xf numFmtId="44" fontId="9" fillId="4" borderId="1" xfId="1" applyFont="1" applyFill="1" applyBorder="1" applyAlignment="1" applyProtection="1">
      <alignment horizontal="center" vertical="center"/>
      <protection locked="0"/>
    </xf>
    <xf numFmtId="0" fontId="9" fillId="4" borderId="1" xfId="1" applyNumberFormat="1" applyFont="1" applyFill="1" applyBorder="1" applyAlignment="1" applyProtection="1">
      <alignment horizontal="center" vertical="center"/>
      <protection locked="0"/>
    </xf>
    <xf numFmtId="17" fontId="16" fillId="0" borderId="32" xfId="3" applyNumberFormat="1" applyFont="1" applyBorder="1" applyAlignment="1" applyProtection="1">
      <alignment horizontal="center" vertical="center"/>
      <protection locked="0"/>
    </xf>
    <xf numFmtId="17" fontId="16" fillId="0" borderId="32" xfId="3" applyNumberFormat="1" applyFont="1" applyFill="1" applyBorder="1" applyAlignment="1" applyProtection="1">
      <alignment horizontal="center" vertical="center"/>
      <protection locked="0"/>
    </xf>
    <xf numFmtId="44" fontId="9" fillId="6" borderId="1" xfId="1" applyFont="1" applyFill="1" applyBorder="1" applyAlignment="1">
      <alignment horizontal="center"/>
    </xf>
    <xf numFmtId="0" fontId="9" fillId="0" borderId="1" xfId="0" applyFont="1" applyBorder="1" applyAlignment="1">
      <alignment horizontal="center" vertical="center"/>
    </xf>
    <xf numFmtId="0" fontId="9" fillId="6" borderId="39" xfId="0" applyFont="1" applyFill="1" applyBorder="1" applyAlignment="1">
      <alignment horizontal="center" vertical="center"/>
    </xf>
    <xf numFmtId="44" fontId="9" fillId="6" borderId="0" xfId="1" applyFont="1" applyFill="1" applyBorder="1" applyAlignment="1">
      <alignment horizontal="center"/>
    </xf>
    <xf numFmtId="0" fontId="9" fillId="2" borderId="1" xfId="0" applyNumberFormat="1" applyFont="1" applyFill="1" applyBorder="1"/>
    <xf numFmtId="44" fontId="9" fillId="6" borderId="1" xfId="1" applyNumberFormat="1" applyFont="1" applyFill="1" applyBorder="1" applyAlignment="1">
      <alignment horizontal="center"/>
    </xf>
    <xf numFmtId="44" fontId="9" fillId="2" borderId="1" xfId="0" applyNumberFormat="1" applyFont="1" applyFill="1" applyBorder="1" applyAlignment="1">
      <alignment horizontal="left" vertical="top"/>
    </xf>
    <xf numFmtId="49" fontId="9" fillId="0" borderId="1" xfId="0" applyNumberFormat="1" applyFont="1" applyBorder="1" applyAlignment="1">
      <alignment horizontal="center" vertical="center"/>
    </xf>
    <xf numFmtId="0" fontId="9" fillId="6" borderId="82" xfId="0" applyFont="1" applyFill="1" applyBorder="1" applyAlignment="1">
      <alignment horizontal="center" vertical="center"/>
    </xf>
    <xf numFmtId="44" fontId="9" fillId="6" borderId="83" xfId="0" applyNumberFormat="1" applyFont="1" applyFill="1" applyBorder="1"/>
    <xf numFmtId="44" fontId="9" fillId="6" borderId="2" xfId="1" applyFont="1" applyFill="1" applyBorder="1" applyAlignment="1">
      <alignment horizontal="right" vertical="center"/>
    </xf>
    <xf numFmtId="44" fontId="9" fillId="6" borderId="2" xfId="1" applyFont="1" applyFill="1" applyBorder="1"/>
    <xf numFmtId="44" fontId="9" fillId="4" borderId="2" xfId="1" applyFont="1" applyFill="1" applyBorder="1" applyProtection="1">
      <protection locked="0"/>
    </xf>
    <xf numFmtId="179" fontId="16" fillId="6" borderId="0" xfId="1" applyNumberFormat="1" applyFont="1" applyFill="1" applyBorder="1" applyAlignment="1" applyProtection="1">
      <alignment horizontal="center" vertical="center"/>
    </xf>
    <xf numFmtId="180" fontId="16" fillId="6" borderId="0" xfId="3" applyNumberFormat="1" applyFont="1" applyFill="1" applyBorder="1" applyAlignment="1" applyProtection="1">
      <alignment horizontal="center" vertical="center"/>
    </xf>
    <xf numFmtId="180" fontId="16" fillId="6" borderId="0" xfId="1" applyNumberFormat="1" applyFont="1" applyFill="1" applyBorder="1" applyAlignment="1" applyProtection="1">
      <alignment horizontal="center" vertical="center"/>
    </xf>
    <xf numFmtId="165" fontId="16" fillId="13" borderId="1" xfId="5" applyNumberFormat="1" applyFont="1" applyFill="1" applyBorder="1" applyAlignment="1" applyProtection="1">
      <alignment horizontal="right" vertical="center"/>
      <protection locked="0"/>
    </xf>
    <xf numFmtId="44" fontId="9" fillId="4" borderId="0" xfId="1" applyFont="1" applyFill="1" applyBorder="1" applyAlignment="1">
      <alignment horizontal="center" vertical="center"/>
    </xf>
    <xf numFmtId="0" fontId="9" fillId="4" borderId="0" xfId="1" applyNumberFormat="1" applyFont="1" applyFill="1" applyBorder="1" applyAlignment="1">
      <alignment horizontal="center" vertical="center"/>
    </xf>
    <xf numFmtId="0" fontId="10" fillId="0" borderId="4" xfId="0" applyFont="1" applyBorder="1" applyAlignment="1">
      <alignment vertical="center"/>
    </xf>
    <xf numFmtId="17" fontId="30" fillId="6" borderId="1" xfId="3" applyNumberFormat="1" applyFont="1" applyFill="1" applyBorder="1" applyAlignment="1">
      <alignment horizontal="center" vertical="center"/>
    </xf>
    <xf numFmtId="44" fontId="58" fillId="4" borderId="0" xfId="1" applyFont="1" applyFill="1" applyBorder="1"/>
    <xf numFmtId="44" fontId="9" fillId="0" borderId="1" xfId="1" quotePrefix="1" applyFont="1" applyBorder="1" applyAlignment="1" applyProtection="1">
      <alignment horizontal="right" vertical="center"/>
      <protection locked="0"/>
    </xf>
    <xf numFmtId="44" fontId="9" fillId="6" borderId="4" xfId="1" applyFont="1" applyFill="1" applyBorder="1" applyAlignment="1"/>
    <xf numFmtId="44" fontId="9" fillId="6" borderId="3" xfId="1" applyFont="1" applyFill="1" applyBorder="1" applyAlignment="1"/>
    <xf numFmtId="44" fontId="9" fillId="0" borderId="4" xfId="1" applyFont="1" applyBorder="1"/>
    <xf numFmtId="44" fontId="9" fillId="0" borderId="3" xfId="1" applyFont="1" applyBorder="1"/>
    <xf numFmtId="44" fontId="9" fillId="4" borderId="0" xfId="1" applyFont="1" applyFill="1" applyBorder="1" applyAlignment="1">
      <alignment horizontal="center"/>
    </xf>
    <xf numFmtId="0" fontId="60" fillId="4" borderId="0" xfId="7" applyFill="1"/>
    <xf numFmtId="0" fontId="61" fillId="4" borderId="0" xfId="0" applyFont="1" applyFill="1"/>
    <xf numFmtId="0" fontId="62" fillId="4" borderId="0" xfId="0" applyFont="1" applyFill="1"/>
    <xf numFmtId="164" fontId="12" fillId="6" borderId="2" xfId="0" applyNumberFormat="1" applyFont="1" applyFill="1" applyBorder="1" applyAlignment="1">
      <alignment horizontal="center"/>
    </xf>
    <xf numFmtId="164" fontId="9" fillId="6" borderId="9" xfId="0" applyNumberFormat="1" applyFont="1" applyFill="1" applyBorder="1" applyAlignment="1">
      <alignment horizontal="center" vertical="center"/>
    </xf>
    <xf numFmtId="0" fontId="12" fillId="6" borderId="12" xfId="0" applyFont="1" applyFill="1" applyBorder="1" applyAlignment="1">
      <alignment horizontal="center"/>
    </xf>
    <xf numFmtId="0" fontId="12" fillId="6" borderId="6" xfId="0" applyFont="1" applyFill="1" applyBorder="1" applyAlignment="1">
      <alignment horizontal="center"/>
    </xf>
    <xf numFmtId="44" fontId="19" fillId="4" borderId="0" xfId="1" applyFont="1" applyFill="1" applyBorder="1" applyAlignment="1" applyProtection="1">
      <alignment vertical="center"/>
      <protection locked="0"/>
    </xf>
    <xf numFmtId="44" fontId="9" fillId="6" borderId="1" xfId="1" applyFont="1" applyFill="1" applyBorder="1" applyAlignment="1">
      <alignment horizontal="right" vertical="center"/>
    </xf>
    <xf numFmtId="44" fontId="9" fillId="4" borderId="0" xfId="1" applyFont="1" applyFill="1" applyBorder="1" applyAlignment="1">
      <alignment horizontal="center"/>
    </xf>
    <xf numFmtId="44" fontId="9" fillId="6" borderId="1" xfId="1" applyFont="1" applyFill="1" applyBorder="1" applyAlignment="1">
      <alignment horizontal="center"/>
    </xf>
    <xf numFmtId="0" fontId="9" fillId="6" borderId="1" xfId="0" applyFont="1" applyFill="1" applyBorder="1" applyAlignment="1">
      <alignment horizontal="center"/>
    </xf>
    <xf numFmtId="44" fontId="9" fillId="0" borderId="1" xfId="1" applyFont="1" applyBorder="1" applyAlignment="1" applyProtection="1">
      <alignment horizontal="center"/>
      <protection locked="0"/>
    </xf>
    <xf numFmtId="164" fontId="12" fillId="6" borderId="13" xfId="0" applyNumberFormat="1" applyFont="1" applyFill="1" applyBorder="1" applyAlignment="1">
      <alignment horizontal="center"/>
    </xf>
    <xf numFmtId="164" fontId="9" fillId="6" borderId="11" xfId="0" applyNumberFormat="1" applyFont="1" applyFill="1" applyBorder="1" applyAlignment="1">
      <alignment horizontal="center" vertical="center"/>
    </xf>
    <xf numFmtId="44" fontId="9" fillId="4" borderId="0" xfId="1" applyFont="1" applyFill="1" applyBorder="1" applyAlignment="1">
      <alignment horizontal="center"/>
    </xf>
    <xf numFmtId="44" fontId="9" fillId="6" borderId="1" xfId="0" applyNumberFormat="1" applyFont="1" applyFill="1" applyBorder="1" applyAlignment="1">
      <alignment horizontal="center"/>
    </xf>
    <xf numFmtId="165" fontId="9" fillId="6" borderId="1" xfId="1" applyNumberFormat="1" applyFont="1" applyFill="1" applyBorder="1" applyAlignment="1">
      <alignment horizontal="center"/>
    </xf>
    <xf numFmtId="0" fontId="9" fillId="6" borderId="4" xfId="0" applyFont="1" applyFill="1" applyBorder="1" applyAlignment="1">
      <alignment horizontal="center" vertical="center" wrapText="1"/>
    </xf>
    <xf numFmtId="44" fontId="9" fillId="4" borderId="0" xfId="1" applyFont="1" applyFill="1" applyBorder="1" applyAlignment="1" applyProtection="1">
      <alignment horizontal="center"/>
      <protection locked="0"/>
    </xf>
    <xf numFmtId="0" fontId="9" fillId="6" borderId="12" xfId="0" applyFont="1" applyFill="1" applyBorder="1" applyAlignment="1">
      <alignment horizontal="center" vertical="center"/>
    </xf>
    <xf numFmtId="164" fontId="9" fillId="6" borderId="2" xfId="0" applyNumberFormat="1" applyFont="1" applyFill="1" applyBorder="1" applyAlignment="1">
      <alignment horizontal="center" vertical="center"/>
    </xf>
    <xf numFmtId="44" fontId="9" fillId="4" borderId="11" xfId="1" applyFont="1" applyFill="1" applyBorder="1" applyAlignment="1"/>
    <xf numFmtId="44" fontId="9" fillId="4" borderId="4" xfId="1" applyFont="1" applyFill="1" applyBorder="1"/>
    <xf numFmtId="164" fontId="9" fillId="0" borderId="1" xfId="0" applyNumberFormat="1" applyFont="1" applyBorder="1"/>
    <xf numFmtId="164" fontId="9" fillId="4" borderId="1" xfId="1" applyNumberFormat="1" applyFont="1" applyFill="1" applyBorder="1"/>
    <xf numFmtId="164" fontId="9" fillId="4" borderId="4" xfId="1" applyNumberFormat="1" applyFont="1" applyFill="1" applyBorder="1"/>
    <xf numFmtId="44" fontId="15" fillId="4" borderId="0" xfId="1" applyFont="1" applyFill="1" applyBorder="1" applyAlignment="1">
      <alignment vertical="center"/>
    </xf>
    <xf numFmtId="44" fontId="15" fillId="4" borderId="1" xfId="1" applyFont="1" applyFill="1" applyBorder="1" applyAlignment="1">
      <alignment horizontal="right" vertical="center"/>
    </xf>
    <xf numFmtId="0" fontId="9" fillId="2" borderId="1" xfId="1" applyNumberFormat="1" applyFont="1" applyFill="1" applyBorder="1" applyProtection="1">
      <protection locked="0"/>
    </xf>
    <xf numFmtId="0" fontId="9" fillId="2" borderId="0" xfId="0" applyFont="1" applyFill="1"/>
    <xf numFmtId="44" fontId="9" fillId="2" borderId="0" xfId="1" applyFont="1" applyFill="1" applyBorder="1"/>
    <xf numFmtId="166" fontId="20" fillId="0" borderId="24" xfId="3" applyNumberFormat="1" applyFont="1" applyBorder="1" applyAlignment="1">
      <alignment horizontal="left" vertical="center" indent="1"/>
    </xf>
    <xf numFmtId="0" fontId="19" fillId="0" borderId="1" xfId="3" applyFont="1" applyBorder="1" applyAlignment="1">
      <alignment vertical="center"/>
    </xf>
    <xf numFmtId="0" fontId="19" fillId="2" borderId="1" xfId="3" applyFont="1" applyFill="1" applyBorder="1" applyAlignment="1">
      <alignment horizontal="center" vertical="center"/>
    </xf>
    <xf numFmtId="44" fontId="9" fillId="4" borderId="0" xfId="1" applyFont="1" applyFill="1" applyBorder="1" applyAlignment="1" applyProtection="1">
      <alignment horizontal="justify" vertical="center" wrapText="1"/>
    </xf>
    <xf numFmtId="9" fontId="0" fillId="0" borderId="0" xfId="2" applyFont="1" applyAlignment="1" applyProtection="1">
      <alignment horizontal="justify" vertical="center" wrapText="1"/>
    </xf>
    <xf numFmtId="44" fontId="9" fillId="6" borderId="1" xfId="1" applyFont="1" applyFill="1" applyBorder="1" applyAlignment="1">
      <alignment horizontal="right" vertical="center"/>
    </xf>
    <xf numFmtId="0" fontId="9" fillId="0" borderId="1" xfId="0" applyFont="1" applyBorder="1" applyAlignment="1">
      <alignment horizontal="center" vertical="center"/>
    </xf>
    <xf numFmtId="44" fontId="9" fillId="6" borderId="1" xfId="1" applyFont="1" applyFill="1" applyBorder="1" applyAlignment="1">
      <alignment horizontal="right" vertical="center"/>
    </xf>
    <xf numFmtId="44" fontId="9" fillId="4" borderId="0" xfId="1" applyFont="1" applyFill="1" applyBorder="1" applyAlignment="1">
      <alignment horizontal="center"/>
    </xf>
    <xf numFmtId="0" fontId="9" fillId="6" borderId="1" xfId="0" applyFont="1" applyFill="1" applyBorder="1" applyAlignment="1">
      <alignment horizontal="center"/>
    </xf>
    <xf numFmtId="0" fontId="10" fillId="0" borderId="0" xfId="0" applyFont="1" applyBorder="1" applyAlignment="1">
      <alignment horizontal="right"/>
    </xf>
    <xf numFmtId="44" fontId="9" fillId="6" borderId="0" xfId="1" applyFont="1" applyFill="1" applyBorder="1" applyAlignment="1">
      <alignment horizontal="right" vertical="center"/>
    </xf>
    <xf numFmtId="44" fontId="9" fillId="6" borderId="3" xfId="1" applyFont="1" applyFill="1" applyBorder="1" applyAlignment="1">
      <alignment vertical="center"/>
    </xf>
    <xf numFmtId="44" fontId="9" fillId="4" borderId="88" xfId="1" applyFont="1" applyFill="1" applyBorder="1"/>
    <xf numFmtId="0" fontId="9" fillId="4" borderId="1" xfId="1" applyNumberFormat="1" applyFont="1" applyFill="1" applyBorder="1" applyAlignment="1">
      <alignment horizontal="center" vertical="center"/>
    </xf>
    <xf numFmtId="0" fontId="9" fillId="0" borderId="1" xfId="0" applyFont="1" applyBorder="1" applyAlignment="1">
      <alignment horizontal="center" vertical="center"/>
    </xf>
    <xf numFmtId="0" fontId="9" fillId="4" borderId="81" xfId="0" applyFont="1" applyFill="1" applyBorder="1" applyAlignment="1">
      <alignment horizontal="center"/>
    </xf>
    <xf numFmtId="0" fontId="9" fillId="4" borderId="91" xfId="0" applyFont="1" applyFill="1" applyBorder="1" applyAlignment="1">
      <alignment horizontal="center"/>
    </xf>
    <xf numFmtId="44" fontId="1" fillId="4" borderId="0" xfId="1" applyFont="1" applyFill="1" applyBorder="1" applyAlignment="1">
      <alignment horizontal="center" vertical="center" wrapText="1"/>
    </xf>
    <xf numFmtId="0" fontId="9" fillId="6" borderId="3" xfId="0" applyFont="1" applyFill="1" applyBorder="1" applyAlignment="1">
      <alignment horizontal="center" vertical="center"/>
    </xf>
    <xf numFmtId="0" fontId="9" fillId="0" borderId="0" xfId="0" applyFont="1" applyBorder="1" applyAlignment="1">
      <alignment vertical="center" wrapText="1"/>
    </xf>
    <xf numFmtId="44" fontId="9" fillId="4" borderId="22" xfId="1" applyFont="1" applyFill="1" applyBorder="1" applyAlignment="1"/>
    <xf numFmtId="164" fontId="9" fillId="4" borderId="93" xfId="1" applyNumberFormat="1" applyFont="1" applyFill="1" applyBorder="1"/>
    <xf numFmtId="44" fontId="9" fillId="4" borderId="93" xfId="1" applyFont="1" applyFill="1" applyBorder="1"/>
    <xf numFmtId="0" fontId="9" fillId="0" borderId="88" xfId="0" applyFont="1" applyBorder="1" applyAlignment="1">
      <alignment horizontal="center"/>
    </xf>
    <xf numFmtId="44" fontId="9" fillId="4" borderId="96" xfId="1" applyFont="1" applyFill="1" applyBorder="1"/>
    <xf numFmtId="44" fontId="9" fillId="4" borderId="98" xfId="1" applyFont="1" applyFill="1" applyBorder="1"/>
    <xf numFmtId="0" fontId="9" fillId="0" borderId="100" xfId="0" applyFont="1" applyBorder="1"/>
    <xf numFmtId="44" fontId="9" fillId="4" borderId="94" xfId="1" applyFont="1" applyFill="1" applyBorder="1" applyAlignment="1">
      <alignment vertical="center"/>
    </xf>
    <xf numFmtId="44" fontId="9" fillId="4" borderId="89" xfId="1" applyFont="1" applyFill="1" applyBorder="1" applyAlignment="1">
      <alignment vertical="center"/>
    </xf>
    <xf numFmtId="44" fontId="9" fillId="4" borderId="95" xfId="1" applyFont="1" applyFill="1" applyBorder="1" applyAlignment="1">
      <alignment vertical="center"/>
    </xf>
    <xf numFmtId="0" fontId="9" fillId="0" borderId="88" xfId="0" applyFont="1" applyBorder="1" applyAlignment="1">
      <alignment horizontal="center" vertical="center"/>
    </xf>
    <xf numFmtId="44" fontId="1" fillId="4" borderId="0" xfId="1" applyFont="1" applyFill="1" applyBorder="1" applyAlignment="1">
      <alignment vertical="center" wrapText="1"/>
    </xf>
    <xf numFmtId="44" fontId="1" fillId="4" borderId="92" xfId="1" applyFont="1" applyFill="1" applyBorder="1" applyAlignment="1">
      <alignment vertical="center" wrapText="1"/>
    </xf>
    <xf numFmtId="0" fontId="9" fillId="6" borderId="1" xfId="0" applyFont="1" applyFill="1" applyBorder="1" applyAlignment="1">
      <alignment horizontal="center" vertical="top"/>
    </xf>
    <xf numFmtId="44" fontId="9" fillId="6" borderId="12" xfId="1" applyFont="1" applyFill="1" applyBorder="1" applyAlignment="1">
      <alignment vertical="center"/>
    </xf>
    <xf numFmtId="0" fontId="12" fillId="0" borderId="13" xfId="0" applyFont="1" applyBorder="1" applyAlignment="1">
      <alignment horizontal="center" vertical="center"/>
    </xf>
    <xf numFmtId="0" fontId="9" fillId="0" borderId="89" xfId="0" applyFont="1" applyBorder="1" applyAlignment="1">
      <alignment vertical="center"/>
    </xf>
    <xf numFmtId="0" fontId="9" fillId="0" borderId="2" xfId="0" applyFont="1" applyBorder="1"/>
    <xf numFmtId="164" fontId="9" fillId="0" borderId="2" xfId="0" applyNumberFormat="1" applyFont="1" applyBorder="1"/>
    <xf numFmtId="164" fontId="9" fillId="4" borderId="104" xfId="1" applyNumberFormat="1" applyFont="1" applyFill="1" applyBorder="1"/>
    <xf numFmtId="179" fontId="9" fillId="0" borderId="1" xfId="0" applyNumberFormat="1" applyFont="1" applyBorder="1"/>
    <xf numFmtId="44" fontId="12" fillId="6" borderId="13" xfId="1" applyFont="1" applyFill="1" applyBorder="1" applyAlignment="1">
      <alignment horizontal="center"/>
    </xf>
    <xf numFmtId="44" fontId="64" fillId="4" borderId="0" xfId="1" applyFont="1" applyFill="1" applyBorder="1" applyAlignment="1">
      <alignment vertical="center" wrapText="1"/>
    </xf>
    <xf numFmtId="165" fontId="9" fillId="6" borderId="1" xfId="1" applyNumberFormat="1" applyFont="1" applyFill="1" applyBorder="1"/>
    <xf numFmtId="178" fontId="9" fillId="2" borderId="1" xfId="6" applyNumberFormat="1" applyFont="1" applyFill="1" applyBorder="1"/>
    <xf numFmtId="43" fontId="9" fillId="4" borderId="0" xfId="6" applyFont="1" applyFill="1" applyBorder="1"/>
    <xf numFmtId="165" fontId="9" fillId="0" borderId="1" xfId="0" applyNumberFormat="1" applyFont="1" applyBorder="1" applyProtection="1">
      <protection locked="0"/>
    </xf>
    <xf numFmtId="0" fontId="9" fillId="0" borderId="1" xfId="0" applyFont="1" applyFill="1" applyBorder="1" applyAlignment="1">
      <alignment vertical="top" wrapText="1"/>
    </xf>
    <xf numFmtId="0" fontId="0" fillId="4" borderId="0" xfId="0" applyFill="1" applyAlignment="1">
      <alignment horizontal="center"/>
    </xf>
    <xf numFmtId="0" fontId="62" fillId="4" borderId="0" xfId="0" applyFont="1" applyFill="1" applyAlignment="1">
      <alignment horizontal="left" vertical="top" wrapText="1"/>
    </xf>
    <xf numFmtId="0" fontId="9" fillId="0" borderId="42" xfId="0" applyFont="1" applyBorder="1" applyAlignment="1">
      <alignment horizontal="center" vertical="center" textRotation="90" wrapText="1"/>
    </xf>
    <xf numFmtId="0" fontId="9" fillId="0" borderId="43" xfId="0" applyFont="1" applyBorder="1" applyAlignment="1">
      <alignment horizontal="center" vertical="center" textRotation="90" wrapText="1"/>
    </xf>
    <xf numFmtId="0" fontId="9" fillId="4" borderId="102" xfId="0" applyFont="1" applyFill="1" applyBorder="1" applyAlignment="1">
      <alignment horizontal="center"/>
    </xf>
    <xf numFmtId="0" fontId="9" fillId="4" borderId="103" xfId="0" applyFont="1" applyFill="1" applyBorder="1" applyAlignment="1">
      <alignment horizontal="center"/>
    </xf>
    <xf numFmtId="0" fontId="9" fillId="0" borderId="36" xfId="0" applyFont="1" applyBorder="1" applyAlignment="1">
      <alignment horizontal="center" vertical="center" textRotation="90" wrapText="1"/>
    </xf>
    <xf numFmtId="0" fontId="9" fillId="2" borderId="101" xfId="0" applyFont="1" applyFill="1" applyBorder="1" applyAlignment="1">
      <alignment horizontal="center" vertical="center"/>
    </xf>
    <xf numFmtId="0" fontId="9" fillId="2" borderId="3" xfId="0" applyFont="1" applyFill="1" applyBorder="1" applyAlignment="1">
      <alignment horizontal="center" vertical="center"/>
    </xf>
    <xf numFmtId="0" fontId="9" fillId="0" borderId="42" xfId="0" applyFont="1" applyBorder="1" applyAlignment="1">
      <alignment horizontal="center" vertical="center" textRotation="90"/>
    </xf>
    <xf numFmtId="0" fontId="9" fillId="0" borderId="43" xfId="0" applyFont="1" applyBorder="1" applyAlignment="1">
      <alignment horizontal="center" vertical="center" textRotation="90"/>
    </xf>
    <xf numFmtId="0" fontId="9" fillId="0" borderId="36" xfId="0" applyFont="1" applyBorder="1" applyAlignment="1">
      <alignment horizontal="center" vertical="center" textRotation="90"/>
    </xf>
    <xf numFmtId="0" fontId="12" fillId="0" borderId="3" xfId="0" applyFont="1" applyBorder="1" applyAlignment="1">
      <alignment horizontal="center" vertical="center"/>
    </xf>
    <xf numFmtId="0" fontId="12" fillId="0" borderId="1" xfId="0" applyFont="1" applyBorder="1" applyAlignment="1">
      <alignment horizontal="center" vertical="center"/>
    </xf>
    <xf numFmtId="44" fontId="1" fillId="2" borderId="84" xfId="1" applyFont="1" applyFill="1" applyBorder="1" applyAlignment="1">
      <alignment horizontal="center" vertical="center" wrapText="1"/>
    </xf>
    <xf numFmtId="44" fontId="1" fillId="2" borderId="85" xfId="1" applyFont="1" applyFill="1" applyBorder="1" applyAlignment="1">
      <alignment horizontal="center" vertical="center" wrapText="1"/>
    </xf>
    <xf numFmtId="44" fontId="1" fillId="2" borderId="86" xfId="1" applyFont="1" applyFill="1" applyBorder="1" applyAlignment="1">
      <alignment horizontal="center" vertical="center" wrapText="1"/>
    </xf>
    <xf numFmtId="0" fontId="9" fillId="8" borderId="12" xfId="0" applyFont="1" applyFill="1" applyBorder="1" applyAlignment="1">
      <alignment horizontal="center" vertical="center" wrapText="1"/>
    </xf>
    <xf numFmtId="0" fontId="9" fillId="8" borderId="13" xfId="0" applyFont="1" applyFill="1" applyBorder="1" applyAlignment="1">
      <alignment horizontal="center" vertical="center" wrapText="1"/>
    </xf>
    <xf numFmtId="0" fontId="9" fillId="8" borderId="2" xfId="0" applyFont="1" applyFill="1" applyBorder="1" applyAlignment="1">
      <alignment horizontal="center" vertical="center" wrapText="1"/>
    </xf>
    <xf numFmtId="44" fontId="9" fillId="4" borderId="1" xfId="1" applyFont="1" applyFill="1" applyBorder="1" applyAlignment="1">
      <alignment horizontal="center"/>
    </xf>
    <xf numFmtId="0" fontId="9" fillId="11" borderId="0" xfId="0" applyFont="1" applyFill="1" applyAlignment="1">
      <alignment horizontal="left" vertical="center"/>
    </xf>
    <xf numFmtId="0" fontId="9" fillId="2" borderId="1" xfId="1" applyNumberFormat="1" applyFont="1" applyFill="1" applyBorder="1" applyAlignment="1" applyProtection="1">
      <alignment horizontal="center"/>
      <protection locked="0"/>
    </xf>
    <xf numFmtId="44" fontId="9" fillId="2" borderId="1" xfId="1" applyFont="1" applyFill="1" applyBorder="1" applyAlignment="1" applyProtection="1">
      <alignment horizontal="center"/>
      <protection locked="0"/>
    </xf>
    <xf numFmtId="0" fontId="9" fillId="6" borderId="1" xfId="1" applyNumberFormat="1" applyFont="1" applyFill="1" applyBorder="1" applyAlignment="1">
      <alignment horizontal="center" vertical="center"/>
    </xf>
    <xf numFmtId="0" fontId="9" fillId="2" borderId="4" xfId="0" applyFont="1" applyFill="1" applyBorder="1" applyAlignment="1" applyProtection="1">
      <alignment horizontal="center"/>
      <protection locked="0"/>
    </xf>
    <xf numFmtId="0" fontId="9" fillId="2" borderId="5" xfId="0" applyFont="1" applyFill="1" applyBorder="1" applyAlignment="1" applyProtection="1">
      <alignment horizontal="center"/>
      <protection locked="0"/>
    </xf>
    <xf numFmtId="0" fontId="9" fillId="0" borderId="4" xfId="0" applyNumberFormat="1" applyFont="1" applyBorder="1" applyAlignment="1" applyProtection="1">
      <alignment horizontal="center"/>
      <protection locked="0"/>
    </xf>
    <xf numFmtId="0" fontId="9" fillId="0" borderId="5" xfId="0" applyNumberFormat="1" applyFont="1" applyBorder="1" applyAlignment="1" applyProtection="1">
      <alignment horizontal="center"/>
      <protection locked="0"/>
    </xf>
    <xf numFmtId="0" fontId="9" fillId="0" borderId="4" xfId="0" applyFont="1" applyBorder="1" applyAlignment="1" applyProtection="1">
      <alignment horizontal="center"/>
      <protection locked="0"/>
    </xf>
    <xf numFmtId="0" fontId="9" fillId="0" borderId="5" xfId="0" applyFont="1" applyBorder="1" applyAlignment="1" applyProtection="1">
      <alignment horizontal="center"/>
      <protection locked="0"/>
    </xf>
    <xf numFmtId="0" fontId="9" fillId="0" borderId="1" xfId="0" applyFont="1" applyBorder="1" applyAlignment="1" applyProtection="1">
      <alignment horizontal="center"/>
      <protection locked="0"/>
    </xf>
    <xf numFmtId="0" fontId="9" fillId="0" borderId="3" xfId="0" applyFont="1" applyBorder="1" applyAlignment="1" applyProtection="1">
      <alignment horizontal="center"/>
      <protection locked="0"/>
    </xf>
    <xf numFmtId="44" fontId="9" fillId="4" borderId="10" xfId="1" applyFont="1" applyFill="1" applyBorder="1" applyAlignment="1">
      <alignment horizontal="center"/>
    </xf>
    <xf numFmtId="44" fontId="9" fillId="6" borderId="1" xfId="1" applyFont="1" applyFill="1" applyBorder="1" applyAlignment="1">
      <alignment horizontal="right" vertical="center"/>
    </xf>
    <xf numFmtId="44" fontId="9" fillId="4" borderId="20" xfId="1" applyFont="1" applyFill="1" applyBorder="1" applyAlignment="1">
      <alignment horizontal="center" vertical="center" wrapText="1"/>
    </xf>
    <xf numFmtId="44" fontId="9" fillId="4" borderId="21" xfId="1" applyFont="1" applyFill="1" applyBorder="1" applyAlignment="1">
      <alignment horizontal="center" vertical="center" wrapText="1"/>
    </xf>
    <xf numFmtId="44" fontId="9" fillId="4" borderId="25" xfId="1" applyFont="1" applyFill="1" applyBorder="1" applyAlignment="1">
      <alignment horizontal="center" vertical="center" wrapText="1"/>
    </xf>
    <xf numFmtId="44" fontId="9" fillId="4" borderId="22" xfId="1" applyFont="1" applyFill="1" applyBorder="1" applyAlignment="1">
      <alignment horizontal="center" vertical="center" wrapText="1"/>
    </xf>
    <xf numFmtId="44" fontId="9" fillId="4" borderId="0" xfId="1" applyFont="1" applyFill="1" applyBorder="1" applyAlignment="1">
      <alignment horizontal="center" vertical="center" wrapText="1"/>
    </xf>
    <xf numFmtId="44" fontId="9" fillId="4" borderId="26" xfId="1" applyFont="1" applyFill="1" applyBorder="1" applyAlignment="1">
      <alignment horizontal="center" vertical="center" wrapText="1"/>
    </xf>
    <xf numFmtId="44" fontId="9" fillId="4" borderId="97" xfId="1" applyFont="1" applyFill="1" applyBorder="1" applyAlignment="1">
      <alignment horizontal="center" vertical="center" wrapText="1"/>
    </xf>
    <xf numFmtId="44" fontId="9" fillId="4" borderId="10" xfId="1" applyFont="1" applyFill="1" applyBorder="1" applyAlignment="1">
      <alignment horizontal="center" vertical="center" wrapText="1"/>
    </xf>
    <xf numFmtId="44" fontId="9" fillId="4" borderId="99" xfId="1" applyFont="1" applyFill="1" applyBorder="1" applyAlignment="1">
      <alignment horizontal="center" vertical="center" wrapText="1"/>
    </xf>
    <xf numFmtId="0" fontId="9" fillId="0" borderId="94" xfId="0" applyFont="1" applyBorder="1" applyAlignment="1">
      <alignment horizontal="center" vertical="center"/>
    </xf>
    <xf numFmtId="0" fontId="9" fillId="0" borderId="89" xfId="0" applyFont="1" applyBorder="1" applyAlignment="1">
      <alignment horizontal="center" vertical="center"/>
    </xf>
    <xf numFmtId="0" fontId="9" fillId="0" borderId="90" xfId="0" applyFont="1" applyBorder="1" applyAlignment="1">
      <alignment horizontal="center" vertical="center"/>
    </xf>
    <xf numFmtId="44" fontId="15" fillId="2" borderId="1" xfId="1" applyFont="1" applyFill="1" applyBorder="1" applyAlignment="1">
      <alignment horizontal="center" vertical="center" wrapText="1"/>
    </xf>
    <xf numFmtId="0" fontId="9" fillId="0" borderId="94" xfId="0" applyFont="1" applyBorder="1" applyAlignment="1">
      <alignment horizontal="center" vertical="center" wrapText="1"/>
    </xf>
    <xf numFmtId="0" fontId="9" fillId="0" borderId="89" xfId="0" applyFont="1" applyBorder="1" applyAlignment="1">
      <alignment horizontal="center" vertical="center" wrapText="1"/>
    </xf>
    <xf numFmtId="0" fontId="9" fillId="0" borderId="90" xfId="0" applyFont="1" applyBorder="1" applyAlignment="1">
      <alignment horizontal="center" vertical="center" wrapText="1"/>
    </xf>
    <xf numFmtId="0" fontId="9" fillId="0" borderId="95" xfId="0" applyFont="1" applyBorder="1" applyAlignment="1">
      <alignment horizontal="center" vertical="center" wrapText="1"/>
    </xf>
    <xf numFmtId="0" fontId="9" fillId="0" borderId="23" xfId="0" applyFont="1" applyBorder="1" applyAlignment="1">
      <alignment horizontal="center" vertical="center" textRotation="90" wrapText="1"/>
    </xf>
    <xf numFmtId="44" fontId="9" fillId="2" borderId="1" xfId="1" applyFont="1" applyFill="1" applyBorder="1" applyAlignment="1">
      <alignment horizontal="center" wrapText="1"/>
    </xf>
    <xf numFmtId="0" fontId="9" fillId="0" borderId="20"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0"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105" xfId="0" applyFont="1" applyBorder="1" applyAlignment="1">
      <alignment horizontal="center" vertical="center" wrapText="1"/>
    </xf>
    <xf numFmtId="44" fontId="10" fillId="6" borderId="0" xfId="2" applyNumberFormat="1" applyFont="1" applyFill="1" applyAlignment="1" applyProtection="1">
      <alignment horizontal="center" vertical="center" wrapText="1"/>
    </xf>
    <xf numFmtId="44" fontId="9" fillId="4" borderId="0" xfId="1" applyFont="1" applyFill="1" applyBorder="1" applyAlignment="1" applyProtection="1">
      <alignment horizontal="center"/>
    </xf>
    <xf numFmtId="9" fontId="10" fillId="0" borderId="0" xfId="2" applyFont="1" applyAlignment="1" applyProtection="1">
      <alignment horizontal="left" vertical="top" wrapText="1"/>
    </xf>
    <xf numFmtId="9" fontId="9" fillId="0" borderId="4" xfId="2" applyFont="1" applyBorder="1" applyAlignment="1" applyProtection="1">
      <alignment horizontal="center" vertical="center"/>
    </xf>
    <xf numFmtId="9" fontId="9" fillId="0" borderId="5" xfId="2" applyFont="1" applyBorder="1" applyAlignment="1" applyProtection="1">
      <alignment horizontal="center" vertical="center"/>
    </xf>
    <xf numFmtId="9" fontId="9" fillId="0" borderId="3" xfId="2" applyFont="1" applyBorder="1" applyAlignment="1" applyProtection="1">
      <alignment horizontal="center" vertical="center"/>
    </xf>
    <xf numFmtId="9" fontId="10" fillId="0" borderId="0" xfId="2" applyFont="1" applyAlignment="1" applyProtection="1">
      <alignment horizontal="justify" vertical="center" wrapText="1"/>
    </xf>
    <xf numFmtId="44" fontId="10" fillId="6" borderId="0" xfId="2" applyNumberFormat="1" applyFont="1" applyFill="1" applyAlignment="1" applyProtection="1">
      <alignment horizontal="center" vertical="center"/>
    </xf>
    <xf numFmtId="0" fontId="9" fillId="4" borderId="0" xfId="1" applyNumberFormat="1" applyFont="1" applyFill="1" applyBorder="1" applyAlignment="1">
      <alignment horizontal="center"/>
    </xf>
    <xf numFmtId="44" fontId="9" fillId="4" borderId="0" xfId="1" applyFont="1" applyFill="1" applyBorder="1" applyAlignment="1">
      <alignment horizontal="center"/>
    </xf>
    <xf numFmtId="0" fontId="9" fillId="4" borderId="11" xfId="1" applyNumberFormat="1" applyFont="1" applyFill="1" applyBorder="1" applyAlignment="1" applyProtection="1">
      <alignment horizontal="center"/>
      <protection hidden="1"/>
    </xf>
    <xf numFmtId="0" fontId="9" fillId="4" borderId="0" xfId="1" applyNumberFormat="1" applyFont="1" applyFill="1" applyBorder="1" applyAlignment="1" applyProtection="1">
      <alignment horizontal="center"/>
      <protection hidden="1"/>
    </xf>
    <xf numFmtId="0" fontId="10" fillId="0" borderId="0" xfId="0" applyFont="1" applyAlignment="1">
      <alignment horizontal="center"/>
    </xf>
    <xf numFmtId="0" fontId="10" fillId="0" borderId="10" xfId="0" applyFont="1" applyBorder="1" applyAlignment="1">
      <alignment horizontal="center"/>
    </xf>
    <xf numFmtId="0" fontId="9" fillId="6" borderId="1" xfId="0" applyFont="1" applyFill="1" applyBorder="1" applyAlignment="1">
      <alignment horizontal="center"/>
    </xf>
    <xf numFmtId="0" fontId="10" fillId="2" borderId="4" xfId="0" applyFont="1" applyFill="1" applyBorder="1" applyAlignment="1" applyProtection="1">
      <alignment horizontal="center"/>
      <protection locked="0"/>
    </xf>
    <xf numFmtId="0" fontId="10" fillId="2" borderId="3" xfId="0" applyFont="1" applyFill="1" applyBorder="1" applyAlignment="1" applyProtection="1">
      <alignment horizontal="center"/>
      <protection locked="0"/>
    </xf>
    <xf numFmtId="44" fontId="9" fillId="4" borderId="15" xfId="1" applyFont="1" applyFill="1" applyBorder="1" applyAlignment="1">
      <alignment horizontal="center"/>
    </xf>
    <xf numFmtId="0" fontId="9" fillId="0" borderId="1" xfId="0" applyFont="1" applyBorder="1" applyAlignment="1">
      <alignment horizontal="center" vertical="center"/>
    </xf>
    <xf numFmtId="0" fontId="9" fillId="0" borderId="1" xfId="0" applyFont="1" applyFill="1" applyBorder="1" applyAlignment="1">
      <alignment horizontal="center" vertical="center"/>
    </xf>
    <xf numFmtId="44" fontId="9" fillId="0" borderId="1" xfId="1" applyFont="1" applyBorder="1" applyAlignment="1" applyProtection="1">
      <alignment horizontal="center"/>
      <protection locked="0"/>
    </xf>
    <xf numFmtId="44" fontId="9" fillId="6" borderId="1" xfId="0" applyNumberFormat="1" applyFont="1" applyFill="1" applyBorder="1" applyAlignment="1">
      <alignment horizontal="center"/>
    </xf>
    <xf numFmtId="44" fontId="9" fillId="0" borderId="4" xfId="1" applyFont="1" applyBorder="1" applyAlignment="1" applyProtection="1">
      <alignment horizontal="center"/>
      <protection locked="0"/>
    </xf>
    <xf numFmtId="44" fontId="9" fillId="0" borderId="3" xfId="1" applyFont="1" applyBorder="1" applyAlignment="1" applyProtection="1">
      <alignment horizontal="center"/>
      <protection locked="0"/>
    </xf>
    <xf numFmtId="44" fontId="10" fillId="4" borderId="1" xfId="0" applyNumberFormat="1" applyFont="1" applyFill="1" applyBorder="1" applyAlignment="1">
      <alignment horizontal="center"/>
    </xf>
    <xf numFmtId="44" fontId="55" fillId="6" borderId="1" xfId="0" applyNumberFormat="1" applyFont="1" applyFill="1" applyBorder="1" applyAlignment="1">
      <alignment horizontal="center"/>
    </xf>
    <xf numFmtId="44" fontId="9" fillId="0" borderId="1" xfId="1" applyFont="1" applyBorder="1" applyAlignment="1">
      <alignment horizontal="center"/>
    </xf>
    <xf numFmtId="0" fontId="9" fillId="4" borderId="1" xfId="0" applyFont="1" applyFill="1" applyBorder="1" applyAlignment="1">
      <alignment horizontal="center"/>
    </xf>
    <xf numFmtId="44" fontId="10" fillId="6" borderId="4" xfId="0" applyNumberFormat="1" applyFont="1" applyFill="1" applyBorder="1" applyAlignment="1">
      <alignment horizontal="center"/>
    </xf>
    <xf numFmtId="44" fontId="10" fillId="6" borderId="3" xfId="0" applyNumberFormat="1" applyFont="1" applyFill="1" applyBorder="1" applyAlignment="1">
      <alignment horizontal="center"/>
    </xf>
    <xf numFmtId="44" fontId="10" fillId="6" borderId="1" xfId="0" applyNumberFormat="1" applyFont="1" applyFill="1" applyBorder="1" applyAlignment="1">
      <alignment horizontal="center"/>
    </xf>
    <xf numFmtId="165" fontId="9" fillId="6" borderId="1" xfId="0" applyNumberFormat="1" applyFont="1" applyFill="1" applyBorder="1" applyAlignment="1">
      <alignment horizontal="right"/>
    </xf>
    <xf numFmtId="0" fontId="9" fillId="6" borderId="1" xfId="0" applyFont="1" applyFill="1" applyBorder="1" applyAlignment="1">
      <alignment horizontal="right"/>
    </xf>
    <xf numFmtId="0" fontId="10" fillId="6" borderId="1" xfId="0" applyFont="1" applyFill="1" applyBorder="1" applyAlignment="1">
      <alignment horizontal="center"/>
    </xf>
    <xf numFmtId="44" fontId="9" fillId="4" borderId="1" xfId="1" applyFont="1" applyFill="1" applyBorder="1" applyAlignment="1">
      <alignment horizontal="center" vertical="center"/>
    </xf>
    <xf numFmtId="0" fontId="12" fillId="0" borderId="1" xfId="0" applyFont="1" applyBorder="1" applyAlignment="1">
      <alignment horizontal="center" vertical="center" wrapText="1"/>
    </xf>
    <xf numFmtId="44" fontId="8" fillId="17" borderId="87" xfId="0" applyNumberFormat="1" applyFont="1" applyFill="1" applyBorder="1" applyAlignment="1">
      <alignment horizontal="center" vertical="center" wrapText="1"/>
    </xf>
    <xf numFmtId="0" fontId="10" fillId="0" borderId="6"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5" xfId="0" applyFont="1" applyFill="1" applyBorder="1" applyAlignment="1">
      <alignment horizontal="center" vertical="top"/>
    </xf>
    <xf numFmtId="0" fontId="10" fillId="0" borderId="3" xfId="0" applyFont="1" applyFill="1" applyBorder="1" applyAlignment="1">
      <alignment horizontal="center" vertical="top"/>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44" fontId="9" fillId="6" borderId="1" xfId="1" applyFont="1" applyFill="1" applyBorder="1" applyAlignment="1">
      <alignment horizontal="center"/>
    </xf>
    <xf numFmtId="44" fontId="58" fillId="4" borderId="11" xfId="1" applyFont="1" applyFill="1" applyBorder="1" applyAlignment="1">
      <alignment horizontal="center"/>
    </xf>
    <xf numFmtId="44" fontId="58" fillId="4" borderId="0" xfId="1" applyFont="1" applyFill="1" applyBorder="1" applyAlignment="1">
      <alignment horizontal="center"/>
    </xf>
    <xf numFmtId="0" fontId="22" fillId="14" borderId="24" xfId="3" applyFont="1" applyFill="1" applyBorder="1" applyAlignment="1">
      <alignment horizontal="center" vertical="center" wrapText="1"/>
    </xf>
    <xf numFmtId="0" fontId="17" fillId="7" borderId="17" xfId="3" applyFont="1" applyFill="1" applyBorder="1" applyAlignment="1">
      <alignment horizontal="center" vertical="center" wrapText="1"/>
    </xf>
    <xf numFmtId="0" fontId="17" fillId="7" borderId="21" xfId="3" applyFont="1" applyFill="1" applyBorder="1" applyAlignment="1">
      <alignment horizontal="center" vertical="center" wrapText="1"/>
    </xf>
    <xf numFmtId="0" fontId="17" fillId="7" borderId="18" xfId="3" applyFont="1" applyFill="1" applyBorder="1" applyAlignment="1">
      <alignment horizontal="center" vertical="center" wrapText="1"/>
    </xf>
    <xf numFmtId="0" fontId="17" fillId="7" borderId="19" xfId="3" applyFont="1" applyFill="1" applyBorder="1" applyAlignment="1">
      <alignment horizontal="center" vertical="center" wrapText="1"/>
    </xf>
    <xf numFmtId="10" fontId="19" fillId="4" borderId="1" xfId="3" applyNumberFormat="1" applyFont="1" applyFill="1" applyBorder="1" applyAlignment="1">
      <alignment horizontal="center" vertical="center"/>
    </xf>
    <xf numFmtId="0" fontId="21" fillId="0" borderId="0" xfId="3" applyFont="1" applyAlignment="1">
      <alignment horizontal="left" vertical="center" indent="1"/>
    </xf>
    <xf numFmtId="0" fontId="19" fillId="0" borderId="1" xfId="3" applyFont="1" applyBorder="1" applyAlignment="1">
      <alignment vertical="center"/>
    </xf>
    <xf numFmtId="44" fontId="19" fillId="0" borderId="1" xfId="1" applyFont="1" applyBorder="1" applyAlignment="1">
      <alignment horizontal="center" vertical="center"/>
    </xf>
    <xf numFmtId="0" fontId="33" fillId="4" borderId="1" xfId="3" applyFont="1" applyFill="1" applyBorder="1" applyAlignment="1">
      <alignment horizontal="left" vertical="center"/>
    </xf>
    <xf numFmtId="4" fontId="19" fillId="0" borderId="44" xfId="3" applyNumberFormat="1" applyFont="1" applyBorder="1" applyAlignment="1">
      <alignment horizontal="center" vertical="center"/>
    </xf>
    <xf numFmtId="4" fontId="19" fillId="0" borderId="45" xfId="3" applyNumberFormat="1" applyFont="1" applyBorder="1" applyAlignment="1">
      <alignment horizontal="center" vertical="center"/>
    </xf>
    <xf numFmtId="44" fontId="19" fillId="0" borderId="4" xfId="1" applyFont="1" applyBorder="1" applyAlignment="1">
      <alignment horizontal="center" vertical="center"/>
    </xf>
    <xf numFmtId="44" fontId="19" fillId="0" borderId="3" xfId="1" applyFont="1" applyBorder="1" applyAlignment="1">
      <alignment horizontal="center" vertical="center"/>
    </xf>
    <xf numFmtId="44" fontId="19" fillId="15" borderId="4" xfId="1" applyFont="1" applyFill="1" applyBorder="1" applyAlignment="1" applyProtection="1">
      <alignment horizontal="center" vertical="center"/>
      <protection locked="0"/>
    </xf>
    <xf numFmtId="44" fontId="19" fillId="15" borderId="3" xfId="1" applyFont="1" applyFill="1" applyBorder="1" applyAlignment="1" applyProtection="1">
      <alignment horizontal="center" vertical="center"/>
      <protection locked="0"/>
    </xf>
    <xf numFmtId="0" fontId="19" fillId="0" borderId="1" xfId="3" applyFont="1" applyBorder="1" applyAlignment="1">
      <alignment horizontal="left" vertical="top" wrapText="1"/>
    </xf>
    <xf numFmtId="0" fontId="23" fillId="0" borderId="0" xfId="3" applyFont="1" applyAlignment="1">
      <alignment horizontal="left" vertical="center" wrapText="1"/>
    </xf>
    <xf numFmtId="0" fontId="24" fillId="0" borderId="0" xfId="3" applyFont="1" applyBorder="1" applyAlignment="1">
      <alignment horizontal="left" vertical="center"/>
    </xf>
    <xf numFmtId="9" fontId="19" fillId="0" borderId="4" xfId="2" applyFont="1" applyBorder="1" applyAlignment="1">
      <alignment horizontal="center" vertical="center"/>
    </xf>
    <xf numFmtId="9" fontId="19" fillId="0" borderId="5" xfId="2" applyFont="1" applyBorder="1" applyAlignment="1">
      <alignment horizontal="center" vertical="center"/>
    </xf>
    <xf numFmtId="9" fontId="19" fillId="0" borderId="3" xfId="2" applyFont="1" applyBorder="1" applyAlignment="1">
      <alignment horizontal="center" vertical="center"/>
    </xf>
    <xf numFmtId="44" fontId="19" fillId="15" borderId="1" xfId="1" applyFont="1" applyFill="1" applyBorder="1" applyAlignment="1" applyProtection="1">
      <alignment horizontal="center" vertical="center"/>
      <protection locked="0"/>
    </xf>
    <xf numFmtId="4" fontId="19" fillId="0" borderId="4" xfId="3" applyNumberFormat="1" applyFont="1" applyBorder="1" applyAlignment="1">
      <alignment horizontal="center" vertical="center"/>
    </xf>
    <xf numFmtId="4" fontId="19" fillId="0" borderId="3" xfId="3" applyNumberFormat="1" applyFont="1" applyBorder="1" applyAlignment="1">
      <alignment horizontal="center" vertical="center"/>
    </xf>
    <xf numFmtId="0" fontId="25" fillId="0" borderId="0" xfId="3" applyFont="1" applyBorder="1" applyAlignment="1">
      <alignment horizontal="left" vertical="center" indent="1"/>
    </xf>
    <xf numFmtId="0" fontId="25" fillId="0" borderId="0" xfId="3" applyFont="1" applyAlignment="1">
      <alignment horizontal="left" vertical="center" indent="1"/>
    </xf>
    <xf numFmtId="0" fontId="19" fillId="0" borderId="22" xfId="3" applyFont="1" applyBorder="1" applyAlignment="1">
      <alignment horizontal="left" vertical="center" indent="1"/>
    </xf>
    <xf numFmtId="0" fontId="19" fillId="0" borderId="0" xfId="3" applyFont="1" applyBorder="1" applyAlignment="1">
      <alignment horizontal="left" vertical="center" indent="1"/>
    </xf>
    <xf numFmtId="0" fontId="26" fillId="0" borderId="1" xfId="3" applyFont="1" applyBorder="1" applyAlignment="1">
      <alignment vertical="center" wrapText="1"/>
    </xf>
    <xf numFmtId="2" fontId="19" fillId="0" borderId="1" xfId="3" applyNumberFormat="1" applyFont="1" applyBorder="1" applyAlignment="1">
      <alignment horizontal="center" vertical="center"/>
    </xf>
    <xf numFmtId="44" fontId="19" fillId="0" borderId="6" xfId="1" applyFont="1" applyBorder="1" applyAlignment="1">
      <alignment horizontal="center" vertical="center" wrapText="1"/>
    </xf>
    <xf numFmtId="44" fontId="19" fillId="0" borderId="14" xfId="1" applyFont="1" applyBorder="1" applyAlignment="1">
      <alignment horizontal="center" vertical="center" wrapText="1"/>
    </xf>
    <xf numFmtId="44" fontId="19" fillId="0" borderId="11" xfId="1" applyFont="1" applyBorder="1" applyAlignment="1">
      <alignment horizontal="center" vertical="center" wrapText="1"/>
    </xf>
    <xf numFmtId="44" fontId="19" fillId="0" borderId="15" xfId="1" applyFont="1" applyBorder="1" applyAlignment="1">
      <alignment horizontal="center" vertical="center" wrapText="1"/>
    </xf>
    <xf numFmtId="44" fontId="19" fillId="0" borderId="9" xfId="1" applyFont="1" applyBorder="1" applyAlignment="1">
      <alignment horizontal="center" vertical="center" wrapText="1"/>
    </xf>
    <xf numFmtId="44" fontId="19" fillId="0" borderId="16" xfId="1" applyFont="1" applyBorder="1" applyAlignment="1">
      <alignment horizontal="center" vertical="center" wrapText="1"/>
    </xf>
    <xf numFmtId="44" fontId="19" fillId="0" borderId="12" xfId="1" applyFont="1" applyBorder="1" applyAlignment="1">
      <alignment horizontal="center" vertical="center" wrapText="1"/>
    </xf>
    <xf numFmtId="44" fontId="19" fillId="0" borderId="13" xfId="1" applyFont="1" applyBorder="1" applyAlignment="1">
      <alignment horizontal="center" vertical="center" wrapText="1"/>
    </xf>
    <xf numFmtId="44" fontId="19" fillId="0" borderId="2" xfId="1" applyFont="1" applyBorder="1" applyAlignment="1">
      <alignment horizontal="center" vertical="center" wrapText="1"/>
    </xf>
    <xf numFmtId="0" fontId="18" fillId="0" borderId="1" xfId="3" applyFont="1" applyBorder="1" applyAlignment="1">
      <alignment vertical="center"/>
    </xf>
    <xf numFmtId="43" fontId="19" fillId="0" borderId="4" xfId="6" applyFont="1" applyBorder="1" applyAlignment="1">
      <alignment horizontal="center" vertical="center"/>
    </xf>
    <xf numFmtId="43" fontId="19" fillId="0" borderId="3" xfId="6" applyFont="1" applyBorder="1" applyAlignment="1">
      <alignment horizontal="center" vertical="center"/>
    </xf>
    <xf numFmtId="0" fontId="28" fillId="0" borderId="1" xfId="3" applyFont="1" applyBorder="1" applyAlignment="1">
      <alignment vertical="center"/>
    </xf>
    <xf numFmtId="0" fontId="21" fillId="0" borderId="22" xfId="3" applyFont="1" applyBorder="1" applyAlignment="1">
      <alignment horizontal="center" vertical="center" wrapText="1"/>
    </xf>
    <xf numFmtId="0" fontId="21" fillId="0" borderId="0" xfId="3" applyFont="1" applyBorder="1" applyAlignment="1">
      <alignment horizontal="center" vertical="center" wrapText="1"/>
    </xf>
    <xf numFmtId="0" fontId="19" fillId="0" borderId="4" xfId="3" applyNumberFormat="1" applyFont="1" applyBorder="1" applyAlignment="1">
      <alignment horizontal="center" vertical="center"/>
    </xf>
    <xf numFmtId="0" fontId="19" fillId="0" borderId="3" xfId="3" applyNumberFormat="1" applyFont="1" applyBorder="1" applyAlignment="1">
      <alignment horizontal="center" vertical="center"/>
    </xf>
    <xf numFmtId="2" fontId="25" fillId="0" borderId="7" xfId="2" applyNumberFormat="1" applyFont="1" applyBorder="1" applyAlignment="1">
      <alignment horizontal="center" vertical="center"/>
    </xf>
    <xf numFmtId="0" fontId="23" fillId="0" borderId="0" xfId="3" applyFont="1" applyAlignment="1">
      <alignment horizontal="left" vertical="center" wrapText="1" indent="1"/>
    </xf>
    <xf numFmtId="0" fontId="19" fillId="0" borderId="0" xfId="3" applyFont="1" applyAlignment="1">
      <alignment horizontal="left" vertical="center" indent="1"/>
    </xf>
    <xf numFmtId="44" fontId="19" fillId="15" borderId="1" xfId="1" applyFont="1" applyFill="1" applyBorder="1" applyAlignment="1" applyProtection="1">
      <alignment horizontal="right" vertical="center" indent="1"/>
      <protection locked="0"/>
    </xf>
    <xf numFmtId="44" fontId="18" fillId="3" borderId="1" xfId="1" applyFont="1" applyFill="1" applyBorder="1" applyAlignment="1">
      <alignment horizontal="right" vertical="center" indent="1"/>
    </xf>
    <xf numFmtId="0" fontId="18" fillId="0" borderId="0" xfId="3" applyFont="1" applyAlignment="1">
      <alignment horizontal="left" vertical="center" indent="1"/>
    </xf>
    <xf numFmtId="0" fontId="20" fillId="0" borderId="0" xfId="3" applyFont="1" applyAlignment="1">
      <alignment horizontal="left" vertical="center" indent="1"/>
    </xf>
    <xf numFmtId="0" fontId="30" fillId="0" borderId="0" xfId="3" applyFont="1" applyAlignment="1">
      <alignment horizontal="center" vertical="center"/>
    </xf>
    <xf numFmtId="0" fontId="43" fillId="0" borderId="0" xfId="3" applyFont="1" applyAlignment="1">
      <alignment horizontal="left" vertical="center" indent="1"/>
    </xf>
    <xf numFmtId="0" fontId="45" fillId="0" borderId="0" xfId="3" applyFont="1" applyAlignment="1">
      <alignment horizontal="left" vertical="center" indent="1"/>
    </xf>
    <xf numFmtId="0" fontId="9" fillId="6" borderId="0" xfId="1" applyNumberFormat="1" applyFont="1" applyFill="1" applyBorder="1" applyAlignment="1">
      <alignment horizontal="center"/>
    </xf>
    <xf numFmtId="0" fontId="30" fillId="6" borderId="0" xfId="3" applyFont="1" applyFill="1" applyBorder="1" applyAlignment="1">
      <alignment horizontal="center"/>
    </xf>
    <xf numFmtId="0" fontId="30" fillId="6" borderId="60" xfId="3" applyFont="1" applyFill="1" applyBorder="1" applyAlignment="1">
      <alignment horizontal="center"/>
    </xf>
    <xf numFmtId="0" fontId="51" fillId="0" borderId="61" xfId="3" applyFont="1" applyFill="1" applyBorder="1" applyAlignment="1"/>
    <xf numFmtId="0" fontId="51" fillId="0" borderId="0" xfId="3" applyFont="1" applyFill="1" applyBorder="1" applyAlignment="1"/>
    <xf numFmtId="0" fontId="51" fillId="0" borderId="60" xfId="3" applyFont="1" applyFill="1" applyBorder="1" applyAlignment="1"/>
    <xf numFmtId="0" fontId="38" fillId="7" borderId="71" xfId="3" applyFont="1" applyFill="1" applyBorder="1" applyAlignment="1">
      <alignment horizontal="center" vertical="center"/>
    </xf>
    <xf numFmtId="0" fontId="38" fillId="7" borderId="72" xfId="3" applyFont="1" applyFill="1" applyBorder="1" applyAlignment="1">
      <alignment horizontal="center" vertical="center"/>
    </xf>
    <xf numFmtId="0" fontId="38" fillId="7" borderId="73" xfId="3" applyFont="1" applyFill="1" applyBorder="1" applyAlignment="1">
      <alignment horizontal="center" vertical="center"/>
    </xf>
    <xf numFmtId="0" fontId="16" fillId="0" borderId="0" xfId="3" applyFont="1" applyAlignment="1" applyProtection="1">
      <alignment horizontal="left"/>
      <protection locked="0"/>
    </xf>
    <xf numFmtId="0" fontId="16" fillId="13" borderId="69" xfId="3" applyFont="1" applyFill="1" applyBorder="1" applyAlignment="1" applyProtection="1">
      <alignment horizontal="center" vertical="center"/>
      <protection locked="0"/>
    </xf>
    <xf numFmtId="0" fontId="16" fillId="0" borderId="68" xfId="3" applyFont="1" applyFill="1" applyBorder="1" applyAlignment="1">
      <alignment horizontal="center" vertical="center"/>
    </xf>
    <xf numFmtId="0" fontId="16" fillId="0" borderId="69" xfId="3" applyFont="1" applyFill="1" applyBorder="1" applyAlignment="1">
      <alignment horizontal="center" vertical="center"/>
    </xf>
    <xf numFmtId="10" fontId="16" fillId="6" borderId="0" xfId="3" applyNumberFormat="1" applyFont="1" applyFill="1" applyBorder="1" applyAlignment="1" applyProtection="1">
      <alignment horizontal="center" vertical="center"/>
    </xf>
    <xf numFmtId="0" fontId="16" fillId="6" borderId="0" xfId="3" applyFont="1" applyFill="1" applyBorder="1" applyAlignment="1" applyProtection="1">
      <alignment horizontal="center" vertical="center"/>
    </xf>
    <xf numFmtId="0" fontId="16" fillId="0" borderId="61" xfId="3" applyFont="1" applyBorder="1" applyAlignment="1" applyProtection="1">
      <alignment horizontal="left" vertical="center" wrapText="1"/>
      <protection locked="0"/>
    </xf>
    <xf numFmtId="0" fontId="16" fillId="0" borderId="0" xfId="3" applyFont="1" applyBorder="1" applyAlignment="1" applyProtection="1">
      <alignment horizontal="left" vertical="center" wrapText="1"/>
      <protection locked="0"/>
    </xf>
    <xf numFmtId="0" fontId="30" fillId="7" borderId="56" xfId="3" applyFont="1" applyFill="1" applyBorder="1" applyAlignment="1">
      <alignment horizontal="center"/>
    </xf>
    <xf numFmtId="0" fontId="30" fillId="7" borderId="57" xfId="3" applyFont="1" applyFill="1" applyBorder="1" applyAlignment="1">
      <alignment horizontal="center"/>
    </xf>
    <xf numFmtId="0" fontId="30" fillId="7" borderId="58" xfId="3" applyFont="1" applyFill="1" applyBorder="1" applyAlignment="1">
      <alignment horizontal="center"/>
    </xf>
    <xf numFmtId="0" fontId="30" fillId="7" borderId="56" xfId="3" applyFont="1" applyFill="1" applyBorder="1" applyAlignment="1">
      <alignment horizontal="center" vertical="center"/>
    </xf>
    <xf numFmtId="0" fontId="30" fillId="7" borderId="57" xfId="3" applyFont="1" applyFill="1" applyBorder="1" applyAlignment="1">
      <alignment horizontal="center" vertical="center"/>
    </xf>
    <xf numFmtId="0" fontId="30" fillId="7" borderId="58" xfId="3" applyFont="1" applyFill="1" applyBorder="1" applyAlignment="1">
      <alignment horizontal="center" vertical="center"/>
    </xf>
    <xf numFmtId="0" fontId="30" fillId="0" borderId="59" xfId="3" applyFont="1" applyBorder="1" applyAlignment="1">
      <alignment horizontal="center"/>
    </xf>
    <xf numFmtId="0" fontId="30" fillId="0" borderId="7" xfId="3" applyFont="1" applyBorder="1" applyAlignment="1">
      <alignment horizontal="center"/>
    </xf>
    <xf numFmtId="0" fontId="30" fillId="0" borderId="67" xfId="3" applyFont="1" applyBorder="1" applyAlignment="1">
      <alignment horizontal="center"/>
    </xf>
    <xf numFmtId="0" fontId="42" fillId="6" borderId="61" xfId="3" applyFont="1" applyFill="1" applyBorder="1" applyAlignment="1" applyProtection="1">
      <alignment horizontal="center" vertical="center"/>
    </xf>
    <xf numFmtId="0" fontId="42" fillId="6" borderId="0" xfId="3" applyFont="1" applyFill="1" applyBorder="1" applyAlignment="1" applyProtection="1">
      <alignment horizontal="center" vertical="center"/>
    </xf>
    <xf numFmtId="0" fontId="42" fillId="6" borderId="60" xfId="3" applyFont="1" applyFill="1" applyBorder="1" applyAlignment="1" applyProtection="1">
      <alignment horizontal="center" vertical="center"/>
    </xf>
    <xf numFmtId="0" fontId="16" fillId="0" borderId="61" xfId="3" applyFont="1" applyBorder="1" applyAlignment="1">
      <alignment horizontal="center"/>
    </xf>
    <xf numFmtId="0" fontId="16" fillId="0" borderId="15" xfId="3" applyFont="1" applyBorder="1" applyAlignment="1">
      <alignment horizontal="center"/>
    </xf>
    <xf numFmtId="44" fontId="9" fillId="4" borderId="11" xfId="0" applyNumberFormat="1" applyFont="1" applyFill="1" applyBorder="1" applyAlignment="1">
      <alignment horizontal="center" vertical="center"/>
    </xf>
    <xf numFmtId="44" fontId="9" fillId="4" borderId="0" xfId="0" applyNumberFormat="1" applyFont="1" applyFill="1" applyBorder="1" applyAlignment="1">
      <alignment horizontal="center" vertical="center"/>
    </xf>
    <xf numFmtId="44" fontId="10" fillId="4" borderId="10" xfId="0" applyNumberFormat="1" applyFont="1" applyFill="1" applyBorder="1" applyAlignment="1">
      <alignment horizontal="center" vertical="center"/>
    </xf>
    <xf numFmtId="0" fontId="15" fillId="6" borderId="1" xfId="0" applyFont="1" applyFill="1" applyBorder="1" applyAlignment="1">
      <alignment horizontal="center"/>
    </xf>
    <xf numFmtId="0" fontId="28" fillId="0" borderId="22" xfId="3" applyFont="1" applyBorder="1" applyAlignment="1">
      <alignment vertical="center"/>
    </xf>
    <xf numFmtId="0" fontId="28" fillId="0" borderId="0" xfId="3" applyFont="1" applyBorder="1" applyAlignment="1">
      <alignment vertical="center"/>
    </xf>
    <xf numFmtId="0" fontId="18" fillId="0" borderId="22" xfId="3" applyFont="1" applyBorder="1" applyAlignment="1">
      <alignment vertical="center"/>
    </xf>
    <xf numFmtId="0" fontId="18" fillId="0" borderId="0" xfId="3" applyFont="1" applyBorder="1" applyAlignment="1">
      <alignment vertical="center"/>
    </xf>
    <xf numFmtId="0" fontId="26" fillId="0" borderId="22" xfId="3" applyFont="1" applyBorder="1" applyAlignment="1">
      <alignment vertical="center" wrapText="1"/>
    </xf>
    <xf numFmtId="0" fontId="26" fillId="0" borderId="0" xfId="3" applyFont="1" applyBorder="1" applyAlignment="1">
      <alignment vertical="center" wrapText="1"/>
    </xf>
    <xf numFmtId="0" fontId="19" fillId="0" borderId="22" xfId="3" applyFont="1" applyBorder="1" applyAlignment="1">
      <alignment vertical="center"/>
    </xf>
    <xf numFmtId="0" fontId="19" fillId="0" borderId="0" xfId="3" applyFont="1" applyBorder="1" applyAlignment="1">
      <alignment vertical="center"/>
    </xf>
    <xf numFmtId="0" fontId="19" fillId="0" borderId="22" xfId="3" applyFont="1" applyBorder="1" applyAlignment="1">
      <alignment horizontal="left" vertical="top" wrapText="1"/>
    </xf>
    <xf numFmtId="0" fontId="19" fillId="0" borderId="15" xfId="3" applyFont="1" applyBorder="1" applyAlignment="1">
      <alignment horizontal="left" vertical="top" wrapText="1"/>
    </xf>
    <xf numFmtId="0" fontId="37" fillId="0" borderId="52" xfId="3" applyFont="1" applyBorder="1" applyAlignment="1">
      <alignment horizontal="center"/>
    </xf>
    <xf numFmtId="0" fontId="37" fillId="0" borderId="53" xfId="3" applyFont="1" applyBorder="1" applyAlignment="1">
      <alignment horizontal="center"/>
    </xf>
    <xf numFmtId="0" fontId="37" fillId="0" borderId="0" xfId="3" applyFont="1" applyAlignment="1">
      <alignment horizontal="center"/>
    </xf>
    <xf numFmtId="0" fontId="37" fillId="0" borderId="54" xfId="3" applyFont="1" applyBorder="1" applyAlignment="1">
      <alignment horizontal="center"/>
    </xf>
    <xf numFmtId="0" fontId="36" fillId="12" borderId="46" xfId="3" applyFont="1" applyFill="1" applyBorder="1" applyAlignment="1">
      <alignment horizontal="center" vertical="center"/>
    </xf>
    <xf numFmtId="0" fontId="37" fillId="0" borderId="47" xfId="3" applyFont="1" applyBorder="1" applyAlignment="1">
      <alignment horizontal="center" vertical="center" wrapText="1"/>
    </xf>
    <xf numFmtId="0" fontId="37" fillId="6" borderId="1" xfId="3" applyFont="1" applyFill="1" applyBorder="1" applyAlignment="1">
      <alignment horizontal="center" vertical="center"/>
    </xf>
    <xf numFmtId="0" fontId="37" fillId="6" borderId="1" xfId="3" applyNumberFormat="1" applyFont="1" applyFill="1" applyBorder="1" applyAlignment="1">
      <alignment horizontal="center" vertical="center"/>
    </xf>
    <xf numFmtId="0" fontId="37" fillId="0" borderId="0" xfId="3" applyFont="1" applyAlignment="1">
      <alignment horizontal="right" vertical="center"/>
    </xf>
    <xf numFmtId="0" fontId="37" fillId="0" borderId="15" xfId="3" applyFont="1" applyBorder="1" applyAlignment="1">
      <alignment horizontal="right" vertical="center"/>
    </xf>
    <xf numFmtId="0" fontId="37" fillId="0" borderId="0" xfId="3" applyFont="1" applyAlignment="1">
      <alignment horizontal="center" vertical="center"/>
    </xf>
    <xf numFmtId="9" fontId="37" fillId="6" borderId="4" xfId="2" applyFont="1" applyFill="1" applyBorder="1" applyAlignment="1">
      <alignment horizontal="center" vertical="center"/>
    </xf>
    <xf numFmtId="9" fontId="37" fillId="6" borderId="3" xfId="2" applyFont="1" applyFill="1" applyBorder="1" applyAlignment="1">
      <alignment horizontal="center" vertical="center"/>
    </xf>
    <xf numFmtId="168" fontId="32" fillId="9" borderId="34" xfId="3" applyNumberFormat="1" applyFont="1" applyFill="1" applyBorder="1" applyAlignment="1">
      <alignment horizontal="center" vertical="center" wrapText="1"/>
    </xf>
    <xf numFmtId="168" fontId="32" fillId="9" borderId="78" xfId="3" applyNumberFormat="1" applyFont="1" applyFill="1" applyBorder="1" applyAlignment="1">
      <alignment horizontal="center" vertical="center" wrapText="1"/>
    </xf>
    <xf numFmtId="0" fontId="32" fillId="9" borderId="76" xfId="3" applyFont="1" applyFill="1" applyBorder="1" applyAlignment="1">
      <alignment horizontal="center" vertical="center" wrapText="1"/>
    </xf>
    <xf numFmtId="0" fontId="32" fillId="9" borderId="77" xfId="3" applyFont="1" applyFill="1" applyBorder="1" applyAlignment="1">
      <alignment horizontal="center" vertical="center" wrapText="1"/>
    </xf>
    <xf numFmtId="168" fontId="32" fillId="9" borderId="76" xfId="3" applyNumberFormat="1" applyFont="1" applyFill="1" applyBorder="1" applyAlignment="1">
      <alignment horizontal="center" vertical="center" wrapText="1"/>
    </xf>
    <xf numFmtId="168" fontId="32" fillId="9" borderId="77" xfId="3" applyNumberFormat="1" applyFont="1" applyFill="1" applyBorder="1" applyAlignment="1">
      <alignment horizontal="center" vertical="center" wrapText="1"/>
    </xf>
    <xf numFmtId="0" fontId="29" fillId="0" borderId="0" xfId="3" applyFont="1" applyAlignment="1">
      <alignment horizontal="center"/>
    </xf>
    <xf numFmtId="0" fontId="29" fillId="0" borderId="0" xfId="3" applyFont="1" applyBorder="1" applyAlignment="1">
      <alignment horizontal="center"/>
    </xf>
    <xf numFmtId="44" fontId="9" fillId="6" borderId="4" xfId="1" applyFont="1" applyFill="1" applyBorder="1" applyAlignment="1">
      <alignment horizontal="center"/>
    </xf>
    <xf numFmtId="44" fontId="9" fillId="6" borderId="3" xfId="1" applyFont="1" applyFill="1" applyBorder="1" applyAlignment="1">
      <alignment horizontal="center"/>
    </xf>
    <xf numFmtId="44" fontId="9" fillId="6" borderId="1" xfId="1" applyFont="1" applyFill="1" applyBorder="1" applyAlignment="1">
      <alignment horizontal="center" vertical="center"/>
    </xf>
    <xf numFmtId="0" fontId="9" fillId="0" borderId="11" xfId="0" applyFont="1" applyBorder="1" applyAlignment="1">
      <alignment horizontal="center"/>
    </xf>
    <xf numFmtId="0" fontId="9" fillId="0" borderId="0" xfId="0" applyFont="1" applyBorder="1" applyAlignment="1">
      <alignment horizontal="center"/>
    </xf>
    <xf numFmtId="44" fontId="10" fillId="4" borderId="0" xfId="0" applyNumberFormat="1" applyFont="1" applyFill="1" applyBorder="1" applyAlignment="1">
      <alignment horizontal="center" vertical="center"/>
    </xf>
    <xf numFmtId="0" fontId="10" fillId="0" borderId="1" xfId="0" applyFont="1" applyFill="1" applyBorder="1" applyAlignment="1">
      <alignment horizontal="center"/>
    </xf>
    <xf numFmtId="0" fontId="9" fillId="0" borderId="1" xfId="0" applyFont="1" applyFill="1" applyBorder="1" applyAlignment="1">
      <alignment horizontal="left"/>
    </xf>
    <xf numFmtId="0" fontId="9" fillId="0" borderId="2" xfId="0" applyFont="1" applyFill="1" applyBorder="1" applyAlignment="1">
      <alignment horizontal="center" vertical="center"/>
    </xf>
    <xf numFmtId="0" fontId="8" fillId="0" borderId="4" xfId="0" applyFont="1" applyBorder="1" applyAlignment="1">
      <alignment horizontal="center" vertical="center" wrapText="1"/>
    </xf>
    <xf numFmtId="44" fontId="9" fillId="4" borderId="4" xfId="1" applyFont="1" applyFill="1" applyBorder="1" applyAlignment="1">
      <alignment horizontal="center"/>
    </xf>
    <xf numFmtId="44" fontId="9" fillId="4" borderId="5" xfId="1" applyFont="1" applyFill="1" applyBorder="1" applyAlignment="1">
      <alignment horizontal="center"/>
    </xf>
    <xf numFmtId="44" fontId="9" fillId="4" borderId="3" xfId="1" applyFont="1" applyFill="1" applyBorder="1" applyAlignment="1">
      <alignment horizontal="center"/>
    </xf>
  </cellXfs>
  <cellStyles count="8">
    <cellStyle name="Lien hypertexte" xfId="7" builtinId="8"/>
    <cellStyle name="Milliers" xfId="6" builtinId="3"/>
    <cellStyle name="Monétaire" xfId="1" builtinId="4"/>
    <cellStyle name="Monétaire 2" xfId="4"/>
    <cellStyle name="Normal" xfId="0" builtinId="0"/>
    <cellStyle name="Normal 2" xfId="3"/>
    <cellStyle name="Pourcentage" xfId="2" builtinId="5"/>
    <cellStyle name="Pourcentage 2" xf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A9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5.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13606</xdr:colOff>
      <xdr:row>35</xdr:row>
      <xdr:rowOff>136071</xdr:rowOff>
    </xdr:from>
    <xdr:to>
      <xdr:col>10</xdr:col>
      <xdr:colOff>663940</xdr:colOff>
      <xdr:row>50</xdr:row>
      <xdr:rowOff>156132</xdr:rowOff>
    </xdr:to>
    <xdr:pic>
      <xdr:nvPicPr>
        <xdr:cNvPr id="36" name="Image 35"/>
        <xdr:cNvPicPr>
          <a:picLocks noChangeAspect="1"/>
        </xdr:cNvPicPr>
      </xdr:nvPicPr>
      <xdr:blipFill>
        <a:blip xmlns:r="http://schemas.openxmlformats.org/officeDocument/2006/relationships" r:embed="rId1"/>
        <a:stretch>
          <a:fillRect/>
        </a:stretch>
      </xdr:blipFill>
      <xdr:spPr>
        <a:xfrm>
          <a:off x="13606" y="7463517"/>
          <a:ext cx="8413209" cy="2877561"/>
        </a:xfrm>
        <a:prstGeom prst="rect">
          <a:avLst/>
        </a:prstGeom>
      </xdr:spPr>
    </xdr:pic>
    <xdr:clientData/>
  </xdr:twoCellAnchor>
  <xdr:twoCellAnchor>
    <xdr:from>
      <xdr:col>12</xdr:col>
      <xdr:colOff>129267</xdr:colOff>
      <xdr:row>32</xdr:row>
      <xdr:rowOff>102054</xdr:rowOff>
    </xdr:from>
    <xdr:to>
      <xdr:col>15</xdr:col>
      <xdr:colOff>170089</xdr:colOff>
      <xdr:row>34</xdr:row>
      <xdr:rowOff>183697</xdr:rowOff>
    </xdr:to>
    <xdr:sp macro="" textlink="">
      <xdr:nvSpPr>
        <xdr:cNvPr id="10" name="Rectangle 9"/>
        <xdr:cNvSpPr/>
      </xdr:nvSpPr>
      <xdr:spPr>
        <a:xfrm>
          <a:off x="9273267" y="6858000"/>
          <a:ext cx="2326822" cy="46264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Y</a:t>
          </a:r>
          <a:r>
            <a:rPr lang="fr-FR" sz="1100" baseline="0"/>
            <a:t>-a-t-il une avance sur la tranche considérée ?</a:t>
          </a:r>
          <a:endParaRPr lang="fr-FR" sz="1100"/>
        </a:p>
      </xdr:txBody>
    </xdr:sp>
    <xdr:clientData/>
  </xdr:twoCellAnchor>
  <xdr:twoCellAnchor>
    <xdr:from>
      <xdr:col>12</xdr:col>
      <xdr:colOff>129268</xdr:colOff>
      <xdr:row>35</xdr:row>
      <xdr:rowOff>47625</xdr:rowOff>
    </xdr:from>
    <xdr:to>
      <xdr:col>15</xdr:col>
      <xdr:colOff>170089</xdr:colOff>
      <xdr:row>37</xdr:row>
      <xdr:rowOff>108858</xdr:rowOff>
    </xdr:to>
    <xdr:sp macro="" textlink="">
      <xdr:nvSpPr>
        <xdr:cNvPr id="11" name="Rectangle 10"/>
        <xdr:cNvSpPr/>
      </xdr:nvSpPr>
      <xdr:spPr>
        <a:xfrm>
          <a:off x="9273268" y="7375071"/>
          <a:ext cx="2326821" cy="44223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Le</a:t>
          </a:r>
          <a:r>
            <a:rPr lang="fr-FR" sz="1100" baseline="0"/>
            <a:t> contrat donne t-il lieu à une RG / une GAPD / aucune garantie ?</a:t>
          </a:r>
          <a:endParaRPr lang="fr-FR" sz="1100"/>
        </a:p>
      </xdr:txBody>
    </xdr:sp>
    <xdr:clientData/>
  </xdr:twoCellAnchor>
  <xdr:twoCellAnchor>
    <xdr:from>
      <xdr:col>12</xdr:col>
      <xdr:colOff>129268</xdr:colOff>
      <xdr:row>37</xdr:row>
      <xdr:rowOff>170089</xdr:rowOff>
    </xdr:from>
    <xdr:to>
      <xdr:col>15</xdr:col>
      <xdr:colOff>170089</xdr:colOff>
      <xdr:row>40</xdr:row>
      <xdr:rowOff>40822</xdr:rowOff>
    </xdr:to>
    <xdr:sp macro="" textlink="">
      <xdr:nvSpPr>
        <xdr:cNvPr id="12" name="Rectangle 11"/>
        <xdr:cNvSpPr/>
      </xdr:nvSpPr>
      <xdr:spPr>
        <a:xfrm>
          <a:off x="9273268" y="7878535"/>
          <a:ext cx="2326821" cy="44223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La garantie initiale</a:t>
          </a:r>
          <a:r>
            <a:rPr lang="fr-FR" sz="1100" baseline="0"/>
            <a:t> a été modifiée en cours d'éxecution ?</a:t>
          </a:r>
          <a:endParaRPr lang="fr-FR" sz="1100"/>
        </a:p>
      </xdr:txBody>
    </xdr:sp>
    <xdr:clientData/>
  </xdr:twoCellAnchor>
  <xdr:twoCellAnchor>
    <xdr:from>
      <xdr:col>5</xdr:col>
      <xdr:colOff>517071</xdr:colOff>
      <xdr:row>33</xdr:row>
      <xdr:rowOff>142876</xdr:rowOff>
    </xdr:from>
    <xdr:to>
      <xdr:col>12</xdr:col>
      <xdr:colOff>129267</xdr:colOff>
      <xdr:row>36</xdr:row>
      <xdr:rowOff>142875</xdr:rowOff>
    </xdr:to>
    <xdr:cxnSp macro="">
      <xdr:nvCxnSpPr>
        <xdr:cNvPr id="14" name="Connecteur droit avec flèche 13"/>
        <xdr:cNvCxnSpPr>
          <a:stCxn id="10" idx="1"/>
        </xdr:cNvCxnSpPr>
      </xdr:nvCxnSpPr>
      <xdr:spPr>
        <a:xfrm flipH="1">
          <a:off x="4327071" y="7089322"/>
          <a:ext cx="4946196" cy="571499"/>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292554</xdr:colOff>
      <xdr:row>36</xdr:row>
      <xdr:rowOff>149679</xdr:rowOff>
    </xdr:from>
    <xdr:to>
      <xdr:col>12</xdr:col>
      <xdr:colOff>163285</xdr:colOff>
      <xdr:row>36</xdr:row>
      <xdr:rowOff>163287</xdr:rowOff>
    </xdr:to>
    <xdr:cxnSp macro="">
      <xdr:nvCxnSpPr>
        <xdr:cNvPr id="15" name="Connecteur droit avec flèche 14"/>
        <xdr:cNvCxnSpPr/>
      </xdr:nvCxnSpPr>
      <xdr:spPr>
        <a:xfrm flipH="1" flipV="1">
          <a:off x="5626554" y="7667625"/>
          <a:ext cx="3680731" cy="13608"/>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625929</xdr:colOff>
      <xdr:row>37</xdr:row>
      <xdr:rowOff>20411</xdr:rowOff>
    </xdr:from>
    <xdr:to>
      <xdr:col>12</xdr:col>
      <xdr:colOff>102055</xdr:colOff>
      <xdr:row>38</xdr:row>
      <xdr:rowOff>183698</xdr:rowOff>
    </xdr:to>
    <xdr:cxnSp macro="">
      <xdr:nvCxnSpPr>
        <xdr:cNvPr id="18" name="Connecteur droit avec flèche 17"/>
        <xdr:cNvCxnSpPr/>
      </xdr:nvCxnSpPr>
      <xdr:spPr>
        <a:xfrm flipH="1" flipV="1">
          <a:off x="8245929" y="7728857"/>
          <a:ext cx="1000126" cy="353787"/>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136071</xdr:colOff>
      <xdr:row>40</xdr:row>
      <xdr:rowOff>115661</xdr:rowOff>
    </xdr:from>
    <xdr:to>
      <xdr:col>15</xdr:col>
      <xdr:colOff>176892</xdr:colOff>
      <xdr:row>42</xdr:row>
      <xdr:rowOff>176894</xdr:rowOff>
    </xdr:to>
    <xdr:sp macro="" textlink="">
      <xdr:nvSpPr>
        <xdr:cNvPr id="21" name="Rectangle 20"/>
        <xdr:cNvSpPr/>
      </xdr:nvSpPr>
      <xdr:spPr>
        <a:xfrm>
          <a:off x="9280071" y="8395607"/>
          <a:ext cx="2326821" cy="44223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Quel est le régime</a:t>
          </a:r>
          <a:r>
            <a:rPr lang="fr-FR" sz="1100" baseline="0"/>
            <a:t> de liquidation de la TVA du sous traitant ?</a:t>
          </a:r>
          <a:endParaRPr lang="fr-FR" sz="1100"/>
        </a:p>
      </xdr:txBody>
    </xdr:sp>
    <xdr:clientData/>
  </xdr:twoCellAnchor>
  <xdr:twoCellAnchor>
    <xdr:from>
      <xdr:col>12</xdr:col>
      <xdr:colOff>136071</xdr:colOff>
      <xdr:row>43</xdr:row>
      <xdr:rowOff>47626</xdr:rowOff>
    </xdr:from>
    <xdr:to>
      <xdr:col>15</xdr:col>
      <xdr:colOff>176892</xdr:colOff>
      <xdr:row>44</xdr:row>
      <xdr:rowOff>115662</xdr:rowOff>
    </xdr:to>
    <xdr:sp macro="" textlink="">
      <xdr:nvSpPr>
        <xdr:cNvPr id="22" name="Rectangle 21"/>
        <xdr:cNvSpPr/>
      </xdr:nvSpPr>
      <xdr:spPr>
        <a:xfrm>
          <a:off x="9280071" y="8899072"/>
          <a:ext cx="2326821" cy="258536"/>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Quel est le montant sous-traité</a:t>
          </a:r>
          <a:r>
            <a:rPr lang="fr-FR" sz="1100" baseline="0"/>
            <a:t> </a:t>
          </a:r>
          <a:r>
            <a:rPr lang="fr-FR" sz="1100"/>
            <a:t>?</a:t>
          </a:r>
        </a:p>
      </xdr:txBody>
    </xdr:sp>
    <xdr:clientData/>
  </xdr:twoCellAnchor>
  <xdr:twoCellAnchor>
    <xdr:from>
      <xdr:col>12</xdr:col>
      <xdr:colOff>136072</xdr:colOff>
      <xdr:row>44</xdr:row>
      <xdr:rowOff>170089</xdr:rowOff>
    </xdr:from>
    <xdr:to>
      <xdr:col>15</xdr:col>
      <xdr:colOff>176893</xdr:colOff>
      <xdr:row>49</xdr:row>
      <xdr:rowOff>6804</xdr:rowOff>
    </xdr:to>
    <xdr:sp macro="" textlink="">
      <xdr:nvSpPr>
        <xdr:cNvPr id="23" name="Rectangle 22"/>
        <xdr:cNvSpPr/>
      </xdr:nvSpPr>
      <xdr:spPr>
        <a:xfrm>
          <a:off x="9280072" y="9212035"/>
          <a:ext cx="2326821" cy="78921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fr-FR" sz="1100"/>
            <a:t>Le sous-traitant</a:t>
          </a:r>
          <a:r>
            <a:rPr lang="fr-FR" sz="1100" baseline="0"/>
            <a:t> a-t-il été déclaré à la notification ?si oui implique que l'avance a été caclulé en tenant compte du montat sous-traité</a:t>
          </a:r>
          <a:endParaRPr lang="fr-FR" sz="1100"/>
        </a:p>
      </xdr:txBody>
    </xdr:sp>
    <xdr:clientData/>
  </xdr:twoCellAnchor>
  <xdr:twoCellAnchor>
    <xdr:from>
      <xdr:col>1</xdr:col>
      <xdr:colOff>591911</xdr:colOff>
      <xdr:row>40</xdr:row>
      <xdr:rowOff>122465</xdr:rowOff>
    </xdr:from>
    <xdr:to>
      <xdr:col>12</xdr:col>
      <xdr:colOff>115660</xdr:colOff>
      <xdr:row>40</xdr:row>
      <xdr:rowOff>136072</xdr:rowOff>
    </xdr:to>
    <xdr:cxnSp macro="">
      <xdr:nvCxnSpPr>
        <xdr:cNvPr id="25" name="Connecteur droit avec flèche 24"/>
        <xdr:cNvCxnSpPr/>
      </xdr:nvCxnSpPr>
      <xdr:spPr>
        <a:xfrm flipH="1" flipV="1">
          <a:off x="1353911" y="8402411"/>
          <a:ext cx="7905749" cy="13607"/>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102054</xdr:colOff>
      <xdr:row>41</xdr:row>
      <xdr:rowOff>142875</xdr:rowOff>
    </xdr:from>
    <xdr:to>
      <xdr:col>12</xdr:col>
      <xdr:colOff>136072</xdr:colOff>
      <xdr:row>43</xdr:row>
      <xdr:rowOff>149679</xdr:rowOff>
    </xdr:to>
    <xdr:cxnSp macro="">
      <xdr:nvCxnSpPr>
        <xdr:cNvPr id="27" name="Connecteur droit avec flèche 26"/>
        <xdr:cNvCxnSpPr/>
      </xdr:nvCxnSpPr>
      <xdr:spPr>
        <a:xfrm flipH="1" flipV="1">
          <a:off x="5436054" y="8613321"/>
          <a:ext cx="3844018" cy="387804"/>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360589</xdr:colOff>
      <xdr:row>43</xdr:row>
      <xdr:rowOff>74840</xdr:rowOff>
    </xdr:from>
    <xdr:to>
      <xdr:col>12</xdr:col>
      <xdr:colOff>129268</xdr:colOff>
      <xdr:row>46</xdr:row>
      <xdr:rowOff>163287</xdr:rowOff>
    </xdr:to>
    <xdr:cxnSp macro="">
      <xdr:nvCxnSpPr>
        <xdr:cNvPr id="29" name="Connecteur droit avec flèche 28"/>
        <xdr:cNvCxnSpPr/>
      </xdr:nvCxnSpPr>
      <xdr:spPr>
        <a:xfrm flipH="1" flipV="1">
          <a:off x="7218589" y="8926286"/>
          <a:ext cx="2054679" cy="659947"/>
        </a:xfrm>
        <a:prstGeom prst="straightConnector1">
          <a:avLst/>
        </a:prstGeom>
        <a:ln w="158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33072</xdr:colOff>
      <xdr:row>0</xdr:row>
      <xdr:rowOff>19843</xdr:rowOff>
    </xdr:from>
    <xdr:to>
      <xdr:col>8</xdr:col>
      <xdr:colOff>99219</xdr:colOff>
      <xdr:row>3</xdr:row>
      <xdr:rowOff>214311</xdr:rowOff>
    </xdr:to>
    <xdr:sp macro="[0]!RAZ" textlink="">
      <xdr:nvSpPr>
        <xdr:cNvPr id="2" name="Rectangle 1"/>
        <xdr:cNvSpPr/>
      </xdr:nvSpPr>
      <xdr:spPr>
        <a:xfrm>
          <a:off x="10689166" y="19843"/>
          <a:ext cx="1792553" cy="885031"/>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a:t>Remise</a:t>
          </a:r>
          <a:r>
            <a:rPr lang="fr-FR" sz="1600" baseline="0"/>
            <a:t> à zéro de l'onglet DONNEES</a:t>
          </a:r>
        </a:p>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2255716</xdr:colOff>
      <xdr:row>0</xdr:row>
      <xdr:rowOff>969348</xdr:rowOff>
    </xdr:to>
    <xdr:pic>
      <xdr:nvPicPr>
        <xdr:cNvPr id="9" name="Image 8"/>
        <xdr:cNvPicPr>
          <a:picLocks noChangeAspect="1"/>
        </xdr:cNvPicPr>
      </xdr:nvPicPr>
      <xdr:blipFill>
        <a:blip xmlns:r="http://schemas.openxmlformats.org/officeDocument/2006/relationships" r:embed="rId1"/>
        <a:stretch>
          <a:fillRect/>
        </a:stretch>
      </xdr:blipFill>
      <xdr:spPr>
        <a:xfrm>
          <a:off x="0" y="0"/>
          <a:ext cx="2255716" cy="96934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161925</xdr:colOff>
      <xdr:row>0</xdr:row>
      <xdr:rowOff>161925</xdr:rowOff>
    </xdr:from>
    <xdr:to>
      <xdr:col>1</xdr:col>
      <xdr:colOff>238160</xdr:colOff>
      <xdr:row>4</xdr:row>
      <xdr:rowOff>180975</xdr:rowOff>
    </xdr:to>
    <xdr:pic>
      <xdr:nvPicPr>
        <xdr:cNvPr id="2" name="Image 1"/>
        <xdr:cNvPicPr>
          <a:picLocks noChangeAspect="1"/>
        </xdr:cNvPicPr>
      </xdr:nvPicPr>
      <xdr:blipFill>
        <a:blip xmlns:r="http://schemas.openxmlformats.org/officeDocument/2006/relationships" r:embed="rId1"/>
        <a:stretch>
          <a:fillRect/>
        </a:stretch>
      </xdr:blipFill>
      <xdr:spPr>
        <a:xfrm>
          <a:off x="161925" y="161925"/>
          <a:ext cx="2257460" cy="9715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2257460</xdr:colOff>
      <xdr:row>5</xdr:row>
      <xdr:rowOff>57150</xdr:rowOff>
    </xdr:to>
    <xdr:pic>
      <xdr:nvPicPr>
        <xdr:cNvPr id="2" name="Image 1"/>
        <xdr:cNvPicPr>
          <a:picLocks noChangeAspect="1"/>
        </xdr:cNvPicPr>
      </xdr:nvPicPr>
      <xdr:blipFill>
        <a:blip xmlns:r="http://schemas.openxmlformats.org/officeDocument/2006/relationships" r:embed="rId1"/>
        <a:stretch>
          <a:fillRect/>
        </a:stretch>
      </xdr:blipFill>
      <xdr:spPr>
        <a:xfrm>
          <a:off x="371475" y="228600"/>
          <a:ext cx="2257460" cy="9715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2257460</xdr:colOff>
      <xdr:row>5</xdr:row>
      <xdr:rowOff>57150</xdr:rowOff>
    </xdr:to>
    <xdr:pic>
      <xdr:nvPicPr>
        <xdr:cNvPr id="2" name="Image 1"/>
        <xdr:cNvPicPr>
          <a:picLocks noChangeAspect="1"/>
        </xdr:cNvPicPr>
      </xdr:nvPicPr>
      <xdr:blipFill>
        <a:blip xmlns:r="http://schemas.openxmlformats.org/officeDocument/2006/relationships" r:embed="rId1"/>
        <a:stretch>
          <a:fillRect/>
        </a:stretch>
      </xdr:blipFill>
      <xdr:spPr>
        <a:xfrm>
          <a:off x="371475" y="228600"/>
          <a:ext cx="2257460" cy="971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2095500</xdr:colOff>
      <xdr:row>4</xdr:row>
      <xdr:rowOff>228600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09550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2257460</xdr:colOff>
      <xdr:row>5</xdr:row>
      <xdr:rowOff>57150</xdr:rowOff>
    </xdr:to>
    <xdr:pic>
      <xdr:nvPicPr>
        <xdr:cNvPr id="2" name="Image 1"/>
        <xdr:cNvPicPr>
          <a:picLocks noChangeAspect="1"/>
        </xdr:cNvPicPr>
      </xdr:nvPicPr>
      <xdr:blipFill>
        <a:blip xmlns:r="http://schemas.openxmlformats.org/officeDocument/2006/relationships" r:embed="rId1"/>
        <a:stretch>
          <a:fillRect/>
        </a:stretch>
      </xdr:blipFill>
      <xdr:spPr>
        <a:xfrm>
          <a:off x="190500" y="190500"/>
          <a:ext cx="2257460" cy="9715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NOUVEAU%20CP/CPP_vtravail_V6-1%20provioire.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DONEE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S"/>
      <sheetName val="DONNEES"/>
      <sheetName val="CALCUL AVANCE TITULAIRE"/>
      <sheetName val="CALCUL AVANCE COTRAITANT"/>
      <sheetName val="CPP TITULAIRE-ST"/>
      <sheetName val="RECUP AVANCE TITULAIRE "/>
      <sheetName val="RESTITUTION AVANCE SUITE DC4"/>
      <sheetName val="CPP CO-TRAITANT-ST"/>
      <sheetName val="RECUP AVANCE O-TRAITANT"/>
      <sheetName val="ACTUALISATION"/>
      <sheetName val="REVISION"/>
      <sheetName val="RECAP CPP"/>
    </sheetNames>
    <sheetDataSet>
      <sheetData sheetId="0">
        <row r="2">
          <cell r="M2" t="str">
            <v>au Lycée "ÉDOUARD BRANLY"</v>
          </cell>
        </row>
        <row r="3">
          <cell r="M3" t="str">
            <v>au Lycée "LE VERGER"</v>
          </cell>
        </row>
        <row r="4">
          <cell r="M4" t="str">
            <v>au Lycée "MARCELIN BERTHELOT"</v>
          </cell>
        </row>
        <row r="5">
          <cell r="M5" t="str">
            <v>au Lycée "ANDRÉ THEURIET"</v>
          </cell>
        </row>
        <row r="6">
          <cell r="M6" t="str">
            <v>au Lycée "LES TERRES ROUGES"</v>
          </cell>
        </row>
        <row r="7">
          <cell r="M7" t="str">
            <v>au Lycée "PILOTE INNOVANT INTERNATIONAL"</v>
          </cell>
        </row>
        <row r="8">
          <cell r="M8" t="str">
            <v>au Lycée "GUY CHAUVET"</v>
          </cell>
        </row>
        <row r="9">
          <cell r="M9" t="str">
            <v>au Lycée "MARC GODRIE"</v>
          </cell>
        </row>
        <row r="10">
          <cell r="M10" t="str">
            <v>à l' EREA "ANNE FRANK"</v>
          </cell>
        </row>
        <row r="11">
          <cell r="M11" t="str">
            <v>au Lycée "JEAN-MARIE BOULOUX"</v>
          </cell>
        </row>
        <row r="12">
          <cell r="M12" t="str">
            <v>au Lycée "JEAN MOULIN"</v>
          </cell>
        </row>
        <row r="13">
          <cell r="M13" t="str">
            <v>au Lycée "RAOUL MORTIER"</v>
          </cell>
        </row>
        <row r="14">
          <cell r="M14" t="str">
            <v>au Lycée "ALIÉNOR D'AQUITAINE"</v>
          </cell>
        </row>
        <row r="15">
          <cell r="M15" t="str">
            <v>au Lycée "AUGUSTE PERRET"</v>
          </cell>
        </row>
        <row r="16">
          <cell r="M16" t="str">
            <v>au Lycée "CAMILLE GUÉRIN"</v>
          </cell>
        </row>
        <row r="17">
          <cell r="M17" t="str">
            <v>au Lycée "KYOTO"</v>
          </cell>
        </row>
        <row r="18">
          <cell r="M18" t="str">
            <v>au Lycée "LE BOIS D'AMOUR"</v>
          </cell>
        </row>
        <row r="19">
          <cell r="M19" t="str">
            <v>au Lycée "LE DOLMEN"</v>
          </cell>
        </row>
        <row r="20">
          <cell r="M20" t="str">
            <v>au Lycée "NELSON MANDELA"</v>
          </cell>
        </row>
        <row r="21">
          <cell r="M21" t="str">
            <v>au Lycée "RÉAUMUR"</v>
          </cell>
        </row>
        <row r="22">
          <cell r="M22" t="str">
            <v>au Lycée "VICTOR HUGO"</v>
          </cell>
        </row>
        <row r="23">
          <cell r="M23" t="str">
            <v>au Lycée "XAVIER BERNARD"</v>
          </cell>
        </row>
        <row r="24">
          <cell r="M24" t="str">
            <v>au Lycée "DANIÈLE MATHIRON"</v>
          </cell>
        </row>
        <row r="25">
          <cell r="M25" t="str">
            <v>au lycée "LÉONARD DE VINCI"</v>
          </cell>
        </row>
        <row r="26">
          <cell r="M26" t="str">
            <v>au lycée "LES SICAUDIÈRES"</v>
          </cell>
        </row>
        <row r="27">
          <cell r="M27" t="str">
            <v>au lycée "MAURICE GENEVOIX"/"SIMONE SIGNORET"</v>
          </cell>
        </row>
        <row r="28">
          <cell r="M28" t="str">
            <v>au lycée "JEAN-FRANCOIS CAIL"</v>
          </cell>
        </row>
        <row r="29">
          <cell r="M29" t="str">
            <v>au lycée "JACQUES BUJAULT"</v>
          </cell>
        </row>
        <row r="30">
          <cell r="M30" t="str">
            <v>au lycée "JOSEPH DESFONTAINES"</v>
          </cell>
        </row>
        <row r="31">
          <cell r="M31" t="str">
            <v>au lycée "GASTON BARRÉ"</v>
          </cell>
        </row>
        <row r="32">
          <cell r="M32" t="str">
            <v>au lycée "GASTON CHAISSAC"</v>
          </cell>
        </row>
        <row r="33">
          <cell r="M33" t="str">
            <v>au lycée "JEAN MACÉ"</v>
          </cell>
        </row>
        <row r="34">
          <cell r="M34" t="str">
            <v>au lycée "LA VENISE VERTE"</v>
          </cell>
        </row>
        <row r="35">
          <cell r="M35" t="str">
            <v>au lycée "PAUL GUERIN"</v>
          </cell>
        </row>
        <row r="36">
          <cell r="M36" t="str">
            <v>au lycée "THOMAS-JEAN MAIN"</v>
          </cell>
        </row>
        <row r="37">
          <cell r="M37" t="str">
            <v>au lycée "ERNEST PÉROCHON"</v>
          </cell>
        </row>
        <row r="38">
          <cell r="M38" t="str">
            <v>au lycée "LES GRIPPEAUX"</v>
          </cell>
        </row>
        <row r="39">
          <cell r="M39" t="str">
            <v>à l' EREA "FRANCOISE DOLTO"</v>
          </cell>
        </row>
        <row r="40">
          <cell r="M40" t="str">
            <v>au lycée "HAUT VAL DE SÈVRE"</v>
          </cell>
        </row>
        <row r="41">
          <cell r="M41" t="str">
            <v>au lycée "J.MOULIN"(79)</v>
          </cell>
        </row>
        <row r="42">
          <cell r="M42" t="str">
            <v>au Lycée "DE LA MER ET DU LITTORAL"</v>
          </cell>
        </row>
        <row r="43">
          <cell r="M43" t="str">
            <v>au Lycée "JEAN HYPPOLITE"</v>
          </cell>
        </row>
        <row r="44">
          <cell r="M44" t="str">
            <v>au Lycée "LE RENAUDIN"</v>
          </cell>
        </row>
        <row r="45">
          <cell r="M45" t="str">
            <v>au Lycée "JEAN DAUTET"</v>
          </cell>
        </row>
        <row r="46">
          <cell r="M46" t="str">
            <v>au Lycée "LÉONCE VIELJEUX"</v>
          </cell>
        </row>
        <row r="47">
          <cell r="M47" t="str">
            <v>au Lycée "HOTELIER DU PARC DE LA FRANCOPHONIE"</v>
          </cell>
        </row>
        <row r="48">
          <cell r="M48" t="str">
            <v>au Lycée "PIERRE DORIOLE"</v>
          </cell>
        </row>
        <row r="49">
          <cell r="M49" t="str">
            <v>au Lycée "RENÉ-JOSUÉ VALIN"</v>
          </cell>
        </row>
        <row r="50">
          <cell r="M50" t="str">
            <v>au Lycée "ROMPSAY"</v>
          </cell>
        </row>
        <row r="51">
          <cell r="M51" t="str">
            <v>au Lycée "ANTOINE DE SAINT EXUPÉRY"</v>
          </cell>
        </row>
        <row r="52">
          <cell r="M52" t="str">
            <v>au Lycée "EMILE COMBES"</v>
          </cell>
        </row>
        <row r="53">
          <cell r="M53" t="str">
            <v>au Lycée "GILLES JAMAIN"</v>
          </cell>
        </row>
        <row r="54">
          <cell r="M54" t="str">
            <v>au Lycée "MARCEL DASSAULT"</v>
          </cell>
        </row>
        <row r="55">
          <cell r="M55" t="str">
            <v>au Lycée "MAURICE MERLEAU PONTY"</v>
          </cell>
        </row>
        <row r="56">
          <cell r="M56" t="str">
            <v>au Lycée de "L'ATLANTIQUE"</v>
          </cell>
        </row>
        <row r="57">
          <cell r="M57" t="str">
            <v>au Lycée "CORDOUAN"</v>
          </cell>
        </row>
        <row r="58">
          <cell r="M58" t="str">
            <v>au Lycée "BELLEVUE"</v>
          </cell>
        </row>
        <row r="59">
          <cell r="M59" t="str">
            <v>au Lycée "BERNARD PALISSY"</v>
          </cell>
        </row>
        <row r="60">
          <cell r="M60" t="str">
            <v>au Lycée "LE PETIT CHADIGNAC"</v>
          </cell>
        </row>
        <row r="61">
          <cell r="M61" t="str">
            <v>à l' EREA "THÉODORE MONOD"</v>
          </cell>
        </row>
        <row r="62">
          <cell r="M62" t="str">
            <v>au Lycée "BLAISE PASCAL"</v>
          </cell>
        </row>
        <row r="63">
          <cell r="M63" t="str">
            <v>au Lycée "LOUIS-AUDOUIN DUBREUIL"</v>
          </cell>
        </row>
        <row r="64">
          <cell r="M64" t="str">
            <v>au Lycée "ENILIA-ENSMIC"</v>
          </cell>
        </row>
        <row r="65">
          <cell r="M65" t="str">
            <v>au Lycée "GEORGES DESCLAUDES"</v>
          </cell>
        </row>
        <row r="66">
          <cell r="M66" t="str">
            <v>au Lycée "MARITIME ET ACQUACOLE"</v>
          </cell>
        </row>
        <row r="67">
          <cell r="M67" t="str">
            <v>au Lycée "PAYS D'AUNIS"</v>
          </cell>
        </row>
        <row r="68">
          <cell r="M68" t="str">
            <v>au lycée "CHARLES-AUGUSTIN COULOMB"</v>
          </cell>
        </row>
        <row r="69">
          <cell r="M69" t="str">
            <v>au lycée "GUEZ DE BALZAC"</v>
          </cell>
        </row>
        <row r="70">
          <cell r="M70" t="str">
            <v>au lycée "DE L'IMAGE ET DU SON"</v>
          </cell>
        </row>
        <row r="71">
          <cell r="M71" t="str">
            <v>au lycée "JEAN ROSTAND"</v>
          </cell>
        </row>
        <row r="72">
          <cell r="M72" t="str">
            <v>au lycée "MARGUERITE DE VALOIS"</v>
          </cell>
        </row>
        <row r="73">
          <cell r="M73" t="str">
            <v>au lycée "DE SILLAC"</v>
          </cell>
        </row>
        <row r="74">
          <cell r="M74" t="str">
            <v>au lycée "ÉLIE VINET"</v>
          </cell>
        </row>
        <row r="75">
          <cell r="M75" t="str">
            <v>au lycée "FÉLIX GAILLARD"</v>
          </cell>
        </row>
        <row r="76">
          <cell r="M76" t="str">
            <v>au lycée "PIERRE-ANDRÉ CHABANNE"</v>
          </cell>
        </row>
        <row r="77">
          <cell r="M77" t="str">
            <v>au lycée "JEAN MONNET"</v>
          </cell>
        </row>
        <row r="78">
          <cell r="M78" t="str">
            <v>au lycée "LOUIS DELAGE"</v>
          </cell>
        </row>
        <row r="79">
          <cell r="M79" t="str">
            <v>au lycée "ÉMILE ROUX"</v>
          </cell>
        </row>
        <row r="80">
          <cell r="M80" t="str">
            <v>au lycée "L'OISELLERIE"</v>
          </cell>
        </row>
        <row r="81">
          <cell r="M81" t="str">
            <v>à l' EREA "LES CHIRONS"</v>
          </cell>
        </row>
        <row r="82">
          <cell r="M82" t="str">
            <v>au lycée "JEAN CAILLAUD"</v>
          </cell>
        </row>
        <row r="83">
          <cell r="M83" t="str">
            <v>au lycée "LOUISE MICHEL"</v>
          </cell>
        </row>
        <row r="84">
          <cell r="M84" t="str">
            <v>au lycée "JEAN-ALBERT GRÉGOIRE"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EES"/>
    </sheetNames>
    <sheetDataSet>
      <sheetData sheetId="0"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mailto:crfconstructionspoitiers@nouvelle-aquitaine.fr" TargetMode="External"/><Relationship Id="rId2" Type="http://schemas.openxmlformats.org/officeDocument/2006/relationships/hyperlink" Target="mailto:crfconstructionslimoge@nouvelle-aquitaine.fr" TargetMode="External"/><Relationship Id="rId1" Type="http://schemas.openxmlformats.org/officeDocument/2006/relationships/hyperlink" Target="https://support.office.com/fr-fr/article/activer-ou-d%C3%A9sactiver-les-macros-dans-les-fichiers-office-12b036fd-d140-4e74-b45e-16fed1a7e5c6"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12.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Y128"/>
  <sheetViews>
    <sheetView topLeftCell="J1" workbookViewId="0">
      <selection activeCell="R3" sqref="R3"/>
    </sheetView>
  </sheetViews>
  <sheetFormatPr baseColWidth="10" defaultRowHeight="12.75" x14ac:dyDescent="0.2"/>
  <cols>
    <col min="1" max="9" width="11.42578125" style="1"/>
    <col min="10" max="10" width="2.7109375" style="4" bestFit="1" customWidth="1"/>
    <col min="11" max="11" width="5.28515625" style="4" bestFit="1" customWidth="1"/>
    <col min="12" max="12" width="11.42578125" style="4"/>
    <col min="13" max="13" width="22.7109375" style="4" customWidth="1"/>
    <col min="14" max="18" width="11.42578125" style="1"/>
    <col min="19" max="19" width="18.5703125" style="1" bestFit="1" customWidth="1"/>
    <col min="20" max="16384" width="11.42578125" style="1"/>
  </cols>
  <sheetData>
    <row r="1" spans="1:25" x14ac:dyDescent="0.2">
      <c r="A1" s="2">
        <v>0</v>
      </c>
      <c r="C1" s="1" t="s">
        <v>181</v>
      </c>
      <c r="D1" s="1" t="s">
        <v>393</v>
      </c>
      <c r="E1" s="1">
        <v>1</v>
      </c>
      <c r="F1" s="1" t="s">
        <v>37</v>
      </c>
      <c r="G1" s="1">
        <v>2017</v>
      </c>
      <c r="H1" s="1" t="s">
        <v>239</v>
      </c>
      <c r="I1" s="1" t="s">
        <v>233</v>
      </c>
      <c r="J1" s="3"/>
      <c r="L1" s="5"/>
      <c r="M1" s="5"/>
      <c r="O1" s="1">
        <v>20</v>
      </c>
      <c r="P1" s="1" t="s">
        <v>216</v>
      </c>
      <c r="Q1" s="1" t="s">
        <v>586</v>
      </c>
      <c r="S1" s="1" t="s">
        <v>265</v>
      </c>
      <c r="U1" s="1">
        <v>0</v>
      </c>
      <c r="W1" s="1" t="s">
        <v>1</v>
      </c>
      <c r="Y1" s="1" t="s">
        <v>265</v>
      </c>
    </row>
    <row r="2" spans="1:25" ht="21" x14ac:dyDescent="0.2">
      <c r="A2" s="2">
        <v>5.5E-2</v>
      </c>
      <c r="C2" s="1" t="s">
        <v>70</v>
      </c>
      <c r="D2" s="1" t="s">
        <v>50</v>
      </c>
      <c r="E2" s="1">
        <v>2</v>
      </c>
      <c r="F2" s="1" t="s">
        <v>38</v>
      </c>
      <c r="G2" s="1">
        <v>2018</v>
      </c>
      <c r="H2" s="1" t="s">
        <v>240</v>
      </c>
      <c r="I2" s="1" t="s">
        <v>232</v>
      </c>
      <c r="J2" s="3" t="s">
        <v>214</v>
      </c>
      <c r="K2" s="3" t="s">
        <v>86</v>
      </c>
      <c r="L2" s="6" t="s">
        <v>87</v>
      </c>
      <c r="M2" s="5" t="str">
        <f>J2&amp;" "&amp;K2&amp;" "&amp;L2</f>
        <v>au Lycée "ÉDOUARD BRANLY"</v>
      </c>
      <c r="O2" s="1">
        <v>25</v>
      </c>
      <c r="P2" s="1" t="s">
        <v>217</v>
      </c>
      <c r="Q2" s="1" t="s">
        <v>256</v>
      </c>
      <c r="S2" s="1" t="s">
        <v>266</v>
      </c>
      <c r="U2" s="1">
        <v>1</v>
      </c>
      <c r="W2" s="1" t="s">
        <v>510</v>
      </c>
      <c r="Y2" s="1" t="s">
        <v>519</v>
      </c>
    </row>
    <row r="3" spans="1:25" x14ac:dyDescent="0.2">
      <c r="A3" s="2">
        <v>7.0000000000000007E-2</v>
      </c>
      <c r="D3" s="1" t="s">
        <v>51</v>
      </c>
      <c r="E3" s="1">
        <v>3</v>
      </c>
      <c r="F3" s="1" t="s">
        <v>39</v>
      </c>
      <c r="G3" s="1">
        <v>2019</v>
      </c>
      <c r="J3" s="3" t="s">
        <v>214</v>
      </c>
      <c r="K3" s="3" t="s">
        <v>86</v>
      </c>
      <c r="L3" s="5" t="s">
        <v>88</v>
      </c>
      <c r="M3" s="5" t="str">
        <f t="shared" ref="M3:M66" si="0">J3&amp;" "&amp;K3&amp;" "&amp;L3</f>
        <v>au Lycée "LE VERGER"</v>
      </c>
      <c r="O3" s="1">
        <v>30</v>
      </c>
      <c r="P3" s="1" t="s">
        <v>349</v>
      </c>
      <c r="Q3" s="1" t="s">
        <v>257</v>
      </c>
      <c r="S3" s="1" t="s">
        <v>267</v>
      </c>
      <c r="U3" s="1">
        <v>2</v>
      </c>
      <c r="W3" s="1" t="s">
        <v>511</v>
      </c>
      <c r="Y3" s="1" t="s">
        <v>520</v>
      </c>
    </row>
    <row r="4" spans="1:25" ht="21" x14ac:dyDescent="0.2">
      <c r="A4" s="2">
        <v>0.1</v>
      </c>
      <c r="C4" s="1" t="s">
        <v>182</v>
      </c>
      <c r="D4" s="1" t="s">
        <v>58</v>
      </c>
      <c r="E4" s="1">
        <v>4</v>
      </c>
      <c r="F4" s="1" t="s">
        <v>40</v>
      </c>
      <c r="G4" s="1">
        <v>2020</v>
      </c>
      <c r="J4" s="3" t="s">
        <v>214</v>
      </c>
      <c r="K4" s="3" t="s">
        <v>86</v>
      </c>
      <c r="L4" s="6" t="s">
        <v>89</v>
      </c>
      <c r="M4" s="5" t="str">
        <f t="shared" si="0"/>
        <v>au Lycée "MARCELIN BERTHELOT"</v>
      </c>
      <c r="O4" s="1">
        <v>35</v>
      </c>
      <c r="P4" s="1" t="s">
        <v>350</v>
      </c>
      <c r="Q4" s="1" t="s">
        <v>258</v>
      </c>
      <c r="S4" s="1" t="s">
        <v>545</v>
      </c>
      <c r="U4" s="1">
        <v>3</v>
      </c>
      <c r="W4" s="1" t="s">
        <v>512</v>
      </c>
      <c r="Y4" s="1" t="s">
        <v>521</v>
      </c>
    </row>
    <row r="5" spans="1:25" ht="21" x14ac:dyDescent="0.2">
      <c r="A5" s="2">
        <v>0.19600000000000001</v>
      </c>
      <c r="C5" s="1" t="s">
        <v>183</v>
      </c>
      <c r="D5" s="1" t="s">
        <v>59</v>
      </c>
      <c r="E5" s="1">
        <v>5</v>
      </c>
      <c r="F5" s="1" t="s">
        <v>41</v>
      </c>
      <c r="G5" s="1">
        <v>2021</v>
      </c>
      <c r="J5" s="3" t="s">
        <v>214</v>
      </c>
      <c r="K5" s="3" t="s">
        <v>86</v>
      </c>
      <c r="L5" s="6" t="s">
        <v>90</v>
      </c>
      <c r="M5" s="5" t="str">
        <f t="shared" si="0"/>
        <v>au Lycée "ANDRÉ THEURIET"</v>
      </c>
      <c r="P5" s="1" t="s">
        <v>218</v>
      </c>
      <c r="Q5" s="1" t="s">
        <v>259</v>
      </c>
      <c r="S5" s="1" t="s">
        <v>546</v>
      </c>
      <c r="U5" s="1">
        <v>4</v>
      </c>
      <c r="W5" s="1" t="s">
        <v>513</v>
      </c>
      <c r="Y5" s="1" t="s">
        <v>522</v>
      </c>
    </row>
    <row r="6" spans="1:25" ht="21" x14ac:dyDescent="0.2">
      <c r="A6" s="2">
        <v>0.2</v>
      </c>
      <c r="E6" s="1">
        <v>6</v>
      </c>
      <c r="F6" s="1" t="s">
        <v>42</v>
      </c>
      <c r="G6" s="1">
        <v>2022</v>
      </c>
      <c r="J6" s="3" t="s">
        <v>214</v>
      </c>
      <c r="K6" s="3" t="s">
        <v>86</v>
      </c>
      <c r="L6" s="6" t="s">
        <v>91</v>
      </c>
      <c r="M6" s="5" t="str">
        <f t="shared" si="0"/>
        <v>au Lycée "LES TERRES ROUGES"</v>
      </c>
      <c r="P6" s="1" t="s">
        <v>219</v>
      </c>
      <c r="Q6" s="1" t="s">
        <v>260</v>
      </c>
      <c r="S6" s="1" t="s">
        <v>553</v>
      </c>
      <c r="U6" s="1">
        <v>5</v>
      </c>
      <c r="W6" s="1" t="s">
        <v>514</v>
      </c>
      <c r="Y6" s="1" t="s">
        <v>523</v>
      </c>
    </row>
    <row r="7" spans="1:25" ht="42" x14ac:dyDescent="0.2">
      <c r="E7" s="1">
        <v>7</v>
      </c>
      <c r="F7" s="1" t="s">
        <v>43</v>
      </c>
      <c r="G7" s="1">
        <v>2023</v>
      </c>
      <c r="J7" s="3" t="s">
        <v>214</v>
      </c>
      <c r="K7" s="3" t="s">
        <v>86</v>
      </c>
      <c r="L7" s="6" t="s">
        <v>92</v>
      </c>
      <c r="M7" s="5" t="str">
        <f t="shared" si="0"/>
        <v>au Lycée "PILOTE INNOVANT INTERNATIONAL"</v>
      </c>
      <c r="P7" s="1" t="s">
        <v>351</v>
      </c>
      <c r="S7" s="1" t="s">
        <v>547</v>
      </c>
      <c r="U7" s="1">
        <v>6</v>
      </c>
      <c r="W7" s="1" t="s">
        <v>515</v>
      </c>
      <c r="Y7" s="1" t="s">
        <v>524</v>
      </c>
    </row>
    <row r="8" spans="1:25" ht="21" x14ac:dyDescent="0.2">
      <c r="A8" s="1" t="s">
        <v>393</v>
      </c>
      <c r="E8" s="1">
        <v>8</v>
      </c>
      <c r="F8" s="1" t="s">
        <v>44</v>
      </c>
      <c r="G8" s="1">
        <v>2024</v>
      </c>
      <c r="J8" s="3" t="s">
        <v>214</v>
      </c>
      <c r="K8" s="3" t="s">
        <v>86</v>
      </c>
      <c r="L8" s="6" t="s">
        <v>93</v>
      </c>
      <c r="M8" s="5" t="str">
        <f t="shared" si="0"/>
        <v>au Lycée "GUY CHAUVET"</v>
      </c>
      <c r="S8" s="1" t="s">
        <v>268</v>
      </c>
      <c r="U8" s="1">
        <v>7</v>
      </c>
      <c r="W8" s="1" t="s">
        <v>516</v>
      </c>
    </row>
    <row r="9" spans="1:25" ht="21" x14ac:dyDescent="0.2">
      <c r="A9" s="1" t="s">
        <v>400</v>
      </c>
      <c r="E9" s="1">
        <v>9</v>
      </c>
      <c r="F9" s="1" t="s">
        <v>45</v>
      </c>
      <c r="J9" s="3" t="s">
        <v>214</v>
      </c>
      <c r="K9" s="3" t="s">
        <v>86</v>
      </c>
      <c r="L9" s="6" t="s">
        <v>94</v>
      </c>
      <c r="M9" s="5" t="str">
        <f t="shared" si="0"/>
        <v>au Lycée "MARC GODRIE"</v>
      </c>
      <c r="P9" s="1" t="s">
        <v>223</v>
      </c>
      <c r="U9" s="1">
        <v>8</v>
      </c>
      <c r="W9" s="1" t="s">
        <v>517</v>
      </c>
    </row>
    <row r="10" spans="1:25" ht="21" x14ac:dyDescent="0.2">
      <c r="A10" s="1" t="s">
        <v>401</v>
      </c>
      <c r="E10" s="1">
        <v>10</v>
      </c>
      <c r="F10" s="1" t="s">
        <v>46</v>
      </c>
      <c r="J10" s="3" t="s">
        <v>215</v>
      </c>
      <c r="K10" s="3" t="s">
        <v>95</v>
      </c>
      <c r="L10" s="6" t="s">
        <v>96</v>
      </c>
      <c r="M10" s="5" t="str">
        <f t="shared" si="0"/>
        <v>à l' EREA "ANNE FRANK"</v>
      </c>
      <c r="P10" s="1" t="s">
        <v>222</v>
      </c>
      <c r="U10" s="1">
        <v>9</v>
      </c>
    </row>
    <row r="11" spans="1:25" ht="21" x14ac:dyDescent="0.2">
      <c r="E11" s="1">
        <v>11</v>
      </c>
      <c r="F11" s="1" t="s">
        <v>47</v>
      </c>
      <c r="J11" s="3" t="s">
        <v>214</v>
      </c>
      <c r="K11" s="3" t="s">
        <v>86</v>
      </c>
      <c r="L11" s="6" t="s">
        <v>97</v>
      </c>
      <c r="M11" s="5" t="str">
        <f t="shared" si="0"/>
        <v>au Lycée "JEAN-MARIE BOULOUX"</v>
      </c>
      <c r="U11" s="1">
        <v>10</v>
      </c>
    </row>
    <row r="12" spans="1:25" ht="21" x14ac:dyDescent="0.2">
      <c r="E12" s="1">
        <v>12</v>
      </c>
      <c r="F12" s="1" t="s">
        <v>48</v>
      </c>
      <c r="J12" s="3" t="s">
        <v>214</v>
      </c>
      <c r="K12" s="3" t="s">
        <v>86</v>
      </c>
      <c r="L12" s="6" t="s">
        <v>98</v>
      </c>
      <c r="M12" s="5" t="str">
        <f t="shared" si="0"/>
        <v>au Lycée "JEAN MOULIN"</v>
      </c>
      <c r="U12" s="1">
        <v>11</v>
      </c>
    </row>
    <row r="13" spans="1:25" ht="21" x14ac:dyDescent="0.2">
      <c r="E13" s="1">
        <v>13</v>
      </c>
      <c r="J13" s="3" t="s">
        <v>214</v>
      </c>
      <c r="K13" s="3" t="s">
        <v>86</v>
      </c>
      <c r="L13" s="6" t="s">
        <v>99</v>
      </c>
      <c r="M13" s="5" t="str">
        <f t="shared" si="0"/>
        <v>au Lycée "RAOUL MORTIER"</v>
      </c>
      <c r="U13" s="1">
        <v>12</v>
      </c>
    </row>
    <row r="14" spans="1:25" ht="21" x14ac:dyDescent="0.2">
      <c r="A14" s="1" t="s">
        <v>66</v>
      </c>
      <c r="E14" s="1">
        <v>14</v>
      </c>
      <c r="J14" s="3" t="s">
        <v>214</v>
      </c>
      <c r="K14" s="3" t="s">
        <v>86</v>
      </c>
      <c r="L14" s="6" t="s">
        <v>100</v>
      </c>
      <c r="M14" s="5" t="str">
        <f t="shared" si="0"/>
        <v>au Lycée "ALIÉNOR D'AQUITAINE"</v>
      </c>
      <c r="U14" s="1">
        <v>13</v>
      </c>
    </row>
    <row r="15" spans="1:25" ht="21" x14ac:dyDescent="0.2">
      <c r="A15" s="1" t="s">
        <v>68</v>
      </c>
      <c r="E15" s="1">
        <v>15</v>
      </c>
      <c r="J15" s="3" t="s">
        <v>214</v>
      </c>
      <c r="K15" s="3" t="s">
        <v>86</v>
      </c>
      <c r="L15" s="5" t="s">
        <v>101</v>
      </c>
      <c r="M15" s="5" t="str">
        <f t="shared" si="0"/>
        <v>au Lycée "AUGUSTE PERRET"</v>
      </c>
      <c r="U15" s="1">
        <v>14</v>
      </c>
    </row>
    <row r="16" spans="1:25" ht="21" x14ac:dyDescent="0.2">
      <c r="A16" s="1" t="s">
        <v>67</v>
      </c>
      <c r="E16" s="1">
        <v>16</v>
      </c>
      <c r="J16" s="3" t="s">
        <v>214</v>
      </c>
      <c r="K16" s="3" t="s">
        <v>86</v>
      </c>
      <c r="L16" s="6" t="s">
        <v>102</v>
      </c>
      <c r="M16" s="5" t="str">
        <f t="shared" si="0"/>
        <v>au Lycée "CAMILLE GUÉRIN"</v>
      </c>
      <c r="U16" s="1">
        <v>15</v>
      </c>
    </row>
    <row r="17" spans="1:21" x14ac:dyDescent="0.2">
      <c r="E17" s="1">
        <v>17</v>
      </c>
      <c r="J17" s="3" t="s">
        <v>214</v>
      </c>
      <c r="K17" s="3" t="s">
        <v>86</v>
      </c>
      <c r="L17" s="5" t="s">
        <v>103</v>
      </c>
      <c r="M17" s="5" t="str">
        <f t="shared" si="0"/>
        <v>au Lycée "KYOTO"</v>
      </c>
      <c r="U17" s="1">
        <v>16</v>
      </c>
    </row>
    <row r="18" spans="1:21" ht="21" x14ac:dyDescent="0.2">
      <c r="E18" s="1">
        <v>18</v>
      </c>
      <c r="J18" s="3" t="s">
        <v>214</v>
      </c>
      <c r="K18" s="3" t="s">
        <v>86</v>
      </c>
      <c r="L18" s="6" t="s">
        <v>104</v>
      </c>
      <c r="M18" s="5" t="str">
        <f t="shared" si="0"/>
        <v>au Lycée "LE BOIS D'AMOUR"</v>
      </c>
      <c r="U18" s="1">
        <v>17</v>
      </c>
    </row>
    <row r="19" spans="1:21" x14ac:dyDescent="0.2">
      <c r="E19" s="1">
        <v>19</v>
      </c>
      <c r="J19" s="3" t="s">
        <v>214</v>
      </c>
      <c r="K19" s="3" t="s">
        <v>86</v>
      </c>
      <c r="L19" s="6" t="s">
        <v>105</v>
      </c>
      <c r="M19" s="5" t="str">
        <f t="shared" si="0"/>
        <v>au Lycée "LE DOLMEN"</v>
      </c>
      <c r="U19" s="1">
        <v>18</v>
      </c>
    </row>
    <row r="20" spans="1:21" ht="21" x14ac:dyDescent="0.2">
      <c r="A20" s="1" t="s">
        <v>402</v>
      </c>
      <c r="E20" s="1">
        <v>20</v>
      </c>
      <c r="J20" s="3" t="s">
        <v>214</v>
      </c>
      <c r="K20" s="3" t="s">
        <v>86</v>
      </c>
      <c r="L20" s="6" t="s">
        <v>106</v>
      </c>
      <c r="M20" s="5" t="str">
        <f t="shared" si="0"/>
        <v>au Lycée "NELSON MANDELA"</v>
      </c>
      <c r="U20" s="1">
        <v>19</v>
      </c>
    </row>
    <row r="21" spans="1:21" x14ac:dyDescent="0.2">
      <c r="E21" s="1">
        <v>21</v>
      </c>
      <c r="J21" s="3" t="s">
        <v>214</v>
      </c>
      <c r="K21" s="3" t="s">
        <v>86</v>
      </c>
      <c r="L21" s="6" t="s">
        <v>107</v>
      </c>
      <c r="M21" s="5" t="str">
        <f t="shared" si="0"/>
        <v>au Lycée "RÉAUMUR"</v>
      </c>
      <c r="U21" s="1">
        <v>20</v>
      </c>
    </row>
    <row r="22" spans="1:21" ht="21" x14ac:dyDescent="0.2">
      <c r="E22" s="1">
        <v>22</v>
      </c>
      <c r="J22" s="3" t="s">
        <v>214</v>
      </c>
      <c r="K22" s="3" t="s">
        <v>86</v>
      </c>
      <c r="L22" s="6" t="s">
        <v>108</v>
      </c>
      <c r="M22" s="5" t="str">
        <f t="shared" si="0"/>
        <v>au Lycée "VICTOR HUGO"</v>
      </c>
      <c r="U22" s="1">
        <v>21</v>
      </c>
    </row>
    <row r="23" spans="1:21" ht="21" x14ac:dyDescent="0.2">
      <c r="A23" s="1" t="s">
        <v>393</v>
      </c>
      <c r="E23" s="1">
        <v>23</v>
      </c>
      <c r="J23" s="3" t="s">
        <v>214</v>
      </c>
      <c r="K23" s="3" t="s">
        <v>86</v>
      </c>
      <c r="L23" s="5" t="s">
        <v>109</v>
      </c>
      <c r="M23" s="5" t="str">
        <f t="shared" si="0"/>
        <v>au Lycée "XAVIER BERNARD"</v>
      </c>
      <c r="U23" s="1">
        <v>22</v>
      </c>
    </row>
    <row r="24" spans="1:21" ht="21" x14ac:dyDescent="0.2">
      <c r="A24" s="1" t="s">
        <v>404</v>
      </c>
      <c r="E24" s="1">
        <v>24</v>
      </c>
      <c r="J24" s="3" t="s">
        <v>214</v>
      </c>
      <c r="K24" s="3" t="s">
        <v>86</v>
      </c>
      <c r="L24" s="6" t="s">
        <v>110</v>
      </c>
      <c r="M24" s="5" t="str">
        <f t="shared" si="0"/>
        <v>au Lycée "DANIÈLE MATHIRON"</v>
      </c>
      <c r="U24" s="1">
        <v>23</v>
      </c>
    </row>
    <row r="25" spans="1:21" ht="21" x14ac:dyDescent="0.2">
      <c r="A25" s="1" t="s">
        <v>405</v>
      </c>
      <c r="E25" s="1">
        <v>25</v>
      </c>
      <c r="J25" s="3" t="s">
        <v>214</v>
      </c>
      <c r="K25" s="3" t="s">
        <v>111</v>
      </c>
      <c r="L25" s="6" t="s">
        <v>112</v>
      </c>
      <c r="M25" s="5" t="str">
        <f t="shared" si="0"/>
        <v>au lycée "LÉONARD DE VINCI"</v>
      </c>
      <c r="U25" s="1">
        <v>24</v>
      </c>
    </row>
    <row r="26" spans="1:21" ht="21" x14ac:dyDescent="0.2">
      <c r="E26" s="1">
        <v>26</v>
      </c>
      <c r="J26" s="3" t="s">
        <v>214</v>
      </c>
      <c r="K26" s="3" t="s">
        <v>111</v>
      </c>
      <c r="L26" s="6" t="s">
        <v>113</v>
      </c>
      <c r="M26" s="5" t="str">
        <f t="shared" si="0"/>
        <v>au lycée "LES SICAUDIÈRES"</v>
      </c>
      <c r="U26" s="1">
        <v>25</v>
      </c>
    </row>
    <row r="27" spans="1:21" ht="42" x14ac:dyDescent="0.2">
      <c r="A27" s="1" t="s">
        <v>406</v>
      </c>
      <c r="E27" s="1">
        <v>27</v>
      </c>
      <c r="J27" s="3" t="s">
        <v>214</v>
      </c>
      <c r="K27" s="3" t="s">
        <v>111</v>
      </c>
      <c r="L27" s="6" t="s">
        <v>114</v>
      </c>
      <c r="M27" s="5" t="str">
        <f t="shared" si="0"/>
        <v>au lycée "MAURICE GENEVOIX"/"SIMONE SIGNORET"</v>
      </c>
      <c r="U27" s="1">
        <v>26</v>
      </c>
    </row>
    <row r="28" spans="1:21" ht="31.5" x14ac:dyDescent="0.2">
      <c r="E28" s="1">
        <v>28</v>
      </c>
      <c r="J28" s="3" t="s">
        <v>214</v>
      </c>
      <c r="K28" s="3" t="s">
        <v>111</v>
      </c>
      <c r="L28" s="6" t="s">
        <v>115</v>
      </c>
      <c r="M28" s="5" t="str">
        <f t="shared" si="0"/>
        <v>au lycée "JEAN-FRANCOIS CAIL"</v>
      </c>
      <c r="U28" s="1">
        <v>27</v>
      </c>
    </row>
    <row r="29" spans="1:21" ht="21" x14ac:dyDescent="0.2">
      <c r="A29" s="1" t="s">
        <v>393</v>
      </c>
      <c r="E29" s="1">
        <v>29</v>
      </c>
      <c r="J29" s="3" t="s">
        <v>214</v>
      </c>
      <c r="K29" s="3" t="s">
        <v>111</v>
      </c>
      <c r="L29" s="6" t="s">
        <v>116</v>
      </c>
      <c r="M29" s="5" t="str">
        <f t="shared" si="0"/>
        <v>au lycée "JACQUES BUJAULT"</v>
      </c>
      <c r="U29" s="1">
        <v>28</v>
      </c>
    </row>
    <row r="30" spans="1:21" ht="31.5" x14ac:dyDescent="0.2">
      <c r="A30" s="1" t="s">
        <v>409</v>
      </c>
      <c r="E30" s="1">
        <v>30</v>
      </c>
      <c r="J30" s="3" t="s">
        <v>214</v>
      </c>
      <c r="K30" s="3" t="s">
        <v>111</v>
      </c>
      <c r="L30" s="6" t="s">
        <v>117</v>
      </c>
      <c r="M30" s="5" t="str">
        <f t="shared" si="0"/>
        <v>au lycée "JOSEPH DESFONTAINES"</v>
      </c>
      <c r="U30" s="1">
        <v>29</v>
      </c>
    </row>
    <row r="31" spans="1:21" ht="21" x14ac:dyDescent="0.2">
      <c r="A31" s="1" t="s">
        <v>410</v>
      </c>
      <c r="E31" s="8" t="s">
        <v>173</v>
      </c>
      <c r="J31" s="3" t="s">
        <v>214</v>
      </c>
      <c r="K31" s="3" t="s">
        <v>111</v>
      </c>
      <c r="L31" s="5" t="s">
        <v>118</v>
      </c>
      <c r="M31" s="5" t="str">
        <f t="shared" si="0"/>
        <v>au lycée "GASTON BARRÉ"</v>
      </c>
      <c r="U31" s="1">
        <v>30</v>
      </c>
    </row>
    <row r="32" spans="1:21" ht="21" x14ac:dyDescent="0.2">
      <c r="E32" s="1" t="s">
        <v>396</v>
      </c>
      <c r="J32" s="3" t="s">
        <v>214</v>
      </c>
      <c r="K32" s="3" t="s">
        <v>111</v>
      </c>
      <c r="L32" s="5" t="s">
        <v>119</v>
      </c>
      <c r="M32" s="5" t="str">
        <f t="shared" si="0"/>
        <v>au lycée "GASTON CHAISSAC"</v>
      </c>
      <c r="U32" s="1">
        <v>31</v>
      </c>
    </row>
    <row r="33" spans="1:21" x14ac:dyDescent="0.2">
      <c r="A33" s="1" t="s">
        <v>411</v>
      </c>
      <c r="J33" s="3" t="s">
        <v>214</v>
      </c>
      <c r="K33" s="3" t="s">
        <v>111</v>
      </c>
      <c r="L33" s="6" t="s">
        <v>120</v>
      </c>
      <c r="M33" s="5" t="str">
        <f t="shared" si="0"/>
        <v>au lycée "JEAN MACÉ"</v>
      </c>
      <c r="U33" s="1">
        <v>32</v>
      </c>
    </row>
    <row r="34" spans="1:21" ht="21" x14ac:dyDescent="0.2">
      <c r="J34" s="3" t="s">
        <v>214</v>
      </c>
      <c r="K34" s="3" t="s">
        <v>111</v>
      </c>
      <c r="L34" s="6" t="s">
        <v>121</v>
      </c>
      <c r="M34" s="5" t="str">
        <f t="shared" si="0"/>
        <v>au lycée "LA VENISE VERTE"</v>
      </c>
      <c r="U34" s="1">
        <v>33</v>
      </c>
    </row>
    <row r="35" spans="1:21" ht="21" x14ac:dyDescent="0.2">
      <c r="A35" s="1" t="s">
        <v>393</v>
      </c>
      <c r="E35" s="1" t="s">
        <v>426</v>
      </c>
      <c r="J35" s="3" t="s">
        <v>214</v>
      </c>
      <c r="K35" s="3" t="s">
        <v>111</v>
      </c>
      <c r="L35" s="6" t="s">
        <v>122</v>
      </c>
      <c r="M35" s="5" t="str">
        <f t="shared" si="0"/>
        <v>au lycée "PAUL GUERIN"</v>
      </c>
      <c r="U35" s="1">
        <v>34</v>
      </c>
    </row>
    <row r="36" spans="1:21" ht="21" x14ac:dyDescent="0.2">
      <c r="A36" s="1" t="s">
        <v>414</v>
      </c>
      <c r="E36" s="1" t="s">
        <v>422</v>
      </c>
      <c r="J36" s="3" t="s">
        <v>214</v>
      </c>
      <c r="K36" s="3" t="s">
        <v>111</v>
      </c>
      <c r="L36" s="6" t="s">
        <v>123</v>
      </c>
      <c r="M36" s="5" t="str">
        <f t="shared" si="0"/>
        <v>au lycée "THOMAS-JEAN MAIN"</v>
      </c>
      <c r="U36" s="1">
        <v>35</v>
      </c>
    </row>
    <row r="37" spans="1:21" ht="21" x14ac:dyDescent="0.2">
      <c r="A37" s="1" t="s">
        <v>415</v>
      </c>
      <c r="E37" s="1" t="s">
        <v>423</v>
      </c>
      <c r="J37" s="3" t="s">
        <v>214</v>
      </c>
      <c r="K37" s="3" t="s">
        <v>111</v>
      </c>
      <c r="L37" s="6" t="s">
        <v>124</v>
      </c>
      <c r="M37" s="5" t="str">
        <f t="shared" si="0"/>
        <v>au lycée "ERNEST PÉROCHON"</v>
      </c>
      <c r="U37" s="1">
        <v>36</v>
      </c>
    </row>
    <row r="38" spans="1:21" ht="21" x14ac:dyDescent="0.2">
      <c r="E38" s="1" t="s">
        <v>424</v>
      </c>
      <c r="J38" s="3" t="s">
        <v>214</v>
      </c>
      <c r="K38" s="3" t="s">
        <v>111</v>
      </c>
      <c r="L38" s="6" t="s">
        <v>125</v>
      </c>
      <c r="M38" s="5" t="str">
        <f t="shared" si="0"/>
        <v>au lycée "LES GRIPPEAUX"</v>
      </c>
      <c r="U38" s="1">
        <v>37</v>
      </c>
    </row>
    <row r="39" spans="1:21" ht="21" x14ac:dyDescent="0.2">
      <c r="A39" s="1" t="s">
        <v>416</v>
      </c>
      <c r="J39" s="3" t="s">
        <v>215</v>
      </c>
      <c r="K39" s="3" t="s">
        <v>95</v>
      </c>
      <c r="L39" s="5" t="s">
        <v>126</v>
      </c>
      <c r="M39" s="5" t="str">
        <f t="shared" si="0"/>
        <v>à l' EREA "FRANCOISE DOLTO"</v>
      </c>
      <c r="U39" s="1">
        <v>38</v>
      </c>
    </row>
    <row r="40" spans="1:21" ht="21" x14ac:dyDescent="0.2">
      <c r="J40" s="3" t="s">
        <v>214</v>
      </c>
      <c r="K40" s="3" t="s">
        <v>111</v>
      </c>
      <c r="L40" s="6" t="s">
        <v>127</v>
      </c>
      <c r="M40" s="5" t="str">
        <f t="shared" si="0"/>
        <v>au lycée "HAUT VAL DE SÈVRE"</v>
      </c>
      <c r="U40" s="1">
        <v>39</v>
      </c>
    </row>
    <row r="41" spans="1:21" ht="21" x14ac:dyDescent="0.2">
      <c r="A41" s="1" t="s">
        <v>485</v>
      </c>
      <c r="J41" s="3" t="s">
        <v>214</v>
      </c>
      <c r="K41" s="3" t="s">
        <v>111</v>
      </c>
      <c r="L41" s="6" t="s">
        <v>128</v>
      </c>
      <c r="M41" s="5" t="str">
        <f t="shared" si="0"/>
        <v>au lycée "J.MOULIN"(79)</v>
      </c>
      <c r="Q41" s="1" t="s">
        <v>393</v>
      </c>
      <c r="U41" s="1">
        <v>40</v>
      </c>
    </row>
    <row r="42" spans="1:21" ht="21" x14ac:dyDescent="0.2">
      <c r="A42" s="1" t="s">
        <v>486</v>
      </c>
      <c r="J42" s="3" t="s">
        <v>214</v>
      </c>
      <c r="K42" s="3" t="s">
        <v>86</v>
      </c>
      <c r="L42" s="6" t="s">
        <v>129</v>
      </c>
      <c r="M42" s="5" t="str">
        <f t="shared" si="0"/>
        <v>au Lycée "DE LA MER ET DU LITTORAL"</v>
      </c>
      <c r="Q42" s="1" t="s">
        <v>397</v>
      </c>
      <c r="U42" s="1">
        <v>41</v>
      </c>
    </row>
    <row r="43" spans="1:21" ht="21" x14ac:dyDescent="0.2">
      <c r="J43" s="3" t="s">
        <v>214</v>
      </c>
      <c r="K43" s="3" t="s">
        <v>86</v>
      </c>
      <c r="L43" s="6" t="s">
        <v>130</v>
      </c>
      <c r="M43" s="5" t="str">
        <f t="shared" si="0"/>
        <v>au Lycée "JEAN HYPPOLITE"</v>
      </c>
      <c r="Q43" s="1" t="s">
        <v>60</v>
      </c>
      <c r="U43" s="1">
        <v>42</v>
      </c>
    </row>
    <row r="44" spans="1:21" ht="21" x14ac:dyDescent="0.2">
      <c r="A44" s="1" t="s">
        <v>487</v>
      </c>
      <c r="J44" s="3" t="s">
        <v>214</v>
      </c>
      <c r="K44" s="3" t="s">
        <v>86</v>
      </c>
      <c r="L44" s="6" t="s">
        <v>131</v>
      </c>
      <c r="M44" s="5" t="str">
        <f t="shared" si="0"/>
        <v>au Lycée "LE RENAUDIN"</v>
      </c>
      <c r="U44" s="1">
        <v>43</v>
      </c>
    </row>
    <row r="45" spans="1:21" ht="21" x14ac:dyDescent="0.2">
      <c r="J45" s="3" t="s">
        <v>214</v>
      </c>
      <c r="K45" s="3" t="s">
        <v>86</v>
      </c>
      <c r="L45" s="6" t="s">
        <v>132</v>
      </c>
      <c r="M45" s="5" t="str">
        <f t="shared" si="0"/>
        <v>au Lycée "JEAN DAUTET"</v>
      </c>
      <c r="U45" s="1">
        <v>44</v>
      </c>
    </row>
    <row r="46" spans="1:21" ht="21" x14ac:dyDescent="0.2">
      <c r="A46" s="1" t="s">
        <v>488</v>
      </c>
      <c r="J46" s="3" t="s">
        <v>214</v>
      </c>
      <c r="K46" s="3" t="s">
        <v>86</v>
      </c>
      <c r="L46" s="6" t="s">
        <v>133</v>
      </c>
      <c r="M46" s="5" t="str">
        <f t="shared" si="0"/>
        <v>au Lycée "LÉONCE VIELJEUX"</v>
      </c>
      <c r="U46" s="1">
        <v>45</v>
      </c>
    </row>
    <row r="47" spans="1:21" ht="42" x14ac:dyDescent="0.2">
      <c r="A47" s="1" t="s">
        <v>489</v>
      </c>
      <c r="J47" s="3" t="s">
        <v>214</v>
      </c>
      <c r="K47" s="3" t="s">
        <v>86</v>
      </c>
      <c r="L47" s="5" t="s">
        <v>134</v>
      </c>
      <c r="M47" s="5" t="str">
        <f t="shared" si="0"/>
        <v>au Lycée "HOTELIER DU PARC DE LA FRANCOPHONIE"</v>
      </c>
      <c r="U47" s="1">
        <v>46</v>
      </c>
    </row>
    <row r="48" spans="1:21" ht="21" x14ac:dyDescent="0.2">
      <c r="J48" s="3" t="s">
        <v>214</v>
      </c>
      <c r="K48" s="3" t="s">
        <v>86</v>
      </c>
      <c r="L48" s="6" t="s">
        <v>135</v>
      </c>
      <c r="M48" s="5" t="str">
        <f t="shared" si="0"/>
        <v>au Lycée "PIERRE DORIOLE"</v>
      </c>
    </row>
    <row r="49" spans="1:13" ht="21" x14ac:dyDescent="0.2">
      <c r="A49" s="1" t="s">
        <v>490</v>
      </c>
      <c r="J49" s="3" t="s">
        <v>214</v>
      </c>
      <c r="K49" s="3" t="s">
        <v>86</v>
      </c>
      <c r="L49" s="6" t="s">
        <v>136</v>
      </c>
      <c r="M49" s="5" t="str">
        <f t="shared" si="0"/>
        <v>au Lycée "RENÉ-JOSUÉ VALIN"</v>
      </c>
    </row>
    <row r="50" spans="1:13" x14ac:dyDescent="0.2">
      <c r="J50" s="3" t="s">
        <v>214</v>
      </c>
      <c r="K50" s="3" t="s">
        <v>86</v>
      </c>
      <c r="L50" s="6" t="s">
        <v>137</v>
      </c>
      <c r="M50" s="5" t="str">
        <f t="shared" si="0"/>
        <v>au Lycée "ROMPSAY"</v>
      </c>
    </row>
    <row r="51" spans="1:13" ht="31.5" x14ac:dyDescent="0.2">
      <c r="A51" s="1" t="s">
        <v>491</v>
      </c>
      <c r="J51" s="3" t="s">
        <v>214</v>
      </c>
      <c r="K51" s="3" t="s">
        <v>86</v>
      </c>
      <c r="L51" s="6" t="s">
        <v>138</v>
      </c>
      <c r="M51" s="5" t="str">
        <f t="shared" si="0"/>
        <v>au Lycée "ANTOINE DE SAINT EXUPÉRY"</v>
      </c>
    </row>
    <row r="52" spans="1:13" ht="21" x14ac:dyDescent="0.2">
      <c r="A52" s="1" t="s">
        <v>492</v>
      </c>
      <c r="J52" s="3" t="s">
        <v>214</v>
      </c>
      <c r="K52" s="3" t="s">
        <v>86</v>
      </c>
      <c r="L52" s="6" t="s">
        <v>139</v>
      </c>
      <c r="M52" s="5" t="str">
        <f t="shared" si="0"/>
        <v>au Lycée "EMILE COMBES"</v>
      </c>
    </row>
    <row r="53" spans="1:13" ht="21" x14ac:dyDescent="0.2">
      <c r="J53" s="3" t="s">
        <v>214</v>
      </c>
      <c r="K53" s="3" t="s">
        <v>86</v>
      </c>
      <c r="L53" s="6" t="s">
        <v>140</v>
      </c>
      <c r="M53" s="5" t="str">
        <f t="shared" si="0"/>
        <v>au Lycée "GILLES JAMAIN"</v>
      </c>
    </row>
    <row r="54" spans="1:13" ht="21" x14ac:dyDescent="0.2">
      <c r="A54" s="1" t="s">
        <v>493</v>
      </c>
      <c r="J54" s="3" t="s">
        <v>214</v>
      </c>
      <c r="K54" s="3" t="s">
        <v>86</v>
      </c>
      <c r="L54" s="6" t="s">
        <v>141</v>
      </c>
      <c r="M54" s="5" t="str">
        <f t="shared" si="0"/>
        <v>au Lycée "MARCEL DASSAULT"</v>
      </c>
    </row>
    <row r="55" spans="1:13" ht="31.5" x14ac:dyDescent="0.2">
      <c r="J55" s="3" t="s">
        <v>214</v>
      </c>
      <c r="K55" s="3" t="s">
        <v>86</v>
      </c>
      <c r="L55" s="6" t="s">
        <v>142</v>
      </c>
      <c r="M55" s="5" t="str">
        <f t="shared" si="0"/>
        <v>au Lycée "MAURICE MERLEAU PONTY"</v>
      </c>
    </row>
    <row r="56" spans="1:13" ht="31.5" x14ac:dyDescent="0.2">
      <c r="A56" s="1" t="s">
        <v>495</v>
      </c>
      <c r="J56" s="3" t="s">
        <v>214</v>
      </c>
      <c r="K56" s="3" t="s">
        <v>86</v>
      </c>
      <c r="L56" s="5" t="s">
        <v>143</v>
      </c>
      <c r="M56" s="5" t="str">
        <f t="shared" si="0"/>
        <v>au Lycée de "L'ATLANTIQUE"</v>
      </c>
    </row>
    <row r="57" spans="1:13" x14ac:dyDescent="0.2">
      <c r="A57" s="1" t="s">
        <v>496</v>
      </c>
      <c r="J57" s="3" t="s">
        <v>214</v>
      </c>
      <c r="K57" s="3" t="s">
        <v>86</v>
      </c>
      <c r="L57" s="6" t="s">
        <v>144</v>
      </c>
      <c r="M57" s="5" t="str">
        <f t="shared" si="0"/>
        <v>au Lycée "CORDOUAN"</v>
      </c>
    </row>
    <row r="58" spans="1:13" x14ac:dyDescent="0.2">
      <c r="J58" s="3" t="s">
        <v>214</v>
      </c>
      <c r="K58" s="3" t="s">
        <v>86</v>
      </c>
      <c r="L58" s="6" t="s">
        <v>145</v>
      </c>
      <c r="M58" s="5" t="str">
        <f t="shared" si="0"/>
        <v>au Lycée "BELLEVUE"</v>
      </c>
    </row>
    <row r="59" spans="1:13" ht="21" x14ac:dyDescent="0.2">
      <c r="J59" s="3" t="s">
        <v>214</v>
      </c>
      <c r="K59" s="3" t="s">
        <v>86</v>
      </c>
      <c r="L59" s="6" t="s">
        <v>146</v>
      </c>
      <c r="M59" s="5" t="str">
        <f t="shared" si="0"/>
        <v>au Lycée "BERNARD PALISSY"</v>
      </c>
    </row>
    <row r="60" spans="1:13" ht="21" x14ac:dyDescent="0.2">
      <c r="J60" s="3" t="s">
        <v>214</v>
      </c>
      <c r="K60" s="3" t="s">
        <v>86</v>
      </c>
      <c r="L60" s="6" t="s">
        <v>147</v>
      </c>
      <c r="M60" s="5" t="str">
        <f t="shared" si="0"/>
        <v>au Lycée "LE PETIT CHADIGNAC"</v>
      </c>
    </row>
    <row r="61" spans="1:13" ht="21" x14ac:dyDescent="0.2">
      <c r="J61" s="3" t="s">
        <v>215</v>
      </c>
      <c r="K61" s="3" t="s">
        <v>95</v>
      </c>
      <c r="L61" s="5" t="s">
        <v>148</v>
      </c>
      <c r="M61" s="5" t="str">
        <f t="shared" si="0"/>
        <v>à l' EREA "THÉODORE MONOD"</v>
      </c>
    </row>
    <row r="62" spans="1:13" ht="22.5" x14ac:dyDescent="0.2">
      <c r="J62" s="3" t="s">
        <v>214</v>
      </c>
      <c r="K62" s="3" t="s">
        <v>86</v>
      </c>
      <c r="L62" s="7" t="s">
        <v>149</v>
      </c>
      <c r="M62" s="5" t="str">
        <f t="shared" si="0"/>
        <v>au Lycée "BLAISE PASCAL"</v>
      </c>
    </row>
    <row r="63" spans="1:13" ht="31.5" x14ac:dyDescent="0.2">
      <c r="J63" s="3" t="s">
        <v>214</v>
      </c>
      <c r="K63" s="3" t="s">
        <v>86</v>
      </c>
      <c r="L63" s="6" t="s">
        <v>150</v>
      </c>
      <c r="M63" s="5" t="str">
        <f t="shared" si="0"/>
        <v>au Lycée "LOUIS-AUDOUIN DUBREUIL"</v>
      </c>
    </row>
    <row r="64" spans="1:13" ht="21" x14ac:dyDescent="0.2">
      <c r="J64" s="3" t="s">
        <v>214</v>
      </c>
      <c r="K64" s="3" t="s">
        <v>86</v>
      </c>
      <c r="L64" s="5" t="s">
        <v>151</v>
      </c>
      <c r="M64" s="5" t="str">
        <f t="shared" si="0"/>
        <v>au Lycée "ENILIA-ENSMIC"</v>
      </c>
    </row>
    <row r="65" spans="10:13" ht="21" x14ac:dyDescent="0.2">
      <c r="J65" s="3" t="s">
        <v>214</v>
      </c>
      <c r="K65" s="3" t="s">
        <v>86</v>
      </c>
      <c r="L65" s="5" t="s">
        <v>152</v>
      </c>
      <c r="M65" s="5" t="str">
        <f t="shared" si="0"/>
        <v>au Lycée "GEORGES DESCLAUDES"</v>
      </c>
    </row>
    <row r="66" spans="10:13" ht="21" x14ac:dyDescent="0.2">
      <c r="J66" s="3" t="s">
        <v>214</v>
      </c>
      <c r="K66" s="3" t="s">
        <v>86</v>
      </c>
      <c r="L66" s="5" t="s">
        <v>153</v>
      </c>
      <c r="M66" s="5" t="str">
        <f t="shared" si="0"/>
        <v>au Lycée "MARITIME ET ACQUACOLE"</v>
      </c>
    </row>
    <row r="67" spans="10:13" ht="21" x14ac:dyDescent="0.2">
      <c r="J67" s="3" t="s">
        <v>214</v>
      </c>
      <c r="K67" s="3" t="s">
        <v>86</v>
      </c>
      <c r="L67" s="5" t="s">
        <v>154</v>
      </c>
      <c r="M67" s="5" t="str">
        <f t="shared" ref="M67:M128" si="1">J67&amp;" "&amp;K67&amp;" "&amp;L67</f>
        <v>au Lycée "PAYS D'AUNIS"</v>
      </c>
    </row>
    <row r="68" spans="10:13" ht="31.5" x14ac:dyDescent="0.2">
      <c r="J68" s="3" t="s">
        <v>214</v>
      </c>
      <c r="K68" s="3" t="s">
        <v>111</v>
      </c>
      <c r="L68" s="6" t="s">
        <v>155</v>
      </c>
      <c r="M68" s="5" t="str">
        <f t="shared" si="1"/>
        <v>au lycée "CHARLES-AUGUSTIN COULOMB"</v>
      </c>
    </row>
    <row r="69" spans="10:13" ht="21" x14ac:dyDescent="0.2">
      <c r="J69" s="3" t="s">
        <v>214</v>
      </c>
      <c r="K69" s="3" t="s">
        <v>111</v>
      </c>
      <c r="L69" s="6" t="s">
        <v>156</v>
      </c>
      <c r="M69" s="5" t="str">
        <f t="shared" si="1"/>
        <v>au lycée "GUEZ DE BALZAC"</v>
      </c>
    </row>
    <row r="70" spans="10:13" ht="21" x14ac:dyDescent="0.2">
      <c r="J70" s="3" t="s">
        <v>214</v>
      </c>
      <c r="K70" s="3" t="s">
        <v>111</v>
      </c>
      <c r="L70" s="6" t="s">
        <v>157</v>
      </c>
      <c r="M70" s="5" t="str">
        <f t="shared" si="1"/>
        <v>au lycée "DE L'IMAGE ET DU SON"</v>
      </c>
    </row>
    <row r="71" spans="10:13" ht="21" x14ac:dyDescent="0.2">
      <c r="J71" s="3" t="s">
        <v>214</v>
      </c>
      <c r="K71" s="3" t="s">
        <v>111</v>
      </c>
      <c r="L71" s="6" t="s">
        <v>158</v>
      </c>
      <c r="M71" s="5" t="str">
        <f t="shared" si="1"/>
        <v>au lycée "JEAN ROSTAND"</v>
      </c>
    </row>
    <row r="72" spans="10:13" ht="21" x14ac:dyDescent="0.2">
      <c r="J72" s="3" t="s">
        <v>214</v>
      </c>
      <c r="K72" s="3" t="s">
        <v>111</v>
      </c>
      <c r="L72" s="6" t="s">
        <v>159</v>
      </c>
      <c r="M72" s="5" t="str">
        <f t="shared" si="1"/>
        <v>au lycée "MARGUERITE DE VALOIS"</v>
      </c>
    </row>
    <row r="73" spans="10:13" x14ac:dyDescent="0.2">
      <c r="J73" s="3" t="s">
        <v>214</v>
      </c>
      <c r="K73" s="3" t="s">
        <v>111</v>
      </c>
      <c r="L73" s="6" t="s">
        <v>160</v>
      </c>
      <c r="M73" s="5" t="str">
        <f t="shared" si="1"/>
        <v>au lycée "DE SILLAC"</v>
      </c>
    </row>
    <row r="74" spans="10:13" x14ac:dyDescent="0.2">
      <c r="J74" s="3" t="s">
        <v>214</v>
      </c>
      <c r="K74" s="3" t="s">
        <v>111</v>
      </c>
      <c r="L74" s="6" t="s">
        <v>161</v>
      </c>
      <c r="M74" s="5" t="str">
        <f t="shared" si="1"/>
        <v>au lycée "ÉLIE VINET"</v>
      </c>
    </row>
    <row r="75" spans="10:13" ht="21" x14ac:dyDescent="0.2">
      <c r="J75" s="3" t="s">
        <v>214</v>
      </c>
      <c r="K75" s="3" t="s">
        <v>111</v>
      </c>
      <c r="L75" s="6" t="s">
        <v>162</v>
      </c>
      <c r="M75" s="5" t="str">
        <f t="shared" si="1"/>
        <v>au lycée "FÉLIX GAILLARD"</v>
      </c>
    </row>
    <row r="76" spans="10:13" ht="31.5" x14ac:dyDescent="0.2">
      <c r="J76" s="3" t="s">
        <v>214</v>
      </c>
      <c r="K76" s="3" t="s">
        <v>111</v>
      </c>
      <c r="L76" s="6" t="s">
        <v>163</v>
      </c>
      <c r="M76" s="5" t="str">
        <f t="shared" si="1"/>
        <v>au lycée "PIERRE-ANDRÉ CHABANNE"</v>
      </c>
    </row>
    <row r="77" spans="10:13" ht="21" x14ac:dyDescent="0.2">
      <c r="J77" s="3" t="s">
        <v>214</v>
      </c>
      <c r="K77" s="3" t="s">
        <v>111</v>
      </c>
      <c r="L77" s="6" t="s">
        <v>164</v>
      </c>
      <c r="M77" s="5" t="str">
        <f t="shared" si="1"/>
        <v>au lycée "JEAN MONNET"</v>
      </c>
    </row>
    <row r="78" spans="10:13" ht="21" x14ac:dyDescent="0.2">
      <c r="J78" s="3" t="s">
        <v>214</v>
      </c>
      <c r="K78" s="3" t="s">
        <v>111</v>
      </c>
      <c r="L78" s="6" t="s">
        <v>165</v>
      </c>
      <c r="M78" s="5" t="str">
        <f t="shared" si="1"/>
        <v>au lycée "LOUIS DELAGE"</v>
      </c>
    </row>
    <row r="79" spans="10:13" x14ac:dyDescent="0.2">
      <c r="J79" s="3" t="s">
        <v>214</v>
      </c>
      <c r="K79" s="3" t="s">
        <v>111</v>
      </c>
      <c r="L79" s="6" t="s">
        <v>166</v>
      </c>
      <c r="M79" s="5" t="str">
        <f t="shared" si="1"/>
        <v>au lycée "ÉMILE ROUX"</v>
      </c>
    </row>
    <row r="80" spans="10:13" x14ac:dyDescent="0.2">
      <c r="J80" s="3" t="s">
        <v>214</v>
      </c>
      <c r="K80" s="3" t="s">
        <v>111</v>
      </c>
      <c r="L80" s="6" t="s">
        <v>167</v>
      </c>
      <c r="M80" s="5" t="str">
        <f t="shared" si="1"/>
        <v>au lycée "L'OISELLERIE"</v>
      </c>
    </row>
    <row r="81" spans="10:13" ht="21" x14ac:dyDescent="0.2">
      <c r="J81" s="3" t="s">
        <v>215</v>
      </c>
      <c r="K81" s="3" t="s">
        <v>95</v>
      </c>
      <c r="L81" s="5" t="s">
        <v>168</v>
      </c>
      <c r="M81" s="5" t="str">
        <f t="shared" si="1"/>
        <v>à l' EREA "LES CHIRONS"</v>
      </c>
    </row>
    <row r="82" spans="10:13" ht="21" x14ac:dyDescent="0.2">
      <c r="J82" s="3" t="s">
        <v>214</v>
      </c>
      <c r="K82" s="3" t="s">
        <v>111</v>
      </c>
      <c r="L82" s="6" t="s">
        <v>169</v>
      </c>
      <c r="M82" s="5" t="str">
        <f t="shared" si="1"/>
        <v>au lycée "JEAN CAILLAUD"</v>
      </c>
    </row>
    <row r="83" spans="10:13" ht="21" x14ac:dyDescent="0.2">
      <c r="J83" s="3" t="s">
        <v>214</v>
      </c>
      <c r="K83" s="3" t="s">
        <v>111</v>
      </c>
      <c r="L83" s="6" t="s">
        <v>170</v>
      </c>
      <c r="M83" s="5" t="str">
        <f t="shared" si="1"/>
        <v>au lycée "LOUISE MICHEL"</v>
      </c>
    </row>
    <row r="84" spans="10:13" ht="31.5" x14ac:dyDescent="0.2">
      <c r="J84" s="3" t="s">
        <v>214</v>
      </c>
      <c r="K84" s="3" t="s">
        <v>111</v>
      </c>
      <c r="L84" s="6" t="s">
        <v>171</v>
      </c>
      <c r="M84" s="5" t="str">
        <f t="shared" si="1"/>
        <v>au lycée "JEAN-ALBERT GRÉGOIRE"</v>
      </c>
    </row>
    <row r="85" spans="10:13" x14ac:dyDescent="0.2">
      <c r="J85" s="3" t="s">
        <v>214</v>
      </c>
      <c r="K85" s="3" t="s">
        <v>111</v>
      </c>
      <c r="L85" s="4" t="s">
        <v>352</v>
      </c>
      <c r="M85" s="4" t="str">
        <f t="shared" si="1"/>
        <v>au lycée "D'ARSONVAL"</v>
      </c>
    </row>
    <row r="86" spans="10:13" x14ac:dyDescent="0.2">
      <c r="J86" s="3" t="s">
        <v>214</v>
      </c>
      <c r="K86" s="3" t="s">
        <v>111</v>
      </c>
      <c r="L86" s="4" t="s">
        <v>353</v>
      </c>
      <c r="M86" s="4" t="str">
        <f t="shared" si="1"/>
        <v>au lycée "MARCEL BARBENCEYS"</v>
      </c>
    </row>
    <row r="87" spans="10:13" x14ac:dyDescent="0.2">
      <c r="J87" s="3" t="s">
        <v>214</v>
      </c>
      <c r="K87" s="3" t="s">
        <v>111</v>
      </c>
      <c r="L87" s="4" t="s">
        <v>354</v>
      </c>
      <c r="M87" s="4" t="str">
        <f t="shared" si="1"/>
        <v>au lycée "BORT ARTENSE"</v>
      </c>
    </row>
    <row r="88" spans="10:13" x14ac:dyDescent="0.2">
      <c r="J88" s="3" t="s">
        <v>214</v>
      </c>
      <c r="K88" s="3" t="s">
        <v>111</v>
      </c>
      <c r="L88" s="4" t="s">
        <v>355</v>
      </c>
      <c r="M88" s="4" t="str">
        <f t="shared" si="1"/>
        <v>au lycée "GEORGES CABANIS"</v>
      </c>
    </row>
    <row r="89" spans="10:13" x14ac:dyDescent="0.2">
      <c r="J89" s="3" t="s">
        <v>214</v>
      </c>
      <c r="K89" s="3" t="s">
        <v>111</v>
      </c>
      <c r="L89" s="4" t="s">
        <v>356</v>
      </c>
      <c r="M89" s="4" t="str">
        <f t="shared" si="1"/>
        <v>au lycée "PIERRE CARAMINOT"</v>
      </c>
    </row>
    <row r="90" spans="10:13" x14ac:dyDescent="0.2">
      <c r="J90" s="3" t="s">
        <v>214</v>
      </c>
      <c r="K90" s="3" t="s">
        <v>111</v>
      </c>
      <c r="L90" s="4" t="s">
        <v>357</v>
      </c>
      <c r="M90" s="4" t="str">
        <f t="shared" si="1"/>
        <v>au lycée "RENE CASSIN"</v>
      </c>
    </row>
    <row r="91" spans="10:13" x14ac:dyDescent="0.2">
      <c r="J91" s="3" t="s">
        <v>214</v>
      </c>
      <c r="K91" s="3" t="s">
        <v>111</v>
      </c>
      <c r="L91" s="4" t="s">
        <v>358</v>
      </c>
      <c r="M91" s="4" t="str">
        <f t="shared" si="1"/>
        <v>au lycée "DANTON"</v>
      </c>
    </row>
    <row r="92" spans="10:13" x14ac:dyDescent="0.2">
      <c r="J92" s="3" t="s">
        <v>214</v>
      </c>
      <c r="K92" s="3" t="s">
        <v>111</v>
      </c>
      <c r="L92" s="4" t="s">
        <v>359</v>
      </c>
      <c r="M92" s="4" t="str">
        <f t="shared" si="1"/>
        <v>au lycée "LAVOISIER"</v>
      </c>
    </row>
    <row r="93" spans="10:13" x14ac:dyDescent="0.2">
      <c r="J93" s="3" t="s">
        <v>214</v>
      </c>
      <c r="K93" s="3" t="s">
        <v>111</v>
      </c>
      <c r="L93" s="4" t="s">
        <v>360</v>
      </c>
      <c r="M93" s="4" t="str">
        <f t="shared" si="1"/>
        <v>au lycée "DES MILLES SOURCES"</v>
      </c>
    </row>
    <row r="94" spans="10:13" x14ac:dyDescent="0.2">
      <c r="J94" s="3" t="s">
        <v>214</v>
      </c>
      <c r="K94" s="3" t="s">
        <v>111</v>
      </c>
      <c r="L94" s="4" t="s">
        <v>361</v>
      </c>
      <c r="M94" s="4" t="str">
        <f t="shared" si="1"/>
        <v>au lycée "EDMOND PERRIER"</v>
      </c>
    </row>
    <row r="95" spans="10:13" x14ac:dyDescent="0.2">
      <c r="J95" s="3" t="s">
        <v>214</v>
      </c>
      <c r="K95" s="3" t="s">
        <v>111</v>
      </c>
      <c r="L95" s="4" t="s">
        <v>362</v>
      </c>
      <c r="M95" s="4" t="str">
        <f t="shared" si="1"/>
        <v>au lycée "BERNART DE VENTADOUR"</v>
      </c>
    </row>
    <row r="96" spans="10:13" x14ac:dyDescent="0.2">
      <c r="J96" s="3" t="s">
        <v>214</v>
      </c>
      <c r="K96" s="3" t="s">
        <v>111</v>
      </c>
      <c r="L96" s="4" t="s">
        <v>363</v>
      </c>
      <c r="M96" s="4" t="str">
        <f t="shared" si="1"/>
        <v>au lycée "BRIVE-VOUTEZAC"</v>
      </c>
    </row>
    <row r="97" spans="10:13" x14ac:dyDescent="0.2">
      <c r="J97" s="3" t="s">
        <v>214</v>
      </c>
      <c r="K97" s="3" t="s">
        <v>111</v>
      </c>
      <c r="L97" s="4" t="s">
        <v>364</v>
      </c>
      <c r="M97" s="4" t="str">
        <f t="shared" si="1"/>
        <v>au lycée "DE HAUTE CORREZE"</v>
      </c>
    </row>
    <row r="98" spans="10:13" x14ac:dyDescent="0.2">
      <c r="J98" s="3" t="s">
        <v>214</v>
      </c>
      <c r="K98" s="3" t="s">
        <v>111</v>
      </c>
      <c r="L98" s="4" t="s">
        <v>365</v>
      </c>
      <c r="M98" s="4" t="str">
        <f t="shared" si="1"/>
        <v>au lycée "EDGARD PISANI"</v>
      </c>
    </row>
    <row r="99" spans="10:13" x14ac:dyDescent="0.2">
      <c r="J99" s="3" t="s">
        <v>214</v>
      </c>
      <c r="K99" s="3" t="s">
        <v>111</v>
      </c>
      <c r="L99" s="4" t="s">
        <v>366</v>
      </c>
      <c r="M99" s="4" t="str">
        <f t="shared" si="1"/>
        <v>au lycée "PIERRE BOURDAN"</v>
      </c>
    </row>
    <row r="100" spans="10:13" x14ac:dyDescent="0.2">
      <c r="J100" s="3" t="s">
        <v>214</v>
      </c>
      <c r="K100" s="3" t="s">
        <v>111</v>
      </c>
      <c r="L100" s="4" t="s">
        <v>367</v>
      </c>
      <c r="M100" s="4" t="str">
        <f t="shared" si="1"/>
        <v>au lycée "JEAN FAVARD"</v>
      </c>
    </row>
    <row r="101" spans="10:13" x14ac:dyDescent="0.2">
      <c r="J101" s="3" t="s">
        <v>214</v>
      </c>
      <c r="K101" s="3" t="s">
        <v>111</v>
      </c>
      <c r="L101" s="4" t="s">
        <v>368</v>
      </c>
      <c r="M101" s="4" t="str">
        <f t="shared" si="1"/>
        <v>au lycée "DES METIERS ET DU BATIMENT DE FELLETIN"</v>
      </c>
    </row>
    <row r="102" spans="10:13" x14ac:dyDescent="0.2">
      <c r="J102" s="3" t="s">
        <v>214</v>
      </c>
      <c r="K102" s="3" t="s">
        <v>111</v>
      </c>
      <c r="L102" s="4" t="s">
        <v>369</v>
      </c>
      <c r="M102" s="4" t="str">
        <f t="shared" si="1"/>
        <v>au lycée "DELHPINE GAY"</v>
      </c>
    </row>
    <row r="103" spans="10:13" x14ac:dyDescent="0.2">
      <c r="J103" s="3" t="s">
        <v>214</v>
      </c>
      <c r="K103" s="3" t="s">
        <v>111</v>
      </c>
      <c r="L103" s="4" t="s">
        <v>370</v>
      </c>
      <c r="M103" s="4" t="str">
        <f t="shared" si="1"/>
        <v>au lycée "EUGENE JAMOT"</v>
      </c>
    </row>
    <row r="104" spans="10:13" x14ac:dyDescent="0.2">
      <c r="J104" s="3" t="s">
        <v>214</v>
      </c>
      <c r="K104" s="3" t="s">
        <v>111</v>
      </c>
      <c r="L104" s="4" t="s">
        <v>371</v>
      </c>
      <c r="M104" s="4" t="str">
        <f t="shared" si="1"/>
        <v>au lycée "JEAN JAURES"</v>
      </c>
    </row>
    <row r="105" spans="10:13" x14ac:dyDescent="0.2">
      <c r="J105" s="3" t="s">
        <v>214</v>
      </c>
      <c r="K105" s="3" t="s">
        <v>111</v>
      </c>
      <c r="L105" s="4" t="s">
        <v>372</v>
      </c>
      <c r="M105" s="4" t="str">
        <f t="shared" si="1"/>
        <v>au lycée "RAYMOND LOEWY"</v>
      </c>
    </row>
    <row r="106" spans="10:13" x14ac:dyDescent="0.2">
      <c r="J106" s="3" t="s">
        <v>214</v>
      </c>
      <c r="K106" s="3" t="s">
        <v>111</v>
      </c>
      <c r="L106" s="4" t="s">
        <v>373</v>
      </c>
      <c r="M106" s="4" t="str">
        <f t="shared" si="1"/>
        <v>au lycée "GASTON ROUSSILAT"</v>
      </c>
    </row>
    <row r="107" spans="10:13" x14ac:dyDescent="0.2">
      <c r="J107" s="3" t="s">
        <v>214</v>
      </c>
      <c r="K107" s="3" t="s">
        <v>111</v>
      </c>
      <c r="L107" s="4" t="s">
        <v>374</v>
      </c>
      <c r="M107" s="4" t="str">
        <f t="shared" si="1"/>
        <v>au lycée "D'AHUN"</v>
      </c>
    </row>
    <row r="108" spans="10:13" x14ac:dyDescent="0.2">
      <c r="J108" s="3" t="s">
        <v>214</v>
      </c>
      <c r="K108" s="3" t="s">
        <v>111</v>
      </c>
      <c r="L108" s="4" t="s">
        <v>375</v>
      </c>
      <c r="M108" s="4" t="str">
        <f t="shared" si="1"/>
        <v>au lycée "MARYSE BASTIE"</v>
      </c>
    </row>
    <row r="109" spans="10:13" x14ac:dyDescent="0.2">
      <c r="J109" s="3" t="s">
        <v>214</v>
      </c>
      <c r="K109" s="3" t="s">
        <v>111</v>
      </c>
      <c r="L109" s="4" t="s">
        <v>376</v>
      </c>
      <c r="M109" s="4" t="str">
        <f t="shared" si="1"/>
        <v>au lycée "BAPTISTE DARNET"</v>
      </c>
    </row>
    <row r="110" spans="10:13" x14ac:dyDescent="0.2">
      <c r="J110" s="3" t="s">
        <v>214</v>
      </c>
      <c r="K110" s="3" t="s">
        <v>111</v>
      </c>
      <c r="L110" s="4" t="s">
        <v>377</v>
      </c>
      <c r="M110" s="4" t="str">
        <f t="shared" si="1"/>
        <v>au lycée "DAUTRY"</v>
      </c>
    </row>
    <row r="111" spans="10:13" x14ac:dyDescent="0.2">
      <c r="J111" s="3" t="s">
        <v>214</v>
      </c>
      <c r="K111" s="3" t="s">
        <v>111</v>
      </c>
      <c r="L111" s="4" t="s">
        <v>378</v>
      </c>
      <c r="M111" s="4" t="str">
        <f t="shared" si="1"/>
        <v>au lycée "PAUL EUARD"</v>
      </c>
    </row>
    <row r="112" spans="10:13" x14ac:dyDescent="0.2">
      <c r="J112" s="3" t="s">
        <v>214</v>
      </c>
      <c r="K112" s="3" t="s">
        <v>111</v>
      </c>
      <c r="L112" s="4" t="s">
        <v>379</v>
      </c>
      <c r="M112" s="4" t="str">
        <f t="shared" si="1"/>
        <v>au lycée "GAY LUSSAC"</v>
      </c>
    </row>
    <row r="113" spans="10:13" x14ac:dyDescent="0.2">
      <c r="J113" s="3" t="s">
        <v>214</v>
      </c>
      <c r="K113" s="3" t="s">
        <v>111</v>
      </c>
      <c r="L113" s="4" t="s">
        <v>380</v>
      </c>
      <c r="M113" s="4" t="str">
        <f t="shared" si="1"/>
        <v>au lycée "JEAN GIRAUOUX"</v>
      </c>
    </row>
    <row r="114" spans="10:13" x14ac:dyDescent="0.2">
      <c r="J114" s="3" t="s">
        <v>214</v>
      </c>
      <c r="K114" s="3" t="s">
        <v>111</v>
      </c>
      <c r="L114" s="4" t="s">
        <v>381</v>
      </c>
      <c r="M114" s="4" t="str">
        <f t="shared" si="1"/>
        <v>au lycée "LEONARD LIMOSIN"</v>
      </c>
    </row>
    <row r="115" spans="10:13" x14ac:dyDescent="0.2">
      <c r="J115" s="3" t="s">
        <v>214</v>
      </c>
      <c r="K115" s="3" t="s">
        <v>111</v>
      </c>
      <c r="L115" s="4" t="s">
        <v>382</v>
      </c>
      <c r="M115" s="4" t="str">
        <f t="shared" si="1"/>
        <v>au lycée "LE MAS JAMBOST"</v>
      </c>
    </row>
    <row r="116" spans="10:13" x14ac:dyDescent="0.2">
      <c r="J116" s="3" t="s">
        <v>214</v>
      </c>
      <c r="K116" s="3" t="s">
        <v>111</v>
      </c>
      <c r="L116" s="4" t="s">
        <v>164</v>
      </c>
      <c r="M116" s="4" t="str">
        <f t="shared" si="1"/>
        <v>au lycée "JEAN MONNET"</v>
      </c>
    </row>
    <row r="117" spans="10:13" x14ac:dyDescent="0.2">
      <c r="J117" s="3" t="s">
        <v>214</v>
      </c>
      <c r="K117" s="3" t="s">
        <v>111</v>
      </c>
      <c r="L117" s="4" t="s">
        <v>383</v>
      </c>
      <c r="M117" s="4" t="str">
        <f t="shared" si="1"/>
        <v>au lycée "MARTIN NADAUD"</v>
      </c>
    </row>
    <row r="118" spans="10:13" x14ac:dyDescent="0.2">
      <c r="J118" s="3" t="s">
        <v>214</v>
      </c>
      <c r="K118" s="3" t="s">
        <v>111</v>
      </c>
      <c r="L118" s="4" t="s">
        <v>384</v>
      </c>
      <c r="M118" s="4" t="str">
        <f t="shared" si="1"/>
        <v>au lycée "MARCEL PAGNOL"</v>
      </c>
    </row>
    <row r="119" spans="10:13" x14ac:dyDescent="0.2">
      <c r="J119" s="3" t="s">
        <v>214</v>
      </c>
      <c r="K119" s="3" t="s">
        <v>111</v>
      </c>
      <c r="L119" s="4" t="s">
        <v>146</v>
      </c>
      <c r="M119" s="4" t="str">
        <f t="shared" si="1"/>
        <v>au lycée "BERNARD PALISSY"</v>
      </c>
    </row>
    <row r="120" spans="10:13" x14ac:dyDescent="0.2">
      <c r="J120" s="3" t="s">
        <v>214</v>
      </c>
      <c r="K120" s="3" t="s">
        <v>111</v>
      </c>
      <c r="L120" s="4" t="s">
        <v>385</v>
      </c>
      <c r="M120" s="4" t="str">
        <f t="shared" si="1"/>
        <v>au lycée "AUGUSTE RENOIR"</v>
      </c>
    </row>
    <row r="121" spans="10:13" x14ac:dyDescent="0.2">
      <c r="J121" s="3" t="s">
        <v>214</v>
      </c>
      <c r="K121" s="3" t="s">
        <v>111</v>
      </c>
      <c r="L121" s="4" t="s">
        <v>138</v>
      </c>
      <c r="M121" s="4" t="str">
        <f t="shared" si="1"/>
        <v>au lycée "ANTOINE DE SAINT EXUPÉRY"</v>
      </c>
    </row>
    <row r="122" spans="10:13" x14ac:dyDescent="0.2">
      <c r="J122" s="3" t="s">
        <v>214</v>
      </c>
      <c r="K122" s="3" t="s">
        <v>111</v>
      </c>
      <c r="L122" s="4" t="s">
        <v>386</v>
      </c>
      <c r="M122" s="4" t="str">
        <f t="shared" si="1"/>
        <v>au lycée "GEORGES SAND"</v>
      </c>
    </row>
    <row r="123" spans="10:13" x14ac:dyDescent="0.2">
      <c r="J123" s="3" t="s">
        <v>214</v>
      </c>
      <c r="K123" s="3" t="s">
        <v>111</v>
      </c>
      <c r="L123" s="4" t="s">
        <v>387</v>
      </c>
      <c r="M123" s="4" t="str">
        <f t="shared" si="1"/>
        <v>au lycée "TURGOT"</v>
      </c>
    </row>
    <row r="124" spans="10:13" x14ac:dyDescent="0.2">
      <c r="J124" s="3" t="s">
        <v>214</v>
      </c>
      <c r="K124" s="3" t="s">
        <v>111</v>
      </c>
      <c r="L124" s="4" t="s">
        <v>388</v>
      </c>
      <c r="M124" s="4" t="str">
        <f t="shared" si="1"/>
        <v>au lycée "EDOUARD VAILLANT"</v>
      </c>
    </row>
    <row r="125" spans="10:13" x14ac:dyDescent="0.2">
      <c r="J125" s="3" t="s">
        <v>214</v>
      </c>
      <c r="K125" s="3" t="s">
        <v>111</v>
      </c>
      <c r="L125" s="4" t="s">
        <v>389</v>
      </c>
      <c r="M125" s="4" t="str">
        <f t="shared" si="1"/>
        <v>au lycée "SUZANNE VALANDON"</v>
      </c>
    </row>
    <row r="126" spans="10:13" x14ac:dyDescent="0.2">
      <c r="J126" s="3" t="s">
        <v>214</v>
      </c>
      <c r="K126" s="3" t="s">
        <v>111</v>
      </c>
      <c r="L126" s="4" t="s">
        <v>390</v>
      </c>
      <c r="M126" s="4" t="str">
        <f t="shared" si="1"/>
        <v>au lycée "DE SAINT YRIEZIX DE LA PERCHE"</v>
      </c>
    </row>
    <row r="127" spans="10:13" x14ac:dyDescent="0.2">
      <c r="J127" s="3" t="s">
        <v>214</v>
      </c>
      <c r="K127" s="3" t="s">
        <v>111</v>
      </c>
      <c r="L127" s="4" t="s">
        <v>391</v>
      </c>
      <c r="M127" s="4" t="str">
        <f t="shared" si="1"/>
        <v>au lycée "DE LIMOGES ET DU NORD HAUTE VIENNE" (MAGNAC LAVAL")</v>
      </c>
    </row>
    <row r="128" spans="10:13" x14ac:dyDescent="0.2">
      <c r="J128" s="3" t="s">
        <v>214</v>
      </c>
      <c r="K128" s="3" t="s">
        <v>111</v>
      </c>
      <c r="L128" s="4" t="s">
        <v>392</v>
      </c>
      <c r="M128" s="4" t="str">
        <f t="shared" si="1"/>
        <v>au lycée "DE LIMOGES ET DU NORD HAUTE VIENNE" (LES VASEIX")</v>
      </c>
    </row>
  </sheetData>
  <sheetProtection algorithmName="SHA-512" hashValue="QcF2+otdYe52+YTfZztJ65MJZU9vOvlhPm61biCL4sH6g0Abn8mAFHEYarniQzLl4i3l5sK9ffOvu1lBwgW+aQ==" saltValue="Sc13/7asa8HEYVSJuBiOUQ==" spinCount="100000" sheet="1" objects="1" scenarios="1" autoFilter="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rgb="FF7030A0"/>
  </sheetPr>
  <dimension ref="A1:L35"/>
  <sheetViews>
    <sheetView zoomScale="140" zoomScaleNormal="140" workbookViewId="0">
      <selection activeCell="I20" sqref="I20"/>
    </sheetView>
  </sheetViews>
  <sheetFormatPr baseColWidth="10" defaultRowHeight="15" x14ac:dyDescent="0.25"/>
  <cols>
    <col min="1" max="1" width="11.42578125" style="187"/>
    <col min="2" max="2" width="13" style="187" customWidth="1"/>
    <col min="3" max="3" width="12" style="187" customWidth="1"/>
    <col min="4" max="16384" width="11.42578125" style="187"/>
  </cols>
  <sheetData>
    <row r="1" spans="1:11" x14ac:dyDescent="0.25">
      <c r="A1" s="590" t="s">
        <v>432</v>
      </c>
      <c r="B1" s="590"/>
      <c r="C1" s="590"/>
      <c r="D1" s="590"/>
      <c r="E1" s="590"/>
      <c r="F1" s="590"/>
      <c r="G1" s="590"/>
      <c r="H1" s="590"/>
      <c r="I1" s="590"/>
      <c r="J1" s="590"/>
      <c r="K1" s="590"/>
    </row>
    <row r="3" spans="1:11" x14ac:dyDescent="0.25">
      <c r="A3" s="187" t="s">
        <v>433</v>
      </c>
    </row>
    <row r="4" spans="1:11" x14ac:dyDescent="0.25">
      <c r="A4" s="509" t="s">
        <v>434</v>
      </c>
    </row>
    <row r="6" spans="1:11" x14ac:dyDescent="0.25">
      <c r="A6" s="187" t="s">
        <v>435</v>
      </c>
    </row>
    <row r="7" spans="1:11" x14ac:dyDescent="0.25">
      <c r="A7" s="187" t="s">
        <v>436</v>
      </c>
    </row>
    <row r="8" spans="1:11" x14ac:dyDescent="0.25">
      <c r="A8" s="187" t="s">
        <v>437</v>
      </c>
    </row>
    <row r="9" spans="1:11" x14ac:dyDescent="0.25">
      <c r="A9" s="187" t="s">
        <v>438</v>
      </c>
    </row>
    <row r="10" spans="1:11" ht="18.75" x14ac:dyDescent="0.25">
      <c r="B10" s="187" t="s">
        <v>439</v>
      </c>
      <c r="C10" s="388"/>
      <c r="D10" s="187" t="s">
        <v>440</v>
      </c>
    </row>
    <row r="11" spans="1:11" ht="18.75" x14ac:dyDescent="0.25">
      <c r="B11" s="187" t="s">
        <v>441</v>
      </c>
      <c r="C11" s="20"/>
      <c r="D11" s="187" t="s">
        <v>442</v>
      </c>
    </row>
    <row r="12" spans="1:11" ht="18" x14ac:dyDescent="0.25">
      <c r="B12" s="187" t="s">
        <v>441</v>
      </c>
      <c r="C12" s="416"/>
      <c r="D12" s="187" t="s">
        <v>465</v>
      </c>
    </row>
    <row r="13" spans="1:11" ht="18" x14ac:dyDescent="0.25">
      <c r="C13" s="516"/>
    </row>
    <row r="14" spans="1:11" x14ac:dyDescent="0.25">
      <c r="A14" s="510" t="s">
        <v>443</v>
      </c>
    </row>
    <row r="15" spans="1:11" x14ac:dyDescent="0.25">
      <c r="A15" s="187" t="s">
        <v>444</v>
      </c>
    </row>
    <row r="16" spans="1:11" x14ac:dyDescent="0.25">
      <c r="A16" s="187" t="s">
        <v>445</v>
      </c>
    </row>
    <row r="17" spans="1:12" x14ac:dyDescent="0.25">
      <c r="A17" s="187" t="s">
        <v>446</v>
      </c>
    </row>
    <row r="18" spans="1:12" x14ac:dyDescent="0.25">
      <c r="A18" s="511" t="s">
        <v>455</v>
      </c>
    </row>
    <row r="19" spans="1:12" x14ac:dyDescent="0.25">
      <c r="A19" s="187" t="s">
        <v>447</v>
      </c>
    </row>
    <row r="20" spans="1:12" x14ac:dyDescent="0.25">
      <c r="B20" s="187" t="s">
        <v>448</v>
      </c>
      <c r="D20" s="509" t="s">
        <v>449</v>
      </c>
    </row>
    <row r="21" spans="1:12" x14ac:dyDescent="0.25">
      <c r="B21" s="187" t="s">
        <v>450</v>
      </c>
      <c r="D21" s="509" t="s">
        <v>451</v>
      </c>
    </row>
    <row r="22" spans="1:12" x14ac:dyDescent="0.25">
      <c r="A22" s="187" t="s">
        <v>452</v>
      </c>
    </row>
    <row r="23" spans="1:12" x14ac:dyDescent="0.25">
      <c r="A23" s="187" t="s">
        <v>453</v>
      </c>
    </row>
    <row r="24" spans="1:12" ht="53.25" customHeight="1" x14ac:dyDescent="0.25">
      <c r="A24" s="591" t="s">
        <v>454</v>
      </c>
      <c r="B24" s="591"/>
      <c r="C24" s="591"/>
      <c r="D24" s="591"/>
      <c r="E24" s="591"/>
      <c r="F24" s="591"/>
      <c r="G24" s="591"/>
      <c r="H24" s="591"/>
      <c r="I24" s="591"/>
      <c r="J24" s="591"/>
      <c r="K24" s="591"/>
      <c r="L24" s="591"/>
    </row>
    <row r="25" spans="1:12" x14ac:dyDescent="0.25">
      <c r="A25" s="187" t="s">
        <v>456</v>
      </c>
    </row>
    <row r="26" spans="1:12" x14ac:dyDescent="0.25">
      <c r="A26" s="511" t="s">
        <v>457</v>
      </c>
    </row>
    <row r="27" spans="1:12" x14ac:dyDescent="0.25">
      <c r="A27" s="511" t="s">
        <v>458</v>
      </c>
    </row>
    <row r="29" spans="1:12" x14ac:dyDescent="0.25">
      <c r="A29" s="187" t="s">
        <v>459</v>
      </c>
    </row>
    <row r="30" spans="1:12" x14ac:dyDescent="0.25">
      <c r="A30" s="187" t="s">
        <v>460</v>
      </c>
    </row>
    <row r="31" spans="1:12" x14ac:dyDescent="0.25">
      <c r="A31" s="187" t="s">
        <v>461</v>
      </c>
    </row>
    <row r="32" spans="1:12" x14ac:dyDescent="0.25">
      <c r="A32" s="187" t="s">
        <v>462</v>
      </c>
    </row>
    <row r="33" spans="1:1" x14ac:dyDescent="0.25">
      <c r="A33" s="187" t="s">
        <v>463</v>
      </c>
    </row>
    <row r="35" spans="1:1" x14ac:dyDescent="0.25">
      <c r="A35" s="187" t="s">
        <v>464</v>
      </c>
    </row>
  </sheetData>
  <sheetProtection algorithmName="SHA-512" hashValue="ihu+W7Bz74QGABSMnXaAoXdxQW1nyqoRrJihObs73nqSJL9qJzSlsaJOJnr9lekRq86yKQZYZegnbQ2/RJ8oRg==" saltValue="hi60NiBcKkeP9GZUcgNwwA==" spinCount="100000" sheet="1" objects="1" scenarios="1" autoFilter="0"/>
  <mergeCells count="2">
    <mergeCell ref="A1:K1"/>
    <mergeCell ref="A24:L24"/>
  </mergeCells>
  <hyperlinks>
    <hyperlink ref="A4" r:id="rId1"/>
    <hyperlink ref="D20" r:id="rId2"/>
    <hyperlink ref="D21" r:id="rId3"/>
  </hyperlinks>
  <pageMargins left="0.7" right="0.7" top="0.75" bottom="0.75" header="0.3" footer="0.3"/>
  <pageSetup paperSize="9" scale="47" orientation="portrait" r:id="rId4"/>
  <drawing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0000"/>
  </sheetPr>
  <dimension ref="A1:AF1009"/>
  <sheetViews>
    <sheetView tabSelected="1" topLeftCell="A39" zoomScale="80" zoomScaleNormal="80" workbookViewId="0">
      <selection activeCell="E52" sqref="E52"/>
    </sheetView>
  </sheetViews>
  <sheetFormatPr baseColWidth="10" defaultRowHeight="18.75" x14ac:dyDescent="0.3"/>
  <cols>
    <col min="1" max="1" width="10.42578125" customWidth="1"/>
    <col min="2" max="2" width="41.5703125" customWidth="1"/>
    <col min="3" max="3" width="27.140625" customWidth="1"/>
    <col min="4" max="4" width="39.140625" hidden="1" customWidth="1"/>
    <col min="5" max="5" width="25.140625" customWidth="1"/>
    <col min="6" max="6" width="24.140625" customWidth="1"/>
    <col min="7" max="7" width="25.85546875" bestFit="1" customWidth="1"/>
    <col min="8" max="8" width="30" customWidth="1"/>
    <col min="9" max="9" width="26.28515625" customWidth="1"/>
    <col min="10" max="10" width="19.140625" style="130" customWidth="1"/>
    <col min="11" max="12" width="17.85546875" style="130" customWidth="1"/>
    <col min="13" max="14" width="17.85546875" style="130" bestFit="1" customWidth="1"/>
    <col min="15" max="15" width="9.5703125" style="130" customWidth="1"/>
    <col min="16" max="16" width="22" style="130" customWidth="1"/>
    <col min="17" max="17" width="10.140625" style="130" bestFit="1" customWidth="1"/>
    <col min="18" max="18" width="17.85546875" style="130" customWidth="1"/>
    <col min="19" max="20" width="16.42578125" style="130" customWidth="1"/>
    <col min="21" max="21" width="15.42578125" style="130" bestFit="1" customWidth="1"/>
    <col min="22" max="22" width="15.42578125" style="130" customWidth="1"/>
    <col min="23" max="23" width="17.85546875" style="130" bestFit="1" customWidth="1"/>
    <col min="24" max="26" width="15.42578125" style="130" bestFit="1" customWidth="1"/>
    <col min="27" max="27" width="17.85546875" style="130" bestFit="1" customWidth="1"/>
    <col min="28" max="28" width="15.42578125" style="130" bestFit="1" customWidth="1"/>
    <col min="31" max="32" width="14.85546875" bestFit="1" customWidth="1"/>
  </cols>
  <sheetData>
    <row r="1" spans="1:28" x14ac:dyDescent="0.3">
      <c r="A1" s="130"/>
      <c r="B1" s="11" t="s">
        <v>213</v>
      </c>
      <c r="C1" s="388"/>
      <c r="D1" s="377"/>
      <c r="E1" s="378"/>
      <c r="F1" s="378"/>
      <c r="G1" s="378"/>
      <c r="H1" s="370"/>
      <c r="I1" s="130"/>
    </row>
    <row r="2" spans="1:28" s="10" customFormat="1" ht="18" customHeight="1" x14ac:dyDescent="0.3">
      <c r="A2" s="130"/>
      <c r="B2" s="11" t="s">
        <v>72</v>
      </c>
      <c r="C2" s="615"/>
      <c r="D2" s="616"/>
      <c r="E2" s="616"/>
      <c r="F2" s="616"/>
      <c r="G2" s="616"/>
      <c r="H2" s="370"/>
      <c r="I2" s="130"/>
      <c r="J2" s="130"/>
      <c r="K2" s="130"/>
      <c r="L2" s="130"/>
      <c r="M2" s="130"/>
      <c r="N2" s="130"/>
      <c r="O2" s="130"/>
      <c r="P2" s="130"/>
      <c r="Q2" s="130"/>
      <c r="R2" s="130"/>
      <c r="S2" s="130"/>
      <c r="T2" s="130"/>
      <c r="U2" s="130"/>
      <c r="V2" s="130"/>
      <c r="W2" s="130"/>
      <c r="X2" s="130"/>
      <c r="Y2" s="130"/>
      <c r="Z2" s="130"/>
      <c r="AA2" s="130"/>
      <c r="AB2" s="130"/>
    </row>
    <row r="3" spans="1:28" s="10" customFormat="1" ht="18" customHeight="1" x14ac:dyDescent="0.3">
      <c r="A3" s="130"/>
      <c r="B3" s="11" t="s">
        <v>2</v>
      </c>
      <c r="C3" s="617"/>
      <c r="D3" s="618"/>
      <c r="E3" s="618"/>
      <c r="F3" s="618"/>
      <c r="G3" s="618"/>
      <c r="H3" s="370"/>
      <c r="I3" s="130"/>
      <c r="J3" s="130"/>
      <c r="K3" s="130"/>
      <c r="L3" s="130"/>
      <c r="M3" s="130"/>
      <c r="N3" s="130"/>
      <c r="O3" s="130"/>
      <c r="P3" s="130"/>
      <c r="Q3" s="130"/>
      <c r="R3" s="130"/>
      <c r="S3" s="130"/>
      <c r="T3" s="130"/>
      <c r="U3" s="130"/>
      <c r="V3" s="130"/>
      <c r="W3" s="130"/>
      <c r="X3" s="130"/>
      <c r="Y3" s="130"/>
      <c r="Z3" s="130"/>
      <c r="AA3" s="130"/>
      <c r="AB3" s="130"/>
    </row>
    <row r="4" spans="1:28" s="10" customFormat="1" ht="18" customHeight="1" x14ac:dyDescent="0.3">
      <c r="A4" s="130"/>
      <c r="B4" s="11" t="s">
        <v>253</v>
      </c>
      <c r="C4" s="619"/>
      <c r="D4" s="620"/>
      <c r="E4" s="620"/>
      <c r="F4" s="620"/>
      <c r="G4" s="620"/>
      <c r="H4" s="370"/>
      <c r="I4" s="130"/>
      <c r="J4" s="130"/>
      <c r="K4" s="130"/>
      <c r="L4" s="130"/>
      <c r="M4" s="130"/>
      <c r="N4" s="130"/>
      <c r="O4" s="130"/>
      <c r="P4" s="130"/>
      <c r="Q4" s="130"/>
      <c r="R4" s="130"/>
      <c r="S4" s="130"/>
      <c r="T4" s="130"/>
      <c r="U4" s="130"/>
      <c r="V4" s="130"/>
      <c r="W4" s="130"/>
      <c r="X4" s="130"/>
      <c r="Y4" s="130"/>
      <c r="Z4" s="130"/>
      <c r="AA4" s="130"/>
      <c r="AB4" s="130"/>
    </row>
    <row r="5" spans="1:28" s="10" customFormat="1" ht="18" customHeight="1" x14ac:dyDescent="0.3">
      <c r="A5" s="130"/>
      <c r="B5" s="11" t="s">
        <v>3</v>
      </c>
      <c r="C5" s="619" t="s">
        <v>587</v>
      </c>
      <c r="D5" s="620"/>
      <c r="E5" s="620"/>
      <c r="F5" s="620"/>
      <c r="G5" s="620"/>
      <c r="H5" s="455" t="s">
        <v>477</v>
      </c>
      <c r="I5" s="538">
        <v>2</v>
      </c>
      <c r="L5" s="130"/>
      <c r="M5" s="130"/>
      <c r="N5" s="130"/>
      <c r="O5" s="130"/>
      <c r="P5" s="130"/>
      <c r="Q5" s="130"/>
      <c r="R5" s="130"/>
      <c r="S5" s="130"/>
      <c r="T5" s="130"/>
      <c r="U5" s="130"/>
      <c r="V5" s="130"/>
      <c r="W5" s="130"/>
      <c r="X5" s="130"/>
      <c r="Y5" s="130"/>
      <c r="Z5" s="130"/>
      <c r="AA5" s="130"/>
      <c r="AB5" s="130"/>
    </row>
    <row r="6" spans="1:28" s="10" customFormat="1" ht="18" customHeight="1" x14ac:dyDescent="0.3">
      <c r="B6" s="11" t="s">
        <v>469</v>
      </c>
      <c r="C6" s="621"/>
      <c r="D6" s="621"/>
      <c r="E6" s="621"/>
      <c r="F6" s="621"/>
      <c r="G6" s="621"/>
      <c r="I6" s="539"/>
      <c r="J6" s="130"/>
      <c r="K6" s="130"/>
      <c r="L6" s="130"/>
      <c r="M6" s="130"/>
      <c r="N6" s="130"/>
      <c r="O6" s="130"/>
      <c r="P6" s="130"/>
      <c r="Q6" s="130"/>
      <c r="R6" s="130"/>
      <c r="S6" s="130"/>
      <c r="T6" s="130"/>
      <c r="U6" s="130"/>
      <c r="V6" s="130"/>
      <c r="W6" s="130"/>
      <c r="X6" s="130"/>
      <c r="Y6" s="130"/>
      <c r="Z6" s="130"/>
      <c r="AA6" s="130"/>
      <c r="AB6" s="130"/>
    </row>
    <row r="7" spans="1:28" s="10" customFormat="1" ht="18" customHeight="1" x14ac:dyDescent="0.3">
      <c r="A7" s="130"/>
      <c r="B7" s="11" t="s">
        <v>470</v>
      </c>
      <c r="C7" s="619"/>
      <c r="D7" s="620"/>
      <c r="E7" s="620"/>
      <c r="F7" s="620"/>
      <c r="G7" s="622"/>
      <c r="H7" s="370"/>
      <c r="I7" s="540"/>
      <c r="J7" s="130"/>
      <c r="K7" s="130"/>
      <c r="L7" s="130"/>
      <c r="M7" s="130"/>
      <c r="N7" s="130"/>
      <c r="O7" s="130"/>
      <c r="P7" s="130"/>
      <c r="Q7" s="130"/>
      <c r="R7" s="130"/>
      <c r="S7" s="130"/>
      <c r="T7" s="130"/>
      <c r="U7" s="130"/>
      <c r="V7" s="130"/>
      <c r="W7" s="130"/>
      <c r="X7" s="130"/>
      <c r="Y7" s="130"/>
      <c r="Z7" s="130"/>
      <c r="AA7" s="130"/>
      <c r="AB7" s="130"/>
    </row>
    <row r="8" spans="1:28" s="10" customFormat="1" ht="18" hidden="1" customHeight="1" x14ac:dyDescent="0.3">
      <c r="A8" s="130"/>
      <c r="B8" s="11" t="s">
        <v>471</v>
      </c>
      <c r="C8" s="621"/>
      <c r="D8" s="621"/>
      <c r="E8" s="621"/>
      <c r="F8" s="621"/>
      <c r="G8" s="621"/>
      <c r="H8" s="370"/>
      <c r="I8" s="540"/>
      <c r="J8" s="130"/>
      <c r="K8" s="130"/>
      <c r="L8" s="130"/>
      <c r="M8" s="130"/>
      <c r="N8" s="130"/>
      <c r="O8" s="130"/>
      <c r="P8" s="130"/>
      <c r="Q8" s="130"/>
      <c r="R8" s="130"/>
      <c r="S8" s="130"/>
      <c r="T8" s="130"/>
      <c r="U8" s="130"/>
      <c r="V8" s="130"/>
      <c r="W8" s="130"/>
      <c r="X8" s="130"/>
      <c r="Y8" s="130"/>
      <c r="Z8" s="130"/>
      <c r="AA8" s="130"/>
      <c r="AB8" s="130"/>
    </row>
    <row r="9" spans="1:28" s="10" customFormat="1" ht="18" hidden="1" customHeight="1" x14ac:dyDescent="0.3">
      <c r="A9" s="130"/>
      <c r="B9" s="11" t="s">
        <v>472</v>
      </c>
      <c r="C9" s="619"/>
      <c r="D9" s="620"/>
      <c r="E9" s="620"/>
      <c r="F9" s="620"/>
      <c r="G9" s="622"/>
      <c r="H9" s="370"/>
      <c r="I9" s="540"/>
      <c r="J9" s="130"/>
      <c r="K9" s="130"/>
      <c r="L9" s="130"/>
      <c r="M9" s="130"/>
      <c r="N9" s="130"/>
      <c r="O9" s="130"/>
      <c r="P9" s="130"/>
      <c r="Q9" s="130"/>
      <c r="R9" s="130"/>
      <c r="S9" s="130"/>
      <c r="T9" s="130"/>
      <c r="U9" s="130"/>
      <c r="V9" s="130"/>
      <c r="W9" s="130"/>
      <c r="X9" s="130"/>
      <c r="Y9" s="130"/>
      <c r="Z9" s="130"/>
      <c r="AA9" s="130"/>
      <c r="AB9" s="130"/>
    </row>
    <row r="10" spans="1:28" s="10" customFormat="1" ht="18" hidden="1" customHeight="1" x14ac:dyDescent="0.3">
      <c r="A10" s="130"/>
      <c r="B10" s="11" t="s">
        <v>473</v>
      </c>
      <c r="C10" s="621"/>
      <c r="D10" s="621"/>
      <c r="E10" s="621"/>
      <c r="F10" s="621"/>
      <c r="G10" s="621"/>
      <c r="H10" s="370"/>
      <c r="I10" s="540"/>
      <c r="J10" s="130"/>
      <c r="K10" s="130"/>
      <c r="L10" s="130"/>
      <c r="M10" s="130"/>
      <c r="N10" s="130"/>
      <c r="O10" s="130"/>
      <c r="P10" s="130"/>
      <c r="Q10" s="130"/>
      <c r="R10" s="130"/>
      <c r="S10" s="130"/>
      <c r="T10" s="130"/>
      <c r="U10" s="130"/>
      <c r="V10" s="130"/>
      <c r="W10" s="130"/>
      <c r="X10" s="130"/>
      <c r="Y10" s="130"/>
      <c r="Z10" s="130"/>
      <c r="AA10" s="130"/>
      <c r="AB10" s="130"/>
    </row>
    <row r="11" spans="1:28" s="10" customFormat="1" ht="18" hidden="1" customHeight="1" x14ac:dyDescent="0.3">
      <c r="A11" s="130"/>
      <c r="B11" s="11" t="s">
        <v>474</v>
      </c>
      <c r="C11" s="619"/>
      <c r="D11" s="620"/>
      <c r="E11" s="620"/>
      <c r="F11" s="620"/>
      <c r="G11" s="622"/>
      <c r="H11" s="370"/>
      <c r="I11" s="540"/>
      <c r="J11" s="130"/>
      <c r="K11" s="130"/>
      <c r="L11" s="130"/>
      <c r="M11" s="130"/>
      <c r="N11" s="130"/>
      <c r="O11" s="130"/>
      <c r="P11" s="130"/>
      <c r="Q11" s="130"/>
      <c r="R11" s="130"/>
      <c r="S11" s="130"/>
      <c r="T11" s="130"/>
      <c r="U11" s="130"/>
      <c r="V11" s="130"/>
      <c r="W11" s="130"/>
      <c r="X11" s="130"/>
      <c r="Y11" s="130"/>
      <c r="Z11" s="130"/>
      <c r="AA11" s="130"/>
      <c r="AB11" s="130"/>
    </row>
    <row r="12" spans="1:28" s="10" customFormat="1" ht="18" hidden="1" customHeight="1" x14ac:dyDescent="0.3">
      <c r="A12" s="130"/>
      <c r="B12" s="11" t="s">
        <v>475</v>
      </c>
      <c r="C12" s="621"/>
      <c r="D12" s="621"/>
      <c r="E12" s="621"/>
      <c r="F12" s="621"/>
      <c r="G12" s="621"/>
      <c r="H12" s="370"/>
      <c r="I12" s="540"/>
      <c r="J12" s="130"/>
      <c r="K12" s="130"/>
      <c r="L12" s="130"/>
      <c r="M12" s="130"/>
      <c r="N12" s="130"/>
      <c r="O12" s="130"/>
      <c r="P12" s="130"/>
      <c r="Q12" s="130"/>
      <c r="R12" s="130"/>
      <c r="S12" s="130"/>
      <c r="T12" s="130"/>
      <c r="U12" s="130"/>
      <c r="V12" s="130"/>
      <c r="W12" s="130"/>
      <c r="X12" s="130"/>
      <c r="Y12" s="130"/>
      <c r="Z12" s="130"/>
      <c r="AA12" s="130"/>
      <c r="AB12" s="130"/>
    </row>
    <row r="13" spans="1:28" s="10" customFormat="1" ht="18" hidden="1" customHeight="1" x14ac:dyDescent="0.3">
      <c r="A13" s="130"/>
      <c r="B13" s="11" t="s">
        <v>476</v>
      </c>
      <c r="C13" s="619"/>
      <c r="D13" s="620"/>
      <c r="E13" s="620"/>
      <c r="F13" s="620"/>
      <c r="G13" s="622"/>
      <c r="H13" s="370"/>
      <c r="I13" s="540"/>
      <c r="J13" s="130"/>
      <c r="K13" s="130"/>
      <c r="L13" s="130"/>
      <c r="M13" s="130"/>
      <c r="N13" s="130"/>
      <c r="O13" s="130"/>
      <c r="P13" s="130"/>
      <c r="Q13" s="130"/>
      <c r="R13" s="130"/>
      <c r="S13" s="130"/>
      <c r="T13" s="130"/>
      <c r="U13" s="130"/>
      <c r="V13" s="130"/>
      <c r="W13" s="130"/>
      <c r="X13" s="130"/>
      <c r="Y13" s="130"/>
      <c r="Z13" s="130"/>
      <c r="AA13" s="130"/>
      <c r="AB13" s="130"/>
    </row>
    <row r="14" spans="1:28" s="10" customFormat="1" ht="18" customHeight="1" x14ac:dyDescent="0.3">
      <c r="A14" s="130"/>
      <c r="B14" s="11" t="s">
        <v>4</v>
      </c>
      <c r="C14" s="619"/>
      <c r="D14" s="620"/>
      <c r="E14" s="620"/>
      <c r="F14" s="620"/>
      <c r="G14" s="620"/>
      <c r="H14" s="455" t="s">
        <v>497</v>
      </c>
      <c r="I14" s="538"/>
      <c r="J14" s="130"/>
      <c r="K14" s="130"/>
      <c r="L14" s="130"/>
      <c r="M14" s="130"/>
      <c r="N14" s="130"/>
      <c r="O14" s="130"/>
      <c r="P14" s="130"/>
      <c r="Q14" s="130"/>
      <c r="R14" s="130"/>
      <c r="S14" s="130"/>
      <c r="T14" s="130"/>
      <c r="U14" s="130"/>
      <c r="V14" s="130"/>
      <c r="W14" s="130"/>
      <c r="X14" s="130"/>
      <c r="Y14" s="130"/>
      <c r="Z14" s="130"/>
      <c r="AA14" s="130"/>
      <c r="AB14" s="130"/>
    </row>
    <row r="15" spans="1:28" s="10" customFormat="1" ht="18" customHeight="1" x14ac:dyDescent="0.3">
      <c r="A15" s="130"/>
      <c r="B15" s="11" t="s">
        <v>5</v>
      </c>
      <c r="C15" s="619"/>
      <c r="D15" s="620"/>
      <c r="E15" s="620"/>
      <c r="F15" s="620"/>
      <c r="G15" s="620"/>
      <c r="H15" s="370"/>
      <c r="I15" s="130"/>
      <c r="J15" s="130"/>
      <c r="K15" s="130"/>
      <c r="L15" s="130"/>
      <c r="M15" s="130"/>
      <c r="N15" s="130"/>
      <c r="O15" s="130"/>
      <c r="P15" s="130"/>
      <c r="Q15" s="130"/>
      <c r="R15" s="130"/>
      <c r="S15" s="130"/>
      <c r="T15" s="130"/>
      <c r="U15" s="130"/>
      <c r="V15" s="130"/>
      <c r="W15" s="130"/>
      <c r="X15" s="130"/>
      <c r="Y15" s="130"/>
      <c r="Z15" s="130"/>
      <c r="AA15" s="130"/>
      <c r="AB15" s="130"/>
    </row>
    <row r="16" spans="1:28" s="10" customFormat="1" ht="18" customHeight="1" x14ac:dyDescent="0.3">
      <c r="A16" s="130"/>
      <c r="B16" s="130"/>
      <c r="C16" s="130"/>
      <c r="D16" s="28"/>
      <c r="E16" s="28"/>
      <c r="F16" s="28"/>
      <c r="G16" s="130"/>
      <c r="H16" s="130"/>
      <c r="I16" s="130"/>
      <c r="J16" s="130"/>
      <c r="K16" s="130"/>
      <c r="L16" s="130"/>
      <c r="M16" s="130"/>
      <c r="N16" s="130"/>
      <c r="O16" s="130"/>
      <c r="P16" s="130"/>
      <c r="Q16" s="130"/>
      <c r="R16" s="130"/>
      <c r="S16" s="130"/>
      <c r="T16" s="130"/>
      <c r="U16" s="130"/>
      <c r="V16" s="130"/>
      <c r="W16" s="130"/>
      <c r="X16" s="130"/>
      <c r="Y16" s="130"/>
      <c r="Z16" s="130"/>
      <c r="AA16" s="130"/>
      <c r="AB16" s="130"/>
    </row>
    <row r="17" spans="1:28" s="10" customFormat="1" ht="18" customHeight="1" x14ac:dyDescent="0.3">
      <c r="A17" s="130"/>
      <c r="B17" s="193" t="s">
        <v>466</v>
      </c>
      <c r="C17" s="460"/>
      <c r="D17" s="28"/>
      <c r="E17" s="126" t="s">
        <v>254</v>
      </c>
      <c r="F17" s="126" t="s">
        <v>255</v>
      </c>
      <c r="G17" s="130"/>
      <c r="H17" s="130"/>
      <c r="I17" s="130"/>
      <c r="J17" s="130"/>
      <c r="K17" s="130"/>
      <c r="L17" s="130"/>
      <c r="M17" s="130"/>
      <c r="N17" s="130"/>
      <c r="O17" s="130"/>
      <c r="P17" s="130"/>
      <c r="Q17" s="130"/>
      <c r="R17" s="130"/>
      <c r="S17" s="130"/>
      <c r="T17" s="130"/>
      <c r="U17" s="130"/>
      <c r="V17" s="130"/>
      <c r="W17" s="130"/>
      <c r="X17" s="130"/>
      <c r="Y17" s="130"/>
      <c r="Z17" s="130"/>
      <c r="AA17" s="130"/>
      <c r="AB17" s="130"/>
    </row>
    <row r="18" spans="1:28" s="10" customFormat="1" ht="18" hidden="1" customHeight="1" x14ac:dyDescent="0.3">
      <c r="A18" s="130"/>
      <c r="B18" s="193" t="s">
        <v>221</v>
      </c>
      <c r="C18" s="387"/>
      <c r="D18" s="196"/>
      <c r="E18" s="389"/>
      <c r="F18" s="389"/>
      <c r="G18" s="130"/>
      <c r="H18" s="130"/>
      <c r="I18" s="130"/>
      <c r="J18" s="130"/>
      <c r="K18" s="130"/>
      <c r="L18" s="130"/>
      <c r="M18" s="130"/>
      <c r="N18" s="130"/>
      <c r="O18" s="130"/>
      <c r="P18" s="130"/>
      <c r="Q18" s="130"/>
      <c r="R18" s="130"/>
      <c r="S18" s="130"/>
      <c r="T18" s="130"/>
      <c r="U18" s="11"/>
      <c r="V18" s="130"/>
      <c r="W18" s="130"/>
      <c r="X18" s="130"/>
      <c r="Y18" s="130"/>
      <c r="Z18" s="130"/>
      <c r="AA18" s="130"/>
      <c r="AB18" s="130"/>
    </row>
    <row r="19" spans="1:28" s="10" customFormat="1" ht="18" customHeight="1" x14ac:dyDescent="0.3">
      <c r="A19" s="130"/>
      <c r="B19" s="193" t="s">
        <v>431</v>
      </c>
      <c r="C19" s="387"/>
      <c r="D19" s="196"/>
      <c r="E19" s="464" t="str">
        <f>IF(C19="OUI","N'OUBLIEZ PAS DE REMPLIR LA FEUILLE ACTUALISATION","")</f>
        <v/>
      </c>
      <c r="F19" s="464"/>
      <c r="G19" s="130"/>
      <c r="H19" s="130"/>
      <c r="I19" s="130"/>
      <c r="J19" s="130"/>
      <c r="K19" s="130"/>
      <c r="L19" s="130"/>
      <c r="M19" s="130"/>
      <c r="N19" s="130"/>
      <c r="O19" s="130"/>
      <c r="P19" s="130"/>
      <c r="Q19" s="130"/>
      <c r="R19" s="130"/>
      <c r="S19" s="130"/>
      <c r="T19" s="130"/>
      <c r="U19" s="130"/>
      <c r="V19" s="130"/>
      <c r="W19" s="130"/>
      <c r="X19" s="130"/>
      <c r="Y19" s="130"/>
      <c r="Z19" s="130"/>
      <c r="AA19" s="130"/>
      <c r="AB19" s="130"/>
    </row>
    <row r="20" spans="1:28" s="10" customFormat="1" ht="38.25" hidden="1" customHeight="1" x14ac:dyDescent="0.3">
      <c r="A20" s="130"/>
      <c r="B20" s="500" t="str">
        <f>IF(C19="REVISION","ELEMENTS DE REVISION",IF(C19="ACTUALISATION","ELEMENTS POUR ACTUALISATION",""))</f>
        <v/>
      </c>
      <c r="C20" s="223" t="str">
        <f>IF(C19="REVISION","Mois M0  format mm/aa",IF(C19="ACTUALISATION","Mois M0  format mm/aa"," "))</f>
        <v xml:space="preserve"> </v>
      </c>
      <c r="D20" s="194"/>
      <c r="E20" s="379"/>
      <c r="F20" s="527" t="str">
        <f>IF(C19="REVISION","indice de révison",IF(C19="ACTUALISATION","indice d'actualisation"," "))</f>
        <v xml:space="preserve"> </v>
      </c>
      <c r="G20" s="477"/>
      <c r="H20" s="130"/>
      <c r="I20" s="130"/>
      <c r="J20" s="130"/>
      <c r="K20" s="130"/>
      <c r="L20" s="130"/>
      <c r="M20" s="130"/>
      <c r="N20" s="130"/>
      <c r="O20" s="130"/>
      <c r="P20" s="130"/>
      <c r="Q20" s="130"/>
      <c r="R20" s="130"/>
      <c r="S20" s="130"/>
      <c r="T20" s="130"/>
      <c r="U20" s="130"/>
      <c r="V20" s="130"/>
      <c r="W20" s="130"/>
      <c r="X20" s="130"/>
      <c r="Y20" s="130"/>
      <c r="Z20" s="130"/>
      <c r="AA20" s="130"/>
      <c r="AB20" s="130"/>
    </row>
    <row r="21" spans="1:28" s="10" customFormat="1" ht="18" hidden="1" customHeight="1" x14ac:dyDescent="0.3">
      <c r="A21" s="130"/>
      <c r="B21" s="130"/>
      <c r="C21" s="130"/>
      <c r="D21" s="130"/>
      <c r="E21" s="28"/>
      <c r="F21" s="56" t="str">
        <f>IF(C19="REVISION","indice du Mo",IF(C19="ACTUALISATION","indice du Mo"," "))</f>
        <v xml:space="preserve"> </v>
      </c>
      <c r="G21" s="478">
        <v>107</v>
      </c>
      <c r="H21" s="130"/>
      <c r="I21" s="130"/>
      <c r="J21" s="130"/>
      <c r="K21" s="130"/>
      <c r="L21" s="130"/>
      <c r="M21" s="130"/>
      <c r="N21" s="130"/>
      <c r="O21" s="130"/>
      <c r="P21" s="130"/>
      <c r="Q21" s="130"/>
      <c r="R21" s="130"/>
      <c r="S21" s="130"/>
      <c r="T21" s="130"/>
      <c r="U21" s="130"/>
      <c r="V21" s="130"/>
      <c r="W21" s="130"/>
      <c r="X21" s="130"/>
      <c r="Y21" s="130"/>
      <c r="Z21" s="130"/>
      <c r="AA21" s="130"/>
      <c r="AB21" s="130"/>
    </row>
    <row r="22" spans="1:28" s="10" customFormat="1" ht="18" customHeight="1" x14ac:dyDescent="0.3">
      <c r="A22" s="130"/>
      <c r="B22" s="130"/>
      <c r="C22" s="130"/>
      <c r="D22" s="130"/>
      <c r="E22" s="130"/>
      <c r="F22" s="130"/>
      <c r="G22" s="130"/>
      <c r="H22" s="130"/>
      <c r="I22" s="130"/>
      <c r="J22" s="130"/>
      <c r="K22" s="130"/>
      <c r="L22" s="643" t="s">
        <v>549</v>
      </c>
      <c r="M22" s="643"/>
      <c r="N22" s="643"/>
      <c r="O22" s="130"/>
      <c r="P22" s="130"/>
      <c r="Q22" s="130"/>
      <c r="R22" s="130"/>
      <c r="S22" s="130"/>
      <c r="T22" s="130"/>
      <c r="U22" s="130"/>
      <c r="V22" s="130"/>
      <c r="W22" s="130"/>
      <c r="X22" s="130"/>
      <c r="Y22" s="130"/>
      <c r="Z22" s="130"/>
      <c r="AA22" s="130"/>
      <c r="AB22" s="130"/>
    </row>
    <row r="23" spans="1:28" s="10" customFormat="1" ht="18" customHeight="1" x14ac:dyDescent="0.3">
      <c r="A23" s="130"/>
      <c r="B23" s="623" t="s">
        <v>7</v>
      </c>
      <c r="C23" s="623"/>
      <c r="D23" s="623"/>
      <c r="E23" s="623"/>
      <c r="F23" s="623"/>
      <c r="G23" s="130"/>
      <c r="H23" s="130"/>
      <c r="I23" s="130"/>
      <c r="J23" s="130"/>
      <c r="K23" s="130"/>
      <c r="L23" s="643"/>
      <c r="M23" s="643"/>
      <c r="N23" s="643"/>
      <c r="O23" s="130"/>
      <c r="P23" s="130"/>
      <c r="Q23" s="130"/>
      <c r="R23" s="130"/>
      <c r="S23" s="130"/>
      <c r="T23" s="130"/>
      <c r="U23" s="130"/>
      <c r="V23" s="130"/>
      <c r="W23" s="130"/>
      <c r="X23" s="130"/>
      <c r="Y23" s="130"/>
      <c r="Z23" s="130"/>
      <c r="AA23" s="130"/>
      <c r="AB23" s="130"/>
    </row>
    <row r="24" spans="1:28" s="10" customFormat="1" ht="18" customHeight="1" x14ac:dyDescent="0.3">
      <c r="A24" s="130"/>
      <c r="B24" s="11" t="s">
        <v>8</v>
      </c>
      <c r="C24" s="386">
        <v>0.2</v>
      </c>
      <c r="D24" s="16"/>
      <c r="E24" s="386">
        <v>0.1</v>
      </c>
      <c r="F24" s="17" t="s">
        <v>65</v>
      </c>
      <c r="G24" s="130"/>
      <c r="H24" s="130"/>
      <c r="I24" s="130"/>
      <c r="J24" s="130"/>
      <c r="K24" s="130"/>
      <c r="L24" s="11"/>
      <c r="M24" s="534">
        <f>C24</f>
        <v>0.2</v>
      </c>
      <c r="N24" s="534">
        <f>E24</f>
        <v>0.1</v>
      </c>
      <c r="O24" s="130"/>
      <c r="P24" s="130"/>
      <c r="Q24" s="130"/>
      <c r="R24" s="130"/>
      <c r="S24" s="130"/>
      <c r="T24" s="130"/>
      <c r="U24" s="130"/>
      <c r="V24" s="130"/>
      <c r="W24" s="130"/>
      <c r="X24" s="130"/>
      <c r="Y24" s="130"/>
      <c r="Z24" s="130"/>
      <c r="AA24" s="130"/>
      <c r="AB24" s="130"/>
    </row>
    <row r="25" spans="1:28" s="10" customFormat="1" ht="18" customHeight="1" x14ac:dyDescent="0.3">
      <c r="A25" s="130"/>
      <c r="B25" s="11" t="s">
        <v>9</v>
      </c>
      <c r="C25" s="503">
        <v>260000</v>
      </c>
      <c r="D25" s="503"/>
      <c r="E25" s="503"/>
      <c r="F25" s="20">
        <f t="shared" ref="F25:F34" si="0">C25+E25</f>
        <v>260000</v>
      </c>
      <c r="G25" s="502" t="str">
        <f>IF(AND(F25&gt;0,F25&lt;25000),"OUI",IF(F25&gt;=25000,"AVANCE"))</f>
        <v>AVANCE</v>
      </c>
      <c r="H25" s="130"/>
      <c r="I25" s="130"/>
      <c r="J25" s="130"/>
      <c r="K25" s="130"/>
      <c r="L25" s="455" t="s">
        <v>534</v>
      </c>
      <c r="M25" s="455">
        <f>SUMIF($B$55:$B$1009,"Titulaire",$E$55:$E$1009)</f>
        <v>260000</v>
      </c>
      <c r="N25" s="455">
        <f>SUMIF($B$55:$B$1009,"Titulaire",$F$55:$F$1009)</f>
        <v>0</v>
      </c>
      <c r="O25" s="130"/>
      <c r="P25" s="130"/>
      <c r="Q25" s="130"/>
      <c r="R25" s="130"/>
      <c r="S25" s="130"/>
      <c r="T25" s="130"/>
      <c r="U25" s="130"/>
      <c r="V25" s="130"/>
      <c r="W25" s="130"/>
      <c r="X25" s="130"/>
      <c r="Y25" s="130"/>
      <c r="Z25" s="130"/>
      <c r="AA25" s="130"/>
      <c r="AB25" s="130"/>
    </row>
    <row r="26" spans="1:28" s="10" customFormat="1" ht="18" hidden="1" customHeight="1" x14ac:dyDescent="0.3">
      <c r="A26" s="130"/>
      <c r="B26" s="11" t="s">
        <v>10</v>
      </c>
      <c r="C26" s="503"/>
      <c r="D26" s="503"/>
      <c r="E26" s="503"/>
      <c r="F26" s="20">
        <f t="shared" si="0"/>
        <v>0</v>
      </c>
      <c r="G26" s="502" t="b">
        <f t="shared" ref="G26:G32" si="1">IF(AND(F26&gt;0,F26&lt;25000),"OUI",IF(F26&gt;=25000,"AVANCE"))</f>
        <v>0</v>
      </c>
      <c r="H26" s="130"/>
      <c r="I26" s="130"/>
      <c r="J26" s="130"/>
      <c r="K26" s="130"/>
      <c r="L26" s="455" t="s">
        <v>535</v>
      </c>
      <c r="M26" s="455">
        <f>SUMIF($B$55:$B$1009,"Cotraitant 1",$E$55:$E$1009)</f>
        <v>0</v>
      </c>
      <c r="N26" s="455">
        <f>SUMIF($B$55:$B$1009,"Cotraitant 1",$F$55:$F$1009)</f>
        <v>0</v>
      </c>
      <c r="O26" s="130"/>
      <c r="P26" s="130"/>
      <c r="Q26" s="130"/>
      <c r="R26" s="130"/>
      <c r="S26" s="130"/>
      <c r="T26" s="130"/>
      <c r="U26" s="130"/>
      <c r="V26" s="130"/>
      <c r="W26" s="130"/>
      <c r="X26" s="130"/>
      <c r="Y26" s="130"/>
      <c r="Z26" s="130"/>
      <c r="AA26" s="130"/>
      <c r="AB26" s="130"/>
    </row>
    <row r="27" spans="1:28" s="10" customFormat="1" ht="18" hidden="1" customHeight="1" x14ac:dyDescent="0.3">
      <c r="A27" s="130"/>
      <c r="B27" s="11" t="s">
        <v>11</v>
      </c>
      <c r="C27" s="503"/>
      <c r="D27" s="503"/>
      <c r="E27" s="503"/>
      <c r="F27" s="20">
        <f t="shared" si="0"/>
        <v>0</v>
      </c>
      <c r="G27" s="502" t="b">
        <f t="shared" si="1"/>
        <v>0</v>
      </c>
      <c r="H27" s="130"/>
      <c r="I27" s="130"/>
      <c r="J27" s="130"/>
      <c r="K27" s="130"/>
      <c r="L27" s="455" t="s">
        <v>536</v>
      </c>
      <c r="M27" s="455">
        <f>SUMIF($B$55:$B$1009,"Cotraitant 2",$E$55:$E$1009)</f>
        <v>0</v>
      </c>
      <c r="N27" s="455">
        <f>SUMIF($B$55:$B$1009,"Cotraitant 2",$F$55:$F$1009)</f>
        <v>0</v>
      </c>
      <c r="O27" s="130"/>
      <c r="P27" s="130"/>
      <c r="Q27" s="130"/>
      <c r="R27" s="130"/>
      <c r="S27" s="130"/>
      <c r="T27" s="130"/>
      <c r="U27" s="130"/>
      <c r="V27" s="130"/>
      <c r="W27" s="130"/>
      <c r="X27" s="130"/>
      <c r="Y27" s="130"/>
      <c r="Z27" s="130"/>
      <c r="AA27" s="130"/>
      <c r="AB27" s="130"/>
    </row>
    <row r="28" spans="1:28" s="10" customFormat="1" ht="18" hidden="1" customHeight="1" x14ac:dyDescent="0.3">
      <c r="A28" s="130"/>
      <c r="B28" s="11" t="s">
        <v>12</v>
      </c>
      <c r="C28" s="503"/>
      <c r="D28" s="503"/>
      <c r="E28" s="503"/>
      <c r="F28" s="20">
        <f t="shared" si="0"/>
        <v>0</v>
      </c>
      <c r="G28" s="502" t="b">
        <f t="shared" si="1"/>
        <v>0</v>
      </c>
      <c r="H28" s="130"/>
      <c r="I28" s="130"/>
      <c r="J28" s="130"/>
      <c r="K28" s="130"/>
      <c r="L28" s="455" t="s">
        <v>537</v>
      </c>
      <c r="M28" s="455">
        <f>SUMIF($B$55:$B$1009,"Cotraitant 3",$E$55:$E$1009)</f>
        <v>0</v>
      </c>
      <c r="N28" s="455">
        <f>SUMIF($B$55:$B$1009,"Cotraitant 3",$F$55:$F$1009)</f>
        <v>0</v>
      </c>
      <c r="O28" s="130"/>
      <c r="P28" s="130"/>
      <c r="Q28" s="130"/>
      <c r="R28" s="130"/>
      <c r="S28" s="130"/>
      <c r="T28" s="130"/>
      <c r="U28" s="130"/>
      <c r="V28" s="130"/>
      <c r="W28" s="130"/>
      <c r="X28" s="130"/>
      <c r="Y28" s="130"/>
      <c r="Z28" s="130"/>
      <c r="AA28" s="130"/>
      <c r="AB28" s="130"/>
    </row>
    <row r="29" spans="1:28" s="10" customFormat="1" ht="18" hidden="1" customHeight="1" x14ac:dyDescent="0.3">
      <c r="A29" s="130"/>
      <c r="B29" s="11" t="s">
        <v>478</v>
      </c>
      <c r="C29" s="503"/>
      <c r="D29" s="503"/>
      <c r="E29" s="503"/>
      <c r="F29" s="20">
        <f t="shared" si="0"/>
        <v>0</v>
      </c>
      <c r="G29" s="502"/>
      <c r="H29" s="130"/>
      <c r="I29" s="130"/>
      <c r="J29" s="130"/>
      <c r="K29" s="130"/>
      <c r="L29" s="455" t="s">
        <v>538</v>
      </c>
      <c r="M29" s="455">
        <f>SUMIF($B$55:$B$1009,"Cotraitant 4",$E$55:$E$1009)</f>
        <v>0</v>
      </c>
      <c r="N29" s="455">
        <f>SUMIF($B$55:$B$1009,"Cotraitant 4",$F$55:$F$1009)</f>
        <v>0</v>
      </c>
      <c r="O29" s="130"/>
      <c r="P29" s="130"/>
      <c r="Q29" s="130"/>
      <c r="R29" s="130"/>
      <c r="S29" s="130"/>
      <c r="T29" s="130"/>
      <c r="U29" s="130"/>
      <c r="V29" s="130"/>
      <c r="W29" s="130"/>
      <c r="X29" s="130"/>
      <c r="Y29" s="130"/>
      <c r="Z29" s="130"/>
      <c r="AA29" s="130"/>
      <c r="AB29" s="130"/>
    </row>
    <row r="30" spans="1:28" s="10" customFormat="1" ht="18" hidden="1" customHeight="1" x14ac:dyDescent="0.3">
      <c r="A30" s="130"/>
      <c r="B30" s="11" t="s">
        <v>479</v>
      </c>
      <c r="C30" s="503"/>
      <c r="D30" s="503"/>
      <c r="E30" s="503"/>
      <c r="F30" s="20">
        <f t="shared" si="0"/>
        <v>0</v>
      </c>
      <c r="G30" s="502"/>
      <c r="H30" s="130"/>
      <c r="I30" s="130"/>
      <c r="J30" s="130"/>
      <c r="K30" s="130"/>
      <c r="L30" s="455" t="s">
        <v>539</v>
      </c>
      <c r="M30" s="455">
        <f>SUMIF($B$55:$B$1009,"Cotraitant 5",$E$55:$E$1009)</f>
        <v>0</v>
      </c>
      <c r="N30" s="455">
        <f>SUMIF($B$55:$B$1009,"Cotraitant 5",$F$55:$F$1009)</f>
        <v>0</v>
      </c>
      <c r="O30" s="130"/>
      <c r="P30" s="130"/>
      <c r="Q30" s="130"/>
      <c r="R30" s="130"/>
      <c r="S30" s="130"/>
      <c r="T30" s="130"/>
      <c r="U30" s="130"/>
      <c r="V30" s="130"/>
      <c r="W30" s="130"/>
      <c r="X30" s="130"/>
      <c r="Y30" s="130"/>
      <c r="Z30" s="130"/>
      <c r="AA30" s="130"/>
      <c r="AB30" s="130"/>
    </row>
    <row r="31" spans="1:28" s="10" customFormat="1" ht="18" hidden="1" customHeight="1" x14ac:dyDescent="0.3">
      <c r="A31" s="130"/>
      <c r="B31" s="11" t="s">
        <v>480</v>
      </c>
      <c r="C31" s="503"/>
      <c r="D31" s="503"/>
      <c r="E31" s="503"/>
      <c r="F31" s="20">
        <f t="shared" si="0"/>
        <v>0</v>
      </c>
      <c r="G31" s="502"/>
      <c r="H31" s="130"/>
      <c r="I31" s="130"/>
      <c r="J31" s="130"/>
      <c r="K31" s="130"/>
      <c r="L31" s="455" t="s">
        <v>540</v>
      </c>
      <c r="M31" s="455">
        <f>SUMIF($B$55:$B$1009,"Cotraitant 6",$E$55:$E$1009)</f>
        <v>0</v>
      </c>
      <c r="N31" s="455">
        <f>SUMIF($B$55:$B$1009,"Cotraitant 6",$F$55:$F$1009)</f>
        <v>0</v>
      </c>
      <c r="O31" s="130"/>
      <c r="P31" s="130"/>
      <c r="Q31" s="130"/>
      <c r="R31" s="130"/>
      <c r="S31" s="130"/>
      <c r="T31" s="130"/>
      <c r="U31" s="130"/>
      <c r="V31" s="130"/>
      <c r="W31" s="130"/>
      <c r="X31" s="130"/>
      <c r="Y31" s="130"/>
      <c r="Z31" s="130"/>
      <c r="AA31" s="130"/>
      <c r="AB31" s="130"/>
    </row>
    <row r="32" spans="1:28" s="10" customFormat="1" ht="18" customHeight="1" x14ac:dyDescent="0.3">
      <c r="A32" s="130"/>
      <c r="B32" s="11" t="s">
        <v>13</v>
      </c>
      <c r="C32" s="503"/>
      <c r="D32" s="503"/>
      <c r="E32" s="503"/>
      <c r="F32" s="20">
        <f t="shared" si="0"/>
        <v>0</v>
      </c>
      <c r="G32" s="502" t="b">
        <f t="shared" si="1"/>
        <v>0</v>
      </c>
      <c r="H32" s="130"/>
      <c r="I32" s="130"/>
      <c r="J32" s="130"/>
      <c r="K32" s="130"/>
      <c r="L32" s="455" t="s">
        <v>541</v>
      </c>
      <c r="M32" s="455">
        <f>SUMIF($B$55:$B$1009,"Cotraitant 7",$E$55:$E$1009)</f>
        <v>0</v>
      </c>
      <c r="N32" s="455">
        <f>SUMIF($B$55:$B$1009,"Cotraitant 7",$F$55:$F$1009)</f>
        <v>0</v>
      </c>
      <c r="O32" s="130"/>
      <c r="P32" s="130"/>
      <c r="Q32" s="130"/>
      <c r="R32" s="130"/>
      <c r="S32" s="130"/>
      <c r="T32" s="130"/>
      <c r="U32" s="130"/>
      <c r="V32" s="130"/>
      <c r="W32" s="130"/>
      <c r="X32" s="130"/>
      <c r="Y32" s="130"/>
      <c r="Z32" s="130"/>
      <c r="AA32" s="130"/>
      <c r="AB32" s="130"/>
    </row>
    <row r="33" spans="1:32" s="10" customFormat="1" ht="18" customHeight="1" x14ac:dyDescent="0.3">
      <c r="A33" s="130"/>
      <c r="B33" s="11" t="s">
        <v>73</v>
      </c>
      <c r="C33" s="503"/>
      <c r="D33" s="503"/>
      <c r="E33" s="503"/>
      <c r="F33" s="20">
        <f t="shared" si="0"/>
        <v>0</v>
      </c>
      <c r="G33" s="502" t="b">
        <f>IF(F32&gt;0,"OUI")</f>
        <v>0</v>
      </c>
      <c r="H33" s="130"/>
      <c r="I33" s="130"/>
      <c r="J33" s="130"/>
      <c r="K33" s="130"/>
      <c r="L33" s="455" t="s">
        <v>542</v>
      </c>
      <c r="M33" s="455">
        <f>SUMIF($B$55:$B$1009,"Cotraitant 8",$E$55:$E$1009)</f>
        <v>0</v>
      </c>
      <c r="N33" s="455">
        <f>SUMIF($B$55:$B$1009,"Cotraitant 8",$F$55:$F$1009)</f>
        <v>0</v>
      </c>
      <c r="O33" s="130"/>
      <c r="P33" s="130"/>
      <c r="Q33" s="130"/>
      <c r="R33" s="130"/>
      <c r="S33" s="130"/>
      <c r="T33" s="130"/>
      <c r="U33" s="130"/>
      <c r="V33" s="130"/>
      <c r="W33" s="130"/>
      <c r="X33" s="130"/>
      <c r="Y33" s="130"/>
      <c r="Z33" s="130"/>
      <c r="AA33" s="130"/>
      <c r="AB33" s="130"/>
    </row>
    <row r="34" spans="1:32" s="10" customFormat="1" ht="18" customHeight="1" x14ac:dyDescent="0.3">
      <c r="A34" s="130"/>
      <c r="B34" s="24" t="s">
        <v>14</v>
      </c>
      <c r="C34" s="27">
        <f>SUM(C25:C32)-C33</f>
        <v>260000</v>
      </c>
      <c r="D34" s="27"/>
      <c r="E34" s="27">
        <f>SUM(E25:E32)-E33</f>
        <v>0</v>
      </c>
      <c r="F34" s="20">
        <f t="shared" si="0"/>
        <v>260000</v>
      </c>
      <c r="G34" s="130"/>
      <c r="H34" s="130"/>
      <c r="I34" s="130"/>
      <c r="J34" s="130"/>
      <c r="K34" s="130"/>
      <c r="L34" s="11" t="s">
        <v>234</v>
      </c>
      <c r="M34" s="455">
        <f>SUM(M25:M33)</f>
        <v>260000</v>
      </c>
      <c r="N34" s="455">
        <f>SUM(N25:N33)</f>
        <v>0</v>
      </c>
      <c r="O34" s="130"/>
      <c r="P34" s="130"/>
      <c r="Q34" s="130"/>
      <c r="R34" s="130"/>
      <c r="S34" s="130"/>
      <c r="T34" s="130"/>
      <c r="U34" s="130"/>
      <c r="V34" s="130"/>
      <c r="W34" s="130"/>
      <c r="X34" s="130"/>
      <c r="Y34" s="130"/>
      <c r="Z34" s="130"/>
      <c r="AA34" s="130"/>
      <c r="AB34" s="130"/>
    </row>
    <row r="35" spans="1:32" s="10" customFormat="1" ht="18" customHeight="1" x14ac:dyDescent="0.3">
      <c r="A35" s="130"/>
      <c r="B35" s="24" t="s">
        <v>15</v>
      </c>
      <c r="C35" s="27">
        <f>C34*C24</f>
        <v>52000</v>
      </c>
      <c r="D35" s="27"/>
      <c r="E35" s="27">
        <f>E34*E24</f>
        <v>0</v>
      </c>
      <c r="F35" s="130"/>
      <c r="G35" s="130"/>
      <c r="H35" s="130"/>
      <c r="I35" s="130"/>
      <c r="J35" s="130"/>
      <c r="K35" s="130"/>
      <c r="M35" s="130"/>
      <c r="N35" s="130"/>
      <c r="O35" s="130"/>
      <c r="P35" s="130"/>
      <c r="Q35" s="130"/>
      <c r="R35" s="130"/>
      <c r="S35" s="130"/>
      <c r="T35" s="130"/>
      <c r="U35" s="130"/>
      <c r="V35" s="130"/>
      <c r="W35" s="130"/>
      <c r="X35" s="130"/>
      <c r="Y35" s="130"/>
      <c r="Z35" s="130"/>
      <c r="AA35" s="130"/>
      <c r="AB35" s="130"/>
    </row>
    <row r="36" spans="1:32" s="10" customFormat="1" ht="18" customHeight="1" x14ac:dyDescent="0.3">
      <c r="A36" s="130"/>
      <c r="B36" s="24" t="s">
        <v>16</v>
      </c>
      <c r="C36" s="27">
        <f>C34+C35</f>
        <v>312000</v>
      </c>
      <c r="D36" s="27"/>
      <c r="E36" s="27">
        <f>E34+E35</f>
        <v>0</v>
      </c>
      <c r="F36" s="130"/>
      <c r="G36" s="130"/>
      <c r="H36" s="130"/>
      <c r="I36" s="130"/>
      <c r="J36" s="130"/>
      <c r="K36" s="451"/>
      <c r="M36" s="130"/>
      <c r="N36" s="130"/>
      <c r="O36" s="130"/>
      <c r="P36" s="130"/>
      <c r="Q36" s="130"/>
      <c r="R36" s="130"/>
      <c r="S36" s="130"/>
      <c r="T36" s="130"/>
      <c r="U36" s="130"/>
      <c r="V36" s="130"/>
      <c r="W36" s="130"/>
      <c r="X36" s="130"/>
      <c r="Y36" s="130"/>
      <c r="Z36" s="130"/>
      <c r="AA36" s="130"/>
      <c r="AB36" s="130"/>
    </row>
    <row r="37" spans="1:32" s="10" customFormat="1" ht="18" customHeight="1" x14ac:dyDescent="0.3">
      <c r="A37" s="130"/>
      <c r="B37" s="24" t="s">
        <v>17</v>
      </c>
      <c r="C37" s="624">
        <f>C36+E36</f>
        <v>312000</v>
      </c>
      <c r="D37" s="624"/>
      <c r="E37" s="624"/>
      <c r="F37" s="130"/>
      <c r="G37" s="130"/>
      <c r="H37" s="130"/>
      <c r="I37" s="130"/>
      <c r="J37" s="130"/>
      <c r="K37" s="451"/>
      <c r="M37" s="130"/>
      <c r="N37" s="130"/>
      <c r="O37" s="130"/>
      <c r="P37" s="130"/>
      <c r="Q37" s="130"/>
      <c r="R37" s="130"/>
      <c r="S37" s="130"/>
      <c r="T37" s="130"/>
      <c r="U37" s="130"/>
      <c r="V37" s="130"/>
      <c r="W37" s="130"/>
      <c r="X37" s="130"/>
      <c r="Y37" s="130"/>
      <c r="Z37" s="130"/>
      <c r="AA37" s="130"/>
      <c r="AB37" s="130"/>
    </row>
    <row r="38" spans="1:32" s="10" customFormat="1" ht="18" customHeight="1" x14ac:dyDescent="0.3">
      <c r="A38" s="130"/>
      <c r="B38" s="195"/>
      <c r="C38" s="61"/>
      <c r="D38" s="61"/>
      <c r="E38" s="61"/>
      <c r="F38" s="130"/>
      <c r="G38" s="130"/>
      <c r="H38" s="130"/>
      <c r="I38" s="130"/>
      <c r="J38" s="130"/>
      <c r="K38" s="451"/>
      <c r="L38" s="130" t="s">
        <v>542</v>
      </c>
      <c r="M38" s="130"/>
      <c r="N38" s="130"/>
      <c r="O38" s="130"/>
      <c r="P38" s="130"/>
      <c r="Q38" s="130"/>
      <c r="R38" s="130"/>
      <c r="S38" s="130"/>
      <c r="T38" s="130"/>
      <c r="U38" s="130"/>
      <c r="V38" s="130"/>
      <c r="W38" s="130"/>
      <c r="X38" s="130"/>
      <c r="Y38" s="130"/>
      <c r="Z38" s="130"/>
      <c r="AA38" s="130"/>
      <c r="AB38" s="130"/>
    </row>
    <row r="39" spans="1:32" s="10" customFormat="1" ht="18" customHeight="1" x14ac:dyDescent="0.3">
      <c r="A39" s="130"/>
      <c r="B39" s="603" t="s">
        <v>34</v>
      </c>
      <c r="C39" s="603" t="s">
        <v>35</v>
      </c>
      <c r="D39" s="603"/>
      <c r="E39" s="603"/>
      <c r="F39" s="514" t="s">
        <v>264</v>
      </c>
      <c r="G39" s="515" t="s">
        <v>264</v>
      </c>
      <c r="H39" s="529" t="s">
        <v>220</v>
      </c>
      <c r="I39" s="529" t="s">
        <v>220</v>
      </c>
      <c r="J39" s="130"/>
      <c r="K39" s="451"/>
      <c r="L39" s="130"/>
      <c r="M39" s="130"/>
      <c r="N39" s="130"/>
      <c r="O39" s="130"/>
      <c r="P39" s="130"/>
      <c r="Q39" s="130"/>
      <c r="R39" s="130"/>
      <c r="S39" s="130"/>
      <c r="T39" s="130"/>
      <c r="U39" s="130"/>
      <c r="V39" s="130"/>
      <c r="W39" s="130"/>
      <c r="X39" s="130"/>
      <c r="Y39" s="130"/>
      <c r="Z39" s="130"/>
      <c r="AA39" s="130"/>
      <c r="AB39" s="130"/>
    </row>
    <row r="40" spans="1:32" s="10" customFormat="1" ht="24" customHeight="1" x14ac:dyDescent="0.3">
      <c r="A40" s="130"/>
      <c r="B40" s="603"/>
      <c r="C40" s="603"/>
      <c r="D40" s="603"/>
      <c r="E40" s="603"/>
      <c r="F40" s="522">
        <f>C24</f>
        <v>0.2</v>
      </c>
      <c r="G40" s="523">
        <f>E24</f>
        <v>0.1</v>
      </c>
      <c r="H40" s="530" t="str">
        <f>"TVA"&amp;" "&amp;$C$24*100&amp;"%"</f>
        <v>TVA 20%</v>
      </c>
      <c r="I40" s="530" t="str">
        <f>"TVA"&amp;" "&amp;$E$24*100&amp;"%"</f>
        <v>TVA 10%</v>
      </c>
      <c r="J40" s="130"/>
      <c r="K40" s="451"/>
      <c r="L40" s="130"/>
      <c r="M40" s="130"/>
      <c r="N40" s="130"/>
      <c r="O40" s="130"/>
      <c r="P40" s="130"/>
      <c r="Q40" s="130"/>
      <c r="R40" s="130"/>
      <c r="S40" s="130"/>
      <c r="T40" s="130"/>
      <c r="U40" s="130"/>
      <c r="V40" s="130"/>
      <c r="W40" s="130"/>
      <c r="X40" s="130"/>
      <c r="Y40" s="130"/>
      <c r="Z40" s="130"/>
      <c r="AA40" s="130"/>
      <c r="AB40" s="130"/>
    </row>
    <row r="41" spans="1:32" s="10" customFormat="1" ht="18" customHeight="1" x14ac:dyDescent="0.3">
      <c r="A41" s="130"/>
      <c r="B41" s="201" t="s">
        <v>1</v>
      </c>
      <c r="C41" s="614" t="str">
        <f t="shared" ref="C41:C49" si="2">C5</f>
        <v>yy</v>
      </c>
      <c r="D41" s="614"/>
      <c r="E41" s="614"/>
      <c r="F41" s="27">
        <f>SUMIF($B$55:$B$999,"Titulaire",($E$55:$E$999))</f>
        <v>260000</v>
      </c>
      <c r="G41" s="27">
        <f>SUMIF($B$55:$B$999,"Titulaire",($F$55:$F$999))</f>
        <v>0</v>
      </c>
      <c r="H41" s="491">
        <f>SUMIF($B$55:$B$999,"Titulaire",($G$55:$G$999))</f>
        <v>260000</v>
      </c>
      <c r="I41" s="492">
        <f>SUMIF($B$55:$B$999,"Titulaire",($H$55:$H$999))</f>
        <v>0</v>
      </c>
      <c r="J41" s="587"/>
      <c r="K41" s="452"/>
      <c r="L41" s="452"/>
      <c r="M41" s="130"/>
      <c r="N41" s="130"/>
      <c r="O41" s="130"/>
      <c r="P41" s="130"/>
      <c r="Q41" s="130"/>
      <c r="R41" s="130"/>
      <c r="S41" s="130"/>
      <c r="T41" s="130"/>
      <c r="U41" s="130"/>
      <c r="V41" s="130"/>
      <c r="W41" s="130"/>
      <c r="X41" s="130"/>
      <c r="Y41" s="130"/>
      <c r="Z41" s="130"/>
      <c r="AA41" s="130"/>
      <c r="AB41" s="130"/>
    </row>
    <row r="42" spans="1:32" s="10" customFormat="1" ht="18" customHeight="1" x14ac:dyDescent="0.3">
      <c r="A42" s="130"/>
      <c r="B42" s="201" t="s">
        <v>469</v>
      </c>
      <c r="C42" s="614">
        <f t="shared" si="2"/>
        <v>0</v>
      </c>
      <c r="D42" s="614"/>
      <c r="E42" s="614"/>
      <c r="F42" s="517">
        <f>SUMIF($B$55:$B$999,"Cotraitant 1",($E$55:$E$999))</f>
        <v>0</v>
      </c>
      <c r="G42" s="517">
        <f>SUMIF($B$55:$B$999,"Cotraitant 1",($F$55:$F$999))</f>
        <v>0</v>
      </c>
      <c r="H42" s="491">
        <f>SUMIF($B$55:$B$999,"Cotraitant 1",($G$55:$G$999))</f>
        <v>0</v>
      </c>
      <c r="I42" s="492">
        <f>SUMIF($B$55:$B$999,"Cotraitant 1",($H$55:$H$999))</f>
        <v>0</v>
      </c>
      <c r="J42" s="130"/>
      <c r="K42" s="452"/>
      <c r="L42" s="452"/>
      <c r="M42" s="130"/>
      <c r="N42" s="130"/>
      <c r="O42" s="130"/>
      <c r="P42" s="130"/>
      <c r="Q42" s="130"/>
      <c r="R42" s="130"/>
      <c r="S42" s="130"/>
      <c r="T42" s="130"/>
      <c r="U42" s="130"/>
      <c r="V42" s="130"/>
      <c r="W42" s="130"/>
      <c r="X42" s="130"/>
      <c r="Y42" s="130"/>
      <c r="Z42" s="130"/>
      <c r="AA42" s="130"/>
      <c r="AB42" s="130"/>
    </row>
    <row r="43" spans="1:32" s="10" customFormat="1" ht="18" customHeight="1" x14ac:dyDescent="0.3">
      <c r="A43" s="130"/>
      <c r="B43" s="201" t="s">
        <v>470</v>
      </c>
      <c r="C43" s="614">
        <f t="shared" si="2"/>
        <v>0</v>
      </c>
      <c r="D43" s="614"/>
      <c r="E43" s="614"/>
      <c r="F43" s="517">
        <f>SUMIF($B$55:$B$999,"Cotraitant 2",($E$55:$E$999))</f>
        <v>0</v>
      </c>
      <c r="G43" s="517">
        <f>SUMIF($B$55:$B$999,"Cotraitant 2",($F$55:$F$999))</f>
        <v>0</v>
      </c>
      <c r="H43" s="491">
        <f>SUMIF($B$55:$B$999,"Cotraitant 2",($G$55:$G$999))</f>
        <v>0</v>
      </c>
      <c r="I43" s="492">
        <f>SUMIF($B$55:$B$999,"Cotraitant 2",($H$55:$H$999))</f>
        <v>0</v>
      </c>
      <c r="J43" s="130"/>
      <c r="K43" s="452"/>
      <c r="L43" s="452"/>
      <c r="M43" s="130"/>
      <c r="N43" s="130"/>
      <c r="O43" s="130"/>
      <c r="P43" s="130"/>
      <c r="Q43" s="130"/>
      <c r="R43" s="130"/>
      <c r="S43" s="130"/>
      <c r="T43" s="130"/>
      <c r="U43" s="130"/>
      <c r="V43" s="130"/>
      <c r="W43" s="130"/>
      <c r="X43" s="130"/>
      <c r="Y43" s="130"/>
      <c r="Z43" s="130"/>
      <c r="AA43" s="130"/>
      <c r="AB43" s="130"/>
    </row>
    <row r="44" spans="1:32" s="10" customFormat="1" ht="18" hidden="1" customHeight="1" x14ac:dyDescent="0.3">
      <c r="A44" s="130"/>
      <c r="B44" s="201" t="s">
        <v>471</v>
      </c>
      <c r="C44" s="614">
        <f t="shared" si="2"/>
        <v>0</v>
      </c>
      <c r="D44" s="614"/>
      <c r="E44" s="614"/>
      <c r="F44" s="517">
        <f>SUMIF($B$55:$B$999,"Cotraitant 3",($E$55:$E$999))</f>
        <v>0</v>
      </c>
      <c r="G44" s="517">
        <f>SUMIF($B$55:$B$999,"Cotraitant 3",($F$55:$F$999))</f>
        <v>0</v>
      </c>
      <c r="H44" s="491">
        <f>SUMIF($B$55:$B$999,"Cotraitant 3",($G$55:$G$999))</f>
        <v>0</v>
      </c>
      <c r="I44" s="492">
        <f>SUMIF($B$55:$B$999,"Cotraitant 3",($H$55:$H$999))</f>
        <v>0</v>
      </c>
      <c r="J44" s="130"/>
      <c r="K44" s="452"/>
      <c r="L44" s="452"/>
      <c r="M44" s="130"/>
      <c r="N44" s="130"/>
      <c r="O44" s="130"/>
      <c r="P44" s="130"/>
      <c r="Q44" s="130"/>
      <c r="R44" s="130"/>
      <c r="S44" s="130"/>
      <c r="T44" s="130"/>
      <c r="U44" s="130"/>
      <c r="V44" s="130"/>
      <c r="W44" s="130"/>
      <c r="X44" s="130"/>
      <c r="Y44" s="130"/>
      <c r="Z44" s="130"/>
      <c r="AA44" s="130"/>
      <c r="AB44" s="130"/>
    </row>
    <row r="45" spans="1:32" s="10" customFormat="1" ht="18" hidden="1" customHeight="1" x14ac:dyDescent="0.3">
      <c r="A45" s="130"/>
      <c r="B45" s="201" t="s">
        <v>472</v>
      </c>
      <c r="C45" s="614">
        <f t="shared" si="2"/>
        <v>0</v>
      </c>
      <c r="D45" s="614"/>
      <c r="E45" s="614"/>
      <c r="F45" s="517">
        <f>SUMIF($B$55:$B$999,"Cotraitant 4",($E$55:$E$999))</f>
        <v>0</v>
      </c>
      <c r="G45" s="517">
        <f>SUMIF($B$55:$B$999,"Cotraitant 4",($F$55:$F$999))</f>
        <v>0</v>
      </c>
      <c r="H45" s="491">
        <f>SUMIF($B$55:$B$999,"Cotraitant 4",($G$55:$G$999))</f>
        <v>0</v>
      </c>
      <c r="I45" s="492">
        <f>SUMIF($B$55:$B$999,"Cotraitant 4",($H$55:$H$999))</f>
        <v>0</v>
      </c>
      <c r="J45" s="130"/>
      <c r="K45" s="452"/>
      <c r="L45" s="452"/>
      <c r="M45" s="130"/>
      <c r="N45" s="130"/>
      <c r="O45" s="130"/>
      <c r="P45" s="130"/>
      <c r="Q45" s="130"/>
      <c r="R45" s="130"/>
      <c r="S45" s="130"/>
      <c r="T45" s="130"/>
      <c r="U45" s="130"/>
      <c r="V45" s="130"/>
      <c r="W45" s="130"/>
      <c r="X45" s="130"/>
      <c r="Y45" s="130"/>
      <c r="Z45" s="130"/>
      <c r="AA45" s="130"/>
      <c r="AB45" s="130"/>
    </row>
    <row r="46" spans="1:32" s="10" customFormat="1" ht="18" hidden="1" customHeight="1" x14ac:dyDescent="0.3">
      <c r="A46" s="130"/>
      <c r="B46" s="201" t="s">
        <v>473</v>
      </c>
      <c r="C46" s="614">
        <f t="shared" si="2"/>
        <v>0</v>
      </c>
      <c r="D46" s="614"/>
      <c r="E46" s="614"/>
      <c r="F46" s="517">
        <f>SUMIF($B$55:$B$999,"Cotraitant 5",($E$55:$E$999))</f>
        <v>0</v>
      </c>
      <c r="G46" s="517">
        <f>SUMIF($B$55:$B$999,"Cotraitant 5",($F$55:$F$999))</f>
        <v>0</v>
      </c>
      <c r="H46" s="491">
        <f>SUMIF($B$55:$B$999,"Cotraitant 5",($G$55:$G$999))</f>
        <v>0</v>
      </c>
      <c r="I46" s="492">
        <f>SUMIF($B$55:$B$999,"Cotraitant 5",($H$55:$H$999))</f>
        <v>0</v>
      </c>
      <c r="J46" s="130"/>
      <c r="K46" s="452"/>
      <c r="L46" s="452"/>
      <c r="M46" s="130"/>
      <c r="N46" s="130"/>
      <c r="O46" s="130"/>
      <c r="P46" s="130"/>
      <c r="Q46" s="130"/>
      <c r="R46" s="130"/>
      <c r="S46" s="130"/>
      <c r="U46" s="130"/>
      <c r="V46" s="130"/>
      <c r="W46" s="130"/>
      <c r="X46" s="130"/>
      <c r="Y46" s="130"/>
      <c r="Z46" s="130"/>
      <c r="AA46" s="130"/>
      <c r="AB46" s="130"/>
    </row>
    <row r="47" spans="1:32" s="10" customFormat="1" ht="18" hidden="1" customHeight="1" thickBot="1" x14ac:dyDescent="0.35">
      <c r="A47" s="130"/>
      <c r="B47" s="201" t="s">
        <v>474</v>
      </c>
      <c r="C47" s="614">
        <f t="shared" si="2"/>
        <v>0</v>
      </c>
      <c r="D47" s="614"/>
      <c r="E47" s="614"/>
      <c r="F47" s="517">
        <f>SUMIF($B$55:$B$999,"Cotraitant6",($E$55:$E$999))</f>
        <v>0</v>
      </c>
      <c r="G47" s="517">
        <f>SUMIF($B$55:$B$999,"Cotraitant 6",($F$55:$F$999))</f>
        <v>0</v>
      </c>
      <c r="H47" s="491">
        <f>SUMIF($B$55:$B$999,"Cotraitant 6",($G$55:$G$999))</f>
        <v>0</v>
      </c>
      <c r="I47" s="492">
        <f>SUMIF($B$55:$B$999,"Cotraitant 6",($H$55:$H$999))</f>
        <v>0</v>
      </c>
      <c r="J47" s="130"/>
      <c r="K47" s="452"/>
      <c r="L47" s="452"/>
      <c r="M47" s="130"/>
      <c r="N47" s="130"/>
      <c r="O47" s="130"/>
      <c r="P47" s="130"/>
      <c r="Q47" s="130"/>
      <c r="R47" s="130"/>
      <c r="S47" s="130"/>
      <c r="T47" s="130"/>
      <c r="U47" s="130"/>
      <c r="V47" s="130"/>
      <c r="W47" s="130"/>
      <c r="X47" s="130"/>
      <c r="Y47" s="130"/>
      <c r="Z47" s="130"/>
      <c r="AA47" s="130"/>
      <c r="AB47" s="130"/>
    </row>
    <row r="48" spans="1:32" s="10" customFormat="1" ht="18" hidden="1" customHeight="1" x14ac:dyDescent="0.3">
      <c r="A48" s="130"/>
      <c r="B48" s="201" t="s">
        <v>475</v>
      </c>
      <c r="C48" s="614">
        <f t="shared" si="2"/>
        <v>0</v>
      </c>
      <c r="D48" s="614"/>
      <c r="E48" s="614"/>
      <c r="F48" s="517">
        <f>SUMIF($B$55:$B$999,"Cotraitant 7",($E$55:$E$999))</f>
        <v>0</v>
      </c>
      <c r="G48" s="517">
        <f>SUMIF($B$55:$B$999,"Cotraitant 7",($F$55:$F$999))</f>
        <v>0</v>
      </c>
      <c r="H48" s="491">
        <f>SUMIF($B$55:$B$999,"Cotraitant 7",($G$55:$G$999))</f>
        <v>0</v>
      </c>
      <c r="I48" s="492">
        <f>SUMIF($B$55:$B$999,"Cotraitant 7",($H$55:$H$999))</f>
        <v>0</v>
      </c>
      <c r="J48" s="130"/>
      <c r="K48" s="452"/>
      <c r="L48" s="452"/>
      <c r="M48" s="130"/>
      <c r="N48" s="130"/>
      <c r="O48" s="130"/>
      <c r="P48" s="625" t="s">
        <v>507</v>
      </c>
      <c r="Q48" s="626"/>
      <c r="R48" s="626"/>
      <c r="S48" s="626"/>
      <c r="T48" s="626"/>
      <c r="U48" s="625" t="s">
        <v>509</v>
      </c>
      <c r="V48" s="626"/>
      <c r="W48" s="626"/>
      <c r="X48" s="626"/>
      <c r="Y48" s="625" t="s">
        <v>543</v>
      </c>
      <c r="Z48" s="626"/>
      <c r="AA48" s="626"/>
      <c r="AB48" s="627"/>
      <c r="AC48" s="644" t="s">
        <v>552</v>
      </c>
      <c r="AD48" s="645"/>
      <c r="AE48" s="645"/>
      <c r="AF48" s="646"/>
    </row>
    <row r="49" spans="1:32" s="10" customFormat="1" ht="18" hidden="1" customHeight="1" x14ac:dyDescent="0.3">
      <c r="A49" s="130"/>
      <c r="B49" s="201" t="s">
        <v>476</v>
      </c>
      <c r="C49" s="614">
        <f t="shared" si="2"/>
        <v>0</v>
      </c>
      <c r="D49" s="614"/>
      <c r="E49" s="614"/>
      <c r="F49" s="517">
        <f>SUMIF($B$55:$B$999,"Cotraitant 8",($E$55:$E$999))</f>
        <v>0</v>
      </c>
      <c r="G49" s="517">
        <f>SUMIF($B$55:$B$999,"Cotraitant 8",($F$55:$F$999))</f>
        <v>0</v>
      </c>
      <c r="H49" s="491">
        <f>SUMIF($B$55:$B$999,"Cotraitant 8",($G$55:$G$999))</f>
        <v>0</v>
      </c>
      <c r="I49" s="492">
        <f>SUMIF($B$55:$B$999,"Cotraitant 8",($H$55:$H$999))</f>
        <v>0</v>
      </c>
      <c r="J49" s="130"/>
      <c r="K49" s="536"/>
      <c r="L49" s="637" t="s">
        <v>550</v>
      </c>
      <c r="M49" s="637"/>
      <c r="N49" s="637"/>
      <c r="O49" s="130"/>
      <c r="P49" s="628"/>
      <c r="Q49" s="629"/>
      <c r="R49" s="629"/>
      <c r="S49" s="629"/>
      <c r="T49" s="629"/>
      <c r="U49" s="628"/>
      <c r="V49" s="629"/>
      <c r="W49" s="629"/>
      <c r="X49" s="629"/>
      <c r="Y49" s="628"/>
      <c r="Z49" s="629"/>
      <c r="AA49" s="629"/>
      <c r="AB49" s="630"/>
      <c r="AC49" s="647"/>
      <c r="AD49" s="648"/>
      <c r="AE49" s="648"/>
      <c r="AF49" s="649"/>
    </row>
    <row r="50" spans="1:32" s="10" customFormat="1" ht="18" customHeight="1" x14ac:dyDescent="0.3">
      <c r="A50" s="130"/>
      <c r="B50" s="130"/>
      <c r="C50" s="130"/>
      <c r="D50" s="130"/>
      <c r="E50" s="130"/>
      <c r="F50" s="130"/>
      <c r="G50" s="130"/>
      <c r="H50" s="130"/>
      <c r="I50" s="130"/>
      <c r="J50" s="130"/>
      <c r="K50" s="536"/>
      <c r="L50" s="637"/>
      <c r="M50" s="637"/>
      <c r="N50" s="637"/>
      <c r="O50" s="130"/>
      <c r="P50" s="628"/>
      <c r="Q50" s="629"/>
      <c r="R50" s="629"/>
      <c r="S50" s="629"/>
      <c r="T50" s="629"/>
      <c r="U50" s="628"/>
      <c r="V50" s="629"/>
      <c r="W50" s="629"/>
      <c r="X50" s="629"/>
      <c r="Y50" s="628"/>
      <c r="Z50" s="629"/>
      <c r="AA50" s="629"/>
      <c r="AB50" s="630"/>
      <c r="AC50" s="647"/>
      <c r="AD50" s="648"/>
      <c r="AE50" s="648"/>
      <c r="AF50" s="649"/>
    </row>
    <row r="51" spans="1:32" s="10" customFormat="1" ht="18" customHeight="1" x14ac:dyDescent="0.3">
      <c r="A51" s="130"/>
      <c r="B51" s="185" t="s">
        <v>33</v>
      </c>
      <c r="C51" s="17" t="s">
        <v>270</v>
      </c>
      <c r="D51" s="203"/>
      <c r="E51" s="13" t="s">
        <v>588</v>
      </c>
      <c r="F51" s="456" t="s">
        <v>339</v>
      </c>
      <c r="G51" s="610" t="s">
        <v>398</v>
      </c>
      <c r="H51" s="610"/>
      <c r="I51" s="610" t="s">
        <v>399</v>
      </c>
      <c r="J51" s="610"/>
      <c r="K51" s="536"/>
      <c r="L51" s="637"/>
      <c r="M51" s="637"/>
      <c r="N51" s="637"/>
      <c r="O51" s="524"/>
      <c r="P51" s="628"/>
      <c r="Q51" s="629"/>
      <c r="R51" s="629"/>
      <c r="S51" s="629"/>
      <c r="T51" s="629"/>
      <c r="U51" s="628"/>
      <c r="V51" s="629"/>
      <c r="W51" s="629"/>
      <c r="X51" s="629"/>
      <c r="Y51" s="628"/>
      <c r="Z51" s="629"/>
      <c r="AA51" s="629"/>
      <c r="AB51" s="630"/>
      <c r="AC51" s="647"/>
      <c r="AD51" s="648"/>
      <c r="AE51" s="648"/>
      <c r="AF51" s="649"/>
    </row>
    <row r="52" spans="1:32" s="10" customFormat="1" ht="18" customHeight="1" thickBot="1" x14ac:dyDescent="0.35">
      <c r="A52" s="611" t="s">
        <v>244</v>
      </c>
      <c r="B52" s="611"/>
      <c r="C52" s="38">
        <f>F25</f>
        <v>260000</v>
      </c>
      <c r="D52" s="62"/>
      <c r="E52" s="586">
        <v>2</v>
      </c>
      <c r="F52" s="457" t="s">
        <v>239</v>
      </c>
      <c r="G52" s="612"/>
      <c r="H52" s="612"/>
      <c r="I52" s="613"/>
      <c r="J52" s="613"/>
      <c r="K52" s="536"/>
      <c r="L52" s="637"/>
      <c r="M52" s="637"/>
      <c r="N52" s="637"/>
      <c r="O52" s="461"/>
      <c r="P52" s="628"/>
      <c r="Q52" s="629"/>
      <c r="R52" s="629"/>
      <c r="S52" s="629"/>
      <c r="T52" s="629"/>
      <c r="U52" s="631"/>
      <c r="V52" s="632"/>
      <c r="W52" s="632"/>
      <c r="X52" s="632"/>
      <c r="Y52" s="631"/>
      <c r="Z52" s="632"/>
      <c r="AA52" s="632"/>
      <c r="AB52" s="633"/>
      <c r="AC52" s="650"/>
      <c r="AD52" s="651"/>
      <c r="AE52" s="651"/>
      <c r="AF52" s="652"/>
    </row>
    <row r="53" spans="1:32" s="10" customFormat="1" ht="18" customHeight="1" x14ac:dyDescent="0.3">
      <c r="A53" s="599" t="s">
        <v>244</v>
      </c>
      <c r="B53" s="602" t="s">
        <v>34</v>
      </c>
      <c r="C53" s="603" t="s">
        <v>35</v>
      </c>
      <c r="D53" s="197"/>
      <c r="E53" s="514" t="s">
        <v>242</v>
      </c>
      <c r="F53" s="515" t="str">
        <f>E53</f>
        <v>Montant intial TVA</v>
      </c>
      <c r="G53" s="483" t="s">
        <v>220</v>
      </c>
      <c r="H53" s="489" t="s">
        <v>220</v>
      </c>
      <c r="I53" s="604" t="s">
        <v>420</v>
      </c>
      <c r="J53" s="130"/>
      <c r="K53" s="130"/>
      <c r="L53" s="534">
        <f>C24</f>
        <v>0.2</v>
      </c>
      <c r="M53" s="534">
        <f>E24</f>
        <v>0.1</v>
      </c>
      <c r="N53" s="455" t="s">
        <v>544</v>
      </c>
      <c r="O53" s="130"/>
      <c r="P53" s="562"/>
      <c r="Q53" s="130"/>
      <c r="R53" s="533">
        <f>C24</f>
        <v>0.2</v>
      </c>
      <c r="S53" s="535">
        <f>E24</f>
        <v>0.1</v>
      </c>
      <c r="T53" s="535"/>
      <c r="U53" s="568"/>
      <c r="V53" s="11"/>
      <c r="W53" s="533">
        <f>C24</f>
        <v>0.2</v>
      </c>
      <c r="X53" s="535">
        <f>E24</f>
        <v>0.1</v>
      </c>
      <c r="Y53" s="568"/>
      <c r="Z53" s="11"/>
      <c r="AA53" s="533">
        <f>C24</f>
        <v>0.2</v>
      </c>
      <c r="AB53" s="563">
        <f>E24</f>
        <v>0.1</v>
      </c>
      <c r="AC53" s="578"/>
      <c r="AD53" s="579"/>
      <c r="AE53" s="580">
        <f>C24</f>
        <v>0.2</v>
      </c>
      <c r="AF53" s="581">
        <f>E24</f>
        <v>0.1</v>
      </c>
    </row>
    <row r="54" spans="1:32" s="10" customFormat="1" ht="18" customHeight="1" x14ac:dyDescent="0.3">
      <c r="A54" s="600"/>
      <c r="B54" s="602"/>
      <c r="C54" s="603"/>
      <c r="D54" s="198"/>
      <c r="E54" s="512">
        <f>$C$24</f>
        <v>0.2</v>
      </c>
      <c r="F54" s="513">
        <f>$E$24</f>
        <v>0.1</v>
      </c>
      <c r="G54" s="182" t="str">
        <f>"TVA"&amp;" "&amp;$C$24*100&amp;"%"</f>
        <v>TVA 20%</v>
      </c>
      <c r="H54" s="182" t="str">
        <f>"TVA"&amp;" "&amp;$E$24*100&amp;"%"</f>
        <v>TVA 10%</v>
      </c>
      <c r="I54" s="605"/>
      <c r="J54" s="130"/>
      <c r="K54" s="555" t="str">
        <f>C5</f>
        <v>yy</v>
      </c>
      <c r="L54" s="537">
        <f t="shared" ref="L54:L62" si="3">R54+R63+R72+R81+R90+R99+R108</f>
        <v>260000</v>
      </c>
      <c r="M54" s="537">
        <f t="shared" ref="M54:M62" si="4">S54+S63+S72+S81+S90+S99+S108</f>
        <v>0</v>
      </c>
      <c r="N54" s="455">
        <f>L54+M54</f>
        <v>260000</v>
      </c>
      <c r="O54" s="130"/>
      <c r="P54" s="638" t="s">
        <v>500</v>
      </c>
      <c r="Q54" s="338" t="str">
        <f>C5</f>
        <v>yy</v>
      </c>
      <c r="R54" s="455">
        <f>E55-(SUMIF($I$56:$I$65,"OUI",G56:G65))</f>
        <v>260000</v>
      </c>
      <c r="S54" s="532">
        <f>F55-(SUMIF($I$56:$I$65,"OUI",H56:H65))</f>
        <v>0</v>
      </c>
      <c r="T54" s="532">
        <f>R54+S54</f>
        <v>260000</v>
      </c>
      <c r="U54" s="634" t="s">
        <v>421</v>
      </c>
      <c r="V54" s="547" t="str">
        <f>C5</f>
        <v>yy</v>
      </c>
      <c r="W54" s="455">
        <f>IF($F$52="OUI",R54,0)</f>
        <v>260000</v>
      </c>
      <c r="X54" s="532">
        <f>IF($F$52="OUI",S54,0)</f>
        <v>0</v>
      </c>
      <c r="Y54" s="634" t="s">
        <v>421</v>
      </c>
      <c r="Z54" s="547" t="str">
        <f>V54</f>
        <v>yy</v>
      </c>
      <c r="AA54" s="455">
        <f>E55</f>
        <v>260000</v>
      </c>
      <c r="AB54" s="564">
        <f>F55</f>
        <v>0</v>
      </c>
      <c r="AC54" s="634" t="s">
        <v>421</v>
      </c>
      <c r="AD54" s="547" t="str">
        <f>Z54</f>
        <v>yy</v>
      </c>
      <c r="AE54" s="582">
        <f>SUMIF($G$896:$G$905,"Titulaire Tranche Ferme",$E$896:$E$905)</f>
        <v>0</v>
      </c>
      <c r="AF54" s="582">
        <f>SUMIF($G$896:$G$905,"Titulaire Tranche Ferme",$F$896:$F$905)</f>
        <v>0</v>
      </c>
    </row>
    <row r="55" spans="1:32" s="10" customFormat="1" ht="18" customHeight="1" thickBot="1" x14ac:dyDescent="0.35">
      <c r="A55" s="600"/>
      <c r="B55" s="186" t="s">
        <v>1</v>
      </c>
      <c r="C55" s="42" t="str">
        <f>$C$5</f>
        <v>yy</v>
      </c>
      <c r="D55" s="199"/>
      <c r="E55" s="131">
        <f>C25-E68-E81-E94-E107-E120-E133-E146-E159</f>
        <v>260000</v>
      </c>
      <c r="F55" s="177">
        <f>E25-F68-F81-F94-F107-F120-F133-F146-F159</f>
        <v>0</v>
      </c>
      <c r="G55" s="183">
        <f>E55-SUM(G56:G65)</f>
        <v>260000</v>
      </c>
      <c r="H55" s="490">
        <f>F55-SUM(H56:H65)</f>
        <v>0</v>
      </c>
      <c r="I55" s="606"/>
      <c r="J55" s="130"/>
      <c r="K55" s="555">
        <f t="shared" ref="K55:K60" si="5">C6</f>
        <v>0</v>
      </c>
      <c r="L55" s="537">
        <f t="shared" si="3"/>
        <v>0</v>
      </c>
      <c r="M55" s="537">
        <f t="shared" si="4"/>
        <v>0</v>
      </c>
      <c r="N55" s="455">
        <f t="shared" ref="N55:N60" si="6">L55+M55</f>
        <v>0</v>
      </c>
      <c r="O55" s="130"/>
      <c r="P55" s="639"/>
      <c r="Q55" s="338">
        <f t="shared" ref="Q55:Q60" si="7">C6</f>
        <v>0</v>
      </c>
      <c r="R55" s="455">
        <f>E68-(SUMIF($I$69:$I$78,"OUI",G69:G78))</f>
        <v>0</v>
      </c>
      <c r="S55" s="532">
        <f>F68-(SUMIF($I$69:$I$78,"OUI",H69:H78))</f>
        <v>0</v>
      </c>
      <c r="T55" s="532">
        <f t="shared" ref="T55:T60" si="8">R55+S55</f>
        <v>0</v>
      </c>
      <c r="U55" s="635"/>
      <c r="V55" s="547">
        <f t="shared" ref="V55:V60" si="9">C6</f>
        <v>0</v>
      </c>
      <c r="W55" s="455">
        <f t="shared" ref="W55:W60" si="10">IF($F$52="OUI",R55,0)</f>
        <v>0</v>
      </c>
      <c r="X55" s="532">
        <f t="shared" ref="X55:X60" si="11">IF($F$52="OUI",S55,0)</f>
        <v>0</v>
      </c>
      <c r="Y55" s="635"/>
      <c r="Z55" s="547">
        <f t="shared" ref="Z55:Z60" si="12">V55</f>
        <v>0</v>
      </c>
      <c r="AA55" s="455">
        <f>E68</f>
        <v>0</v>
      </c>
      <c r="AB55" s="564">
        <f>F68</f>
        <v>0</v>
      </c>
      <c r="AC55" s="635"/>
      <c r="AD55" s="547">
        <f t="shared" ref="AD55:AD116" si="13">Z55</f>
        <v>0</v>
      </c>
      <c r="AE55" s="582">
        <f>SUMIF($G$909:$G$918,"Cotraitant 1 Tranche Ferme",$E$909:$E$918)</f>
        <v>0</v>
      </c>
      <c r="AF55" s="582">
        <f>SUMIF($G$909:$G$918,"Cotraitant 1 Tranche Ferme",$F$909:$F$918)</f>
        <v>0</v>
      </c>
    </row>
    <row r="56" spans="1:32" s="10" customFormat="1" ht="18" customHeight="1" x14ac:dyDescent="0.3">
      <c r="A56" s="600"/>
      <c r="B56" s="385" t="s">
        <v>182</v>
      </c>
      <c r="C56" s="382" t="s">
        <v>548</v>
      </c>
      <c r="D56" s="200" t="str">
        <f>B56&amp;" "&amp;C56&amp;" "&amp;"("&amp;$B$55&amp;")"</f>
        <v>ST TVA autoliquidée tt (Titulaire)</v>
      </c>
      <c r="E56" s="132"/>
      <c r="F56" s="607" t="s">
        <v>243</v>
      </c>
      <c r="G56" s="383"/>
      <c r="H56" s="383"/>
      <c r="I56" s="493"/>
      <c r="J56" s="130"/>
      <c r="K56" s="555">
        <f t="shared" si="5"/>
        <v>0</v>
      </c>
      <c r="L56" s="537">
        <f t="shared" si="3"/>
        <v>0</v>
      </c>
      <c r="M56" s="537">
        <f t="shared" si="4"/>
        <v>0</v>
      </c>
      <c r="N56" s="455">
        <f t="shared" si="6"/>
        <v>0</v>
      </c>
      <c r="O56" s="130"/>
      <c r="P56" s="639"/>
      <c r="Q56" s="338">
        <f t="shared" si="7"/>
        <v>0</v>
      </c>
      <c r="R56" s="455">
        <f>E81-(SUMIF($I$82:$I$91,"OUI",G82:G91))</f>
        <v>0</v>
      </c>
      <c r="S56" s="532">
        <f>F81-(SUMIF($I$82:$I$91,"OUI",H82:H91))</f>
        <v>0</v>
      </c>
      <c r="T56" s="532">
        <f t="shared" si="8"/>
        <v>0</v>
      </c>
      <c r="U56" s="635"/>
      <c r="V56" s="547">
        <f t="shared" si="9"/>
        <v>0</v>
      </c>
      <c r="W56" s="455">
        <f t="shared" si="10"/>
        <v>0</v>
      </c>
      <c r="X56" s="532">
        <f t="shared" si="11"/>
        <v>0</v>
      </c>
      <c r="Y56" s="635"/>
      <c r="Z56" s="547">
        <f t="shared" si="12"/>
        <v>0</v>
      </c>
      <c r="AA56" s="455">
        <f>E81</f>
        <v>0</v>
      </c>
      <c r="AB56" s="564">
        <f>F81</f>
        <v>0</v>
      </c>
      <c r="AC56" s="635"/>
      <c r="AD56" s="547">
        <f t="shared" si="13"/>
        <v>0</v>
      </c>
      <c r="AE56" s="582">
        <f>SUMIF($G$922:$G$931,"Cotraitant 2 Tranche Ferme",$E$922:$E$931)</f>
        <v>0</v>
      </c>
      <c r="AF56" s="582">
        <f>SUMIF($G$922:$G$931,"Cotraitant 2 Tranche Ferme",$F$922:$F$931)</f>
        <v>0</v>
      </c>
    </row>
    <row r="57" spans="1:32" s="10" customFormat="1" ht="18" customHeight="1" thickBot="1" x14ac:dyDescent="0.35">
      <c r="A57" s="600"/>
      <c r="B57" s="385"/>
      <c r="C57" s="382"/>
      <c r="D57" s="200" t="str">
        <f t="shared" ref="D57:D60" si="14">B57&amp;" "&amp;C57&amp;" "&amp;"("&amp;$B$55&amp;")"</f>
        <v xml:space="preserve">  (Titulaire)</v>
      </c>
      <c r="E57" s="133"/>
      <c r="F57" s="608"/>
      <c r="G57" s="383"/>
      <c r="H57" s="384"/>
      <c r="I57" s="493"/>
      <c r="J57" s="130"/>
      <c r="K57" s="555">
        <f t="shared" si="5"/>
        <v>0</v>
      </c>
      <c r="L57" s="537">
        <f t="shared" si="3"/>
        <v>0</v>
      </c>
      <c r="M57" s="537">
        <f t="shared" si="4"/>
        <v>0</v>
      </c>
      <c r="N57" s="455">
        <f t="shared" si="6"/>
        <v>0</v>
      </c>
      <c r="O57" s="130"/>
      <c r="P57" s="639"/>
      <c r="Q57" s="338">
        <f t="shared" si="7"/>
        <v>0</v>
      </c>
      <c r="R57" s="455">
        <f>E94-(SUMIF($I$95:$I$104,"OUI",G95:G104))</f>
        <v>0</v>
      </c>
      <c r="S57" s="532">
        <f>F94-(SUMIF($I$95:$I$104,"OUI",H95:H104))</f>
        <v>0</v>
      </c>
      <c r="T57" s="532">
        <f t="shared" si="8"/>
        <v>0</v>
      </c>
      <c r="U57" s="635"/>
      <c r="V57" s="547">
        <f t="shared" si="9"/>
        <v>0</v>
      </c>
      <c r="W57" s="455">
        <f t="shared" si="10"/>
        <v>0</v>
      </c>
      <c r="X57" s="532">
        <f t="shared" si="11"/>
        <v>0</v>
      </c>
      <c r="Y57" s="635"/>
      <c r="Z57" s="547">
        <f t="shared" si="12"/>
        <v>0</v>
      </c>
      <c r="AA57" s="455">
        <f>E94</f>
        <v>0</v>
      </c>
      <c r="AB57" s="564">
        <f>F94</f>
        <v>0</v>
      </c>
      <c r="AC57" s="635"/>
      <c r="AD57" s="547">
        <f t="shared" si="13"/>
        <v>0</v>
      </c>
      <c r="AE57" s="582">
        <f>SUMIF($G$935:$G$944,"Cotraitant 3 Tranche Ferme",$E$935:$E$944)</f>
        <v>0</v>
      </c>
      <c r="AF57" s="582">
        <f>SUMIF($G$935:$G$944,"Cotraitant 3 Tranche Ferme",$F$935:$F$944)</f>
        <v>0</v>
      </c>
    </row>
    <row r="58" spans="1:32" s="10" customFormat="1" ht="18" hidden="1" customHeight="1" x14ac:dyDescent="0.3">
      <c r="A58" s="600"/>
      <c r="B58" s="385"/>
      <c r="C58" s="382"/>
      <c r="D58" s="200" t="str">
        <f t="shared" si="14"/>
        <v xml:space="preserve">  (Titulaire)</v>
      </c>
      <c r="E58" s="133"/>
      <c r="F58" s="608"/>
      <c r="G58" s="383"/>
      <c r="H58" s="384"/>
      <c r="I58" s="493"/>
      <c r="J58" s="130"/>
      <c r="K58" s="555">
        <f t="shared" si="5"/>
        <v>0</v>
      </c>
      <c r="L58" s="537">
        <f t="shared" si="3"/>
        <v>0</v>
      </c>
      <c r="M58" s="537">
        <f t="shared" si="4"/>
        <v>0</v>
      </c>
      <c r="N58" s="455">
        <f t="shared" si="6"/>
        <v>0</v>
      </c>
      <c r="O58" s="130"/>
      <c r="P58" s="639"/>
      <c r="Q58" s="338">
        <f t="shared" si="7"/>
        <v>0</v>
      </c>
      <c r="R58" s="455">
        <f>E107-(SUMIF($I$108:$I$117,"OUI",G108:G117))</f>
        <v>0</v>
      </c>
      <c r="S58" s="532">
        <f>F107-(SUMIF($I$108:$I$117,"OUI",H108:H117))</f>
        <v>0</v>
      </c>
      <c r="T58" s="532">
        <f t="shared" si="8"/>
        <v>0</v>
      </c>
      <c r="U58" s="635"/>
      <c r="V58" s="547">
        <f t="shared" si="9"/>
        <v>0</v>
      </c>
      <c r="W58" s="455">
        <f t="shared" si="10"/>
        <v>0</v>
      </c>
      <c r="X58" s="532">
        <f t="shared" si="11"/>
        <v>0</v>
      </c>
      <c r="Y58" s="635"/>
      <c r="Z58" s="547">
        <f t="shared" si="12"/>
        <v>0</v>
      </c>
      <c r="AA58" s="455">
        <f>E107</f>
        <v>0</v>
      </c>
      <c r="AB58" s="564">
        <f>F107</f>
        <v>0</v>
      </c>
      <c r="AC58" s="635"/>
      <c r="AD58" s="547">
        <f t="shared" si="13"/>
        <v>0</v>
      </c>
      <c r="AE58" s="582">
        <f>SUMIF($G$948:$G$957,"Cotraitant 4 Tranche Ferme",$E$948:$E$957)</f>
        <v>0</v>
      </c>
      <c r="AF58" s="582">
        <f>SUMIF($G$948:$G$957,"Cotraitant 4 Tranche Ferme",$F$948:$F$957)</f>
        <v>0</v>
      </c>
    </row>
    <row r="59" spans="1:32" s="10" customFormat="1" ht="18" hidden="1" customHeight="1" x14ac:dyDescent="0.3">
      <c r="A59" s="600"/>
      <c r="B59" s="385"/>
      <c r="C59" s="382"/>
      <c r="D59" s="200" t="str">
        <f t="shared" si="14"/>
        <v xml:space="preserve">  (Titulaire)</v>
      </c>
      <c r="E59" s="133"/>
      <c r="F59" s="608"/>
      <c r="G59" s="383"/>
      <c r="H59" s="384"/>
      <c r="I59" s="493"/>
      <c r="J59" s="130"/>
      <c r="K59" s="555">
        <f t="shared" si="5"/>
        <v>0</v>
      </c>
      <c r="L59" s="537">
        <f t="shared" si="3"/>
        <v>0</v>
      </c>
      <c r="M59" s="537">
        <f t="shared" si="4"/>
        <v>0</v>
      </c>
      <c r="N59" s="455">
        <f t="shared" si="6"/>
        <v>0</v>
      </c>
      <c r="O59" s="130"/>
      <c r="P59" s="639"/>
      <c r="Q59" s="338">
        <f t="shared" si="7"/>
        <v>0</v>
      </c>
      <c r="R59" s="455">
        <f>E120-(SUMIF($I$121:$I$130,"OUI",G121:G130))</f>
        <v>0</v>
      </c>
      <c r="S59" s="532">
        <f>F120-(SUMIF($I$121:$I$130,"OUI",H121:H130))</f>
        <v>0</v>
      </c>
      <c r="T59" s="532">
        <f t="shared" si="8"/>
        <v>0</v>
      </c>
      <c r="U59" s="635"/>
      <c r="V59" s="547">
        <f t="shared" si="9"/>
        <v>0</v>
      </c>
      <c r="W59" s="455">
        <f t="shared" si="10"/>
        <v>0</v>
      </c>
      <c r="X59" s="532">
        <f t="shared" si="11"/>
        <v>0</v>
      </c>
      <c r="Y59" s="635"/>
      <c r="Z59" s="547">
        <f t="shared" si="12"/>
        <v>0</v>
      </c>
      <c r="AA59" s="455">
        <f>E120</f>
        <v>0</v>
      </c>
      <c r="AB59" s="564">
        <f>F120</f>
        <v>0</v>
      </c>
      <c r="AC59" s="635"/>
      <c r="AD59" s="547">
        <f t="shared" si="13"/>
        <v>0</v>
      </c>
      <c r="AE59" s="582">
        <f>SUMIF($G$961:$G$970,"Cotraitant 5 Tranche Ferme",$E$961:$E$970)</f>
        <v>0</v>
      </c>
      <c r="AF59" s="582">
        <f>SUMIF($G$961:$G$970,"Cotraitant 5 Tranche Ferme",$F$961:$F$970)</f>
        <v>0</v>
      </c>
    </row>
    <row r="60" spans="1:32" s="10" customFormat="1" ht="18" hidden="1" customHeight="1" x14ac:dyDescent="0.3">
      <c r="A60" s="600"/>
      <c r="B60" s="385"/>
      <c r="C60" s="382"/>
      <c r="D60" s="200" t="str">
        <f t="shared" si="14"/>
        <v xml:space="preserve">  (Titulaire)</v>
      </c>
      <c r="E60" s="133"/>
      <c r="F60" s="608"/>
      <c r="G60" s="383"/>
      <c r="H60" s="384"/>
      <c r="I60" s="493"/>
      <c r="J60" s="130"/>
      <c r="K60" s="555">
        <f t="shared" si="5"/>
        <v>0</v>
      </c>
      <c r="L60" s="537">
        <f t="shared" si="3"/>
        <v>0</v>
      </c>
      <c r="M60" s="537">
        <f t="shared" si="4"/>
        <v>0</v>
      </c>
      <c r="N60" s="455">
        <f t="shared" si="6"/>
        <v>0</v>
      </c>
      <c r="P60" s="639"/>
      <c r="Q60" s="338">
        <f t="shared" si="7"/>
        <v>0</v>
      </c>
      <c r="R60" s="455">
        <f>E133-(SUMIF($I$134:$I$143,"OUI",G134:G143))</f>
        <v>0</v>
      </c>
      <c r="S60" s="532">
        <f>F133-(SUMIF($I$134:$I$143,"OUI",H134:H143))</f>
        <v>0</v>
      </c>
      <c r="T60" s="532">
        <f t="shared" si="8"/>
        <v>0</v>
      </c>
      <c r="U60" s="635"/>
      <c r="V60" s="547">
        <f t="shared" si="9"/>
        <v>0</v>
      </c>
      <c r="W60" s="455">
        <f t="shared" si="10"/>
        <v>0</v>
      </c>
      <c r="X60" s="532">
        <f t="shared" si="11"/>
        <v>0</v>
      </c>
      <c r="Y60" s="635"/>
      <c r="Z60" s="547">
        <f t="shared" si="12"/>
        <v>0</v>
      </c>
      <c r="AA60" s="455">
        <f>E133</f>
        <v>0</v>
      </c>
      <c r="AB60" s="564">
        <f>F133</f>
        <v>0</v>
      </c>
      <c r="AC60" s="635"/>
      <c r="AD60" s="547">
        <f t="shared" si="13"/>
        <v>0</v>
      </c>
      <c r="AE60" s="582">
        <f>SUMIF($G$974:$G$983,"Cotraitant 6 Tranche Ferme",$E$974:$E$983)</f>
        <v>0</v>
      </c>
      <c r="AF60" s="582">
        <f>SUMIF($G$974:$G$983,"Cotraitant 6 Tranche Ferme",$F$974:$F$983)</f>
        <v>0</v>
      </c>
    </row>
    <row r="61" spans="1:32" s="10" customFormat="1" ht="18" hidden="1" customHeight="1" x14ac:dyDescent="0.3">
      <c r="A61" s="600"/>
      <c r="B61" s="385"/>
      <c r="C61" s="382"/>
      <c r="D61" s="557"/>
      <c r="E61" s="133"/>
      <c r="F61" s="608"/>
      <c r="G61" s="383"/>
      <c r="H61" s="384"/>
      <c r="I61" s="493"/>
      <c r="J61" s="130"/>
      <c r="K61" s="555">
        <f>C12</f>
        <v>0</v>
      </c>
      <c r="L61" s="537">
        <f t="shared" si="3"/>
        <v>0</v>
      </c>
      <c r="M61" s="537">
        <f t="shared" si="4"/>
        <v>0</v>
      </c>
      <c r="N61" s="455">
        <f>L61+M61</f>
        <v>0</v>
      </c>
      <c r="P61" s="639"/>
      <c r="Q61" s="338">
        <f>C12</f>
        <v>0</v>
      </c>
      <c r="R61" s="455">
        <f>E146-(SUMIF($I$147:$I$156,"OUI",G147:G156))</f>
        <v>0</v>
      </c>
      <c r="S61" s="532">
        <f>F146-(SUMIF($I$147:$I$156,"OUI",H147:H156))</f>
        <v>0</v>
      </c>
      <c r="T61" s="532">
        <f t="shared" ref="T61:T92" si="15">R61+S61</f>
        <v>0</v>
      </c>
      <c r="U61" s="635"/>
      <c r="V61" s="547">
        <f>C12</f>
        <v>0</v>
      </c>
      <c r="W61" s="455">
        <f>IF($F$52="OUI",R61,0)</f>
        <v>0</v>
      </c>
      <c r="X61" s="532">
        <f>IF($F$52="OUI",S61,0)</f>
        <v>0</v>
      </c>
      <c r="Y61" s="635"/>
      <c r="Z61" s="547">
        <f t="shared" ref="Z61:Z92" si="16">V61</f>
        <v>0</v>
      </c>
      <c r="AA61" s="455">
        <f>E146</f>
        <v>0</v>
      </c>
      <c r="AB61" s="564">
        <f>F146</f>
        <v>0</v>
      </c>
      <c r="AC61" s="635"/>
      <c r="AD61" s="547">
        <f t="shared" si="13"/>
        <v>0</v>
      </c>
      <c r="AE61" s="582">
        <f>SUMIF($G$987:$G$996,"Cotraitant 7 Tranche Ferme",$E$987:$E$996)</f>
        <v>0</v>
      </c>
      <c r="AF61" s="582">
        <f>SUMIF($G$987:$G$996,"Cotraitant 7 Tranche Ferme",$F$987:$F$996)</f>
        <v>0</v>
      </c>
    </row>
    <row r="62" spans="1:32" s="10" customFormat="1" ht="18" hidden="1" customHeight="1" x14ac:dyDescent="0.3">
      <c r="A62" s="600"/>
      <c r="B62" s="385"/>
      <c r="C62" s="382"/>
      <c r="D62" s="558"/>
      <c r="E62" s="133"/>
      <c r="F62" s="608"/>
      <c r="G62" s="383"/>
      <c r="H62" s="384"/>
      <c r="I62" s="493"/>
      <c r="J62" s="130"/>
      <c r="K62" s="555">
        <f>C13</f>
        <v>0</v>
      </c>
      <c r="L62" s="537">
        <f t="shared" si="3"/>
        <v>0</v>
      </c>
      <c r="M62" s="537">
        <f t="shared" si="4"/>
        <v>0</v>
      </c>
      <c r="N62" s="455">
        <f>L62+M62</f>
        <v>0</v>
      </c>
      <c r="P62" s="640"/>
      <c r="Q62" s="338">
        <f>C13</f>
        <v>0</v>
      </c>
      <c r="R62" s="455">
        <f>E159-(SUMIF($I$160:$I$169,"OUI",G160:G169))</f>
        <v>0</v>
      </c>
      <c r="S62" s="532">
        <f>F159-(SUMIF($I$160:$I$169,"OUI",H160:H169))</f>
        <v>0</v>
      </c>
      <c r="T62" s="532">
        <f t="shared" si="15"/>
        <v>0</v>
      </c>
      <c r="U62" s="636"/>
      <c r="V62" s="547">
        <f>C13</f>
        <v>0</v>
      </c>
      <c r="W62" s="455">
        <f>IF($F$52="OUI",R62,0)</f>
        <v>0</v>
      </c>
      <c r="X62" s="532">
        <f>IF($F$52="OUI",S62,0)</f>
        <v>0</v>
      </c>
      <c r="Y62" s="636"/>
      <c r="Z62" s="547">
        <f t="shared" si="16"/>
        <v>0</v>
      </c>
      <c r="AA62" s="455">
        <f>E159</f>
        <v>0</v>
      </c>
      <c r="AB62" s="564">
        <f>F159</f>
        <v>0</v>
      </c>
      <c r="AC62" s="636"/>
      <c r="AD62" s="547">
        <f t="shared" si="13"/>
        <v>0</v>
      </c>
      <c r="AE62" s="582">
        <f>SUMIF($G$1000:$G$1009,"Cotraitant 8 Tranche Ferme",$E$1000:$E$1009)</f>
        <v>0</v>
      </c>
      <c r="AF62" s="582">
        <f>SUMIF($G$1000:$G$1009,"Cotraitant 8 Tranche Ferme",$F$1000:$F$1009)</f>
        <v>0</v>
      </c>
    </row>
    <row r="63" spans="1:32" s="10" customFormat="1" ht="18" hidden="1" customHeight="1" x14ac:dyDescent="0.3">
      <c r="A63" s="600"/>
      <c r="B63" s="385"/>
      <c r="C63" s="382"/>
      <c r="D63" s="558"/>
      <c r="E63" s="133"/>
      <c r="F63" s="608"/>
      <c r="G63" s="383"/>
      <c r="H63" s="384"/>
      <c r="I63" s="493"/>
      <c r="J63" s="130"/>
      <c r="K63" s="555"/>
      <c r="L63" s="537"/>
      <c r="M63" s="537"/>
      <c r="N63" s="455"/>
      <c r="P63" s="638" t="s">
        <v>501</v>
      </c>
      <c r="Q63" s="338" t="str">
        <f t="shared" ref="Q63:Q71" si="17">C5</f>
        <v>yy</v>
      </c>
      <c r="R63" s="455">
        <f>E175-(SUMIF(I176:I185,"OUI",G176:G185))</f>
        <v>0</v>
      </c>
      <c r="S63" s="532">
        <f>F175-(SUMIF(J176:J185,"OUI",H176:H185))</f>
        <v>0</v>
      </c>
      <c r="T63" s="532">
        <f t="shared" si="15"/>
        <v>0</v>
      </c>
      <c r="U63" s="634" t="s">
        <v>422</v>
      </c>
      <c r="V63" s="547" t="str">
        <f t="shared" ref="V63:V71" si="18">C5</f>
        <v>yy</v>
      </c>
      <c r="W63" s="455">
        <f t="shared" ref="W63:W71" si="19">IF($F$172="OUI",R63,0)</f>
        <v>0</v>
      </c>
      <c r="X63" s="532">
        <f t="shared" ref="X63:X71" si="20">IF($F$172="OUI",S63,0)</f>
        <v>0</v>
      </c>
      <c r="Y63" s="634" t="s">
        <v>422</v>
      </c>
      <c r="Z63" s="547" t="str">
        <f t="shared" si="16"/>
        <v>yy</v>
      </c>
      <c r="AA63" s="455">
        <f>E175</f>
        <v>0</v>
      </c>
      <c r="AB63" s="564">
        <f>F175</f>
        <v>0</v>
      </c>
      <c r="AC63" s="634" t="s">
        <v>422</v>
      </c>
      <c r="AD63" s="547" t="str">
        <f t="shared" si="13"/>
        <v>yy</v>
      </c>
      <c r="AE63" s="582">
        <f>SUMIF($G$896:$G$905,"Titulaire Tranche Optionnelle 1",$E$896:$E$905)</f>
        <v>0</v>
      </c>
      <c r="AF63" s="582">
        <f>SUMIF($G$896:$G$905,"Titulaire Tranche Optionnelle 1",$F$896:$F$905)</f>
        <v>0</v>
      </c>
    </row>
    <row r="64" spans="1:32" s="10" customFormat="1" ht="18" hidden="1" customHeight="1" x14ac:dyDescent="0.3">
      <c r="A64" s="600"/>
      <c r="B64" s="385"/>
      <c r="C64" s="382"/>
      <c r="D64" s="558"/>
      <c r="E64" s="133"/>
      <c r="F64" s="608"/>
      <c r="G64" s="383"/>
      <c r="H64" s="384"/>
      <c r="I64" s="493"/>
      <c r="J64" s="130"/>
      <c r="K64" s="555"/>
      <c r="L64" s="537"/>
      <c r="M64" s="537"/>
      <c r="N64" s="455"/>
      <c r="P64" s="639"/>
      <c r="Q64" s="338">
        <f t="shared" si="17"/>
        <v>0</v>
      </c>
      <c r="R64" s="455">
        <f>E188-(SUMIF(I189:I198,"OUI",G189:G198))</f>
        <v>0</v>
      </c>
      <c r="S64" s="532">
        <f>F188-(SUMIF(I189:I198,"OUI",H189:H198))</f>
        <v>0</v>
      </c>
      <c r="T64" s="532">
        <f t="shared" si="15"/>
        <v>0</v>
      </c>
      <c r="U64" s="635"/>
      <c r="V64" s="547">
        <f t="shared" si="18"/>
        <v>0</v>
      </c>
      <c r="W64" s="455">
        <f t="shared" si="19"/>
        <v>0</v>
      </c>
      <c r="X64" s="532">
        <f t="shared" si="20"/>
        <v>0</v>
      </c>
      <c r="Y64" s="635"/>
      <c r="Z64" s="547">
        <f t="shared" si="16"/>
        <v>0</v>
      </c>
      <c r="AA64" s="455">
        <f>E188</f>
        <v>0</v>
      </c>
      <c r="AB64" s="564">
        <f>F188</f>
        <v>0</v>
      </c>
      <c r="AC64" s="635"/>
      <c r="AD64" s="547">
        <f t="shared" si="13"/>
        <v>0</v>
      </c>
      <c r="AE64" s="582">
        <f>SUMIF($G$909:$G$918,"Cotraitant 1 Tranche Optionnelle 1",$E$909:$E$918)</f>
        <v>0</v>
      </c>
      <c r="AF64" s="582">
        <f>SUMIF($G$909:$G$918,"Cotraitant 1 Tranche Optionnelle 1",$F$909:$F$918)</f>
        <v>0</v>
      </c>
    </row>
    <row r="65" spans="1:32" s="10" customFormat="1" ht="18" hidden="1" customHeight="1" thickBot="1" x14ac:dyDescent="0.35">
      <c r="A65" s="601"/>
      <c r="B65" s="385"/>
      <c r="C65" s="382"/>
      <c r="D65" s="200" t="str">
        <f>B65&amp;" "&amp;C65&amp;" "&amp;"("&amp;$B$55&amp;")"</f>
        <v xml:space="preserve">  (Titulaire)</v>
      </c>
      <c r="E65" s="134"/>
      <c r="F65" s="609"/>
      <c r="G65" s="383"/>
      <c r="H65" s="384"/>
      <c r="I65" s="493"/>
      <c r="J65" s="130"/>
      <c r="K65" s="130"/>
      <c r="L65" s="130"/>
      <c r="M65" s="130"/>
      <c r="N65" s="130"/>
      <c r="O65" s="130"/>
      <c r="P65" s="639"/>
      <c r="Q65" s="338">
        <f t="shared" si="17"/>
        <v>0</v>
      </c>
      <c r="R65" s="455">
        <f>E201-(SUMIF(I202:I211,"OUI",G202:G211))</f>
        <v>0</v>
      </c>
      <c r="S65" s="532">
        <f>F201-(SUMIF(I202:I211,"OUI",H202:H211))</f>
        <v>0</v>
      </c>
      <c r="T65" s="532">
        <f t="shared" si="15"/>
        <v>0</v>
      </c>
      <c r="U65" s="635"/>
      <c r="V65" s="547">
        <f t="shared" si="18"/>
        <v>0</v>
      </c>
      <c r="W65" s="455">
        <f t="shared" si="19"/>
        <v>0</v>
      </c>
      <c r="X65" s="532">
        <f t="shared" si="20"/>
        <v>0</v>
      </c>
      <c r="Y65" s="635"/>
      <c r="Z65" s="547">
        <f t="shared" si="16"/>
        <v>0</v>
      </c>
      <c r="AA65" s="455">
        <f>E201</f>
        <v>0</v>
      </c>
      <c r="AB65" s="564">
        <f>F201</f>
        <v>0</v>
      </c>
      <c r="AC65" s="635"/>
      <c r="AD65" s="547">
        <f t="shared" si="13"/>
        <v>0</v>
      </c>
      <c r="AE65" s="582">
        <f>SUMIF($G$922:$G$931,"Cotraitant 2 Tranche Optionnelle 1",$E$922:$E$931)</f>
        <v>0</v>
      </c>
      <c r="AF65" s="582">
        <f>SUMIF($G$922:$G$931,"Cotraitant 2 Tranche Optionnelle 1",$F$922:$F$931)</f>
        <v>0</v>
      </c>
    </row>
    <row r="66" spans="1:32" s="10" customFormat="1" ht="18" customHeight="1" x14ac:dyDescent="0.3">
      <c r="A66" s="599" t="s">
        <v>244</v>
      </c>
      <c r="B66" s="602" t="s">
        <v>34</v>
      </c>
      <c r="C66" s="603" t="s">
        <v>35</v>
      </c>
      <c r="D66" s="197"/>
      <c r="E66" s="514" t="s">
        <v>242</v>
      </c>
      <c r="F66" s="515" t="str">
        <f>E66</f>
        <v>Montant intial TVA</v>
      </c>
      <c r="G66" s="180" t="s">
        <v>220</v>
      </c>
      <c r="H66" s="181" t="s">
        <v>220</v>
      </c>
      <c r="I66" s="604" t="s">
        <v>420</v>
      </c>
      <c r="J66" s="130"/>
      <c r="K66" s="130"/>
      <c r="L66" s="130"/>
      <c r="M66" s="130"/>
      <c r="N66" s="130"/>
      <c r="O66" s="130"/>
      <c r="P66" s="639"/>
      <c r="Q66" s="338">
        <f t="shared" si="17"/>
        <v>0</v>
      </c>
      <c r="R66" s="455">
        <f>E214-(SUMIF(I215:I224,"OUI",G215:G224))</f>
        <v>0</v>
      </c>
      <c r="S66" s="532">
        <f>F214-(SUMIF(I215:I224,"OUI",H215:H224))</f>
        <v>0</v>
      </c>
      <c r="T66" s="532">
        <f t="shared" si="15"/>
        <v>0</v>
      </c>
      <c r="U66" s="635"/>
      <c r="V66" s="547">
        <f t="shared" si="18"/>
        <v>0</v>
      </c>
      <c r="W66" s="455">
        <f t="shared" si="19"/>
        <v>0</v>
      </c>
      <c r="X66" s="532">
        <f t="shared" si="20"/>
        <v>0</v>
      </c>
      <c r="Y66" s="635"/>
      <c r="Z66" s="547">
        <f t="shared" si="16"/>
        <v>0</v>
      </c>
      <c r="AA66" s="455">
        <f>E214</f>
        <v>0</v>
      </c>
      <c r="AB66" s="564">
        <f>F214</f>
        <v>0</v>
      </c>
      <c r="AC66" s="635"/>
      <c r="AD66" s="547">
        <f t="shared" si="13"/>
        <v>0</v>
      </c>
      <c r="AE66" s="582">
        <f>SUMIF($G$935:$G$944,"Cotraitant 3 Tranche Optionnelle 1",$E$935:$E$944)</f>
        <v>0</v>
      </c>
      <c r="AF66" s="582">
        <f>SUMIF($G$935:$G$944,"Cotraitant 3 Tranche Optionnelle 1",$F$935:$F$944)</f>
        <v>0</v>
      </c>
    </row>
    <row r="67" spans="1:32" s="10" customFormat="1" ht="18" customHeight="1" x14ac:dyDescent="0.3">
      <c r="A67" s="600"/>
      <c r="B67" s="602"/>
      <c r="C67" s="603"/>
      <c r="D67" s="198"/>
      <c r="E67" s="512">
        <f>$C$24</f>
        <v>0.2</v>
      </c>
      <c r="F67" s="513">
        <f>$E$24</f>
        <v>0.1</v>
      </c>
      <c r="G67" s="182" t="str">
        <f>"TVA"&amp;" "&amp;$C$24*100&amp;"%"</f>
        <v>TVA 20%</v>
      </c>
      <c r="H67" s="182" t="str">
        <f>"TVA"&amp;" "&amp;$E$24*100&amp;"%"</f>
        <v>TVA 10%</v>
      </c>
      <c r="I67" s="605"/>
      <c r="J67" s="130"/>
      <c r="K67" s="130"/>
      <c r="L67" s="130"/>
      <c r="M67" s="130"/>
      <c r="N67" s="130"/>
      <c r="O67" s="130"/>
      <c r="P67" s="639"/>
      <c r="Q67" s="338">
        <f t="shared" si="17"/>
        <v>0</v>
      </c>
      <c r="R67" s="455">
        <f>E227-(SUMIF(I228:I237,"OUI",G228:I237))</f>
        <v>0</v>
      </c>
      <c r="S67" s="532">
        <f>F227-(SUMIF(I228:I237,"OUI",H228:H237))</f>
        <v>0</v>
      </c>
      <c r="T67" s="532">
        <f t="shared" si="15"/>
        <v>0</v>
      </c>
      <c r="U67" s="635"/>
      <c r="V67" s="547">
        <f t="shared" si="18"/>
        <v>0</v>
      </c>
      <c r="W67" s="455">
        <f t="shared" si="19"/>
        <v>0</v>
      </c>
      <c r="X67" s="532">
        <f t="shared" si="20"/>
        <v>0</v>
      </c>
      <c r="Y67" s="635"/>
      <c r="Z67" s="547">
        <f t="shared" si="16"/>
        <v>0</v>
      </c>
      <c r="AA67" s="455">
        <f>E227</f>
        <v>0</v>
      </c>
      <c r="AB67" s="564">
        <f>F227</f>
        <v>0</v>
      </c>
      <c r="AC67" s="635"/>
      <c r="AD67" s="547">
        <f t="shared" si="13"/>
        <v>0</v>
      </c>
      <c r="AE67" s="582">
        <f>SUMIF($G$948:$G$957,"Cotraitant 4 Tranche Optionnelle 1",$E$948:$E$957)</f>
        <v>0</v>
      </c>
      <c r="AF67" s="582">
        <f>SUMIF($G$948:$G$957,"Cotraitant 4 Tranche Optionnelle 1",$F$948:$F$957)</f>
        <v>0</v>
      </c>
    </row>
    <row r="68" spans="1:32" ht="19.5" thickBot="1" x14ac:dyDescent="0.35">
      <c r="A68" s="600"/>
      <c r="B68" s="186" t="str">
        <f>$B$6</f>
        <v>Cotraitant 1</v>
      </c>
      <c r="C68" s="42">
        <f>$C$6</f>
        <v>0</v>
      </c>
      <c r="D68" s="179"/>
      <c r="E68" s="430"/>
      <c r="F68" s="430"/>
      <c r="G68" s="183">
        <f>E68-SUM(G69:G78)</f>
        <v>0</v>
      </c>
      <c r="H68" s="184">
        <f>F68-SUM(H69:H78)</f>
        <v>0</v>
      </c>
      <c r="I68" s="606"/>
      <c r="P68" s="639"/>
      <c r="Q68" s="338">
        <f t="shared" si="17"/>
        <v>0</v>
      </c>
      <c r="R68" s="455">
        <f>E240-(SUMIF(I241:I250,"OUI",G241:G250))</f>
        <v>0</v>
      </c>
      <c r="S68" s="532">
        <f>F240-(SUMIF(I241:I250,"OUI",H241:H250))</f>
        <v>0</v>
      </c>
      <c r="T68" s="532">
        <f t="shared" si="15"/>
        <v>0</v>
      </c>
      <c r="U68" s="635"/>
      <c r="V68" s="547">
        <f t="shared" si="18"/>
        <v>0</v>
      </c>
      <c r="W68" s="455">
        <f t="shared" si="19"/>
        <v>0</v>
      </c>
      <c r="X68" s="532">
        <f t="shared" si="20"/>
        <v>0</v>
      </c>
      <c r="Y68" s="635"/>
      <c r="Z68" s="547">
        <f t="shared" si="16"/>
        <v>0</v>
      </c>
      <c r="AA68" s="455">
        <f>E240</f>
        <v>0</v>
      </c>
      <c r="AB68" s="564">
        <f>F240</f>
        <v>0</v>
      </c>
      <c r="AC68" s="635"/>
      <c r="AD68" s="547">
        <f t="shared" si="13"/>
        <v>0</v>
      </c>
      <c r="AE68" s="582">
        <f>SUMIF($G$961:$G$970,"Cotraitant 5 Tranche Optionnelle 1",$E$961:$E$970)</f>
        <v>0</v>
      </c>
      <c r="AF68" s="582">
        <f>SUMIF($G$961:$G$970,"Cotraitant 5 Tranche Optionnelle 1",$F$961:$F$970)</f>
        <v>0</v>
      </c>
    </row>
    <row r="69" spans="1:32" x14ac:dyDescent="0.3">
      <c r="A69" s="600"/>
      <c r="B69" s="385"/>
      <c r="C69" s="382"/>
      <c r="D69" s="200" t="str">
        <f>B69&amp;" "&amp;C69&amp;" "&amp;"("&amp;$B$68&amp;")"</f>
        <v xml:space="preserve">  (Cotraitant 1)</v>
      </c>
      <c r="E69" s="132"/>
      <c r="F69" s="607" t="s">
        <v>243</v>
      </c>
      <c r="G69" s="383"/>
      <c r="H69" s="383"/>
      <c r="I69" s="493"/>
      <c r="P69" s="639"/>
      <c r="Q69" s="338">
        <f t="shared" si="17"/>
        <v>0</v>
      </c>
      <c r="R69" s="455">
        <f>E253-(SUMIF(I254:I263,"OUI",G254:G263))</f>
        <v>0</v>
      </c>
      <c r="S69" s="532">
        <f>F253-(SUMIF(I254:I263,"OUI",H254:H263))</f>
        <v>0</v>
      </c>
      <c r="T69" s="532">
        <f t="shared" si="15"/>
        <v>0</v>
      </c>
      <c r="U69" s="635"/>
      <c r="V69" s="547">
        <f t="shared" si="18"/>
        <v>0</v>
      </c>
      <c r="W69" s="455">
        <f t="shared" si="19"/>
        <v>0</v>
      </c>
      <c r="X69" s="532">
        <f t="shared" si="20"/>
        <v>0</v>
      </c>
      <c r="Y69" s="635"/>
      <c r="Z69" s="547">
        <f t="shared" si="16"/>
        <v>0</v>
      </c>
      <c r="AA69" s="455">
        <f>E253</f>
        <v>0</v>
      </c>
      <c r="AB69" s="564">
        <f>F253</f>
        <v>0</v>
      </c>
      <c r="AC69" s="635"/>
      <c r="AD69" s="547">
        <f t="shared" si="13"/>
        <v>0</v>
      </c>
      <c r="AE69" s="582">
        <f>SUMIF($G$974:$G$983,"Cotraitant 6 Tranche Optionnelle 1",$E$974:$E$983)</f>
        <v>0</v>
      </c>
      <c r="AF69" s="582">
        <f>SUMIF($G$974:$G$983,"Cotraitant 6 Tranche Optionnelle 1",$F$974:$F$983)</f>
        <v>0</v>
      </c>
    </row>
    <row r="70" spans="1:32" ht="19.5" thickBot="1" x14ac:dyDescent="0.35">
      <c r="A70" s="600"/>
      <c r="B70" s="385"/>
      <c r="C70" s="382"/>
      <c r="D70" s="200" t="str">
        <f>B70&amp;" "&amp;C70&amp;" "&amp;"("&amp;$B$68&amp;")"</f>
        <v xml:space="preserve">  (Cotraitant 1)</v>
      </c>
      <c r="E70" s="133"/>
      <c r="F70" s="608"/>
      <c r="G70" s="384"/>
      <c r="H70" s="384"/>
      <c r="I70" s="493"/>
      <c r="P70" s="639"/>
      <c r="Q70" s="338">
        <f t="shared" si="17"/>
        <v>0</v>
      </c>
      <c r="R70" s="455">
        <f>E266-(SUMIF(I267:I276,"OUI",G267:G276))</f>
        <v>0</v>
      </c>
      <c r="S70" s="532">
        <f>F266-(SUMIF(I267:I276,"OUI",H267:H276))</f>
        <v>0</v>
      </c>
      <c r="T70" s="532">
        <f t="shared" si="15"/>
        <v>0</v>
      </c>
      <c r="U70" s="635"/>
      <c r="V70" s="547">
        <f t="shared" si="18"/>
        <v>0</v>
      </c>
      <c r="W70" s="455">
        <f t="shared" si="19"/>
        <v>0</v>
      </c>
      <c r="X70" s="532">
        <f t="shared" si="20"/>
        <v>0</v>
      </c>
      <c r="Y70" s="635"/>
      <c r="Z70" s="547">
        <f t="shared" si="16"/>
        <v>0</v>
      </c>
      <c r="AA70" s="455">
        <f>E266</f>
        <v>0</v>
      </c>
      <c r="AB70" s="564">
        <f>F266</f>
        <v>0</v>
      </c>
      <c r="AC70" s="635"/>
      <c r="AD70" s="547">
        <f t="shared" si="13"/>
        <v>0</v>
      </c>
      <c r="AE70" s="582">
        <f>SUMIF($G$987:$G$996,"Cotraitant 7 Tranche Optionnelle 1",$E$987:$E$996)</f>
        <v>0</v>
      </c>
      <c r="AF70" s="582">
        <f>SUMIF($G$987:$G$996,"Cotraitant 7 Tranche Optionnelle 1",$F$987:$F$996)</f>
        <v>0</v>
      </c>
    </row>
    <row r="71" spans="1:32" hidden="1" x14ac:dyDescent="0.3">
      <c r="A71" s="600"/>
      <c r="B71" s="385"/>
      <c r="C71" s="382"/>
      <c r="D71" s="200" t="str">
        <f>B71&amp;" "&amp;C71&amp;" "&amp;"("&amp;$B$68&amp;")"</f>
        <v xml:space="preserve">  (Cotraitant 1)</v>
      </c>
      <c r="E71" s="133"/>
      <c r="F71" s="608"/>
      <c r="G71" s="384"/>
      <c r="H71" s="384"/>
      <c r="I71" s="493"/>
      <c r="P71" s="640"/>
      <c r="Q71" s="338">
        <f t="shared" si="17"/>
        <v>0</v>
      </c>
      <c r="R71" s="455">
        <f>E279-(SUMIF(I280:I289,"OUI",G280:G289))</f>
        <v>0</v>
      </c>
      <c r="S71" s="532">
        <f>F279-(SUMIF(I280:I289,"OUI",H280:H289))</f>
        <v>0</v>
      </c>
      <c r="T71" s="532">
        <f t="shared" si="15"/>
        <v>0</v>
      </c>
      <c r="U71" s="636"/>
      <c r="V71" s="547">
        <f t="shared" si="18"/>
        <v>0</v>
      </c>
      <c r="W71" s="455">
        <f t="shared" si="19"/>
        <v>0</v>
      </c>
      <c r="X71" s="532">
        <f t="shared" si="20"/>
        <v>0</v>
      </c>
      <c r="Y71" s="636"/>
      <c r="Z71" s="547">
        <f t="shared" si="16"/>
        <v>0</v>
      </c>
      <c r="AA71" s="455">
        <f>E279</f>
        <v>0</v>
      </c>
      <c r="AB71" s="564">
        <f>F279</f>
        <v>0</v>
      </c>
      <c r="AC71" s="636"/>
      <c r="AD71" s="547">
        <f t="shared" si="13"/>
        <v>0</v>
      </c>
      <c r="AE71" s="582">
        <f>SUMIF($G$1000:$G$1009,"Cotraitant 8 Tranche Optionnelle 1",$E$1000:$E$1009)</f>
        <v>0</v>
      </c>
      <c r="AF71" s="582">
        <f>SUMIF($G$1000:$G$1009,"Cotraitant 8 Tranche Optionnelle 1",$F$1000:$F$1009)</f>
        <v>0</v>
      </c>
    </row>
    <row r="72" spans="1:32" hidden="1" x14ac:dyDescent="0.3">
      <c r="A72" s="600"/>
      <c r="B72" s="385"/>
      <c r="C72" s="382"/>
      <c r="D72" s="200" t="str">
        <f>B72&amp;" "&amp;C72&amp;" "&amp;"("&amp;$B$68&amp;")"</f>
        <v xml:space="preserve">  (Cotraitant 1)</v>
      </c>
      <c r="E72" s="133"/>
      <c r="F72" s="608"/>
      <c r="G72" s="384"/>
      <c r="H72" s="384"/>
      <c r="I72" s="493"/>
      <c r="P72" s="638" t="s">
        <v>502</v>
      </c>
      <c r="Q72" s="338" t="str">
        <f t="shared" ref="Q72:Q80" si="21">C5</f>
        <v>yy</v>
      </c>
      <c r="R72" s="455">
        <f>E295-(SUMIF(I296:I305,"OUI",G296:G305))</f>
        <v>0</v>
      </c>
      <c r="S72" s="532">
        <f>F295-(SUMIF(I296:I305,"OUI",H296:H305))</f>
        <v>0</v>
      </c>
      <c r="T72" s="532">
        <f t="shared" si="15"/>
        <v>0</v>
      </c>
      <c r="U72" s="634" t="s">
        <v>423</v>
      </c>
      <c r="V72" s="547" t="str">
        <f t="shared" ref="V72:V80" si="22">C5</f>
        <v>yy</v>
      </c>
      <c r="W72" s="455">
        <f t="shared" ref="W72:W80" si="23">IF($F$292="OUI",R72,0)</f>
        <v>0</v>
      </c>
      <c r="X72" s="532">
        <f t="shared" ref="X72:X80" si="24">IF($F$292="OUI",S72,0)</f>
        <v>0</v>
      </c>
      <c r="Y72" s="634" t="s">
        <v>423</v>
      </c>
      <c r="Z72" s="547" t="str">
        <f t="shared" si="16"/>
        <v>yy</v>
      </c>
      <c r="AA72" s="455">
        <f>E295</f>
        <v>0</v>
      </c>
      <c r="AB72" s="564">
        <f>F295</f>
        <v>0</v>
      </c>
      <c r="AC72" s="634" t="s">
        <v>423</v>
      </c>
      <c r="AD72" s="547" t="str">
        <f t="shared" si="13"/>
        <v>yy</v>
      </c>
      <c r="AE72" s="582">
        <f>SUMIF($G$896:$G$905,"Titulaire Tranche Optionnelle 2",$E$896:$E$905)</f>
        <v>0</v>
      </c>
      <c r="AF72" s="582">
        <f>SUMIF($G$896:$G$905,"Titulaire Tranche Optionnelle 2",$F$896:$F$905)</f>
        <v>0</v>
      </c>
    </row>
    <row r="73" spans="1:32" hidden="1" x14ac:dyDescent="0.3">
      <c r="A73" s="600"/>
      <c r="B73" s="385"/>
      <c r="C73" s="382"/>
      <c r="D73" s="558"/>
      <c r="E73" s="133"/>
      <c r="F73" s="608"/>
      <c r="G73" s="384"/>
      <c r="H73" s="384"/>
      <c r="I73" s="493"/>
      <c r="P73" s="639"/>
      <c r="Q73" s="338">
        <f t="shared" si="21"/>
        <v>0</v>
      </c>
      <c r="R73" s="455">
        <f>E308-(SUMIF(I309:I318,"OUI",G309:G318))</f>
        <v>0</v>
      </c>
      <c r="S73" s="532">
        <f>F308-(SUMIF(I309:I318,"OUI",H309:H318))</f>
        <v>0</v>
      </c>
      <c r="T73" s="532">
        <f t="shared" si="15"/>
        <v>0</v>
      </c>
      <c r="U73" s="635"/>
      <c r="V73" s="547">
        <f t="shared" si="22"/>
        <v>0</v>
      </c>
      <c r="W73" s="455">
        <f t="shared" si="23"/>
        <v>0</v>
      </c>
      <c r="X73" s="532">
        <f t="shared" si="24"/>
        <v>0</v>
      </c>
      <c r="Y73" s="635"/>
      <c r="Z73" s="547">
        <f t="shared" si="16"/>
        <v>0</v>
      </c>
      <c r="AA73" s="455">
        <f>E308</f>
        <v>0</v>
      </c>
      <c r="AB73" s="564">
        <f>F308</f>
        <v>0</v>
      </c>
      <c r="AC73" s="635"/>
      <c r="AD73" s="547">
        <f t="shared" si="13"/>
        <v>0</v>
      </c>
      <c r="AE73" s="582">
        <f>SUMIF($G$909:$G$918,"Cotraitant 1 Tranche Optionnelle 2",$E$909:$E$918)</f>
        <v>0</v>
      </c>
      <c r="AF73" s="582">
        <f>SUMIF($G$909:$G$918,"Cotraitant 1 Tranche Optionnelle 2",$F$909:$F$918)</f>
        <v>0</v>
      </c>
    </row>
    <row r="74" spans="1:32" hidden="1" x14ac:dyDescent="0.3">
      <c r="A74" s="600"/>
      <c r="B74" s="385"/>
      <c r="C74" s="382"/>
      <c r="D74" s="558"/>
      <c r="E74" s="133"/>
      <c r="F74" s="608"/>
      <c r="G74" s="384"/>
      <c r="H74" s="384"/>
      <c r="I74" s="493"/>
      <c r="P74" s="639"/>
      <c r="Q74" s="338">
        <f t="shared" si="21"/>
        <v>0</v>
      </c>
      <c r="R74" s="455">
        <f>E321-(SUMIF(I322:I331,"OUI",G322:G331))</f>
        <v>0</v>
      </c>
      <c r="S74" s="532">
        <f>F321-(SUMIF(I322:I331,"OUI",H322:H331))</f>
        <v>0</v>
      </c>
      <c r="T74" s="532">
        <f t="shared" si="15"/>
        <v>0</v>
      </c>
      <c r="U74" s="635"/>
      <c r="V74" s="547">
        <f t="shared" si="22"/>
        <v>0</v>
      </c>
      <c r="W74" s="455">
        <f t="shared" si="23"/>
        <v>0</v>
      </c>
      <c r="X74" s="532">
        <f t="shared" si="24"/>
        <v>0</v>
      </c>
      <c r="Y74" s="635"/>
      <c r="Z74" s="547">
        <f t="shared" si="16"/>
        <v>0</v>
      </c>
      <c r="AA74" s="455">
        <f>E321</f>
        <v>0</v>
      </c>
      <c r="AB74" s="564">
        <f>F321</f>
        <v>0</v>
      </c>
      <c r="AC74" s="635"/>
      <c r="AD74" s="547">
        <f t="shared" si="13"/>
        <v>0</v>
      </c>
      <c r="AE74" s="582">
        <f>SUMIF($G$922:$G$931,"Cotraitant 2 Tranche Optionnelle 2",$E$922:$E$931)</f>
        <v>0</v>
      </c>
      <c r="AF74" s="582">
        <f>SUMIF($G$922:$G$931,"Cotraitant 2 Tranche Optionnelle 2",$F$922:$F$931)</f>
        <v>0</v>
      </c>
    </row>
    <row r="75" spans="1:32" hidden="1" x14ac:dyDescent="0.3">
      <c r="A75" s="600"/>
      <c r="B75" s="385"/>
      <c r="C75" s="382"/>
      <c r="D75" s="558"/>
      <c r="E75" s="133"/>
      <c r="F75" s="608"/>
      <c r="G75" s="384"/>
      <c r="H75" s="384"/>
      <c r="I75" s="493"/>
      <c r="P75" s="639"/>
      <c r="Q75" s="338">
        <f t="shared" si="21"/>
        <v>0</v>
      </c>
      <c r="R75" s="455">
        <f>E334-(SUMIF(I335:I344,"OUI",G335:G344))</f>
        <v>0</v>
      </c>
      <c r="S75" s="532">
        <f>F334-(SUMIF(I335:I344,"OUI",H335:H344))</f>
        <v>0</v>
      </c>
      <c r="T75" s="532">
        <f t="shared" si="15"/>
        <v>0</v>
      </c>
      <c r="U75" s="635"/>
      <c r="V75" s="547">
        <f t="shared" si="22"/>
        <v>0</v>
      </c>
      <c r="W75" s="455">
        <f t="shared" si="23"/>
        <v>0</v>
      </c>
      <c r="X75" s="532">
        <f t="shared" si="24"/>
        <v>0</v>
      </c>
      <c r="Y75" s="635"/>
      <c r="Z75" s="547">
        <f t="shared" si="16"/>
        <v>0</v>
      </c>
      <c r="AA75" s="455">
        <f>E334</f>
        <v>0</v>
      </c>
      <c r="AB75" s="564">
        <f>F334</f>
        <v>0</v>
      </c>
      <c r="AC75" s="635"/>
      <c r="AD75" s="547">
        <f t="shared" si="13"/>
        <v>0</v>
      </c>
      <c r="AE75" s="582">
        <f>SUMIF($G$935:$G$944,"Cotraitant 3 Tranche Optionnelle 2",$E$935:$E$944)</f>
        <v>0</v>
      </c>
      <c r="AF75" s="582">
        <f>SUMIF($G$935:$G$944,"Cotraitant 3 Tranche Optionnelle 2",$F$935:$F$944)</f>
        <v>0</v>
      </c>
    </row>
    <row r="76" spans="1:32" hidden="1" x14ac:dyDescent="0.3">
      <c r="A76" s="600"/>
      <c r="B76" s="385"/>
      <c r="C76" s="382"/>
      <c r="D76" s="558"/>
      <c r="E76" s="133"/>
      <c r="F76" s="608"/>
      <c r="G76" s="384"/>
      <c r="H76" s="384"/>
      <c r="I76" s="493"/>
      <c r="P76" s="639"/>
      <c r="Q76" s="338">
        <f t="shared" si="21"/>
        <v>0</v>
      </c>
      <c r="R76" s="455">
        <f>E347-(SUMIF(I348:I357,"OUI",G348:G357))</f>
        <v>0</v>
      </c>
      <c r="S76" s="532">
        <f>F347-(SUMIF(I348:I357,"OUI",H348:H357))</f>
        <v>0</v>
      </c>
      <c r="T76" s="532">
        <f t="shared" si="15"/>
        <v>0</v>
      </c>
      <c r="U76" s="635"/>
      <c r="V76" s="547">
        <f t="shared" si="22"/>
        <v>0</v>
      </c>
      <c r="W76" s="455">
        <f t="shared" si="23"/>
        <v>0</v>
      </c>
      <c r="X76" s="532">
        <f t="shared" si="24"/>
        <v>0</v>
      </c>
      <c r="Y76" s="635"/>
      <c r="Z76" s="547">
        <f t="shared" si="16"/>
        <v>0</v>
      </c>
      <c r="AA76" s="455">
        <f>E347</f>
        <v>0</v>
      </c>
      <c r="AB76" s="564">
        <f>F347</f>
        <v>0</v>
      </c>
      <c r="AC76" s="635"/>
      <c r="AD76" s="547">
        <f t="shared" si="13"/>
        <v>0</v>
      </c>
      <c r="AE76" s="582">
        <f>SUMIF($G$948:$G$957,"Cotraitant 4 Tranche Optionnelle 2",$E$948:$E$957)</f>
        <v>0</v>
      </c>
      <c r="AF76" s="582">
        <f>SUMIF($G$948:$G$957,"Cotraitant 4 Tranche Optionnelle 2",$F$948:$F$957)</f>
        <v>0</v>
      </c>
    </row>
    <row r="77" spans="1:32" hidden="1" x14ac:dyDescent="0.3">
      <c r="A77" s="600"/>
      <c r="B77" s="385"/>
      <c r="C77" s="382"/>
      <c r="D77" s="200" t="str">
        <f>B77&amp;" "&amp;C77&amp;" "&amp;"("&amp;$B$68&amp;")"</f>
        <v xml:space="preserve">  (Cotraitant 1)</v>
      </c>
      <c r="E77" s="133"/>
      <c r="F77" s="608"/>
      <c r="G77" s="384"/>
      <c r="H77" s="384"/>
      <c r="I77" s="493"/>
      <c r="P77" s="639"/>
      <c r="Q77" s="338">
        <f t="shared" si="21"/>
        <v>0</v>
      </c>
      <c r="R77" s="455">
        <f>E360-(SUMIF(I361:I370,"OUI",G361:G370))</f>
        <v>0</v>
      </c>
      <c r="S77" s="532">
        <f>F360-(SUMIF(I361:I370,"OUI",H361:H370))</f>
        <v>0</v>
      </c>
      <c r="T77" s="532">
        <f t="shared" si="15"/>
        <v>0</v>
      </c>
      <c r="U77" s="635"/>
      <c r="V77" s="547">
        <f t="shared" si="22"/>
        <v>0</v>
      </c>
      <c r="W77" s="455">
        <f t="shared" si="23"/>
        <v>0</v>
      </c>
      <c r="X77" s="532">
        <f t="shared" si="24"/>
        <v>0</v>
      </c>
      <c r="Y77" s="635"/>
      <c r="Z77" s="547">
        <f t="shared" si="16"/>
        <v>0</v>
      </c>
      <c r="AA77" s="455">
        <f>E360</f>
        <v>0</v>
      </c>
      <c r="AB77" s="564">
        <f>F360</f>
        <v>0</v>
      </c>
      <c r="AC77" s="635"/>
      <c r="AD77" s="547">
        <f t="shared" si="13"/>
        <v>0</v>
      </c>
      <c r="AE77" s="582">
        <f>SUMIF($G$961:$G$970,"Cotraitant 5 Tranche Optionnelle 2",$E$961:$E$970)</f>
        <v>0</v>
      </c>
      <c r="AF77" s="582">
        <f>SUMIF($G$961:$G$970,"Cotraitant 5 Tranche Optionnelle 2",$F$961:$F$970)</f>
        <v>0</v>
      </c>
    </row>
    <row r="78" spans="1:32" ht="19.5" hidden="1" thickBot="1" x14ac:dyDescent="0.35">
      <c r="A78" s="601"/>
      <c r="B78" s="385"/>
      <c r="C78" s="382"/>
      <c r="D78" s="200" t="str">
        <f>B78&amp;" "&amp;C78&amp;" "&amp;"("&amp;$B$68&amp;")"</f>
        <v xml:space="preserve">  (Cotraitant 1)</v>
      </c>
      <c r="E78" s="134"/>
      <c r="F78" s="609"/>
      <c r="G78" s="384"/>
      <c r="H78" s="384"/>
      <c r="I78" s="493"/>
      <c r="P78" s="639"/>
      <c r="Q78" s="338">
        <f t="shared" si="21"/>
        <v>0</v>
      </c>
      <c r="R78" s="455">
        <f>E373-(SUMIF(I374:I383,"OUI",G374:G383))</f>
        <v>0</v>
      </c>
      <c r="S78" s="532">
        <f>F373-(SUMIF(I374:I383,"OUI",H374:H383))</f>
        <v>0</v>
      </c>
      <c r="T78" s="532">
        <f t="shared" si="15"/>
        <v>0</v>
      </c>
      <c r="U78" s="635"/>
      <c r="V78" s="547">
        <f t="shared" si="22"/>
        <v>0</v>
      </c>
      <c r="W78" s="455">
        <f t="shared" si="23"/>
        <v>0</v>
      </c>
      <c r="X78" s="532">
        <f t="shared" si="24"/>
        <v>0</v>
      </c>
      <c r="Y78" s="635"/>
      <c r="Z78" s="547">
        <f t="shared" si="16"/>
        <v>0</v>
      </c>
      <c r="AA78" s="455">
        <f>E373</f>
        <v>0</v>
      </c>
      <c r="AB78" s="564">
        <f>F373</f>
        <v>0</v>
      </c>
      <c r="AC78" s="635"/>
      <c r="AD78" s="547">
        <f t="shared" si="13"/>
        <v>0</v>
      </c>
      <c r="AE78" s="582">
        <f>SUMIF($G$974:$G$983,"Cotraitant 6 Tranche Optionnelle 2",$E$974:$E$983)</f>
        <v>0</v>
      </c>
      <c r="AF78" s="582">
        <f>SUMIF($G$974:$G$983,"Cotraitant 6 Tranche Optionnelle 2",$F$974:$F$983)</f>
        <v>0</v>
      </c>
    </row>
    <row r="79" spans="1:32" s="187" customFormat="1" ht="18.75" customHeight="1" x14ac:dyDescent="0.3">
      <c r="A79" s="599" t="s">
        <v>244</v>
      </c>
      <c r="B79" s="602" t="s">
        <v>34</v>
      </c>
      <c r="C79" s="603" t="s">
        <v>35</v>
      </c>
      <c r="D79" s="197"/>
      <c r="E79" s="514" t="s">
        <v>242</v>
      </c>
      <c r="F79" s="515" t="str">
        <f>E79</f>
        <v>Montant intial TVA</v>
      </c>
      <c r="G79" s="180" t="s">
        <v>220</v>
      </c>
      <c r="H79" s="181" t="s">
        <v>220</v>
      </c>
      <c r="I79" s="604" t="s">
        <v>420</v>
      </c>
      <c r="J79" s="130"/>
      <c r="K79" s="130"/>
      <c r="L79" s="130"/>
      <c r="M79" s="130"/>
      <c r="N79" s="130"/>
      <c r="O79" s="130"/>
      <c r="P79" s="639"/>
      <c r="Q79" s="338">
        <f t="shared" si="21"/>
        <v>0</v>
      </c>
      <c r="R79" s="455">
        <f>E386-(SUMIF(I387:I396,"OUI",G387:G396))</f>
        <v>0</v>
      </c>
      <c r="S79" s="532">
        <f>F386-(SUMIF(I387:I396,"OUI",H387:H396))</f>
        <v>0</v>
      </c>
      <c r="T79" s="532">
        <f t="shared" si="15"/>
        <v>0</v>
      </c>
      <c r="U79" s="635"/>
      <c r="V79" s="547">
        <f t="shared" si="22"/>
        <v>0</v>
      </c>
      <c r="W79" s="455">
        <f t="shared" si="23"/>
        <v>0</v>
      </c>
      <c r="X79" s="532">
        <f t="shared" si="24"/>
        <v>0</v>
      </c>
      <c r="Y79" s="635"/>
      <c r="Z79" s="547">
        <f t="shared" si="16"/>
        <v>0</v>
      </c>
      <c r="AA79" s="455">
        <f>E386</f>
        <v>0</v>
      </c>
      <c r="AB79" s="564">
        <f>F386</f>
        <v>0</v>
      </c>
      <c r="AC79" s="635"/>
      <c r="AD79" s="547">
        <f t="shared" si="13"/>
        <v>0</v>
      </c>
      <c r="AE79" s="582">
        <f>SUMIF($G$987:$G$996,"Cotraitant 7 Tranche Optionnelle 2",$E$987:$E$996)</f>
        <v>0</v>
      </c>
      <c r="AF79" s="582">
        <f>SUMIF($G$987:$G$996,"Cotraitant 7 Tranche Optionnelle 2",$F$987:$F$996)</f>
        <v>0</v>
      </c>
    </row>
    <row r="80" spans="1:32" s="187" customFormat="1" ht="18.75" customHeight="1" x14ac:dyDescent="0.3">
      <c r="A80" s="600"/>
      <c r="B80" s="602"/>
      <c r="C80" s="603"/>
      <c r="D80" s="198"/>
      <c r="E80" s="512">
        <f>$C$24</f>
        <v>0.2</v>
      </c>
      <c r="F80" s="513">
        <f>$E$24</f>
        <v>0.1</v>
      </c>
      <c r="G80" s="182" t="str">
        <f>"TVA"&amp;" "&amp;$C$24*100&amp;"%"</f>
        <v>TVA 20%</v>
      </c>
      <c r="H80" s="182" t="str">
        <f>"TVA"&amp;" "&amp;$E$24*100&amp;"%"</f>
        <v>TVA 10%</v>
      </c>
      <c r="I80" s="605"/>
      <c r="J80" s="518"/>
      <c r="K80" s="130"/>
      <c r="L80" s="130"/>
      <c r="M80" s="130"/>
      <c r="N80" s="130"/>
      <c r="O80" s="130"/>
      <c r="P80" s="640"/>
      <c r="Q80" s="338">
        <f t="shared" si="21"/>
        <v>0</v>
      </c>
      <c r="R80" s="455">
        <f>E399-(SUMIF(I400:I409,"OUI",G400:G409))</f>
        <v>0</v>
      </c>
      <c r="S80" s="532">
        <f>F399-(SUMIF(I400:I409,"OUI",H400:H409))</f>
        <v>0</v>
      </c>
      <c r="T80" s="532">
        <f t="shared" si="15"/>
        <v>0</v>
      </c>
      <c r="U80" s="636"/>
      <c r="V80" s="547">
        <f t="shared" si="22"/>
        <v>0</v>
      </c>
      <c r="W80" s="455">
        <f t="shared" si="23"/>
        <v>0</v>
      </c>
      <c r="X80" s="532">
        <f t="shared" si="24"/>
        <v>0</v>
      </c>
      <c r="Y80" s="636"/>
      <c r="Z80" s="547">
        <f t="shared" si="16"/>
        <v>0</v>
      </c>
      <c r="AA80" s="455">
        <f>E399</f>
        <v>0</v>
      </c>
      <c r="AB80" s="564">
        <f>F399</f>
        <v>0</v>
      </c>
      <c r="AC80" s="636"/>
      <c r="AD80" s="547">
        <f t="shared" si="13"/>
        <v>0</v>
      </c>
      <c r="AE80" s="582">
        <f>SUMIF($G$1000:$G$1009,"Cotraitant 8 Tranche Optionnelle 2",$E$1000:$E$1009)</f>
        <v>0</v>
      </c>
      <c r="AF80" s="582">
        <f>SUMIF($G$1000:$G$1009,"Cotraitant 8 Tranche Optionnelle 2",$F$1000:$F$1009)</f>
        <v>0</v>
      </c>
    </row>
    <row r="81" spans="1:32" ht="19.5" thickBot="1" x14ac:dyDescent="0.35">
      <c r="A81" s="600"/>
      <c r="B81" s="186" t="str">
        <f>$B$7</f>
        <v>Cotraitant 2</v>
      </c>
      <c r="C81" s="520">
        <f>$C$7</f>
        <v>0</v>
      </c>
      <c r="D81" s="179"/>
      <c r="E81" s="430"/>
      <c r="F81" s="430"/>
      <c r="G81" s="183">
        <f>E81-SUM(G82:G91)</f>
        <v>0</v>
      </c>
      <c r="H81" s="184">
        <f>F81-SUM(H82:H91)</f>
        <v>0</v>
      </c>
      <c r="I81" s="606"/>
      <c r="J81" s="528"/>
      <c r="P81" s="638" t="s">
        <v>503</v>
      </c>
      <c r="Q81" s="338" t="str">
        <f t="shared" ref="Q81:Q89" si="25">C5</f>
        <v>yy</v>
      </c>
      <c r="R81" s="455">
        <f>E415-(SUMIF(I416:I425,"OUI",G416:G425))</f>
        <v>0</v>
      </c>
      <c r="S81" s="532">
        <f>F415-(SUMIF(I416:I425,"OUI",H416:H425))</f>
        <v>0</v>
      </c>
      <c r="T81" s="532">
        <f t="shared" si="15"/>
        <v>0</v>
      </c>
      <c r="U81" s="634" t="s">
        <v>424</v>
      </c>
      <c r="V81" s="547" t="str">
        <f t="shared" ref="V81:V89" si="26">C5</f>
        <v>yy</v>
      </c>
      <c r="W81" s="455">
        <f t="shared" ref="W81:W89" si="27">IF($F$412="OUI",R81,0)</f>
        <v>0</v>
      </c>
      <c r="X81" s="532">
        <f t="shared" ref="X81:X89" si="28">IF($F$412="OUI",S81,0)</f>
        <v>0</v>
      </c>
      <c r="Y81" s="634" t="s">
        <v>424</v>
      </c>
      <c r="Z81" s="547" t="str">
        <f t="shared" si="16"/>
        <v>yy</v>
      </c>
      <c r="AA81" s="455">
        <f>E415</f>
        <v>0</v>
      </c>
      <c r="AB81" s="564">
        <f>F415</f>
        <v>0</v>
      </c>
      <c r="AC81" s="634" t="s">
        <v>424</v>
      </c>
      <c r="AD81" s="547" t="str">
        <f t="shared" si="13"/>
        <v>yy</v>
      </c>
      <c r="AE81" s="582">
        <f>SUMIF($G$896:$G$905,"Titulaire Tranche Optionnelle 3",$E$896:$E$905)</f>
        <v>0</v>
      </c>
      <c r="AF81" s="582">
        <f>SUMIF($G$896:$G$905,"Titulaire Tranche Optionnelle 3",$F$896:$F$905)</f>
        <v>0</v>
      </c>
    </row>
    <row r="82" spans="1:32" ht="18.75" customHeight="1" x14ac:dyDescent="0.3">
      <c r="A82" s="600"/>
      <c r="B82" s="385"/>
      <c r="C82" s="382"/>
      <c r="D82" s="200" t="str">
        <f>B82&amp;" "&amp;C82&amp;" "&amp;"("&amp;$B$68&amp;")"</f>
        <v xml:space="preserve">  (Cotraitant 1)</v>
      </c>
      <c r="E82" s="132"/>
      <c r="F82" s="607" t="s">
        <v>243</v>
      </c>
      <c r="G82" s="383"/>
      <c r="H82" s="383"/>
      <c r="I82" s="493"/>
      <c r="P82" s="639"/>
      <c r="Q82" s="338">
        <f t="shared" si="25"/>
        <v>0</v>
      </c>
      <c r="R82" s="455">
        <f>E428-(SUMIF(I429:I438,"OUI",G429:G438))</f>
        <v>0</v>
      </c>
      <c r="S82" s="532">
        <f>F428-(SUMIF(I429:I438,"OUI",H429:H438))</f>
        <v>0</v>
      </c>
      <c r="T82" s="532">
        <f t="shared" si="15"/>
        <v>0</v>
      </c>
      <c r="U82" s="635"/>
      <c r="V82" s="547">
        <f t="shared" si="26"/>
        <v>0</v>
      </c>
      <c r="W82" s="455">
        <f t="shared" si="27"/>
        <v>0</v>
      </c>
      <c r="X82" s="532">
        <f t="shared" si="28"/>
        <v>0</v>
      </c>
      <c r="Y82" s="635"/>
      <c r="Z82" s="547">
        <f t="shared" si="16"/>
        <v>0</v>
      </c>
      <c r="AA82" s="455">
        <f>E428</f>
        <v>0</v>
      </c>
      <c r="AB82" s="564">
        <f>F428</f>
        <v>0</v>
      </c>
      <c r="AC82" s="635"/>
      <c r="AD82" s="547">
        <f t="shared" si="13"/>
        <v>0</v>
      </c>
      <c r="AE82" s="582">
        <f>SUMIF($G$909:$G$918,"Cotraitant 1 Tranche Optionnelle 3",$E$909:$E$918)</f>
        <v>0</v>
      </c>
      <c r="AF82" s="582">
        <f>SUMIF($G$909:$G$918,"Cotraitant 1 Tranche Optionnelle 3",$F$909:$F$918)</f>
        <v>0</v>
      </c>
    </row>
    <row r="83" spans="1:32" ht="18.75" customHeight="1" x14ac:dyDescent="0.3">
      <c r="A83" s="600"/>
      <c r="B83" s="385"/>
      <c r="C83" s="382"/>
      <c r="D83" s="558"/>
      <c r="E83" s="133"/>
      <c r="F83" s="608"/>
      <c r="G83" s="383"/>
      <c r="H83" s="383"/>
      <c r="I83" s="493"/>
      <c r="P83" s="639"/>
      <c r="Q83" s="338">
        <f t="shared" si="25"/>
        <v>0</v>
      </c>
      <c r="R83" s="455">
        <f>E441-(SUMIF(I442:I451,"OUI",G442:G451))</f>
        <v>0</v>
      </c>
      <c r="S83" s="532">
        <f>F441-(SUMIF(I442:I451,"OUI",H442:H451))</f>
        <v>0</v>
      </c>
      <c r="T83" s="532">
        <f t="shared" si="15"/>
        <v>0</v>
      </c>
      <c r="U83" s="635"/>
      <c r="V83" s="547">
        <f t="shared" si="26"/>
        <v>0</v>
      </c>
      <c r="W83" s="455">
        <f t="shared" si="27"/>
        <v>0</v>
      </c>
      <c r="X83" s="532">
        <f t="shared" si="28"/>
        <v>0</v>
      </c>
      <c r="Y83" s="635"/>
      <c r="Z83" s="547">
        <f t="shared" si="16"/>
        <v>0</v>
      </c>
      <c r="AA83" s="455">
        <f>E441</f>
        <v>0</v>
      </c>
      <c r="AB83" s="564">
        <f>F441</f>
        <v>0</v>
      </c>
      <c r="AC83" s="635"/>
      <c r="AD83" s="547">
        <f t="shared" si="13"/>
        <v>0</v>
      </c>
      <c r="AE83" s="582">
        <f>SUMIF($G$922:$G$931,"Cotraitant 2 Tranche Optionnelle 3",$E$922:$E$931)</f>
        <v>0</v>
      </c>
      <c r="AF83" s="582">
        <f>SUMIF($G$922:$G$931,"Cotraitant 2 Tranche Optionnelle 3",$F$922:$F$931)</f>
        <v>0</v>
      </c>
    </row>
    <row r="84" spans="1:32" ht="18.75" hidden="1" customHeight="1" x14ac:dyDescent="0.3">
      <c r="A84" s="600"/>
      <c r="B84" s="385"/>
      <c r="C84" s="382"/>
      <c r="D84" s="558"/>
      <c r="E84" s="133"/>
      <c r="F84" s="608"/>
      <c r="G84" s="383"/>
      <c r="H84" s="383"/>
      <c r="I84" s="493"/>
      <c r="P84" s="639"/>
      <c r="Q84" s="338">
        <f t="shared" si="25"/>
        <v>0</v>
      </c>
      <c r="R84" s="455">
        <f>E454-(SUMIF(I455:I464,"OUI",G455:G464))</f>
        <v>0</v>
      </c>
      <c r="S84" s="532">
        <f>F454-(SUMIF(I455:I464,"OUI",H455:H464))</f>
        <v>0</v>
      </c>
      <c r="T84" s="532">
        <f t="shared" si="15"/>
        <v>0</v>
      </c>
      <c r="U84" s="635"/>
      <c r="V84" s="547">
        <f t="shared" si="26"/>
        <v>0</v>
      </c>
      <c r="W84" s="455">
        <f t="shared" si="27"/>
        <v>0</v>
      </c>
      <c r="X84" s="532">
        <f t="shared" si="28"/>
        <v>0</v>
      </c>
      <c r="Y84" s="635"/>
      <c r="Z84" s="547">
        <f t="shared" si="16"/>
        <v>0</v>
      </c>
      <c r="AA84" s="455">
        <f>E454</f>
        <v>0</v>
      </c>
      <c r="AB84" s="564">
        <f>F454</f>
        <v>0</v>
      </c>
      <c r="AC84" s="635"/>
      <c r="AD84" s="547">
        <f t="shared" si="13"/>
        <v>0</v>
      </c>
      <c r="AE84" s="582">
        <f>SUMIF($G$935:$G$944,"Cotraitant 3 Tranche Optionnelle 3",$E$935:$E$944)</f>
        <v>0</v>
      </c>
      <c r="AF84" s="582">
        <f>SUMIF($G$935:$G$944,"Cotraitant 3 Tranche Optionnelle 3",$F$935:$F$944)</f>
        <v>0</v>
      </c>
    </row>
    <row r="85" spans="1:32" ht="18.75" hidden="1" customHeight="1" x14ac:dyDescent="0.3">
      <c r="A85" s="600"/>
      <c r="B85" s="385"/>
      <c r="C85" s="382"/>
      <c r="D85" s="558"/>
      <c r="E85" s="133"/>
      <c r="F85" s="608"/>
      <c r="G85" s="383"/>
      <c r="H85" s="383"/>
      <c r="I85" s="493"/>
      <c r="P85" s="639"/>
      <c r="Q85" s="338">
        <f t="shared" si="25"/>
        <v>0</v>
      </c>
      <c r="R85" s="455">
        <f>E467-(SUMIF(I468:I477,"OUI",G468:G477))</f>
        <v>0</v>
      </c>
      <c r="S85" s="532">
        <f>F467-(SUMIF(I468:I477,"OUI",H468:H477))</f>
        <v>0</v>
      </c>
      <c r="T85" s="532">
        <f t="shared" si="15"/>
        <v>0</v>
      </c>
      <c r="U85" s="635"/>
      <c r="V85" s="547">
        <f t="shared" si="26"/>
        <v>0</v>
      </c>
      <c r="W85" s="455">
        <f t="shared" si="27"/>
        <v>0</v>
      </c>
      <c r="X85" s="532">
        <f t="shared" si="28"/>
        <v>0</v>
      </c>
      <c r="Y85" s="635"/>
      <c r="Z85" s="547">
        <f t="shared" si="16"/>
        <v>0</v>
      </c>
      <c r="AA85" s="455">
        <f>E467</f>
        <v>0</v>
      </c>
      <c r="AB85" s="564">
        <f>F467</f>
        <v>0</v>
      </c>
      <c r="AC85" s="635"/>
      <c r="AD85" s="547">
        <f t="shared" si="13"/>
        <v>0</v>
      </c>
      <c r="AE85" s="582">
        <f>SUMIF($G$948:$G$957,"Cotraitant 4 Tranche Optionnelle 3",$E$948:$E$957)</f>
        <v>0</v>
      </c>
      <c r="AF85" s="582">
        <f>SUMIF($G$948:$G$957,"Cotraitant 4 Tranche Optionnelle 3",$F$948:$F$957)</f>
        <v>0</v>
      </c>
    </row>
    <row r="86" spans="1:32" ht="18.75" hidden="1" customHeight="1" x14ac:dyDescent="0.3">
      <c r="A86" s="600"/>
      <c r="B86" s="385"/>
      <c r="C86" s="382"/>
      <c r="D86" s="558"/>
      <c r="E86" s="133"/>
      <c r="F86" s="608"/>
      <c r="G86" s="383"/>
      <c r="H86" s="383"/>
      <c r="I86" s="493"/>
      <c r="P86" s="639"/>
      <c r="Q86" s="338">
        <f t="shared" si="25"/>
        <v>0</v>
      </c>
      <c r="R86" s="455">
        <f>E480-(SUMIF(I481:I490,"OUI",G481:G490))</f>
        <v>0</v>
      </c>
      <c r="S86" s="532">
        <f>F480-(SUMIF(I481:I490,"OUI",H481:H490))</f>
        <v>0</v>
      </c>
      <c r="T86" s="532">
        <f t="shared" si="15"/>
        <v>0</v>
      </c>
      <c r="U86" s="635"/>
      <c r="V86" s="547">
        <f t="shared" si="26"/>
        <v>0</v>
      </c>
      <c r="W86" s="455">
        <f t="shared" si="27"/>
        <v>0</v>
      </c>
      <c r="X86" s="532">
        <f t="shared" si="28"/>
        <v>0</v>
      </c>
      <c r="Y86" s="635"/>
      <c r="Z86" s="547">
        <f t="shared" si="16"/>
        <v>0</v>
      </c>
      <c r="AA86" s="455">
        <f>E480</f>
        <v>0</v>
      </c>
      <c r="AB86" s="564">
        <f>F480</f>
        <v>0</v>
      </c>
      <c r="AC86" s="635"/>
      <c r="AD86" s="547">
        <f t="shared" si="13"/>
        <v>0</v>
      </c>
      <c r="AE86" s="582">
        <f>SUMIF($G$961:$G$970,"Cotraitant 5 Tranche Optionnelle 3",$E$961:$E$970)</f>
        <v>0</v>
      </c>
      <c r="AF86" s="582">
        <f>SUMIF($G$961:$G$970,"Cotraitant 5 Tranche Optionnelle 3",$F$961:$F$970)</f>
        <v>0</v>
      </c>
    </row>
    <row r="87" spans="1:32" hidden="1" x14ac:dyDescent="0.3">
      <c r="A87" s="600"/>
      <c r="B87" s="385"/>
      <c r="C87" s="382"/>
      <c r="D87" s="200" t="str">
        <f>B87&amp;" "&amp;C87&amp;" "&amp;"("&amp;$B$68&amp;")"</f>
        <v xml:space="preserve">  (Cotraitant 1)</v>
      </c>
      <c r="E87" s="133"/>
      <c r="F87" s="608"/>
      <c r="G87" s="384"/>
      <c r="H87" s="384"/>
      <c r="I87" s="493"/>
      <c r="P87" s="639"/>
      <c r="Q87" s="338">
        <f t="shared" si="25"/>
        <v>0</v>
      </c>
      <c r="R87" s="455">
        <f>E493-(SUMIF(I494:I503,"OUI",G494:G503))</f>
        <v>0</v>
      </c>
      <c r="S87" s="532">
        <f>F493-(SUMIF(I494:I503,"OUI",H494:H503))</f>
        <v>0</v>
      </c>
      <c r="T87" s="532">
        <f t="shared" si="15"/>
        <v>0</v>
      </c>
      <c r="U87" s="635"/>
      <c r="V87" s="547">
        <f t="shared" si="26"/>
        <v>0</v>
      </c>
      <c r="W87" s="455">
        <f t="shared" si="27"/>
        <v>0</v>
      </c>
      <c r="X87" s="532">
        <f t="shared" si="28"/>
        <v>0</v>
      </c>
      <c r="Y87" s="635"/>
      <c r="Z87" s="547">
        <f t="shared" si="16"/>
        <v>0</v>
      </c>
      <c r="AA87" s="455">
        <f>E493</f>
        <v>0</v>
      </c>
      <c r="AB87" s="564">
        <f>F493</f>
        <v>0</v>
      </c>
      <c r="AC87" s="635"/>
      <c r="AD87" s="547">
        <f t="shared" si="13"/>
        <v>0</v>
      </c>
      <c r="AE87" s="582">
        <f>SUMIF($G$974:$G$983,"Cotraitant 6 Tranche Optionnelle 3",$E$974:$E$983)</f>
        <v>0</v>
      </c>
      <c r="AF87" s="582">
        <f>SUMIF($G$974:$G$983,"Cotraitant 6 Tranche Optionnelle 3",$F$974:$F$983)</f>
        <v>0</v>
      </c>
    </row>
    <row r="88" spans="1:32" hidden="1" x14ac:dyDescent="0.3">
      <c r="A88" s="600"/>
      <c r="B88" s="385"/>
      <c r="C88" s="382"/>
      <c r="D88" s="200" t="str">
        <f>B88&amp;" "&amp;C88&amp;" "&amp;"("&amp;$B$68&amp;")"</f>
        <v xml:space="preserve">  (Cotraitant 1)</v>
      </c>
      <c r="E88" s="133"/>
      <c r="F88" s="608"/>
      <c r="G88" s="384"/>
      <c r="H88" s="384"/>
      <c r="I88" s="493"/>
      <c r="P88" s="639"/>
      <c r="Q88" s="338">
        <f t="shared" si="25"/>
        <v>0</v>
      </c>
      <c r="R88" s="455">
        <f>E506-(SUMIF(I507:I516,"OUI",G507:G516))</f>
        <v>0</v>
      </c>
      <c r="S88" s="532">
        <f>F506-(SUMIF(I507:I516,"OUI",H507:H516))</f>
        <v>0</v>
      </c>
      <c r="T88" s="532">
        <f t="shared" si="15"/>
        <v>0</v>
      </c>
      <c r="U88" s="635"/>
      <c r="V88" s="547">
        <f t="shared" si="26"/>
        <v>0</v>
      </c>
      <c r="W88" s="455">
        <f t="shared" si="27"/>
        <v>0</v>
      </c>
      <c r="X88" s="532">
        <f t="shared" si="28"/>
        <v>0</v>
      </c>
      <c r="Y88" s="635"/>
      <c r="Z88" s="547">
        <f t="shared" si="16"/>
        <v>0</v>
      </c>
      <c r="AA88" s="455">
        <f>E506</f>
        <v>0</v>
      </c>
      <c r="AB88" s="564">
        <f>F506</f>
        <v>0</v>
      </c>
      <c r="AC88" s="635"/>
      <c r="AD88" s="547">
        <f t="shared" si="13"/>
        <v>0</v>
      </c>
      <c r="AE88" s="582">
        <f>SUMIF($G$987:$G$996,"Cotraitant 7 Tranche Optionnelle 3",$E$987:$E$996)</f>
        <v>0</v>
      </c>
      <c r="AF88" s="582">
        <f>SUMIF($G$987:$G$996,"Cotraitant 7 Tranche Optionnelle 3",$F$987:$F$996)</f>
        <v>0</v>
      </c>
    </row>
    <row r="89" spans="1:32" hidden="1" x14ac:dyDescent="0.3">
      <c r="A89" s="600"/>
      <c r="B89" s="385"/>
      <c r="C89" s="382"/>
      <c r="D89" s="200" t="str">
        <f>B89&amp;" "&amp;C89&amp;" "&amp;"("&amp;$B$68&amp;")"</f>
        <v xml:space="preserve">  (Cotraitant 1)</v>
      </c>
      <c r="E89" s="133"/>
      <c r="F89" s="608"/>
      <c r="G89" s="384"/>
      <c r="H89" s="384"/>
      <c r="I89" s="493"/>
      <c r="P89" s="640"/>
      <c r="Q89" s="338">
        <f t="shared" si="25"/>
        <v>0</v>
      </c>
      <c r="R89" s="455">
        <f>E519-(SUMIF(I520:I529,"OUI",G520:G529))</f>
        <v>0</v>
      </c>
      <c r="S89" s="532">
        <f>F519-(SUMIF(I520:I529,"OUI",H520:H529))</f>
        <v>0</v>
      </c>
      <c r="T89" s="532">
        <f t="shared" si="15"/>
        <v>0</v>
      </c>
      <c r="U89" s="636"/>
      <c r="V89" s="547">
        <f t="shared" si="26"/>
        <v>0</v>
      </c>
      <c r="W89" s="455">
        <f t="shared" si="27"/>
        <v>0</v>
      </c>
      <c r="X89" s="532">
        <f t="shared" si="28"/>
        <v>0</v>
      </c>
      <c r="Y89" s="636"/>
      <c r="Z89" s="547">
        <f t="shared" si="16"/>
        <v>0</v>
      </c>
      <c r="AA89" s="455">
        <f>E519</f>
        <v>0</v>
      </c>
      <c r="AB89" s="564">
        <f>F519</f>
        <v>0</v>
      </c>
      <c r="AC89" s="636"/>
      <c r="AD89" s="547">
        <f t="shared" si="13"/>
        <v>0</v>
      </c>
      <c r="AE89" s="582">
        <f>SUMIF($G$1000:$G$1009,"Cotraitant 8 Tranche Optionnelle 3",$E$1000:$E$1009)</f>
        <v>0</v>
      </c>
      <c r="AF89" s="582">
        <f>SUMIF($G$1000:$G$1009,"Cotraitant 8 Tranche Optionnelle 3",$F$1000:$F$1009)</f>
        <v>0</v>
      </c>
    </row>
    <row r="90" spans="1:32" hidden="1" x14ac:dyDescent="0.3">
      <c r="A90" s="600"/>
      <c r="B90" s="385"/>
      <c r="C90" s="382"/>
      <c r="D90" s="200" t="str">
        <f>B90&amp;" "&amp;C90&amp;" "&amp;"("&amp;$B$68&amp;")"</f>
        <v xml:space="preserve">  (Cotraitant 1)</v>
      </c>
      <c r="E90" s="133"/>
      <c r="F90" s="608"/>
      <c r="G90" s="384"/>
      <c r="H90" s="384"/>
      <c r="I90" s="493"/>
      <c r="P90" s="638" t="s">
        <v>504</v>
      </c>
      <c r="Q90" s="338" t="str">
        <f t="shared" ref="Q90:Q98" si="29">C5</f>
        <v>yy</v>
      </c>
      <c r="R90" s="455">
        <f>E535-(SUMIF(I536:I545,"OUI",G536:G545))</f>
        <v>0</v>
      </c>
      <c r="S90" s="532">
        <f>F535-(SUMIF(I536:I545,"OUI",H536:H545))</f>
        <v>0</v>
      </c>
      <c r="T90" s="532">
        <f t="shared" si="15"/>
        <v>0</v>
      </c>
      <c r="U90" s="634" t="s">
        <v>498</v>
      </c>
      <c r="V90" s="547" t="str">
        <f t="shared" ref="V90:V98" si="30">C5</f>
        <v>yy</v>
      </c>
      <c r="W90" s="455">
        <f t="shared" ref="W90:W98" si="31">IF($F$532="OUI",R90,0)</f>
        <v>0</v>
      </c>
      <c r="X90" s="532">
        <f t="shared" ref="X90:X98" si="32">IF($F$532="OUI",S90,0)</f>
        <v>0</v>
      </c>
      <c r="Y90" s="634" t="s">
        <v>498</v>
      </c>
      <c r="Z90" s="547" t="str">
        <f t="shared" si="16"/>
        <v>yy</v>
      </c>
      <c r="AA90" s="455">
        <f>E535</f>
        <v>0</v>
      </c>
      <c r="AB90" s="564">
        <f>F535</f>
        <v>0</v>
      </c>
      <c r="AC90" s="634" t="s">
        <v>498</v>
      </c>
      <c r="AD90" s="547" t="str">
        <f t="shared" si="13"/>
        <v>yy</v>
      </c>
      <c r="AE90" s="582">
        <f>SUMIF($G$896:$G$905,"Titulaire Tranche Optionnelle 4",$E$896:$E$905)</f>
        <v>0</v>
      </c>
      <c r="AF90" s="582">
        <f>SUMIF($G$896:$G$905,"Titulaire Tranche Optionnelle 4",$F$896:$F$905)</f>
        <v>0</v>
      </c>
    </row>
    <row r="91" spans="1:32" ht="19.5" hidden="1" thickBot="1" x14ac:dyDescent="0.35">
      <c r="A91" s="601"/>
      <c r="B91" s="385"/>
      <c r="C91" s="382"/>
      <c r="D91" s="200" t="str">
        <f>B91&amp;" "&amp;C91&amp;" "&amp;"("&amp;$B$68&amp;")"</f>
        <v xml:space="preserve">  (Cotraitant 1)</v>
      </c>
      <c r="E91" s="134"/>
      <c r="F91" s="609"/>
      <c r="G91" s="384"/>
      <c r="H91" s="384"/>
      <c r="I91" s="493"/>
      <c r="P91" s="639"/>
      <c r="Q91" s="338">
        <f t="shared" si="29"/>
        <v>0</v>
      </c>
      <c r="R91" s="455">
        <f>E548-(SUMIF(I549:I558,"OUI",G549:G558))</f>
        <v>0</v>
      </c>
      <c r="S91" s="532">
        <f>F548-(SUMIF(I549:I558,"OUI",H549:H558))</f>
        <v>0</v>
      </c>
      <c r="T91" s="532">
        <f t="shared" si="15"/>
        <v>0</v>
      </c>
      <c r="U91" s="635"/>
      <c r="V91" s="547">
        <f t="shared" si="30"/>
        <v>0</v>
      </c>
      <c r="W91" s="455">
        <f t="shared" si="31"/>
        <v>0</v>
      </c>
      <c r="X91" s="532">
        <f t="shared" si="32"/>
        <v>0</v>
      </c>
      <c r="Y91" s="635"/>
      <c r="Z91" s="547">
        <f t="shared" si="16"/>
        <v>0</v>
      </c>
      <c r="AA91" s="455">
        <f>E548</f>
        <v>0</v>
      </c>
      <c r="AB91" s="564">
        <f>F548</f>
        <v>0</v>
      </c>
      <c r="AC91" s="635"/>
      <c r="AD91" s="547">
        <f t="shared" si="13"/>
        <v>0</v>
      </c>
      <c r="AE91" s="582">
        <f>SUMIF($G$909:$G$918,"Cotraitant 1 Tranche Optionnelle 4",$E$909:$E$918)</f>
        <v>0</v>
      </c>
      <c r="AF91" s="582">
        <f>SUMIF($G$909:$G$918,"Cotraitant 1 Tranche Optionnelle 4",$F$909:$F$918)</f>
        <v>0</v>
      </c>
    </row>
    <row r="92" spans="1:32" hidden="1" x14ac:dyDescent="0.3">
      <c r="A92" s="599" t="s">
        <v>244</v>
      </c>
      <c r="B92" s="602" t="s">
        <v>34</v>
      </c>
      <c r="C92" s="603" t="s">
        <v>35</v>
      </c>
      <c r="D92" s="197"/>
      <c r="E92" s="514" t="s">
        <v>242</v>
      </c>
      <c r="F92" s="515" t="str">
        <f>E92</f>
        <v>Montant intial TVA</v>
      </c>
      <c r="G92" s="180" t="s">
        <v>220</v>
      </c>
      <c r="H92" s="181" t="s">
        <v>220</v>
      </c>
      <c r="I92" s="604" t="s">
        <v>420</v>
      </c>
      <c r="P92" s="639"/>
      <c r="Q92" s="338">
        <f t="shared" si="29"/>
        <v>0</v>
      </c>
      <c r="R92" s="455">
        <f>E561-(SUMIF(I562:I571,"OUI",G562:G571))</f>
        <v>0</v>
      </c>
      <c r="S92" s="532">
        <f>F561-(SUMIF(I562:I571,"OUI",H562:H571))</f>
        <v>0</v>
      </c>
      <c r="T92" s="532">
        <f t="shared" si="15"/>
        <v>0</v>
      </c>
      <c r="U92" s="635"/>
      <c r="V92" s="547">
        <f t="shared" si="30"/>
        <v>0</v>
      </c>
      <c r="W92" s="455">
        <f t="shared" si="31"/>
        <v>0</v>
      </c>
      <c r="X92" s="532">
        <f t="shared" si="32"/>
        <v>0</v>
      </c>
      <c r="Y92" s="635"/>
      <c r="Z92" s="547">
        <f t="shared" si="16"/>
        <v>0</v>
      </c>
      <c r="AA92" s="455">
        <f>E561</f>
        <v>0</v>
      </c>
      <c r="AB92" s="564">
        <f>F561</f>
        <v>0</v>
      </c>
      <c r="AC92" s="635"/>
      <c r="AD92" s="547">
        <f t="shared" si="13"/>
        <v>0</v>
      </c>
      <c r="AE92" s="582">
        <f>SUMIF($G$922:$G$931,"Cotraitant 2 Tranche Optionelle 4",$E$922:$E$931)</f>
        <v>0</v>
      </c>
      <c r="AF92" s="582">
        <f>SUMIF($G$922:$G$931,"Cotraitant 2 Tranche Optionnelle 4",$F$922:$F$931)</f>
        <v>0</v>
      </c>
    </row>
    <row r="93" spans="1:32" ht="18.75" hidden="1" customHeight="1" x14ac:dyDescent="0.3">
      <c r="A93" s="600"/>
      <c r="B93" s="602"/>
      <c r="C93" s="603"/>
      <c r="D93" s="198"/>
      <c r="E93" s="512">
        <f>$C$24</f>
        <v>0.2</v>
      </c>
      <c r="F93" s="513">
        <f>$E$24</f>
        <v>0.1</v>
      </c>
      <c r="G93" s="182" t="str">
        <f>"TVA"&amp;" "&amp;$C$24*100&amp;"%"</f>
        <v>TVA 20%</v>
      </c>
      <c r="H93" s="182" t="str">
        <f>"TVA"&amp;" "&amp;$E$24*100&amp;"%"</f>
        <v>TVA 10%</v>
      </c>
      <c r="I93" s="605"/>
      <c r="P93" s="639"/>
      <c r="Q93" s="338">
        <f t="shared" si="29"/>
        <v>0</v>
      </c>
      <c r="R93" s="455">
        <f>E574-(SUMIF(I575:I584,"OUI",G575:G584))</f>
        <v>0</v>
      </c>
      <c r="S93" s="532">
        <f>F574-(SUMIF(I575:I584,"OUI",H575:H584))</f>
        <v>0</v>
      </c>
      <c r="T93" s="532">
        <f t="shared" ref="T93:T116" si="33">R93+S93</f>
        <v>0</v>
      </c>
      <c r="U93" s="635"/>
      <c r="V93" s="547">
        <f t="shared" si="30"/>
        <v>0</v>
      </c>
      <c r="W93" s="455">
        <f t="shared" si="31"/>
        <v>0</v>
      </c>
      <c r="X93" s="532">
        <f t="shared" si="32"/>
        <v>0</v>
      </c>
      <c r="Y93" s="635"/>
      <c r="Z93" s="547">
        <f t="shared" ref="Z93:Z125" si="34">V93</f>
        <v>0</v>
      </c>
      <c r="AA93" s="455">
        <f>E574</f>
        <v>0</v>
      </c>
      <c r="AB93" s="564">
        <f>F574</f>
        <v>0</v>
      </c>
      <c r="AC93" s="635"/>
      <c r="AD93" s="547">
        <f t="shared" si="13"/>
        <v>0</v>
      </c>
      <c r="AE93" s="582">
        <f>SUMIF($G$935:$G$944,"Cotraitant 3 Tranche Optionelle 4",$E$935:$E$944)</f>
        <v>0</v>
      </c>
      <c r="AF93" s="582">
        <f>SUMIF($G$935:$G$944,"Cotraitant 3 Tranche Optionnelle 4",$F$935:$F$944)</f>
        <v>0</v>
      </c>
    </row>
    <row r="94" spans="1:32" ht="19.5" hidden="1" thickBot="1" x14ac:dyDescent="0.35">
      <c r="A94" s="600"/>
      <c r="B94" s="186" t="str">
        <f>$B$8</f>
        <v>Cotraitant 3</v>
      </c>
      <c r="C94" s="520">
        <f>$C$8</f>
        <v>0</v>
      </c>
      <c r="D94" s="179"/>
      <c r="E94" s="430"/>
      <c r="F94" s="430"/>
      <c r="G94" s="183">
        <f>E94-SUM(G95:G104)</f>
        <v>0</v>
      </c>
      <c r="H94" s="184">
        <f>F94-SUM(H95:H104)</f>
        <v>0</v>
      </c>
      <c r="I94" s="606"/>
      <c r="P94" s="639"/>
      <c r="Q94" s="338">
        <f t="shared" si="29"/>
        <v>0</v>
      </c>
      <c r="R94" s="455">
        <f>E587-(SUMIF(I588:I597,"OUI",G588:G597))</f>
        <v>0</v>
      </c>
      <c r="S94" s="532">
        <f>F587-(SUMIF(I588:I597,"OUI",H588:H597))</f>
        <v>0</v>
      </c>
      <c r="T94" s="532">
        <f t="shared" si="33"/>
        <v>0</v>
      </c>
      <c r="U94" s="635"/>
      <c r="V94" s="547">
        <f t="shared" si="30"/>
        <v>0</v>
      </c>
      <c r="W94" s="455">
        <f t="shared" si="31"/>
        <v>0</v>
      </c>
      <c r="X94" s="532">
        <f t="shared" si="32"/>
        <v>0</v>
      </c>
      <c r="Y94" s="635"/>
      <c r="Z94" s="547">
        <f t="shared" si="34"/>
        <v>0</v>
      </c>
      <c r="AA94" s="455">
        <f>E587</f>
        <v>0</v>
      </c>
      <c r="AB94" s="564">
        <f>F587</f>
        <v>0</v>
      </c>
      <c r="AC94" s="635"/>
      <c r="AD94" s="547">
        <f t="shared" si="13"/>
        <v>0</v>
      </c>
      <c r="AE94" s="582">
        <f>SUMIF($G$948:$G$957,"Cotraitant 4 Tranche Optionnelle 4",$E$948:$E$957)</f>
        <v>0</v>
      </c>
      <c r="AF94" s="582">
        <f>SUMIF($G$948:$G$957,"Cotraitant 4 Tranche Optionnelle 4",$F$948:$F$957)</f>
        <v>0</v>
      </c>
    </row>
    <row r="95" spans="1:32" hidden="1" x14ac:dyDescent="0.3">
      <c r="A95" s="600"/>
      <c r="B95" s="385"/>
      <c r="C95" s="382"/>
      <c r="D95" s="200" t="str">
        <f>B95&amp;" "&amp;C95&amp;" "&amp;"("&amp;$B$68&amp;")"</f>
        <v xml:space="preserve">  (Cotraitant 1)</v>
      </c>
      <c r="E95" s="132"/>
      <c r="F95" s="607" t="s">
        <v>243</v>
      </c>
      <c r="G95" s="383"/>
      <c r="H95" s="383"/>
      <c r="I95" s="493"/>
      <c r="P95" s="639"/>
      <c r="Q95" s="338">
        <f t="shared" si="29"/>
        <v>0</v>
      </c>
      <c r="R95" s="455">
        <f>E600-(SUMIF(I601:I610,"OUI",G601:G610))</f>
        <v>0</v>
      </c>
      <c r="S95" s="532">
        <f>F600-(SUMIF(I601:I610,"OUI",H601:H610))</f>
        <v>0</v>
      </c>
      <c r="T95" s="532">
        <f t="shared" si="33"/>
        <v>0</v>
      </c>
      <c r="U95" s="635"/>
      <c r="V95" s="547">
        <f t="shared" si="30"/>
        <v>0</v>
      </c>
      <c r="W95" s="455">
        <f t="shared" si="31"/>
        <v>0</v>
      </c>
      <c r="X95" s="532">
        <f t="shared" si="32"/>
        <v>0</v>
      </c>
      <c r="Y95" s="635"/>
      <c r="Z95" s="547">
        <f t="shared" si="34"/>
        <v>0</v>
      </c>
      <c r="AA95" s="455">
        <f>E600</f>
        <v>0</v>
      </c>
      <c r="AB95" s="564">
        <f>F600</f>
        <v>0</v>
      </c>
      <c r="AC95" s="635"/>
      <c r="AD95" s="547">
        <f t="shared" si="13"/>
        <v>0</v>
      </c>
      <c r="AE95" s="582">
        <f>SUMIF($G$961:$G$970,"Cotraitant 5 Tranche Optionnelle 4",$E$961:$E$970)</f>
        <v>0</v>
      </c>
      <c r="AF95" s="582">
        <f>SUMIF($G$961:$G$970,"Cotraitant 5 Tranche Optionnelle 4",$F$961:$F$970)</f>
        <v>0</v>
      </c>
    </row>
    <row r="96" spans="1:32" hidden="1" x14ac:dyDescent="0.3">
      <c r="A96" s="600"/>
      <c r="B96" s="385"/>
      <c r="C96" s="382"/>
      <c r="D96" s="558"/>
      <c r="E96" s="133"/>
      <c r="F96" s="608"/>
      <c r="G96" s="383"/>
      <c r="H96" s="383"/>
      <c r="I96" s="493"/>
      <c r="P96" s="639"/>
      <c r="Q96" s="338">
        <f t="shared" si="29"/>
        <v>0</v>
      </c>
      <c r="R96" s="455">
        <f>E613-(SUMIF(I614:I623,"OUI",G614:G623))</f>
        <v>0</v>
      </c>
      <c r="S96" s="532">
        <f>F613-(SUMIF(I614:I623,"OUI",H614:H623))</f>
        <v>0</v>
      </c>
      <c r="T96" s="532">
        <f t="shared" si="33"/>
        <v>0</v>
      </c>
      <c r="U96" s="635"/>
      <c r="V96" s="547">
        <f t="shared" si="30"/>
        <v>0</v>
      </c>
      <c r="W96" s="455">
        <f t="shared" si="31"/>
        <v>0</v>
      </c>
      <c r="X96" s="532">
        <f t="shared" si="32"/>
        <v>0</v>
      </c>
      <c r="Y96" s="635"/>
      <c r="Z96" s="547">
        <f t="shared" si="34"/>
        <v>0</v>
      </c>
      <c r="AA96" s="455">
        <f>E613</f>
        <v>0</v>
      </c>
      <c r="AB96" s="564">
        <f>F613</f>
        <v>0</v>
      </c>
      <c r="AC96" s="635"/>
      <c r="AD96" s="547">
        <f t="shared" si="13"/>
        <v>0</v>
      </c>
      <c r="AE96" s="582">
        <f>SUMIF($G$974:$G$983,"Cotraitant 6 Tranche Optionnelle 4",$E$974:$E$983)</f>
        <v>0</v>
      </c>
      <c r="AF96" s="582">
        <f>SUMIF($G$974:$G$983,"Cotraitant 6 Tranche Optionnelle 4",$F$974:$F$983)</f>
        <v>0</v>
      </c>
    </row>
    <row r="97" spans="1:32" hidden="1" x14ac:dyDescent="0.3">
      <c r="A97" s="600"/>
      <c r="B97" s="385"/>
      <c r="C97" s="382"/>
      <c r="D97" s="558"/>
      <c r="E97" s="133"/>
      <c r="F97" s="608"/>
      <c r="G97" s="383"/>
      <c r="H97" s="383"/>
      <c r="I97" s="493"/>
      <c r="P97" s="639"/>
      <c r="Q97" s="338">
        <f t="shared" si="29"/>
        <v>0</v>
      </c>
      <c r="R97" s="455">
        <f>E626-(SUMIF(I627:I636,"OUI",G627:G636))</f>
        <v>0</v>
      </c>
      <c r="S97" s="532">
        <f>F626-(SUMIF(I627:I636,"OUI",H627:H636))</f>
        <v>0</v>
      </c>
      <c r="T97" s="532">
        <f t="shared" si="33"/>
        <v>0</v>
      </c>
      <c r="U97" s="635"/>
      <c r="V97" s="547">
        <f t="shared" si="30"/>
        <v>0</v>
      </c>
      <c r="W97" s="455">
        <f t="shared" si="31"/>
        <v>0</v>
      </c>
      <c r="X97" s="532">
        <f t="shared" si="32"/>
        <v>0</v>
      </c>
      <c r="Y97" s="635"/>
      <c r="Z97" s="547">
        <f t="shared" si="34"/>
        <v>0</v>
      </c>
      <c r="AA97" s="455">
        <f>E626</f>
        <v>0</v>
      </c>
      <c r="AB97" s="564">
        <f>F626</f>
        <v>0</v>
      </c>
      <c r="AC97" s="635"/>
      <c r="AD97" s="547">
        <f t="shared" si="13"/>
        <v>0</v>
      </c>
      <c r="AE97" s="582">
        <f>SUMIF($G$987:$G$996,"Cotraitant 7 Tranche Optionnelle 4",$E$987:$E$996)</f>
        <v>0</v>
      </c>
      <c r="AF97" s="582">
        <f>SUMIF($G$987:$G$996,"Cotraitant 7 Tranche Optionnelle 4",$F$987:$F$996)</f>
        <v>0</v>
      </c>
    </row>
    <row r="98" spans="1:32" hidden="1" x14ac:dyDescent="0.3">
      <c r="A98" s="600"/>
      <c r="B98" s="385"/>
      <c r="C98" s="382"/>
      <c r="D98" s="558"/>
      <c r="E98" s="133"/>
      <c r="F98" s="608"/>
      <c r="G98" s="383"/>
      <c r="H98" s="383"/>
      <c r="I98" s="493"/>
      <c r="P98" s="640"/>
      <c r="Q98" s="338">
        <f t="shared" si="29"/>
        <v>0</v>
      </c>
      <c r="R98" s="455">
        <f>E639-(SUMIF(I640:I649,"OUI",G640:G649))</f>
        <v>0</v>
      </c>
      <c r="S98" s="532">
        <f>F639-(SUMIF(I640:I649,"OUI",H640:H649))</f>
        <v>0</v>
      </c>
      <c r="T98" s="532">
        <f t="shared" si="33"/>
        <v>0</v>
      </c>
      <c r="U98" s="636"/>
      <c r="V98" s="547">
        <f t="shared" si="30"/>
        <v>0</v>
      </c>
      <c r="W98" s="455">
        <f t="shared" si="31"/>
        <v>0</v>
      </c>
      <c r="X98" s="532">
        <f t="shared" si="32"/>
        <v>0</v>
      </c>
      <c r="Y98" s="636"/>
      <c r="Z98" s="547">
        <f t="shared" si="34"/>
        <v>0</v>
      </c>
      <c r="AA98" s="455">
        <f>E639</f>
        <v>0</v>
      </c>
      <c r="AB98" s="564">
        <f>F639</f>
        <v>0</v>
      </c>
      <c r="AC98" s="636"/>
      <c r="AD98" s="547">
        <f t="shared" si="13"/>
        <v>0</v>
      </c>
      <c r="AE98" s="582">
        <f>SUMIF($G$1000:$G$1009,"Cotraitant 8 Tranche Optionnelle 4",$E$1000:$E$1009)</f>
        <v>0</v>
      </c>
      <c r="AF98" s="582">
        <f>SUMIF($G$1000:$G$1009,"Cotraitant 8 Tranche Optionnelle 4",$F$1000:$F$1009)</f>
        <v>0</v>
      </c>
    </row>
    <row r="99" spans="1:32" hidden="1" x14ac:dyDescent="0.3">
      <c r="A99" s="600"/>
      <c r="B99" s="385"/>
      <c r="C99" s="382"/>
      <c r="D99" s="558"/>
      <c r="E99" s="133"/>
      <c r="F99" s="608"/>
      <c r="G99" s="383"/>
      <c r="H99" s="383"/>
      <c r="I99" s="493"/>
      <c r="P99" s="638" t="s">
        <v>505</v>
      </c>
      <c r="Q99" s="338" t="str">
        <f t="shared" ref="Q99:Q107" si="35">+C5</f>
        <v>yy</v>
      </c>
      <c r="R99" s="455">
        <f>E655-(SUMIF(I656:I665,"OUI",G656:G665))</f>
        <v>0</v>
      </c>
      <c r="S99" s="532">
        <f>F655-(SUMIF(I656:I665,"OUI",H656:H665))</f>
        <v>0</v>
      </c>
      <c r="T99" s="532">
        <f t="shared" si="33"/>
        <v>0</v>
      </c>
      <c r="U99" s="634" t="s">
        <v>499</v>
      </c>
      <c r="V99" s="547" t="str">
        <f t="shared" ref="V99:V107" si="36">C5</f>
        <v>yy</v>
      </c>
      <c r="W99" s="455">
        <f t="shared" ref="W99:W107" si="37">IF($F$652="OUI",R99,0)</f>
        <v>0</v>
      </c>
      <c r="X99" s="532">
        <f t="shared" ref="X99:X107" si="38">IF($F$652="OUI",S99,0)</f>
        <v>0</v>
      </c>
      <c r="Y99" s="634" t="s">
        <v>499</v>
      </c>
      <c r="Z99" s="547" t="str">
        <f t="shared" si="34"/>
        <v>yy</v>
      </c>
      <c r="AA99" s="455">
        <f>E655</f>
        <v>0</v>
      </c>
      <c r="AB99" s="564">
        <f>F655</f>
        <v>0</v>
      </c>
      <c r="AC99" s="634" t="s">
        <v>499</v>
      </c>
      <c r="AD99" s="547" t="str">
        <f t="shared" si="13"/>
        <v>yy</v>
      </c>
      <c r="AE99" s="582">
        <f>SUMIF($G$896:$G$905,"Titulaire Tranche Optionnelle 5",$E$896:$E$905)</f>
        <v>0</v>
      </c>
      <c r="AF99" s="582">
        <f>SUMIF($G$896:$G$905,"Titulaire Tranche Optionnelle 5",$F$896:$F$905)</f>
        <v>0</v>
      </c>
    </row>
    <row r="100" spans="1:32" hidden="1" x14ac:dyDescent="0.3">
      <c r="A100" s="600"/>
      <c r="B100" s="385"/>
      <c r="C100" s="382"/>
      <c r="D100" s="200" t="str">
        <f>B100&amp;" "&amp;C100&amp;" "&amp;"("&amp;$B$68&amp;")"</f>
        <v xml:space="preserve">  (Cotraitant 1)</v>
      </c>
      <c r="E100" s="133"/>
      <c r="F100" s="608"/>
      <c r="G100" s="384"/>
      <c r="H100" s="384"/>
      <c r="I100" s="493"/>
      <c r="P100" s="639"/>
      <c r="Q100" s="338">
        <f t="shared" si="35"/>
        <v>0</v>
      </c>
      <c r="R100" s="455">
        <f>E668-(SUMIF(I669:I678,"OUI",G669:G678))</f>
        <v>0</v>
      </c>
      <c r="S100" s="532">
        <f>F668-(SUMIF(I669:I678,"OUI",H669:H678))</f>
        <v>0</v>
      </c>
      <c r="T100" s="532">
        <f t="shared" si="33"/>
        <v>0</v>
      </c>
      <c r="U100" s="635"/>
      <c r="V100" s="547">
        <f t="shared" si="36"/>
        <v>0</v>
      </c>
      <c r="W100" s="455">
        <f t="shared" si="37"/>
        <v>0</v>
      </c>
      <c r="X100" s="532">
        <f t="shared" si="38"/>
        <v>0</v>
      </c>
      <c r="Y100" s="635"/>
      <c r="Z100" s="547">
        <f t="shared" si="34"/>
        <v>0</v>
      </c>
      <c r="AA100" s="455">
        <f>E668</f>
        <v>0</v>
      </c>
      <c r="AB100" s="564">
        <f>F668</f>
        <v>0</v>
      </c>
      <c r="AC100" s="635"/>
      <c r="AD100" s="547">
        <f t="shared" si="13"/>
        <v>0</v>
      </c>
      <c r="AE100" s="582">
        <f>SUMIF($G$909:$G$918,"Cotraitant 1 Tranche Optionnelle 5",$E$909:$E$918)</f>
        <v>0</v>
      </c>
      <c r="AF100" s="582">
        <f>SUMIF($G$909:$G$918,"Cotraitant 1 Tranche Optionnelle 5",$F$909:$F$918)</f>
        <v>0</v>
      </c>
    </row>
    <row r="101" spans="1:32" hidden="1" x14ac:dyDescent="0.3">
      <c r="A101" s="600"/>
      <c r="B101" s="385"/>
      <c r="C101" s="382"/>
      <c r="D101" s="200" t="str">
        <f>B101&amp;" "&amp;C101&amp;" "&amp;"("&amp;$B$68&amp;")"</f>
        <v xml:space="preserve">  (Cotraitant 1)</v>
      </c>
      <c r="E101" s="133"/>
      <c r="F101" s="608"/>
      <c r="G101" s="384"/>
      <c r="H101" s="384"/>
      <c r="I101" s="493"/>
      <c r="P101" s="639"/>
      <c r="Q101" s="338">
        <f t="shared" si="35"/>
        <v>0</v>
      </c>
      <c r="R101" s="455">
        <f>E681-(SUMIF(I682:I691,"OUI",G682:G691))</f>
        <v>0</v>
      </c>
      <c r="S101" s="532">
        <f>F681-(SUMIF(I682:I691,"OUI",H682:H691))</f>
        <v>0</v>
      </c>
      <c r="T101" s="532">
        <f t="shared" si="33"/>
        <v>0</v>
      </c>
      <c r="U101" s="635"/>
      <c r="V101" s="547">
        <f t="shared" si="36"/>
        <v>0</v>
      </c>
      <c r="W101" s="455">
        <f t="shared" si="37"/>
        <v>0</v>
      </c>
      <c r="X101" s="532">
        <f t="shared" si="38"/>
        <v>0</v>
      </c>
      <c r="Y101" s="635"/>
      <c r="Z101" s="547">
        <f t="shared" si="34"/>
        <v>0</v>
      </c>
      <c r="AA101" s="455">
        <f>E681</f>
        <v>0</v>
      </c>
      <c r="AB101" s="564">
        <f>F681</f>
        <v>0</v>
      </c>
      <c r="AC101" s="635"/>
      <c r="AD101" s="547">
        <f t="shared" si="13"/>
        <v>0</v>
      </c>
      <c r="AE101" s="582">
        <f>SUMIF($G$922:$G$931,"Cotraitant 2 Tranche Optionnelle 5",$E$922:$E$931)</f>
        <v>0</v>
      </c>
      <c r="AF101" s="582">
        <f>SUMIF($G$922:$G$931,"Cotraitant 2 Tranche Optionnelle 5",$F$922:$F$931)</f>
        <v>0</v>
      </c>
    </row>
    <row r="102" spans="1:32" hidden="1" x14ac:dyDescent="0.3">
      <c r="A102" s="600"/>
      <c r="B102" s="385"/>
      <c r="C102" s="382"/>
      <c r="D102" s="200" t="str">
        <f>B102&amp;" "&amp;C102&amp;" "&amp;"("&amp;$B$68&amp;")"</f>
        <v xml:space="preserve">  (Cotraitant 1)</v>
      </c>
      <c r="E102" s="133"/>
      <c r="F102" s="608"/>
      <c r="G102" s="384"/>
      <c r="H102" s="384"/>
      <c r="I102" s="493"/>
      <c r="P102" s="639"/>
      <c r="Q102" s="338">
        <f t="shared" si="35"/>
        <v>0</v>
      </c>
      <c r="R102" s="455">
        <f>E694-(SUMIF(I695:I704,"OUI",G695:G704))</f>
        <v>0</v>
      </c>
      <c r="S102" s="532">
        <f>F694-(SUMIF(I695:I704,"OUI",H695:H704))</f>
        <v>0</v>
      </c>
      <c r="T102" s="532">
        <f t="shared" si="33"/>
        <v>0</v>
      </c>
      <c r="U102" s="635"/>
      <c r="V102" s="547">
        <f t="shared" si="36"/>
        <v>0</v>
      </c>
      <c r="W102" s="455">
        <f t="shared" si="37"/>
        <v>0</v>
      </c>
      <c r="X102" s="532">
        <f t="shared" si="38"/>
        <v>0</v>
      </c>
      <c r="Y102" s="635"/>
      <c r="Z102" s="547">
        <f t="shared" si="34"/>
        <v>0</v>
      </c>
      <c r="AA102" s="455">
        <f>E694</f>
        <v>0</v>
      </c>
      <c r="AB102" s="564">
        <f>F694</f>
        <v>0</v>
      </c>
      <c r="AC102" s="635"/>
      <c r="AD102" s="547">
        <f t="shared" si="13"/>
        <v>0</v>
      </c>
      <c r="AE102" s="582">
        <f>SUMIF($G$935:$G$944,"Cotraitant 3 Tranche Optionnelle 5",$E$935:$E$944)</f>
        <v>0</v>
      </c>
      <c r="AF102" s="582">
        <f>SUMIF($G$935:$G$944,"Cotraitant 3 Tranche Optionnelle 5",$F$935:$F$944)</f>
        <v>0</v>
      </c>
    </row>
    <row r="103" spans="1:32" hidden="1" x14ac:dyDescent="0.3">
      <c r="A103" s="600"/>
      <c r="B103" s="385"/>
      <c r="C103" s="382"/>
      <c r="D103" s="200" t="str">
        <f>B103&amp;" "&amp;C103&amp;" "&amp;"("&amp;$B$68&amp;")"</f>
        <v xml:space="preserve">  (Cotraitant 1)</v>
      </c>
      <c r="E103" s="133"/>
      <c r="F103" s="608"/>
      <c r="G103" s="384"/>
      <c r="H103" s="384"/>
      <c r="I103" s="493"/>
      <c r="P103" s="639"/>
      <c r="Q103" s="338">
        <f t="shared" si="35"/>
        <v>0</v>
      </c>
      <c r="R103" s="455">
        <f>E707-(SUMIF(I708:I717,"OUI",G708:G717))</f>
        <v>0</v>
      </c>
      <c r="S103" s="532">
        <f>F707-(SUMIF(I708:I717,"OUI",H708:H717))</f>
        <v>0</v>
      </c>
      <c r="T103" s="532">
        <f t="shared" si="33"/>
        <v>0</v>
      </c>
      <c r="U103" s="635"/>
      <c r="V103" s="547">
        <f t="shared" si="36"/>
        <v>0</v>
      </c>
      <c r="W103" s="455">
        <f t="shared" si="37"/>
        <v>0</v>
      </c>
      <c r="X103" s="532">
        <f t="shared" si="38"/>
        <v>0</v>
      </c>
      <c r="Y103" s="635"/>
      <c r="Z103" s="547">
        <f t="shared" si="34"/>
        <v>0</v>
      </c>
      <c r="AA103" s="455">
        <f>E707</f>
        <v>0</v>
      </c>
      <c r="AB103" s="564">
        <f>F707</f>
        <v>0</v>
      </c>
      <c r="AC103" s="635"/>
      <c r="AD103" s="547">
        <f t="shared" si="13"/>
        <v>0</v>
      </c>
      <c r="AE103" s="582">
        <f>SUMIF($G$948:$G$957,"Cotraitant 4 Tranche Optionnelle 5",$E$948:$E$957)</f>
        <v>0</v>
      </c>
      <c r="AF103" s="582">
        <f>SUMIF($G$948:$G$957,"Cotraitant 4 Tranche Optionnelle 5",$F$948:$F$957)</f>
        <v>0</v>
      </c>
    </row>
    <row r="104" spans="1:32" ht="19.5" hidden="1" thickBot="1" x14ac:dyDescent="0.35">
      <c r="A104" s="601"/>
      <c r="B104" s="385"/>
      <c r="C104" s="382"/>
      <c r="D104" s="200" t="str">
        <f>B104&amp;" "&amp;C104&amp;" "&amp;"("&amp;$B$68&amp;")"</f>
        <v xml:space="preserve">  (Cotraitant 1)</v>
      </c>
      <c r="E104" s="134"/>
      <c r="F104" s="609"/>
      <c r="G104" s="384"/>
      <c r="H104" s="384"/>
      <c r="I104" s="493"/>
      <c r="P104" s="639"/>
      <c r="Q104" s="338">
        <f t="shared" si="35"/>
        <v>0</v>
      </c>
      <c r="R104" s="455">
        <f>E720-(SUMIF(I721:I730,"OUI",G721:G730))</f>
        <v>0</v>
      </c>
      <c r="S104" s="532">
        <f>F720-(SUMIF(I721:I730,"OUI",H721:H730))</f>
        <v>0</v>
      </c>
      <c r="T104" s="532">
        <f t="shared" si="33"/>
        <v>0</v>
      </c>
      <c r="U104" s="635"/>
      <c r="V104" s="547">
        <f t="shared" si="36"/>
        <v>0</v>
      </c>
      <c r="W104" s="455">
        <f t="shared" si="37"/>
        <v>0</v>
      </c>
      <c r="X104" s="532">
        <f t="shared" si="38"/>
        <v>0</v>
      </c>
      <c r="Y104" s="635"/>
      <c r="Z104" s="547">
        <f t="shared" si="34"/>
        <v>0</v>
      </c>
      <c r="AA104" s="455">
        <f>E720</f>
        <v>0</v>
      </c>
      <c r="AB104" s="564">
        <f>F720</f>
        <v>0</v>
      </c>
      <c r="AC104" s="635"/>
      <c r="AD104" s="547">
        <f t="shared" si="13"/>
        <v>0</v>
      </c>
      <c r="AE104" s="582">
        <f>SUMIF($G$961:$G$970,"Cotraitant 5 Tranche Optionnelle 5",$E$961:$E$970)</f>
        <v>0</v>
      </c>
      <c r="AF104" s="582">
        <f>SUMIF($G$961:$G$970,"Cotraitant 5 Tranche Optionnelle 5",$F$961:$F$970)</f>
        <v>0</v>
      </c>
    </row>
    <row r="105" spans="1:32" hidden="1" x14ac:dyDescent="0.3">
      <c r="A105" s="599" t="s">
        <v>244</v>
      </c>
      <c r="B105" s="602" t="s">
        <v>34</v>
      </c>
      <c r="C105" s="603" t="s">
        <v>35</v>
      </c>
      <c r="D105" s="197"/>
      <c r="E105" s="514" t="s">
        <v>242</v>
      </c>
      <c r="F105" s="515" t="str">
        <f>E105</f>
        <v>Montant intial TVA</v>
      </c>
      <c r="G105" s="180" t="s">
        <v>220</v>
      </c>
      <c r="H105" s="181" t="s">
        <v>220</v>
      </c>
      <c r="I105" s="604" t="s">
        <v>420</v>
      </c>
      <c r="P105" s="639"/>
      <c r="Q105" s="338">
        <f t="shared" si="35"/>
        <v>0</v>
      </c>
      <c r="R105" s="455">
        <f>E733-(SUMIF(I734:I743,"OUI",G734:G743))</f>
        <v>0</v>
      </c>
      <c r="S105" s="532">
        <f>F733-(SUMIF(I734:I743,"OUI",H734:H743))</f>
        <v>0</v>
      </c>
      <c r="T105" s="532">
        <f t="shared" si="33"/>
        <v>0</v>
      </c>
      <c r="U105" s="635"/>
      <c r="V105" s="547">
        <f t="shared" si="36"/>
        <v>0</v>
      </c>
      <c r="W105" s="455">
        <f t="shared" si="37"/>
        <v>0</v>
      </c>
      <c r="X105" s="532">
        <f t="shared" si="38"/>
        <v>0</v>
      </c>
      <c r="Y105" s="635"/>
      <c r="Z105" s="547">
        <f t="shared" si="34"/>
        <v>0</v>
      </c>
      <c r="AA105" s="455">
        <f>E733</f>
        <v>0</v>
      </c>
      <c r="AB105" s="564">
        <f>F733</f>
        <v>0</v>
      </c>
      <c r="AC105" s="635"/>
      <c r="AD105" s="547">
        <f t="shared" si="13"/>
        <v>0</v>
      </c>
      <c r="AE105" s="582">
        <f>SUMIF($G$974:$G$983,"Cotraitant 6 Tranche Optionnelle 5",$E$974:$E$983)</f>
        <v>0</v>
      </c>
      <c r="AF105" s="582">
        <f>SUMIF($G$974:$G$983,"Cotraitant 6 Tranche Optionnelle 5",$F$974:$F$983)</f>
        <v>0</v>
      </c>
    </row>
    <row r="106" spans="1:32" ht="18.75" hidden="1" customHeight="1" x14ac:dyDescent="0.3">
      <c r="A106" s="600"/>
      <c r="B106" s="602"/>
      <c r="C106" s="603"/>
      <c r="D106" s="198"/>
      <c r="E106" s="512">
        <f>$C$24</f>
        <v>0.2</v>
      </c>
      <c r="F106" s="513">
        <f>$E$24</f>
        <v>0.1</v>
      </c>
      <c r="G106" s="182" t="str">
        <f>"TVA"&amp;" "&amp;$C$24*100&amp;"%"</f>
        <v>TVA 20%</v>
      </c>
      <c r="H106" s="182" t="str">
        <f>"TVA"&amp;" "&amp;$E$24*100&amp;"%"</f>
        <v>TVA 10%</v>
      </c>
      <c r="I106" s="605"/>
      <c r="P106" s="639"/>
      <c r="Q106" s="338">
        <f t="shared" si="35"/>
        <v>0</v>
      </c>
      <c r="R106" s="455">
        <f>E746-(SUMIF(I747:I756,"OUI",G747:G756))</f>
        <v>0</v>
      </c>
      <c r="S106" s="532">
        <f>F746-(SUMIF(I747:I756,"OUI",H747:H756))</f>
        <v>0</v>
      </c>
      <c r="T106" s="532">
        <f t="shared" si="33"/>
        <v>0</v>
      </c>
      <c r="U106" s="635"/>
      <c r="V106" s="547">
        <f t="shared" si="36"/>
        <v>0</v>
      </c>
      <c r="W106" s="455">
        <f t="shared" si="37"/>
        <v>0</v>
      </c>
      <c r="X106" s="532">
        <f t="shared" si="38"/>
        <v>0</v>
      </c>
      <c r="Y106" s="635"/>
      <c r="Z106" s="547">
        <f t="shared" si="34"/>
        <v>0</v>
      </c>
      <c r="AA106" s="455">
        <f>E746</f>
        <v>0</v>
      </c>
      <c r="AB106" s="564">
        <f>F746</f>
        <v>0</v>
      </c>
      <c r="AC106" s="635"/>
      <c r="AD106" s="547">
        <f t="shared" si="13"/>
        <v>0</v>
      </c>
      <c r="AE106" s="582">
        <f>SUMIF($G$987:$G$996,"Cotraitant 7 Tranche Optionnelle 5",$E$987:$E$996)</f>
        <v>0</v>
      </c>
      <c r="AF106" s="582">
        <f>SUMIF($G$987:$G$996,"Cotraitant 7 Tranche Optionnelle 5",$F$987:$F$996)</f>
        <v>0</v>
      </c>
    </row>
    <row r="107" spans="1:32" ht="19.5" hidden="1" thickBot="1" x14ac:dyDescent="0.35">
      <c r="A107" s="600"/>
      <c r="B107" s="186" t="str">
        <f>$B$9</f>
        <v>Cotraitant 4</v>
      </c>
      <c r="C107" s="520">
        <f>$C$9</f>
        <v>0</v>
      </c>
      <c r="D107" s="179"/>
      <c r="E107" s="430"/>
      <c r="F107" s="430"/>
      <c r="G107" s="183">
        <f>E107-SUM(G108:G117)</f>
        <v>0</v>
      </c>
      <c r="H107" s="184">
        <f>F107-SUM(H108:H117)</f>
        <v>0</v>
      </c>
      <c r="I107" s="606"/>
      <c r="P107" s="640"/>
      <c r="Q107" s="338">
        <f t="shared" si="35"/>
        <v>0</v>
      </c>
      <c r="R107" s="455">
        <f>E759-(SUMIF(I760:I769,"OUI",G760:G769))</f>
        <v>0</v>
      </c>
      <c r="S107" s="532">
        <f>F759-(SUMIF(I760:I769,"OUI",H760:H769))</f>
        <v>0</v>
      </c>
      <c r="T107" s="532">
        <f t="shared" si="33"/>
        <v>0</v>
      </c>
      <c r="U107" s="636"/>
      <c r="V107" s="547">
        <f t="shared" si="36"/>
        <v>0</v>
      </c>
      <c r="W107" s="455">
        <f t="shared" si="37"/>
        <v>0</v>
      </c>
      <c r="X107" s="532">
        <f t="shared" si="38"/>
        <v>0</v>
      </c>
      <c r="Y107" s="636"/>
      <c r="Z107" s="547">
        <f t="shared" si="34"/>
        <v>0</v>
      </c>
      <c r="AA107" s="455">
        <f>E759</f>
        <v>0</v>
      </c>
      <c r="AB107" s="564">
        <f>F759</f>
        <v>0</v>
      </c>
      <c r="AC107" s="636"/>
      <c r="AD107" s="547">
        <f t="shared" si="13"/>
        <v>0</v>
      </c>
      <c r="AE107" s="582">
        <f>SUMIF($G$1000:$G$1009,"Cotraitant 8 Tranche Optionnelle 5",$E$1000:$E$1009)</f>
        <v>0</v>
      </c>
      <c r="AF107" s="582">
        <f>SUMIF($G$1000:$G$1009,"Cotraitant 8 Tranche Optionnelle 5",$F$1000:$F$1009)</f>
        <v>0</v>
      </c>
    </row>
    <row r="108" spans="1:32" hidden="1" x14ac:dyDescent="0.3">
      <c r="A108" s="600"/>
      <c r="B108" s="385"/>
      <c r="C108" s="382"/>
      <c r="D108" s="200" t="str">
        <f>B108&amp;" "&amp;C108&amp;" "&amp;"("&amp;$B$68&amp;")"</f>
        <v xml:space="preserve">  (Cotraitant 1)</v>
      </c>
      <c r="E108" s="132"/>
      <c r="F108" s="607" t="s">
        <v>243</v>
      </c>
      <c r="G108" s="383"/>
      <c r="H108" s="383"/>
      <c r="I108" s="493"/>
      <c r="P108" s="638" t="s">
        <v>506</v>
      </c>
      <c r="Q108" s="338" t="str">
        <f t="shared" ref="Q108:Q116" si="39">C5</f>
        <v>yy</v>
      </c>
      <c r="R108" s="455">
        <f>E775-(SUMIF(I776:I785,"OUI",G776:G785))</f>
        <v>0</v>
      </c>
      <c r="S108" s="455">
        <f>F775-(SUMIF(I776:I785,"OUI",H776:H785))</f>
        <v>0</v>
      </c>
      <c r="T108" s="532">
        <f t="shared" si="33"/>
        <v>0</v>
      </c>
      <c r="U108" s="634" t="s">
        <v>508</v>
      </c>
      <c r="V108" s="547" t="str">
        <f t="shared" ref="V108:V116" si="40">C5</f>
        <v>yy</v>
      </c>
      <c r="W108" s="455">
        <f t="shared" ref="W108:W116" si="41">IF($F$772="OUI",R108,0)</f>
        <v>0</v>
      </c>
      <c r="X108" s="532">
        <f t="shared" ref="X108:X116" si="42">IF($F$772="OUI",S108,0)</f>
        <v>0</v>
      </c>
      <c r="Y108" s="634" t="s">
        <v>508</v>
      </c>
      <c r="Z108" s="547" t="str">
        <f t="shared" si="34"/>
        <v>yy</v>
      </c>
      <c r="AA108" s="455">
        <f>E775</f>
        <v>0</v>
      </c>
      <c r="AB108" s="564">
        <f>F775</f>
        <v>0</v>
      </c>
      <c r="AC108" s="634" t="s">
        <v>508</v>
      </c>
      <c r="AD108" s="547" t="str">
        <f t="shared" si="13"/>
        <v>yy</v>
      </c>
      <c r="AE108" s="582">
        <f>SUMIF($G$896:$G$905,"Titulaire Tranche Optionnelle 6",$E$896:$E$905)</f>
        <v>0</v>
      </c>
      <c r="AF108" s="582">
        <f>SUMIF($G$896:$G$905,"Titulaire Tranche Optionnelle 6",$F$896:$F$905)</f>
        <v>0</v>
      </c>
    </row>
    <row r="109" spans="1:32" hidden="1" x14ac:dyDescent="0.3">
      <c r="A109" s="600"/>
      <c r="B109" s="385"/>
      <c r="C109" s="382"/>
      <c r="D109" s="558"/>
      <c r="E109" s="133"/>
      <c r="F109" s="608"/>
      <c r="G109" s="383"/>
      <c r="H109" s="383"/>
      <c r="I109" s="493"/>
      <c r="P109" s="639"/>
      <c r="Q109" s="338">
        <f t="shared" si="39"/>
        <v>0</v>
      </c>
      <c r="R109" s="455">
        <f>E788-(SUMIF(I789:I798,"OUI",G789:G798))</f>
        <v>0</v>
      </c>
      <c r="S109" s="455">
        <f>F788-(SUMIF(I789:I798,"OUI",H789:H798))</f>
        <v>0</v>
      </c>
      <c r="T109" s="532">
        <f t="shared" si="33"/>
        <v>0</v>
      </c>
      <c r="U109" s="635"/>
      <c r="V109" s="547">
        <f t="shared" si="40"/>
        <v>0</v>
      </c>
      <c r="W109" s="455">
        <f t="shared" si="41"/>
        <v>0</v>
      </c>
      <c r="X109" s="532">
        <f t="shared" si="42"/>
        <v>0</v>
      </c>
      <c r="Y109" s="635"/>
      <c r="Z109" s="547">
        <f t="shared" si="34"/>
        <v>0</v>
      </c>
      <c r="AA109" s="455">
        <f>E788</f>
        <v>0</v>
      </c>
      <c r="AB109" s="564">
        <f>F788</f>
        <v>0</v>
      </c>
      <c r="AC109" s="635"/>
      <c r="AD109" s="547">
        <f t="shared" si="13"/>
        <v>0</v>
      </c>
      <c r="AE109" s="582">
        <f>SUMIF($G$909:$G$918,"Cotraitant 1 Tranche Optionnelle 6",$E$909:$E$918)</f>
        <v>0</v>
      </c>
      <c r="AF109" s="582">
        <f>SUMIF($G$909:$G$918,"Cotraitant 1 Tranche Optionnelle 6",$F$909:$F$918)</f>
        <v>0</v>
      </c>
    </row>
    <row r="110" spans="1:32" hidden="1" x14ac:dyDescent="0.3">
      <c r="A110" s="600"/>
      <c r="B110" s="385"/>
      <c r="C110" s="382"/>
      <c r="D110" s="558"/>
      <c r="E110" s="133"/>
      <c r="F110" s="608"/>
      <c r="G110" s="383"/>
      <c r="H110" s="383"/>
      <c r="I110" s="493"/>
      <c r="P110" s="639"/>
      <c r="Q110" s="338">
        <f t="shared" si="39"/>
        <v>0</v>
      </c>
      <c r="R110" s="455">
        <f>E801-(SUMIF(I802:I811,"OUI",G802:G811))</f>
        <v>0</v>
      </c>
      <c r="S110" s="455">
        <f>F801-(SUMIF(I802:I811,"OUI",H802:H811))</f>
        <v>0</v>
      </c>
      <c r="T110" s="532">
        <f t="shared" si="33"/>
        <v>0</v>
      </c>
      <c r="U110" s="635"/>
      <c r="V110" s="547">
        <f t="shared" si="40"/>
        <v>0</v>
      </c>
      <c r="W110" s="455">
        <f t="shared" si="41"/>
        <v>0</v>
      </c>
      <c r="X110" s="532">
        <f t="shared" si="42"/>
        <v>0</v>
      </c>
      <c r="Y110" s="635"/>
      <c r="Z110" s="547">
        <f t="shared" si="34"/>
        <v>0</v>
      </c>
      <c r="AA110" s="455">
        <f>E801</f>
        <v>0</v>
      </c>
      <c r="AB110" s="564">
        <f>F801</f>
        <v>0</v>
      </c>
      <c r="AC110" s="635"/>
      <c r="AD110" s="547">
        <f t="shared" si="13"/>
        <v>0</v>
      </c>
      <c r="AE110" s="582">
        <f>SUMIF($G$922:$G$931,"Cotraitant 2 Tranche Optionnelle 6",$E$922:$E$931)</f>
        <v>0</v>
      </c>
      <c r="AF110" s="582">
        <f>SUMIF($G$922:$G$931,"Cotraitant 2 Tranche Optionnelle 6",$F$922:$F$931)</f>
        <v>0</v>
      </c>
    </row>
    <row r="111" spans="1:32" hidden="1" x14ac:dyDescent="0.3">
      <c r="A111" s="600"/>
      <c r="B111" s="385"/>
      <c r="C111" s="382"/>
      <c r="D111" s="558"/>
      <c r="E111" s="133"/>
      <c r="F111" s="608"/>
      <c r="G111" s="383"/>
      <c r="H111" s="383"/>
      <c r="I111" s="493"/>
      <c r="P111" s="639"/>
      <c r="Q111" s="338">
        <f t="shared" si="39"/>
        <v>0</v>
      </c>
      <c r="R111" s="455">
        <f>E814-(SUMIF(I815:I824,"OUI",G815:G824))</f>
        <v>0</v>
      </c>
      <c r="S111" s="455">
        <f>F814-(SUMIF(I815:I824,"OUI",H815:H824))</f>
        <v>0</v>
      </c>
      <c r="T111" s="532">
        <f t="shared" si="33"/>
        <v>0</v>
      </c>
      <c r="U111" s="635"/>
      <c r="V111" s="547">
        <f t="shared" si="40"/>
        <v>0</v>
      </c>
      <c r="W111" s="455">
        <f t="shared" si="41"/>
        <v>0</v>
      </c>
      <c r="X111" s="532">
        <f t="shared" si="42"/>
        <v>0</v>
      </c>
      <c r="Y111" s="635"/>
      <c r="Z111" s="547">
        <f t="shared" si="34"/>
        <v>0</v>
      </c>
      <c r="AA111" s="455">
        <f>E814</f>
        <v>0</v>
      </c>
      <c r="AB111" s="564">
        <f>F814</f>
        <v>0</v>
      </c>
      <c r="AC111" s="635"/>
      <c r="AD111" s="547">
        <f t="shared" si="13"/>
        <v>0</v>
      </c>
      <c r="AE111" s="582">
        <f>SUMIF($G$935:$G$944,"Cotraitant 3 Tranche Optionnelle 6",$E$935:$E$944)</f>
        <v>0</v>
      </c>
      <c r="AF111" s="582">
        <f>SUMIF($G$935:$G$944,"Cotraitant 3 Tranche Optionnelle 6",$F$935:$F$944)</f>
        <v>0</v>
      </c>
    </row>
    <row r="112" spans="1:32" hidden="1" x14ac:dyDescent="0.3">
      <c r="A112" s="600"/>
      <c r="B112" s="385"/>
      <c r="C112" s="382"/>
      <c r="D112" s="558"/>
      <c r="E112" s="133"/>
      <c r="F112" s="608"/>
      <c r="G112" s="383"/>
      <c r="H112" s="383"/>
      <c r="I112" s="493"/>
      <c r="P112" s="639"/>
      <c r="Q112" s="338">
        <f t="shared" si="39"/>
        <v>0</v>
      </c>
      <c r="R112" s="455">
        <f>E827-(SUMIF(I828:I837,"OUI",G828:G837))</f>
        <v>0</v>
      </c>
      <c r="S112" s="455">
        <f>F827-(SUMIF(I828:I837,"OUI",H828:H837))</f>
        <v>0</v>
      </c>
      <c r="T112" s="532">
        <f t="shared" si="33"/>
        <v>0</v>
      </c>
      <c r="U112" s="635"/>
      <c r="V112" s="547">
        <f t="shared" si="40"/>
        <v>0</v>
      </c>
      <c r="W112" s="455">
        <f t="shared" si="41"/>
        <v>0</v>
      </c>
      <c r="X112" s="532">
        <f t="shared" si="42"/>
        <v>0</v>
      </c>
      <c r="Y112" s="635"/>
      <c r="Z112" s="547">
        <f t="shared" si="34"/>
        <v>0</v>
      </c>
      <c r="AA112" s="455">
        <f>E827</f>
        <v>0</v>
      </c>
      <c r="AB112" s="564">
        <f>F827</f>
        <v>0</v>
      </c>
      <c r="AC112" s="635"/>
      <c r="AD112" s="547">
        <f t="shared" si="13"/>
        <v>0</v>
      </c>
      <c r="AE112" s="582">
        <f>SUMIF($G$948:$G$957,"Cotraitant 4 Tranche Optionnelle 6",$E$948:$E$957)</f>
        <v>0</v>
      </c>
      <c r="AF112" s="582">
        <f>SUMIF($G$948:$G$957,"Cotraitant 4 Tranche Optionnelle 6",$F$948:$F$957)</f>
        <v>0</v>
      </c>
    </row>
    <row r="113" spans="1:32" hidden="1" x14ac:dyDescent="0.3">
      <c r="A113" s="600"/>
      <c r="B113" s="385"/>
      <c r="C113" s="382"/>
      <c r="D113" s="200" t="str">
        <f>B113&amp;" "&amp;C113&amp;" "&amp;"("&amp;$B$68&amp;")"</f>
        <v xml:space="preserve">  (Cotraitant 1)</v>
      </c>
      <c r="E113" s="133"/>
      <c r="F113" s="608"/>
      <c r="G113" s="384"/>
      <c r="H113" s="384"/>
      <c r="I113" s="493"/>
      <c r="P113" s="639"/>
      <c r="Q113" s="338">
        <f t="shared" si="39"/>
        <v>0</v>
      </c>
      <c r="R113" s="455">
        <f>E840-(SUMIF(I841:I850,"OUI",G841:G850))</f>
        <v>0</v>
      </c>
      <c r="S113" s="455">
        <f>F840-(SUMIF(I841:I850,"OUI",H841:H850))</f>
        <v>0</v>
      </c>
      <c r="T113" s="532">
        <f t="shared" si="33"/>
        <v>0</v>
      </c>
      <c r="U113" s="635"/>
      <c r="V113" s="547">
        <f t="shared" si="40"/>
        <v>0</v>
      </c>
      <c r="W113" s="455">
        <f t="shared" si="41"/>
        <v>0</v>
      </c>
      <c r="X113" s="532">
        <f t="shared" si="42"/>
        <v>0</v>
      </c>
      <c r="Y113" s="635"/>
      <c r="Z113" s="547">
        <f t="shared" si="34"/>
        <v>0</v>
      </c>
      <c r="AA113" s="455">
        <f>E840</f>
        <v>0</v>
      </c>
      <c r="AB113" s="564">
        <f>F840</f>
        <v>0</v>
      </c>
      <c r="AC113" s="635"/>
      <c r="AD113" s="547">
        <f t="shared" si="13"/>
        <v>0</v>
      </c>
      <c r="AE113" s="582">
        <f>SUMIF($G$961:$G$970,"Cotraitant 5 Tranche Optionnelle 6",$E$961:$E$970)</f>
        <v>0</v>
      </c>
      <c r="AF113" s="582">
        <f>SUMIF($G$961:$G$970,"Cotraitant 5 Tranche Optionnelle 6",$F$961:$F$970)</f>
        <v>0</v>
      </c>
    </row>
    <row r="114" spans="1:32" hidden="1" x14ac:dyDescent="0.3">
      <c r="A114" s="600"/>
      <c r="B114" s="385"/>
      <c r="C114" s="382"/>
      <c r="D114" s="200" t="str">
        <f>B114&amp;" "&amp;C114&amp;" "&amp;"("&amp;$B$68&amp;")"</f>
        <v xml:space="preserve">  (Cotraitant 1)</v>
      </c>
      <c r="E114" s="133"/>
      <c r="F114" s="608"/>
      <c r="G114" s="384"/>
      <c r="H114" s="384"/>
      <c r="I114" s="493"/>
      <c r="P114" s="639"/>
      <c r="Q114" s="338">
        <f t="shared" si="39"/>
        <v>0</v>
      </c>
      <c r="R114" s="455">
        <f>E853-(SUMIF(I854:I863,"OUI",G854:G863))</f>
        <v>0</v>
      </c>
      <c r="S114" s="455">
        <f>F853-(SUMIF(I854:I863,"OUI",H854:H863))</f>
        <v>0</v>
      </c>
      <c r="T114" s="532">
        <f t="shared" si="33"/>
        <v>0</v>
      </c>
      <c r="U114" s="635"/>
      <c r="V114" s="547">
        <f t="shared" si="40"/>
        <v>0</v>
      </c>
      <c r="W114" s="455">
        <f t="shared" si="41"/>
        <v>0</v>
      </c>
      <c r="X114" s="532">
        <f t="shared" si="42"/>
        <v>0</v>
      </c>
      <c r="Y114" s="635"/>
      <c r="Z114" s="547">
        <f t="shared" si="34"/>
        <v>0</v>
      </c>
      <c r="AA114" s="455">
        <f>E853</f>
        <v>0</v>
      </c>
      <c r="AB114" s="564">
        <f>F853</f>
        <v>0</v>
      </c>
      <c r="AC114" s="635"/>
      <c r="AD114" s="547">
        <f t="shared" si="13"/>
        <v>0</v>
      </c>
      <c r="AE114" s="582">
        <f>SUMIF($G$974:$G$983,"Cotraitant 6 Tranche Optionnelle 6",$E$974:$E$983)</f>
        <v>0</v>
      </c>
      <c r="AF114" s="582">
        <f>SUMIF($G$974:$G$983,"Cotraitant 6 Tranche Optionnelle 6",$F$974:$F$983)</f>
        <v>0</v>
      </c>
    </row>
    <row r="115" spans="1:32" hidden="1" x14ac:dyDescent="0.3">
      <c r="A115" s="600"/>
      <c r="B115" s="385"/>
      <c r="C115" s="382"/>
      <c r="D115" s="200" t="str">
        <f>B115&amp;" "&amp;C115&amp;" "&amp;"("&amp;$B$68&amp;")"</f>
        <v xml:space="preserve">  (Cotraitant 1)</v>
      </c>
      <c r="E115" s="133"/>
      <c r="F115" s="608"/>
      <c r="G115" s="384"/>
      <c r="H115" s="384"/>
      <c r="I115" s="493"/>
      <c r="P115" s="639"/>
      <c r="Q115" s="338">
        <f t="shared" si="39"/>
        <v>0</v>
      </c>
      <c r="R115" s="455">
        <f>E866-(SUMIF(I867:I876,"OUI",G867:G876))</f>
        <v>0</v>
      </c>
      <c r="S115" s="455">
        <f>F866-(SUMIF(I867:I876,"OUI",H867:H876))</f>
        <v>0</v>
      </c>
      <c r="T115" s="532">
        <f t="shared" si="33"/>
        <v>0</v>
      </c>
      <c r="U115" s="635"/>
      <c r="V115" s="547">
        <f t="shared" si="40"/>
        <v>0</v>
      </c>
      <c r="W115" s="455">
        <f t="shared" si="41"/>
        <v>0</v>
      </c>
      <c r="X115" s="532">
        <f t="shared" si="42"/>
        <v>0</v>
      </c>
      <c r="Y115" s="635"/>
      <c r="Z115" s="547">
        <f t="shared" si="34"/>
        <v>0</v>
      </c>
      <c r="AA115" s="455">
        <f>E866</f>
        <v>0</v>
      </c>
      <c r="AB115" s="564">
        <f>F866</f>
        <v>0</v>
      </c>
      <c r="AC115" s="635"/>
      <c r="AD115" s="547">
        <f t="shared" si="13"/>
        <v>0</v>
      </c>
      <c r="AE115" s="582">
        <f>SUMIF($G$987:$G$996,"Cotraitant 7 Tranche Optionnelle 6",$E$987:$E$996)</f>
        <v>0</v>
      </c>
      <c r="AF115" s="582">
        <f>SUMIF($G$987:$G$996,"Cotraitant 7 Tranche Optionnelle 6",$F$987:$F$996)</f>
        <v>0</v>
      </c>
    </row>
    <row r="116" spans="1:32" ht="19.5" hidden="1" thickBot="1" x14ac:dyDescent="0.35">
      <c r="A116" s="600"/>
      <c r="B116" s="385"/>
      <c r="C116" s="382"/>
      <c r="D116" s="200" t="str">
        <f>B116&amp;" "&amp;C116&amp;" "&amp;"("&amp;$B$68&amp;")"</f>
        <v xml:space="preserve">  (Cotraitant 1)</v>
      </c>
      <c r="E116" s="133"/>
      <c r="F116" s="608"/>
      <c r="G116" s="384"/>
      <c r="H116" s="384"/>
      <c r="I116" s="493"/>
      <c r="P116" s="641"/>
      <c r="Q116" s="565">
        <f t="shared" si="39"/>
        <v>0</v>
      </c>
      <c r="R116" s="554">
        <f>E879-(SUMIF(I880:I889,"OUI",G880:G889))</f>
        <v>0</v>
      </c>
      <c r="S116" s="554">
        <f>F879-(SUMIF(I880:I889,"OUI",H880:H889))</f>
        <v>0</v>
      </c>
      <c r="T116" s="567">
        <f t="shared" si="33"/>
        <v>0</v>
      </c>
      <c r="U116" s="636"/>
      <c r="V116" s="547">
        <f t="shared" si="40"/>
        <v>0</v>
      </c>
      <c r="W116" s="455">
        <f t="shared" si="41"/>
        <v>0</v>
      </c>
      <c r="X116" s="532">
        <f t="shared" si="42"/>
        <v>0</v>
      </c>
      <c r="Y116" s="636"/>
      <c r="Z116" s="547">
        <f t="shared" si="34"/>
        <v>0</v>
      </c>
      <c r="AA116" s="455">
        <f>E879</f>
        <v>0</v>
      </c>
      <c r="AB116" s="564">
        <f>F879</f>
        <v>0</v>
      </c>
      <c r="AC116" s="636"/>
      <c r="AD116" s="547">
        <f t="shared" si="13"/>
        <v>0</v>
      </c>
      <c r="AE116" s="582">
        <f>SUMIF($G$1000:$G$1009,"Cotraitant 8 Tranche Optionnelle 6",$E$1000:$E$1009)</f>
        <v>0</v>
      </c>
      <c r="AF116" s="582">
        <f>SUMIF($G$1000:$G$1009,"Cotraitant 8 Tranche Optionnelle 6",$F$1000:$F$1009)</f>
        <v>0</v>
      </c>
    </row>
    <row r="117" spans="1:32" ht="19.5" hidden="1" thickBot="1" x14ac:dyDescent="0.35">
      <c r="A117" s="601"/>
      <c r="B117" s="385"/>
      <c r="C117" s="382"/>
      <c r="D117" s="200" t="str">
        <f>B117&amp;" "&amp;C117&amp;" "&amp;"("&amp;$B$68&amp;")"</f>
        <v xml:space="preserve">  (Cotraitant 1)</v>
      </c>
      <c r="E117" s="134"/>
      <c r="F117" s="609"/>
      <c r="G117" s="384"/>
      <c r="H117" s="384"/>
      <c r="I117" s="493"/>
      <c r="U117" s="569" t="s">
        <v>234</v>
      </c>
      <c r="V117" s="547" t="str">
        <f t="shared" ref="V117:V125" si="43">C5</f>
        <v>yy</v>
      </c>
      <c r="W117" s="455">
        <f t="shared" ref="W117:X125" si="44">W54+W63+W72+W81+W90+W99+W108</f>
        <v>260000</v>
      </c>
      <c r="X117" s="532">
        <f t="shared" si="44"/>
        <v>0</v>
      </c>
      <c r="Y117" s="638" t="s">
        <v>551</v>
      </c>
      <c r="Z117" s="547" t="str">
        <f t="shared" si="34"/>
        <v>yy</v>
      </c>
      <c r="AA117" s="455">
        <f>E895</f>
        <v>0</v>
      </c>
      <c r="AB117" s="564">
        <f>F895</f>
        <v>0</v>
      </c>
    </row>
    <row r="118" spans="1:32" hidden="1" x14ac:dyDescent="0.3">
      <c r="A118" s="599" t="s">
        <v>244</v>
      </c>
      <c r="B118" s="602" t="s">
        <v>34</v>
      </c>
      <c r="C118" s="603" t="s">
        <v>35</v>
      </c>
      <c r="D118" s="197"/>
      <c r="E118" s="514" t="s">
        <v>242</v>
      </c>
      <c r="F118" s="515" t="str">
        <f>E118</f>
        <v>Montant intial TVA</v>
      </c>
      <c r="G118" s="180" t="s">
        <v>220</v>
      </c>
      <c r="H118" s="181" t="s">
        <v>220</v>
      </c>
      <c r="I118" s="604" t="s">
        <v>420</v>
      </c>
      <c r="U118" s="570"/>
      <c r="V118" s="547">
        <f t="shared" si="43"/>
        <v>0</v>
      </c>
      <c r="W118" s="455">
        <f t="shared" si="44"/>
        <v>0</v>
      </c>
      <c r="X118" s="532">
        <f t="shared" si="44"/>
        <v>0</v>
      </c>
      <c r="Y118" s="639"/>
      <c r="Z118" s="547">
        <f t="shared" si="34"/>
        <v>0</v>
      </c>
      <c r="AA118" s="455">
        <f>E908</f>
        <v>0</v>
      </c>
      <c r="AB118" s="455">
        <f>F908</f>
        <v>0</v>
      </c>
    </row>
    <row r="119" spans="1:32" ht="19.5" hidden="1" customHeight="1" x14ac:dyDescent="0.3">
      <c r="A119" s="600"/>
      <c r="B119" s="602"/>
      <c r="C119" s="603"/>
      <c r="D119" s="198"/>
      <c r="E119" s="512">
        <f>$C$24</f>
        <v>0.2</v>
      </c>
      <c r="F119" s="513">
        <f>$E$24</f>
        <v>0.1</v>
      </c>
      <c r="G119" s="182" t="str">
        <f>"TVA"&amp;" "&amp;$C$24*100&amp;"%"</f>
        <v>TVA 20%</v>
      </c>
      <c r="H119" s="182" t="str">
        <f>"TVA"&amp;" "&amp;$E$24*100&amp;"%"</f>
        <v>TVA 10%</v>
      </c>
      <c r="I119" s="605"/>
      <c r="U119" s="570"/>
      <c r="V119" s="547">
        <f t="shared" si="43"/>
        <v>0</v>
      </c>
      <c r="W119" s="455">
        <f t="shared" si="44"/>
        <v>0</v>
      </c>
      <c r="X119" s="532">
        <f t="shared" si="44"/>
        <v>0</v>
      </c>
      <c r="Y119" s="639"/>
      <c r="Z119" s="547">
        <f t="shared" si="34"/>
        <v>0</v>
      </c>
      <c r="AA119" s="455">
        <f>E921</f>
        <v>0</v>
      </c>
      <c r="AB119" s="455">
        <f>F921</f>
        <v>0</v>
      </c>
    </row>
    <row r="120" spans="1:32" ht="19.5" hidden="1" thickBot="1" x14ac:dyDescent="0.35">
      <c r="A120" s="600"/>
      <c r="B120" s="186" t="str">
        <f>$B$10</f>
        <v>Cotraitant 5</v>
      </c>
      <c r="C120" s="520">
        <f>$C$10</f>
        <v>0</v>
      </c>
      <c r="D120" s="179"/>
      <c r="E120" s="430"/>
      <c r="F120" s="430"/>
      <c r="G120" s="183">
        <f>E120-SUM(G121:G130)</f>
        <v>0</v>
      </c>
      <c r="H120" s="184">
        <f>F120-SUM(H121:H130)</f>
        <v>0</v>
      </c>
      <c r="I120" s="606"/>
      <c r="U120" s="570"/>
      <c r="V120" s="547">
        <f t="shared" si="43"/>
        <v>0</v>
      </c>
      <c r="W120" s="455">
        <f t="shared" si="44"/>
        <v>0</v>
      </c>
      <c r="X120" s="532">
        <f t="shared" si="44"/>
        <v>0</v>
      </c>
      <c r="Y120" s="639"/>
      <c r="Z120" s="547">
        <f t="shared" si="34"/>
        <v>0</v>
      </c>
      <c r="AA120" s="455">
        <f>E934</f>
        <v>0</v>
      </c>
      <c r="AB120" s="455">
        <f>F934</f>
        <v>0</v>
      </c>
    </row>
    <row r="121" spans="1:32" hidden="1" x14ac:dyDescent="0.3">
      <c r="A121" s="600"/>
      <c r="B121" s="385"/>
      <c r="C121" s="382"/>
      <c r="D121" s="200" t="str">
        <f>B121&amp;" "&amp;C121&amp;" "&amp;"("&amp;$B$68&amp;")"</f>
        <v xml:space="preserve">  (Cotraitant 1)</v>
      </c>
      <c r="E121" s="132"/>
      <c r="F121" s="607" t="s">
        <v>243</v>
      </c>
      <c r="G121" s="383"/>
      <c r="H121" s="383"/>
      <c r="I121" s="493"/>
      <c r="U121" s="570"/>
      <c r="V121" s="547">
        <f t="shared" si="43"/>
        <v>0</v>
      </c>
      <c r="W121" s="455">
        <f t="shared" si="44"/>
        <v>0</v>
      </c>
      <c r="X121" s="532">
        <f t="shared" si="44"/>
        <v>0</v>
      </c>
      <c r="Y121" s="639"/>
      <c r="Z121" s="547">
        <f t="shared" si="34"/>
        <v>0</v>
      </c>
      <c r="AA121" s="455">
        <f>E947</f>
        <v>0</v>
      </c>
      <c r="AB121" s="455">
        <f>F947</f>
        <v>0</v>
      </c>
    </row>
    <row r="122" spans="1:32" hidden="1" x14ac:dyDescent="0.3">
      <c r="A122" s="600"/>
      <c r="B122" s="385"/>
      <c r="C122" s="382"/>
      <c r="D122" s="558"/>
      <c r="E122" s="133"/>
      <c r="F122" s="608"/>
      <c r="G122" s="383"/>
      <c r="H122" s="383"/>
      <c r="I122" s="493"/>
      <c r="U122" s="570"/>
      <c r="V122" s="547">
        <f t="shared" si="43"/>
        <v>0</v>
      </c>
      <c r="W122" s="455">
        <f t="shared" si="44"/>
        <v>0</v>
      </c>
      <c r="X122" s="532">
        <f t="shared" si="44"/>
        <v>0</v>
      </c>
      <c r="Y122" s="639"/>
      <c r="Z122" s="547">
        <f t="shared" si="34"/>
        <v>0</v>
      </c>
      <c r="AA122" s="455">
        <f>E960</f>
        <v>0</v>
      </c>
      <c r="AB122" s="455">
        <f>F960</f>
        <v>0</v>
      </c>
    </row>
    <row r="123" spans="1:32" hidden="1" x14ac:dyDescent="0.3">
      <c r="A123" s="600"/>
      <c r="B123" s="385"/>
      <c r="C123" s="382"/>
      <c r="D123" s="558"/>
      <c r="E123" s="133"/>
      <c r="F123" s="608"/>
      <c r="G123" s="383"/>
      <c r="H123" s="383"/>
      <c r="I123" s="493"/>
      <c r="U123" s="570"/>
      <c r="V123" s="547">
        <f t="shared" si="43"/>
        <v>0</v>
      </c>
      <c r="W123" s="455">
        <f t="shared" si="44"/>
        <v>0</v>
      </c>
      <c r="X123" s="532">
        <f t="shared" si="44"/>
        <v>0</v>
      </c>
      <c r="Y123" s="639"/>
      <c r="Z123" s="547">
        <f t="shared" si="34"/>
        <v>0</v>
      </c>
      <c r="AA123" s="455">
        <f>E973</f>
        <v>0</v>
      </c>
      <c r="AB123" s="455">
        <f>F973</f>
        <v>0</v>
      </c>
    </row>
    <row r="124" spans="1:32" hidden="1" x14ac:dyDescent="0.3">
      <c r="A124" s="600"/>
      <c r="B124" s="385"/>
      <c r="C124" s="382"/>
      <c r="D124" s="558"/>
      <c r="E124" s="133"/>
      <c r="F124" s="608"/>
      <c r="G124" s="383"/>
      <c r="H124" s="383"/>
      <c r="I124" s="493"/>
      <c r="U124" s="570"/>
      <c r="V124" s="547">
        <f t="shared" si="43"/>
        <v>0</v>
      </c>
      <c r="W124" s="455">
        <f t="shared" si="44"/>
        <v>0</v>
      </c>
      <c r="X124" s="532">
        <f t="shared" si="44"/>
        <v>0</v>
      </c>
      <c r="Y124" s="639"/>
      <c r="Z124" s="547">
        <f t="shared" si="34"/>
        <v>0</v>
      </c>
      <c r="AA124" s="455">
        <f>E986</f>
        <v>0</v>
      </c>
      <c r="AB124" s="455">
        <f>F986</f>
        <v>0</v>
      </c>
    </row>
    <row r="125" spans="1:32" ht="19.5" hidden="1" thickBot="1" x14ac:dyDescent="0.35">
      <c r="A125" s="600"/>
      <c r="B125" s="385"/>
      <c r="C125" s="382"/>
      <c r="D125" s="558"/>
      <c r="E125" s="133"/>
      <c r="F125" s="608"/>
      <c r="G125" s="383"/>
      <c r="H125" s="383"/>
      <c r="I125" s="493"/>
      <c r="U125" s="571"/>
      <c r="V125" s="572">
        <f t="shared" si="43"/>
        <v>0</v>
      </c>
      <c r="W125" s="554">
        <f t="shared" si="44"/>
        <v>0</v>
      </c>
      <c r="X125" s="567">
        <f t="shared" si="44"/>
        <v>0</v>
      </c>
      <c r="Y125" s="640"/>
      <c r="Z125" s="547">
        <f t="shared" si="34"/>
        <v>0</v>
      </c>
      <c r="AA125" s="455">
        <f>E999</f>
        <v>0</v>
      </c>
      <c r="AB125" s="455">
        <f>F999</f>
        <v>0</v>
      </c>
    </row>
    <row r="126" spans="1:32" hidden="1" x14ac:dyDescent="0.3">
      <c r="A126" s="600"/>
      <c r="B126" s="385"/>
      <c r="C126" s="382"/>
      <c r="D126" s="200" t="str">
        <f>B126&amp;" "&amp;C126&amp;" "&amp;"("&amp;$B$68&amp;")"</f>
        <v xml:space="preserve">  (Cotraitant 1)</v>
      </c>
      <c r="E126" s="133"/>
      <c r="F126" s="608"/>
      <c r="G126" s="384"/>
      <c r="H126" s="384"/>
      <c r="I126" s="493"/>
      <c r="Y126" s="634" t="s">
        <v>234</v>
      </c>
      <c r="Z126" s="547" t="str">
        <f t="shared" ref="Z126:Z134" si="45">V117</f>
        <v>yy</v>
      </c>
      <c r="AA126" s="455">
        <f t="shared" ref="AA126:AB134" si="46">AA54+AA63+AA72+AA81+AA90+AA99+AA108+AA117</f>
        <v>260000</v>
      </c>
      <c r="AB126" s="564">
        <f t="shared" si="46"/>
        <v>0</v>
      </c>
    </row>
    <row r="127" spans="1:32" hidden="1" x14ac:dyDescent="0.3">
      <c r="A127" s="600"/>
      <c r="B127" s="385"/>
      <c r="C127" s="382"/>
      <c r="D127" s="200" t="str">
        <f>B127&amp;" "&amp;C127&amp;" "&amp;"("&amp;$B$68&amp;")"</f>
        <v xml:space="preserve">  (Cotraitant 1)</v>
      </c>
      <c r="E127" s="133"/>
      <c r="F127" s="608"/>
      <c r="G127" s="384"/>
      <c r="H127" s="384"/>
      <c r="I127" s="493"/>
      <c r="Y127" s="635"/>
      <c r="Z127" s="547">
        <f t="shared" si="45"/>
        <v>0</v>
      </c>
      <c r="AA127" s="455">
        <f t="shared" si="46"/>
        <v>0</v>
      </c>
      <c r="AB127" s="564">
        <f t="shared" si="46"/>
        <v>0</v>
      </c>
    </row>
    <row r="128" spans="1:32" hidden="1" x14ac:dyDescent="0.3">
      <c r="A128" s="600"/>
      <c r="B128" s="385"/>
      <c r="C128" s="382"/>
      <c r="D128" s="200" t="str">
        <f>B128&amp;" "&amp;C128&amp;" "&amp;"("&amp;$B$68&amp;")"</f>
        <v xml:space="preserve">  (Cotraitant 1)</v>
      </c>
      <c r="E128" s="133"/>
      <c r="F128" s="608"/>
      <c r="G128" s="384"/>
      <c r="H128" s="384"/>
      <c r="I128" s="493"/>
      <c r="Y128" s="635"/>
      <c r="Z128" s="547">
        <f t="shared" si="45"/>
        <v>0</v>
      </c>
      <c r="AA128" s="455">
        <f t="shared" si="46"/>
        <v>0</v>
      </c>
      <c r="AB128" s="564">
        <f t="shared" si="46"/>
        <v>0</v>
      </c>
    </row>
    <row r="129" spans="1:28" hidden="1" x14ac:dyDescent="0.3">
      <c r="A129" s="600"/>
      <c r="B129" s="385"/>
      <c r="C129" s="382"/>
      <c r="D129" s="200" t="str">
        <f>B129&amp;" "&amp;C129&amp;" "&amp;"("&amp;$B$68&amp;")"</f>
        <v xml:space="preserve">  (Cotraitant 1)</v>
      </c>
      <c r="E129" s="133"/>
      <c r="F129" s="608"/>
      <c r="G129" s="384"/>
      <c r="H129" s="384"/>
      <c r="I129" s="493"/>
      <c r="Y129" s="635"/>
      <c r="Z129" s="547">
        <f t="shared" si="45"/>
        <v>0</v>
      </c>
      <c r="AA129" s="455">
        <f t="shared" si="46"/>
        <v>0</v>
      </c>
      <c r="AB129" s="564">
        <f t="shared" si="46"/>
        <v>0</v>
      </c>
    </row>
    <row r="130" spans="1:28" ht="19.5" hidden="1" thickBot="1" x14ac:dyDescent="0.35">
      <c r="A130" s="601"/>
      <c r="B130" s="385"/>
      <c r="C130" s="382"/>
      <c r="D130" s="200" t="str">
        <f>B130&amp;" "&amp;C130&amp;" "&amp;"("&amp;$B$68&amp;")"</f>
        <v xml:space="preserve">  (Cotraitant 1)</v>
      </c>
      <c r="E130" s="134"/>
      <c r="F130" s="609"/>
      <c r="G130" s="384"/>
      <c r="H130" s="384"/>
      <c r="I130" s="493"/>
      <c r="Y130" s="635"/>
      <c r="Z130" s="547">
        <f t="shared" si="45"/>
        <v>0</v>
      </c>
      <c r="AA130" s="455">
        <f t="shared" si="46"/>
        <v>0</v>
      </c>
      <c r="AB130" s="564">
        <f t="shared" si="46"/>
        <v>0</v>
      </c>
    </row>
    <row r="131" spans="1:28" hidden="1" x14ac:dyDescent="0.3">
      <c r="A131" s="599" t="s">
        <v>244</v>
      </c>
      <c r="B131" s="602" t="s">
        <v>34</v>
      </c>
      <c r="C131" s="603" t="s">
        <v>35</v>
      </c>
      <c r="D131" s="197"/>
      <c r="E131" s="514" t="s">
        <v>242</v>
      </c>
      <c r="F131" s="515" t="str">
        <f>E131</f>
        <v>Montant intial TVA</v>
      </c>
      <c r="G131" s="180" t="s">
        <v>220</v>
      </c>
      <c r="H131" s="181" t="s">
        <v>220</v>
      </c>
      <c r="I131" s="604" t="s">
        <v>420</v>
      </c>
      <c r="Y131" s="635"/>
      <c r="Z131" s="547">
        <f t="shared" si="45"/>
        <v>0</v>
      </c>
      <c r="AA131" s="455">
        <f t="shared" si="46"/>
        <v>0</v>
      </c>
      <c r="AB131" s="564">
        <f t="shared" si="46"/>
        <v>0</v>
      </c>
    </row>
    <row r="132" spans="1:28" ht="18.75" hidden="1" customHeight="1" x14ac:dyDescent="0.3">
      <c r="A132" s="600"/>
      <c r="B132" s="602"/>
      <c r="C132" s="603"/>
      <c r="D132" s="198"/>
      <c r="E132" s="512">
        <f>$C$24</f>
        <v>0.2</v>
      </c>
      <c r="F132" s="513">
        <f>$E$24</f>
        <v>0.1</v>
      </c>
      <c r="G132" s="182" t="str">
        <f>"TVA"&amp;" "&amp;$C$24*100&amp;"%"</f>
        <v>TVA 20%</v>
      </c>
      <c r="H132" s="182" t="str">
        <f>"TVA"&amp;" "&amp;$E$24*100&amp;"%"</f>
        <v>TVA 10%</v>
      </c>
      <c r="I132" s="605"/>
      <c r="Y132" s="635"/>
      <c r="Z132" s="547">
        <f t="shared" si="45"/>
        <v>0</v>
      </c>
      <c r="AA132" s="455">
        <f t="shared" si="46"/>
        <v>0</v>
      </c>
      <c r="AB132" s="564">
        <f t="shared" si="46"/>
        <v>0</v>
      </c>
    </row>
    <row r="133" spans="1:28" ht="19.5" hidden="1" thickBot="1" x14ac:dyDescent="0.35">
      <c r="A133" s="600"/>
      <c r="B133" s="186" t="str">
        <f>$B$11</f>
        <v>Cotraitant 6</v>
      </c>
      <c r="C133" s="520">
        <f>$C$11</f>
        <v>0</v>
      </c>
      <c r="D133" s="179"/>
      <c r="E133" s="430"/>
      <c r="F133" s="430"/>
      <c r="G133" s="183">
        <f>E133-SUM(G134:G143)</f>
        <v>0</v>
      </c>
      <c r="H133" s="184">
        <f>F133-SUM(H134:H143)</f>
        <v>0</v>
      </c>
      <c r="I133" s="606"/>
      <c r="Y133" s="635"/>
      <c r="Z133" s="547">
        <f t="shared" si="45"/>
        <v>0</v>
      </c>
      <c r="AA133" s="455">
        <f t="shared" si="46"/>
        <v>0</v>
      </c>
      <c r="AB133" s="564">
        <f t="shared" si="46"/>
        <v>0</v>
      </c>
    </row>
    <row r="134" spans="1:28" ht="19.5" hidden="1" thickBot="1" x14ac:dyDescent="0.35">
      <c r="A134" s="600"/>
      <c r="B134" s="385"/>
      <c r="C134" s="382"/>
      <c r="D134" s="200" t="str">
        <f>B134&amp;" "&amp;C134&amp;" "&amp;"("&amp;$B$68&amp;")"</f>
        <v xml:space="preserve">  (Cotraitant 1)</v>
      </c>
      <c r="E134" s="132"/>
      <c r="F134" s="607" t="s">
        <v>243</v>
      </c>
      <c r="G134" s="383"/>
      <c r="H134" s="383"/>
      <c r="I134" s="493"/>
      <c r="Y134" s="636"/>
      <c r="Z134" s="572">
        <f t="shared" si="45"/>
        <v>0</v>
      </c>
      <c r="AA134" s="554">
        <f t="shared" si="46"/>
        <v>0</v>
      </c>
      <c r="AB134" s="566">
        <f t="shared" si="46"/>
        <v>0</v>
      </c>
    </row>
    <row r="135" spans="1:28" hidden="1" x14ac:dyDescent="0.3">
      <c r="A135" s="600"/>
      <c r="B135" s="385"/>
      <c r="C135" s="382"/>
      <c r="D135" s="558"/>
      <c r="E135" s="133"/>
      <c r="F135" s="608"/>
      <c r="G135" s="383"/>
      <c r="H135" s="383"/>
      <c r="I135" s="493"/>
    </row>
    <row r="136" spans="1:28" hidden="1" x14ac:dyDescent="0.3">
      <c r="A136" s="600"/>
      <c r="B136" s="385"/>
      <c r="C136" s="382"/>
      <c r="D136" s="558"/>
      <c r="E136" s="133"/>
      <c r="F136" s="608"/>
      <c r="G136" s="383"/>
      <c r="H136" s="383"/>
      <c r="I136" s="493"/>
    </row>
    <row r="137" spans="1:28" hidden="1" x14ac:dyDescent="0.3">
      <c r="A137" s="600"/>
      <c r="B137" s="385"/>
      <c r="C137" s="382"/>
      <c r="D137" s="558"/>
      <c r="E137" s="133"/>
      <c r="F137" s="608"/>
      <c r="G137" s="383"/>
      <c r="H137" s="383"/>
      <c r="I137" s="493"/>
    </row>
    <row r="138" spans="1:28" hidden="1" x14ac:dyDescent="0.3">
      <c r="A138" s="600"/>
      <c r="B138" s="385"/>
      <c r="C138" s="382"/>
      <c r="D138" s="558"/>
      <c r="E138" s="133"/>
      <c r="F138" s="608"/>
      <c r="G138" s="383"/>
      <c r="H138" s="383"/>
      <c r="I138" s="493"/>
    </row>
    <row r="139" spans="1:28" hidden="1" x14ac:dyDescent="0.3">
      <c r="A139" s="600"/>
      <c r="B139" s="385"/>
      <c r="C139" s="382"/>
      <c r="D139" s="200" t="str">
        <f>B139&amp;" "&amp;C139&amp;" "&amp;"("&amp;$B$68&amp;")"</f>
        <v xml:space="preserve">  (Cotraitant 1)</v>
      </c>
      <c r="E139" s="133"/>
      <c r="F139" s="608"/>
      <c r="G139" s="384"/>
      <c r="H139" s="384"/>
      <c r="I139" s="493"/>
    </row>
    <row r="140" spans="1:28" hidden="1" x14ac:dyDescent="0.3">
      <c r="A140" s="600"/>
      <c r="B140" s="385"/>
      <c r="C140" s="382"/>
      <c r="D140" s="200" t="str">
        <f>B140&amp;" "&amp;C140&amp;" "&amp;"("&amp;$B$68&amp;")"</f>
        <v xml:space="preserve">  (Cotraitant 1)</v>
      </c>
      <c r="E140" s="133"/>
      <c r="F140" s="608"/>
      <c r="G140" s="384"/>
      <c r="H140" s="384"/>
      <c r="I140" s="493"/>
    </row>
    <row r="141" spans="1:28" hidden="1" x14ac:dyDescent="0.3">
      <c r="A141" s="600"/>
      <c r="B141" s="385"/>
      <c r="C141" s="382"/>
      <c r="D141" s="200" t="str">
        <f>B141&amp;" "&amp;C141&amp;" "&amp;"("&amp;$B$68&amp;")"</f>
        <v xml:space="preserve">  (Cotraitant 1)</v>
      </c>
      <c r="E141" s="133"/>
      <c r="F141" s="608"/>
      <c r="G141" s="384"/>
      <c r="H141" s="384"/>
      <c r="I141" s="493"/>
    </row>
    <row r="142" spans="1:28" hidden="1" x14ac:dyDescent="0.3">
      <c r="A142" s="600"/>
      <c r="B142" s="385"/>
      <c r="C142" s="382"/>
      <c r="D142" s="200" t="str">
        <f>B142&amp;" "&amp;C142&amp;" "&amp;"("&amp;$B$68&amp;")"</f>
        <v xml:space="preserve">  (Cotraitant 1)</v>
      </c>
      <c r="E142" s="133"/>
      <c r="F142" s="608"/>
      <c r="G142" s="384"/>
      <c r="H142" s="384"/>
      <c r="I142" s="493"/>
    </row>
    <row r="143" spans="1:28" ht="19.5" hidden="1" thickBot="1" x14ac:dyDescent="0.35">
      <c r="A143" s="601"/>
      <c r="B143" s="385"/>
      <c r="C143" s="382"/>
      <c r="D143" s="200" t="str">
        <f>B143&amp;" "&amp;C143&amp;" "&amp;"("&amp;$B$68&amp;")"</f>
        <v xml:space="preserve">  (Cotraitant 1)</v>
      </c>
      <c r="E143" s="134"/>
      <c r="F143" s="609"/>
      <c r="G143" s="384"/>
      <c r="H143" s="384"/>
      <c r="I143" s="493"/>
    </row>
    <row r="144" spans="1:28" hidden="1" x14ac:dyDescent="0.3">
      <c r="A144" s="599" t="s">
        <v>244</v>
      </c>
      <c r="B144" s="602" t="s">
        <v>34</v>
      </c>
      <c r="C144" s="603" t="s">
        <v>35</v>
      </c>
      <c r="D144" s="197"/>
      <c r="E144" s="514" t="s">
        <v>242</v>
      </c>
      <c r="F144" s="515" t="str">
        <f>E144</f>
        <v>Montant intial TVA</v>
      </c>
      <c r="G144" s="180" t="s">
        <v>220</v>
      </c>
      <c r="H144" s="181" t="s">
        <v>220</v>
      </c>
      <c r="I144" s="604" t="s">
        <v>420</v>
      </c>
    </row>
    <row r="145" spans="1:16" hidden="1" x14ac:dyDescent="0.3">
      <c r="A145" s="600"/>
      <c r="B145" s="602"/>
      <c r="C145" s="603"/>
      <c r="D145" s="198"/>
      <c r="E145" s="512">
        <f>$C$24</f>
        <v>0.2</v>
      </c>
      <c r="F145" s="513">
        <f>$E$24</f>
        <v>0.1</v>
      </c>
      <c r="G145" s="182" t="str">
        <f>"TVA"&amp;" "&amp;$C$24*100&amp;"%"</f>
        <v>TVA 20%</v>
      </c>
      <c r="H145" s="182" t="str">
        <f>"TVA"&amp;" "&amp;$E$24*100&amp;"%"</f>
        <v>TVA 10%</v>
      </c>
      <c r="I145" s="605"/>
      <c r="P145" s="561"/>
    </row>
    <row r="146" spans="1:16" ht="19.5" hidden="1" thickBot="1" x14ac:dyDescent="0.35">
      <c r="A146" s="600"/>
      <c r="B146" s="186" t="str">
        <f>$B$12</f>
        <v>Cotraitant 7</v>
      </c>
      <c r="C146" s="520">
        <f>$C$12</f>
        <v>0</v>
      </c>
      <c r="D146" s="179"/>
      <c r="E146" s="430"/>
      <c r="F146" s="430"/>
      <c r="G146" s="183">
        <f>E146-SUM(G147:G156)</f>
        <v>0</v>
      </c>
      <c r="H146" s="184">
        <f>F146-SUM(H147:H156)</f>
        <v>0</v>
      </c>
      <c r="I146" s="606"/>
      <c r="P146" s="561"/>
    </row>
    <row r="147" spans="1:16" hidden="1" x14ac:dyDescent="0.3">
      <c r="A147" s="600"/>
      <c r="B147" s="385"/>
      <c r="C147" s="382"/>
      <c r="D147" s="200" t="str">
        <f>B147&amp;" "&amp;C147&amp;" "&amp;"("&amp;$B$68&amp;")"</f>
        <v xml:space="preserve">  (Cotraitant 1)</v>
      </c>
      <c r="E147" s="132"/>
      <c r="F147" s="607" t="s">
        <v>243</v>
      </c>
      <c r="G147" s="383"/>
      <c r="H147" s="383"/>
      <c r="I147" s="493"/>
      <c r="P147" s="561"/>
    </row>
    <row r="148" spans="1:16" hidden="1" x14ac:dyDescent="0.3">
      <c r="A148" s="600"/>
      <c r="B148" s="385"/>
      <c r="C148" s="382"/>
      <c r="D148" s="558"/>
      <c r="E148" s="133"/>
      <c r="F148" s="608"/>
      <c r="G148" s="383"/>
      <c r="H148" s="383"/>
      <c r="I148" s="493"/>
      <c r="P148" s="561"/>
    </row>
    <row r="149" spans="1:16" hidden="1" x14ac:dyDescent="0.3">
      <c r="A149" s="600"/>
      <c r="B149" s="385"/>
      <c r="C149" s="382"/>
      <c r="D149" s="558"/>
      <c r="E149" s="133"/>
      <c r="F149" s="608"/>
      <c r="G149" s="383"/>
      <c r="H149" s="383"/>
      <c r="I149" s="493"/>
      <c r="P149" s="561"/>
    </row>
    <row r="150" spans="1:16" hidden="1" x14ac:dyDescent="0.3">
      <c r="A150" s="600"/>
      <c r="B150" s="385"/>
      <c r="C150" s="382"/>
      <c r="D150" s="558"/>
      <c r="E150" s="133"/>
      <c r="F150" s="608"/>
      <c r="G150" s="383"/>
      <c r="H150" s="383"/>
      <c r="I150" s="493"/>
      <c r="P150" s="561"/>
    </row>
    <row r="151" spans="1:16" hidden="1" x14ac:dyDescent="0.3">
      <c r="A151" s="600"/>
      <c r="B151" s="385"/>
      <c r="C151" s="382"/>
      <c r="D151" s="558"/>
      <c r="E151" s="133"/>
      <c r="F151" s="608"/>
      <c r="G151" s="383"/>
      <c r="H151" s="383"/>
      <c r="I151" s="493"/>
      <c r="P151" s="561"/>
    </row>
    <row r="152" spans="1:16" hidden="1" x14ac:dyDescent="0.3">
      <c r="A152" s="600"/>
      <c r="B152" s="385"/>
      <c r="C152" s="382"/>
      <c r="D152" s="200" t="str">
        <f>B152&amp;" "&amp;C152&amp;" "&amp;"("&amp;$B$68&amp;")"</f>
        <v xml:space="preserve">  (Cotraitant 1)</v>
      </c>
      <c r="E152" s="133"/>
      <c r="F152" s="608"/>
      <c r="G152" s="384"/>
      <c r="H152" s="384"/>
      <c r="I152" s="493"/>
      <c r="P152" s="561"/>
    </row>
    <row r="153" spans="1:16" hidden="1" x14ac:dyDescent="0.3">
      <c r="A153" s="600"/>
      <c r="B153" s="385"/>
      <c r="C153" s="382"/>
      <c r="D153" s="200" t="str">
        <f>B153&amp;" "&amp;C153&amp;" "&amp;"("&amp;$B$68&amp;")"</f>
        <v xml:space="preserve">  (Cotraitant 1)</v>
      </c>
      <c r="E153" s="133"/>
      <c r="F153" s="608"/>
      <c r="G153" s="384"/>
      <c r="H153" s="384"/>
      <c r="I153" s="493"/>
      <c r="P153" s="561"/>
    </row>
    <row r="154" spans="1:16" hidden="1" x14ac:dyDescent="0.3">
      <c r="A154" s="600"/>
      <c r="B154" s="385"/>
      <c r="C154" s="382"/>
      <c r="D154" s="200" t="str">
        <f>B154&amp;" "&amp;C154&amp;" "&amp;"("&amp;$B$68&amp;")"</f>
        <v xml:space="preserve">  (Cotraitant 1)</v>
      </c>
      <c r="E154" s="133"/>
      <c r="F154" s="608"/>
      <c r="G154" s="384"/>
      <c r="H154" s="384"/>
      <c r="I154" s="493"/>
      <c r="P154" s="561"/>
    </row>
    <row r="155" spans="1:16" hidden="1" x14ac:dyDescent="0.3">
      <c r="A155" s="600"/>
      <c r="B155" s="385"/>
      <c r="C155" s="382"/>
      <c r="D155" s="200" t="str">
        <f>B155&amp;" "&amp;C155&amp;" "&amp;"("&amp;$B$68&amp;")"</f>
        <v xml:space="preserve">  (Cotraitant 1)</v>
      </c>
      <c r="E155" s="133"/>
      <c r="F155" s="608"/>
      <c r="G155" s="384"/>
      <c r="H155" s="384"/>
      <c r="I155" s="493"/>
      <c r="P155" s="561"/>
    </row>
    <row r="156" spans="1:16" ht="19.5" hidden="1" thickBot="1" x14ac:dyDescent="0.35">
      <c r="A156" s="601"/>
      <c r="B156" s="385"/>
      <c r="C156" s="382"/>
      <c r="D156" s="200" t="str">
        <f>B156&amp;" "&amp;C156&amp;" "&amp;"("&amp;$B$68&amp;")"</f>
        <v xml:space="preserve">  (Cotraitant 1)</v>
      </c>
      <c r="E156" s="134"/>
      <c r="F156" s="609"/>
      <c r="G156" s="384"/>
      <c r="H156" s="384"/>
      <c r="I156" s="493"/>
      <c r="P156" s="561"/>
    </row>
    <row r="157" spans="1:16" ht="18" hidden="1" customHeight="1" x14ac:dyDescent="0.3">
      <c r="A157" s="599" t="s">
        <v>244</v>
      </c>
      <c r="B157" s="602" t="s">
        <v>34</v>
      </c>
      <c r="C157" s="603" t="s">
        <v>35</v>
      </c>
      <c r="D157" s="197"/>
      <c r="E157" s="514" t="s">
        <v>242</v>
      </c>
      <c r="F157" s="515" t="str">
        <f>E157</f>
        <v>Montant intial TVA</v>
      </c>
      <c r="G157" s="180" t="s">
        <v>220</v>
      </c>
      <c r="H157" s="181" t="s">
        <v>220</v>
      </c>
      <c r="I157" s="604" t="s">
        <v>420</v>
      </c>
      <c r="P157" s="561"/>
    </row>
    <row r="158" spans="1:16" hidden="1" x14ac:dyDescent="0.3">
      <c r="A158" s="600"/>
      <c r="B158" s="602"/>
      <c r="C158" s="603"/>
      <c r="D158" s="198"/>
      <c r="E158" s="512">
        <f>$C$24</f>
        <v>0.2</v>
      </c>
      <c r="F158" s="513">
        <f>$E$24</f>
        <v>0.1</v>
      </c>
      <c r="G158" s="182" t="str">
        <f>"TVA"&amp;" "&amp;$C$24*100&amp;"%"</f>
        <v>TVA 20%</v>
      </c>
      <c r="H158" s="182" t="str">
        <f>"TVA"&amp;" "&amp;$E$24*100&amp;"%"</f>
        <v>TVA 10%</v>
      </c>
      <c r="I158" s="605"/>
    </row>
    <row r="159" spans="1:16" ht="19.5" hidden="1" thickBot="1" x14ac:dyDescent="0.35">
      <c r="A159" s="600"/>
      <c r="B159" s="186" t="str">
        <f>$B$13</f>
        <v>Cotraitant 8</v>
      </c>
      <c r="C159" s="520">
        <f>$C$13</f>
        <v>0</v>
      </c>
      <c r="D159" s="179"/>
      <c r="E159" s="430"/>
      <c r="F159" s="430"/>
      <c r="G159" s="183">
        <f>E159-SUM(G160:G169)</f>
        <v>0</v>
      </c>
      <c r="H159" s="184">
        <f>F159-SUM(H160:H169)</f>
        <v>0</v>
      </c>
      <c r="I159" s="606"/>
    </row>
    <row r="160" spans="1:16" hidden="1" x14ac:dyDescent="0.3">
      <c r="A160" s="600"/>
      <c r="B160" s="385"/>
      <c r="C160" s="382"/>
      <c r="D160" s="200" t="str">
        <f>B160&amp;" "&amp;C160&amp;" "&amp;"("&amp;$B$68&amp;")"</f>
        <v xml:space="preserve">  (Cotraitant 1)</v>
      </c>
      <c r="E160" s="132"/>
      <c r="F160" s="607" t="s">
        <v>243</v>
      </c>
      <c r="G160" s="383"/>
      <c r="H160" s="383"/>
      <c r="I160" s="493"/>
    </row>
    <row r="161" spans="1:10" hidden="1" x14ac:dyDescent="0.3">
      <c r="A161" s="600"/>
      <c r="B161" s="385"/>
      <c r="C161" s="382"/>
      <c r="D161" s="558"/>
      <c r="E161" s="133"/>
      <c r="F161" s="608"/>
      <c r="G161" s="383"/>
      <c r="H161" s="383"/>
      <c r="I161" s="493"/>
    </row>
    <row r="162" spans="1:10" hidden="1" x14ac:dyDescent="0.3">
      <c r="A162" s="600"/>
      <c r="B162" s="385"/>
      <c r="C162" s="382"/>
      <c r="D162" s="558"/>
      <c r="E162" s="133"/>
      <c r="F162" s="608"/>
      <c r="G162" s="383"/>
      <c r="H162" s="383"/>
      <c r="I162" s="493"/>
    </row>
    <row r="163" spans="1:10" hidden="1" x14ac:dyDescent="0.3">
      <c r="A163" s="600"/>
      <c r="B163" s="385"/>
      <c r="C163" s="382"/>
      <c r="D163" s="558"/>
      <c r="E163" s="133"/>
      <c r="F163" s="608"/>
      <c r="G163" s="383"/>
      <c r="H163" s="383"/>
      <c r="I163" s="493"/>
    </row>
    <row r="164" spans="1:10" hidden="1" x14ac:dyDescent="0.3">
      <c r="A164" s="600"/>
      <c r="B164" s="385"/>
      <c r="C164" s="382"/>
      <c r="D164" s="558"/>
      <c r="E164" s="133"/>
      <c r="F164" s="608"/>
      <c r="G164" s="383"/>
      <c r="H164" s="383"/>
      <c r="I164" s="493"/>
    </row>
    <row r="165" spans="1:10" hidden="1" x14ac:dyDescent="0.3">
      <c r="A165" s="600"/>
      <c r="B165" s="385"/>
      <c r="C165" s="382"/>
      <c r="D165" s="200" t="str">
        <f>B165&amp;" "&amp;C165&amp;" "&amp;"("&amp;$B$68&amp;")"</f>
        <v xml:space="preserve">  (Cotraitant 1)</v>
      </c>
      <c r="E165" s="133"/>
      <c r="F165" s="608"/>
      <c r="G165" s="384"/>
      <c r="H165" s="384"/>
      <c r="I165" s="493"/>
    </row>
    <row r="166" spans="1:10" hidden="1" x14ac:dyDescent="0.3">
      <c r="A166" s="600"/>
      <c r="B166" s="385"/>
      <c r="C166" s="382"/>
      <c r="D166" s="200" t="str">
        <f>B166&amp;" "&amp;C166&amp;" "&amp;"("&amp;$B$68&amp;")"</f>
        <v xml:space="preserve">  (Cotraitant 1)</v>
      </c>
      <c r="E166" s="133"/>
      <c r="F166" s="608"/>
      <c r="G166" s="384"/>
      <c r="H166" s="384"/>
      <c r="I166" s="493"/>
    </row>
    <row r="167" spans="1:10" hidden="1" x14ac:dyDescent="0.3">
      <c r="A167" s="600"/>
      <c r="B167" s="385"/>
      <c r="C167" s="382"/>
      <c r="D167" s="200" t="str">
        <f>B167&amp;" "&amp;C167&amp;" "&amp;"("&amp;$B$68&amp;")"</f>
        <v xml:space="preserve">  (Cotraitant 1)</v>
      </c>
      <c r="E167" s="133"/>
      <c r="F167" s="608"/>
      <c r="G167" s="384"/>
      <c r="H167" s="384"/>
      <c r="I167" s="493"/>
    </row>
    <row r="168" spans="1:10" hidden="1" x14ac:dyDescent="0.3">
      <c r="A168" s="600"/>
      <c r="B168" s="385"/>
      <c r="C168" s="382"/>
      <c r="D168" s="200" t="str">
        <f>B168&amp;" "&amp;C168&amp;" "&amp;"("&amp;$B$68&amp;")"</f>
        <v xml:space="preserve">  (Cotraitant 1)</v>
      </c>
      <c r="E168" s="133"/>
      <c r="F168" s="608"/>
      <c r="G168" s="384"/>
      <c r="H168" s="384"/>
      <c r="I168" s="493"/>
    </row>
    <row r="169" spans="1:10" ht="19.5" hidden="1" thickBot="1" x14ac:dyDescent="0.35">
      <c r="A169" s="601"/>
      <c r="B169" s="385"/>
      <c r="C169" s="382"/>
      <c r="D169" s="200" t="str">
        <f>B169&amp;" "&amp;C169&amp;" "&amp;"("&amp;$B$68&amp;")"</f>
        <v xml:space="preserve">  (Cotraitant 1)</v>
      </c>
      <c r="E169" s="134"/>
      <c r="F169" s="609"/>
      <c r="G169" s="384"/>
      <c r="H169" s="384"/>
      <c r="I169" s="493"/>
    </row>
    <row r="170" spans="1:10" ht="18.75" customHeight="1" x14ac:dyDescent="0.3">
      <c r="A170" s="130"/>
      <c r="B170" s="130"/>
      <c r="C170" s="130"/>
      <c r="D170" s="130"/>
      <c r="E170" s="130"/>
      <c r="F170" s="130"/>
      <c r="G170" s="130"/>
      <c r="H170" s="130"/>
      <c r="I170" s="130"/>
    </row>
    <row r="171" spans="1:10" hidden="1" x14ac:dyDescent="0.3">
      <c r="A171" s="130"/>
      <c r="B171" s="185" t="s">
        <v>33</v>
      </c>
      <c r="C171" s="17" t="s">
        <v>270</v>
      </c>
      <c r="D171" s="203"/>
      <c r="E171" s="338" t="s">
        <v>271</v>
      </c>
      <c r="F171" s="456" t="s">
        <v>339</v>
      </c>
      <c r="G171" s="610" t="s">
        <v>398</v>
      </c>
      <c r="H171" s="610"/>
      <c r="I171" s="610" t="s">
        <v>399</v>
      </c>
      <c r="J171" s="610"/>
    </row>
    <row r="172" spans="1:10" ht="19.5" hidden="1" thickBot="1" x14ac:dyDescent="0.35">
      <c r="A172" s="611" t="s">
        <v>245</v>
      </c>
      <c r="B172" s="611"/>
      <c r="C172" s="38">
        <f>F26</f>
        <v>0</v>
      </c>
      <c r="D172" s="62"/>
      <c r="E172" s="38">
        <f>C172-(E175+F175+E188+F188+E201+F201+E214+F214+E227+F227+E240+F240+E253+F253+E266+F266+E279+F279)</f>
        <v>0</v>
      </c>
      <c r="F172" s="457"/>
      <c r="G172" s="612" t="s">
        <v>400</v>
      </c>
      <c r="H172" s="612"/>
      <c r="I172" s="613"/>
      <c r="J172" s="613"/>
    </row>
    <row r="173" spans="1:10" ht="18.75" hidden="1" customHeight="1" x14ac:dyDescent="0.3">
      <c r="A173" s="599" t="str">
        <f>$A$172</f>
        <v>Tranche OPTIONNELLE 1</v>
      </c>
      <c r="B173" s="602" t="s">
        <v>34</v>
      </c>
      <c r="C173" s="603" t="s">
        <v>35</v>
      </c>
      <c r="D173" s="197"/>
      <c r="E173" s="514" t="s">
        <v>242</v>
      </c>
      <c r="F173" s="515" t="str">
        <f>E173</f>
        <v>Montant intial TVA</v>
      </c>
      <c r="G173" s="483" t="s">
        <v>220</v>
      </c>
      <c r="H173" s="489" t="s">
        <v>220</v>
      </c>
      <c r="I173" s="604" t="s">
        <v>420</v>
      </c>
    </row>
    <row r="174" spans="1:10" hidden="1" x14ac:dyDescent="0.3">
      <c r="A174" s="600"/>
      <c r="B174" s="602"/>
      <c r="C174" s="603"/>
      <c r="D174" s="198"/>
      <c r="E174" s="512">
        <f>$C$24</f>
        <v>0.2</v>
      </c>
      <c r="F174" s="513">
        <f>$E$24</f>
        <v>0.1</v>
      </c>
      <c r="G174" s="182" t="str">
        <f>"TVA"&amp;" "&amp;$C$24*100&amp;"%"</f>
        <v>TVA 20%</v>
      </c>
      <c r="H174" s="182" t="str">
        <f>"TVA"&amp;" "&amp;$E$24*100&amp;"%"</f>
        <v>TVA 10%</v>
      </c>
      <c r="I174" s="605"/>
    </row>
    <row r="175" spans="1:10" ht="19.5" hidden="1" thickBot="1" x14ac:dyDescent="0.35">
      <c r="A175" s="600"/>
      <c r="B175" s="186" t="s">
        <v>1</v>
      </c>
      <c r="C175" s="520" t="str">
        <f>$C$5</f>
        <v>yy</v>
      </c>
      <c r="D175" s="199"/>
      <c r="E175" s="131">
        <f>C26-E188-E201-E214-E227-E240-E253-E266-E279</f>
        <v>0</v>
      </c>
      <c r="F175" s="131">
        <f>E26-F188-F201-F214-F227-F240-F253-F266-F279</f>
        <v>0</v>
      </c>
      <c r="G175" s="183">
        <f>E175-SUM(G176:G185)</f>
        <v>0</v>
      </c>
      <c r="H175" s="490">
        <f>F175-SUM(H176:H185)</f>
        <v>0</v>
      </c>
      <c r="I175" s="606"/>
    </row>
    <row r="176" spans="1:10" ht="18.75" hidden="1" customHeight="1" x14ac:dyDescent="0.3">
      <c r="A176" s="600"/>
      <c r="B176" s="385"/>
      <c r="C176" s="382"/>
      <c r="D176" s="200" t="str">
        <f>B176&amp;" "&amp;C176&amp;" "&amp;"("&amp;$B$55&amp;")"</f>
        <v xml:space="preserve">  (Titulaire)</v>
      </c>
      <c r="E176" s="132"/>
      <c r="F176" s="607" t="s">
        <v>243</v>
      </c>
      <c r="G176" s="383"/>
      <c r="H176" s="383"/>
      <c r="I176" s="493"/>
    </row>
    <row r="177" spans="1:9" ht="18.75" hidden="1" customHeight="1" x14ac:dyDescent="0.3">
      <c r="A177" s="600"/>
      <c r="B177" s="385"/>
      <c r="C177" s="382"/>
      <c r="D177" s="558"/>
      <c r="E177" s="133"/>
      <c r="F177" s="608"/>
      <c r="G177" s="383"/>
      <c r="H177" s="383"/>
      <c r="I177" s="493"/>
    </row>
    <row r="178" spans="1:9" ht="18.75" hidden="1" customHeight="1" x14ac:dyDescent="0.3">
      <c r="A178" s="600"/>
      <c r="B178" s="385"/>
      <c r="C178" s="382"/>
      <c r="D178" s="558"/>
      <c r="E178" s="133"/>
      <c r="F178" s="608"/>
      <c r="G178" s="383"/>
      <c r="H178" s="383"/>
      <c r="I178" s="493"/>
    </row>
    <row r="179" spans="1:9" ht="18.75" hidden="1" customHeight="1" x14ac:dyDescent="0.3">
      <c r="A179" s="600"/>
      <c r="B179" s="385"/>
      <c r="C179" s="382"/>
      <c r="D179" s="558"/>
      <c r="E179" s="133"/>
      <c r="F179" s="608"/>
      <c r="G179" s="383"/>
      <c r="H179" s="383"/>
      <c r="I179" s="493"/>
    </row>
    <row r="180" spans="1:9" ht="18.75" hidden="1" customHeight="1" x14ac:dyDescent="0.3">
      <c r="A180" s="600"/>
      <c r="B180" s="385"/>
      <c r="C180" s="382"/>
      <c r="D180" s="558"/>
      <c r="E180" s="133"/>
      <c r="F180" s="608"/>
      <c r="G180" s="383"/>
      <c r="H180" s="383"/>
      <c r="I180" s="493"/>
    </row>
    <row r="181" spans="1:9" hidden="1" x14ac:dyDescent="0.3">
      <c r="A181" s="600"/>
      <c r="B181" s="385"/>
      <c r="C181" s="382"/>
      <c r="D181" s="200" t="str">
        <f>B181&amp;" "&amp;C181&amp;" "&amp;"("&amp;$B$55&amp;")"</f>
        <v xml:space="preserve">  (Titulaire)</v>
      </c>
      <c r="E181" s="133"/>
      <c r="F181" s="608"/>
      <c r="G181" s="383"/>
      <c r="H181" s="384"/>
      <c r="I181" s="493"/>
    </row>
    <row r="182" spans="1:9" hidden="1" x14ac:dyDescent="0.3">
      <c r="A182" s="600"/>
      <c r="B182" s="385"/>
      <c r="C182" s="382"/>
      <c r="D182" s="200" t="str">
        <f>B182&amp;" "&amp;C182&amp;" "&amp;"("&amp;$B$55&amp;")"</f>
        <v xml:space="preserve">  (Titulaire)</v>
      </c>
      <c r="E182" s="133"/>
      <c r="F182" s="608"/>
      <c r="G182" s="383"/>
      <c r="H182" s="384"/>
      <c r="I182" s="493"/>
    </row>
    <row r="183" spans="1:9" hidden="1" x14ac:dyDescent="0.3">
      <c r="A183" s="600"/>
      <c r="B183" s="385"/>
      <c r="C183" s="382"/>
      <c r="D183" s="200" t="str">
        <f>B183&amp;" "&amp;C183&amp;" "&amp;"("&amp;$B$55&amp;")"</f>
        <v xml:space="preserve">  (Titulaire)</v>
      </c>
      <c r="E183" s="133"/>
      <c r="F183" s="608"/>
      <c r="G183" s="383"/>
      <c r="H183" s="384"/>
      <c r="I183" s="493"/>
    </row>
    <row r="184" spans="1:9" hidden="1" x14ac:dyDescent="0.3">
      <c r="A184" s="600"/>
      <c r="B184" s="385"/>
      <c r="C184" s="382"/>
      <c r="D184" s="200" t="str">
        <f>B184&amp;" "&amp;C184&amp;" "&amp;"("&amp;$B$55&amp;")"</f>
        <v xml:space="preserve">  (Titulaire)</v>
      </c>
      <c r="E184" s="133"/>
      <c r="F184" s="608"/>
      <c r="G184" s="383"/>
      <c r="H184" s="384"/>
      <c r="I184" s="493"/>
    </row>
    <row r="185" spans="1:9" ht="19.5" hidden="1" thickBot="1" x14ac:dyDescent="0.35">
      <c r="A185" s="601"/>
      <c r="B185" s="385"/>
      <c r="C185" s="382"/>
      <c r="D185" s="200" t="str">
        <f>B185&amp;" "&amp;C185&amp;" "&amp;"("&amp;$B$55&amp;")"</f>
        <v xml:space="preserve">  (Titulaire)</v>
      </c>
      <c r="E185" s="134"/>
      <c r="F185" s="609"/>
      <c r="G185" s="383"/>
      <c r="H185" s="384"/>
      <c r="I185" s="493"/>
    </row>
    <row r="186" spans="1:9" ht="18.75" hidden="1" customHeight="1" x14ac:dyDescent="0.3">
      <c r="A186" s="599" t="str">
        <f t="shared" ref="A186" si="47">$A$172</f>
        <v>Tranche OPTIONNELLE 1</v>
      </c>
      <c r="B186" s="602" t="s">
        <v>34</v>
      </c>
      <c r="C186" s="603" t="s">
        <v>35</v>
      </c>
      <c r="D186" s="197"/>
      <c r="E186" s="514" t="s">
        <v>242</v>
      </c>
      <c r="F186" s="515" t="str">
        <f>E186</f>
        <v>Montant intial TVA</v>
      </c>
      <c r="G186" s="180" t="s">
        <v>220</v>
      </c>
      <c r="H186" s="181" t="s">
        <v>220</v>
      </c>
      <c r="I186" s="604" t="s">
        <v>420</v>
      </c>
    </row>
    <row r="187" spans="1:9" hidden="1" x14ac:dyDescent="0.3">
      <c r="A187" s="600"/>
      <c r="B187" s="602"/>
      <c r="C187" s="603"/>
      <c r="D187" s="198"/>
      <c r="E187" s="512">
        <f>$C$24</f>
        <v>0.2</v>
      </c>
      <c r="F187" s="513">
        <f>$E$24</f>
        <v>0.1</v>
      </c>
      <c r="G187" s="182" t="str">
        <f>"TVA"&amp;" "&amp;$C$24*100&amp;"%"</f>
        <v>TVA 20%</v>
      </c>
      <c r="H187" s="182" t="str">
        <f>"TVA"&amp;" "&amp;$E$24*100&amp;"%"</f>
        <v>TVA 10%</v>
      </c>
      <c r="I187" s="605"/>
    </row>
    <row r="188" spans="1:9" ht="19.5" hidden="1" thickBot="1" x14ac:dyDescent="0.35">
      <c r="A188" s="600"/>
      <c r="B188" s="186" t="str">
        <f>$B$6</f>
        <v>Cotraitant 1</v>
      </c>
      <c r="C188" s="520">
        <f>$C$6</f>
        <v>0</v>
      </c>
      <c r="D188" s="179"/>
      <c r="E188" s="430"/>
      <c r="F188" s="430"/>
      <c r="G188" s="183">
        <f>E188-SUM(G189:G198)</f>
        <v>0</v>
      </c>
      <c r="H188" s="184">
        <f>F188-SUM(H189:H198)</f>
        <v>0</v>
      </c>
      <c r="I188" s="606"/>
    </row>
    <row r="189" spans="1:9" ht="18.75" hidden="1" customHeight="1" x14ac:dyDescent="0.3">
      <c r="A189" s="600"/>
      <c r="B189" s="385"/>
      <c r="C189" s="382"/>
      <c r="D189" s="200" t="str">
        <f>B189&amp;" "&amp;C189&amp;" "&amp;"("&amp;$B$68&amp;")"</f>
        <v xml:space="preserve">  (Cotraitant 1)</v>
      </c>
      <c r="E189" s="132"/>
      <c r="F189" s="607" t="s">
        <v>243</v>
      </c>
      <c r="G189" s="383"/>
      <c r="H189" s="383"/>
      <c r="I189" s="493"/>
    </row>
    <row r="190" spans="1:9" ht="18.75" hidden="1" customHeight="1" x14ac:dyDescent="0.3">
      <c r="A190" s="600"/>
      <c r="B190" s="385"/>
      <c r="C190" s="382"/>
      <c r="D190" s="558"/>
      <c r="E190" s="133"/>
      <c r="F190" s="608"/>
      <c r="G190" s="383"/>
      <c r="H190" s="383"/>
      <c r="I190" s="493"/>
    </row>
    <row r="191" spans="1:9" ht="18.75" hidden="1" customHeight="1" x14ac:dyDescent="0.3">
      <c r="A191" s="600"/>
      <c r="B191" s="385"/>
      <c r="C191" s="382"/>
      <c r="D191" s="558"/>
      <c r="E191" s="133"/>
      <c r="F191" s="608"/>
      <c r="G191" s="383"/>
      <c r="H191" s="383"/>
      <c r="I191" s="493"/>
    </row>
    <row r="192" spans="1:9" ht="18.75" hidden="1" customHeight="1" x14ac:dyDescent="0.3">
      <c r="A192" s="600"/>
      <c r="B192" s="385"/>
      <c r="C192" s="382"/>
      <c r="D192" s="558"/>
      <c r="E192" s="133"/>
      <c r="F192" s="608"/>
      <c r="G192" s="383"/>
      <c r="H192" s="383"/>
      <c r="I192" s="493"/>
    </row>
    <row r="193" spans="1:10" ht="18.75" hidden="1" customHeight="1" x14ac:dyDescent="0.3">
      <c r="A193" s="600"/>
      <c r="B193" s="385"/>
      <c r="C193" s="382"/>
      <c r="D193" s="558"/>
      <c r="E193" s="133"/>
      <c r="F193" s="608"/>
      <c r="G193" s="383"/>
      <c r="H193" s="383"/>
      <c r="I193" s="493"/>
    </row>
    <row r="194" spans="1:10" hidden="1" x14ac:dyDescent="0.3">
      <c r="A194" s="600"/>
      <c r="B194" s="385"/>
      <c r="C194" s="382"/>
      <c r="D194" s="200" t="str">
        <f>B194&amp;" "&amp;C194&amp;" "&amp;"("&amp;$B$68&amp;")"</f>
        <v xml:space="preserve">  (Cotraitant 1)</v>
      </c>
      <c r="E194" s="133"/>
      <c r="F194" s="608"/>
      <c r="G194" s="384"/>
      <c r="H194" s="384"/>
      <c r="I194" s="493"/>
    </row>
    <row r="195" spans="1:10" hidden="1" x14ac:dyDescent="0.3">
      <c r="A195" s="600"/>
      <c r="B195" s="385"/>
      <c r="C195" s="382"/>
      <c r="D195" s="200" t="str">
        <f>B195&amp;" "&amp;C195&amp;" "&amp;"("&amp;$B$68&amp;")"</f>
        <v xml:space="preserve">  (Cotraitant 1)</v>
      </c>
      <c r="E195" s="133"/>
      <c r="F195" s="608"/>
      <c r="G195" s="384"/>
      <c r="H195" s="384"/>
      <c r="I195" s="493"/>
    </row>
    <row r="196" spans="1:10" hidden="1" x14ac:dyDescent="0.3">
      <c r="A196" s="600"/>
      <c r="B196" s="385"/>
      <c r="C196" s="382"/>
      <c r="D196" s="200" t="str">
        <f>B196&amp;" "&amp;C196&amp;" "&amp;"("&amp;$B$68&amp;")"</f>
        <v xml:space="preserve">  (Cotraitant 1)</v>
      </c>
      <c r="E196" s="133"/>
      <c r="F196" s="608"/>
      <c r="G196" s="384"/>
      <c r="H196" s="384"/>
      <c r="I196" s="493"/>
    </row>
    <row r="197" spans="1:10" hidden="1" x14ac:dyDescent="0.3">
      <c r="A197" s="600"/>
      <c r="B197" s="385"/>
      <c r="C197" s="382"/>
      <c r="D197" s="200" t="str">
        <f>B197&amp;" "&amp;C197&amp;" "&amp;"("&amp;$B$68&amp;")"</f>
        <v xml:space="preserve">  (Cotraitant 1)</v>
      </c>
      <c r="E197" s="133"/>
      <c r="F197" s="608"/>
      <c r="G197" s="384"/>
      <c r="H197" s="384"/>
      <c r="I197" s="493"/>
    </row>
    <row r="198" spans="1:10" ht="19.5" hidden="1" thickBot="1" x14ac:dyDescent="0.35">
      <c r="A198" s="601"/>
      <c r="B198" s="385"/>
      <c r="C198" s="382"/>
      <c r="D198" s="200" t="str">
        <f>B198&amp;" "&amp;C198&amp;" "&amp;"("&amp;$B$68&amp;")"</f>
        <v xml:space="preserve">  (Cotraitant 1)</v>
      </c>
      <c r="E198" s="134"/>
      <c r="F198" s="609"/>
      <c r="G198" s="384"/>
      <c r="H198" s="384"/>
      <c r="I198" s="493"/>
    </row>
    <row r="199" spans="1:10" ht="18.75" hidden="1" customHeight="1" x14ac:dyDescent="0.3">
      <c r="A199" s="599" t="str">
        <f t="shared" ref="A199" si="48">$A$172</f>
        <v>Tranche OPTIONNELLE 1</v>
      </c>
      <c r="B199" s="602" t="s">
        <v>34</v>
      </c>
      <c r="C199" s="603" t="s">
        <v>35</v>
      </c>
      <c r="D199" s="197"/>
      <c r="E199" s="514" t="s">
        <v>242</v>
      </c>
      <c r="F199" s="515" t="str">
        <f>E199</f>
        <v>Montant intial TVA</v>
      </c>
      <c r="G199" s="180" t="s">
        <v>220</v>
      </c>
      <c r="H199" s="181" t="s">
        <v>220</v>
      </c>
      <c r="I199" s="604" t="s">
        <v>420</v>
      </c>
    </row>
    <row r="200" spans="1:10" hidden="1" x14ac:dyDescent="0.3">
      <c r="A200" s="600"/>
      <c r="B200" s="602"/>
      <c r="C200" s="603"/>
      <c r="D200" s="198"/>
      <c r="E200" s="512">
        <f>$C$24</f>
        <v>0.2</v>
      </c>
      <c r="F200" s="513">
        <f>$E$24</f>
        <v>0.1</v>
      </c>
      <c r="G200" s="182" t="str">
        <f>"TVA"&amp;" "&amp;$C$24*100&amp;"%"</f>
        <v>TVA 20%</v>
      </c>
      <c r="H200" s="182" t="str">
        <f>"TVA"&amp;" "&amp;$E$24*100&amp;"%"</f>
        <v>TVA 10%</v>
      </c>
      <c r="I200" s="605"/>
      <c r="J200" s="518"/>
    </row>
    <row r="201" spans="1:10" ht="19.5" hidden="1" thickBot="1" x14ac:dyDescent="0.35">
      <c r="A201" s="600"/>
      <c r="B201" s="186" t="str">
        <f>$B$7</f>
        <v>Cotraitant 2</v>
      </c>
      <c r="C201" s="520">
        <f>$C$7</f>
        <v>0</v>
      </c>
      <c r="D201" s="179"/>
      <c r="E201" s="430"/>
      <c r="F201" s="430"/>
      <c r="G201" s="183">
        <f>E201-SUM(G202:G211)</f>
        <v>0</v>
      </c>
      <c r="H201" s="184">
        <f>F201-SUM(H202:H211)</f>
        <v>0</v>
      </c>
      <c r="I201" s="606"/>
      <c r="J201" s="528"/>
    </row>
    <row r="202" spans="1:10" ht="18.75" hidden="1" customHeight="1" x14ac:dyDescent="0.3">
      <c r="A202" s="600"/>
      <c r="B202" s="385"/>
      <c r="C202" s="382"/>
      <c r="D202" s="200" t="str">
        <f>B202&amp;" "&amp;C202&amp;" "&amp;"("&amp;$B$68&amp;")"</f>
        <v xml:space="preserve">  (Cotraitant 1)</v>
      </c>
      <c r="E202" s="132"/>
      <c r="F202" s="607" t="s">
        <v>243</v>
      </c>
      <c r="G202" s="383"/>
      <c r="H202" s="383"/>
      <c r="I202" s="493"/>
    </row>
    <row r="203" spans="1:10" ht="18.75" hidden="1" customHeight="1" x14ac:dyDescent="0.3">
      <c r="A203" s="600"/>
      <c r="B203" s="385"/>
      <c r="C203" s="382"/>
      <c r="D203" s="558"/>
      <c r="E203" s="133"/>
      <c r="F203" s="608"/>
      <c r="G203" s="383"/>
      <c r="H203" s="383"/>
      <c r="I203" s="493"/>
    </row>
    <row r="204" spans="1:10" ht="18.75" hidden="1" customHeight="1" x14ac:dyDescent="0.3">
      <c r="A204" s="600"/>
      <c r="B204" s="385"/>
      <c r="C204" s="382"/>
      <c r="D204" s="558"/>
      <c r="E204" s="133"/>
      <c r="F204" s="608"/>
      <c r="G204" s="383"/>
      <c r="H204" s="383"/>
      <c r="I204" s="493"/>
    </row>
    <row r="205" spans="1:10" ht="18.75" hidden="1" customHeight="1" x14ac:dyDescent="0.3">
      <c r="A205" s="600"/>
      <c r="B205" s="385"/>
      <c r="C205" s="382"/>
      <c r="D205" s="558"/>
      <c r="E205" s="133"/>
      <c r="F205" s="608"/>
      <c r="G205" s="383"/>
      <c r="H205" s="383"/>
      <c r="I205" s="493"/>
    </row>
    <row r="206" spans="1:10" ht="18.75" hidden="1" customHeight="1" x14ac:dyDescent="0.3">
      <c r="A206" s="600"/>
      <c r="B206" s="385"/>
      <c r="C206" s="382"/>
      <c r="D206" s="558"/>
      <c r="E206" s="133"/>
      <c r="F206" s="608"/>
      <c r="G206" s="383"/>
      <c r="H206" s="383"/>
      <c r="I206" s="493"/>
    </row>
    <row r="207" spans="1:10" hidden="1" x14ac:dyDescent="0.3">
      <c r="A207" s="600"/>
      <c r="B207" s="385"/>
      <c r="C207" s="382"/>
      <c r="D207" s="200" t="str">
        <f>B207&amp;" "&amp;C207&amp;" "&amp;"("&amp;$B$68&amp;")"</f>
        <v xml:space="preserve">  (Cotraitant 1)</v>
      </c>
      <c r="E207" s="133"/>
      <c r="F207" s="608"/>
      <c r="G207" s="384"/>
      <c r="H207" s="384"/>
      <c r="I207" s="493"/>
    </row>
    <row r="208" spans="1:10" hidden="1" x14ac:dyDescent="0.3">
      <c r="A208" s="600"/>
      <c r="B208" s="385"/>
      <c r="C208" s="382"/>
      <c r="D208" s="200" t="str">
        <f>B208&amp;" "&amp;C208&amp;" "&amp;"("&amp;$B$68&amp;")"</f>
        <v xml:space="preserve">  (Cotraitant 1)</v>
      </c>
      <c r="E208" s="133"/>
      <c r="F208" s="608"/>
      <c r="G208" s="384"/>
      <c r="H208" s="384"/>
      <c r="I208" s="493"/>
    </row>
    <row r="209" spans="1:9" hidden="1" x14ac:dyDescent="0.3">
      <c r="A209" s="600"/>
      <c r="B209" s="385"/>
      <c r="C209" s="382"/>
      <c r="D209" s="200" t="str">
        <f>B209&amp;" "&amp;C209&amp;" "&amp;"("&amp;$B$68&amp;")"</f>
        <v xml:space="preserve">  (Cotraitant 1)</v>
      </c>
      <c r="E209" s="133"/>
      <c r="F209" s="608"/>
      <c r="G209" s="384"/>
      <c r="H209" s="384"/>
      <c r="I209" s="493"/>
    </row>
    <row r="210" spans="1:9" hidden="1" x14ac:dyDescent="0.3">
      <c r="A210" s="600"/>
      <c r="B210" s="385"/>
      <c r="C210" s="382"/>
      <c r="D210" s="200" t="str">
        <f>B210&amp;" "&amp;C210&amp;" "&amp;"("&amp;$B$68&amp;")"</f>
        <v xml:space="preserve">  (Cotraitant 1)</v>
      </c>
      <c r="E210" s="133"/>
      <c r="F210" s="608"/>
      <c r="G210" s="384"/>
      <c r="H210" s="384"/>
      <c r="I210" s="493"/>
    </row>
    <row r="211" spans="1:9" ht="19.5" hidden="1" thickBot="1" x14ac:dyDescent="0.35">
      <c r="A211" s="601"/>
      <c r="B211" s="385"/>
      <c r="C211" s="382"/>
      <c r="D211" s="200" t="str">
        <f>B211&amp;" "&amp;C211&amp;" "&amp;"("&amp;$B$68&amp;")"</f>
        <v xml:space="preserve">  (Cotraitant 1)</v>
      </c>
      <c r="E211" s="134"/>
      <c r="F211" s="609"/>
      <c r="G211" s="384"/>
      <c r="H211" s="384"/>
      <c r="I211" s="493"/>
    </row>
    <row r="212" spans="1:9" ht="18.75" hidden="1" customHeight="1" x14ac:dyDescent="0.3">
      <c r="A212" s="599" t="str">
        <f t="shared" ref="A212" si="49">$A$172</f>
        <v>Tranche OPTIONNELLE 1</v>
      </c>
      <c r="B212" s="602" t="s">
        <v>34</v>
      </c>
      <c r="C212" s="603" t="s">
        <v>35</v>
      </c>
      <c r="D212" s="197"/>
      <c r="E212" s="514" t="s">
        <v>242</v>
      </c>
      <c r="F212" s="515" t="str">
        <f>E212</f>
        <v>Montant intial TVA</v>
      </c>
      <c r="G212" s="180" t="s">
        <v>220</v>
      </c>
      <c r="H212" s="181" t="s">
        <v>220</v>
      </c>
      <c r="I212" s="604" t="s">
        <v>420</v>
      </c>
    </row>
    <row r="213" spans="1:9" hidden="1" x14ac:dyDescent="0.3">
      <c r="A213" s="600"/>
      <c r="B213" s="602"/>
      <c r="C213" s="603"/>
      <c r="D213" s="198"/>
      <c r="E213" s="512">
        <f>$C$24</f>
        <v>0.2</v>
      </c>
      <c r="F213" s="513">
        <f>$E$24</f>
        <v>0.1</v>
      </c>
      <c r="G213" s="182" t="str">
        <f>"TVA"&amp;" "&amp;$C$24*100&amp;"%"</f>
        <v>TVA 20%</v>
      </c>
      <c r="H213" s="182" t="str">
        <f>"TVA"&amp;" "&amp;$E$24*100&amp;"%"</f>
        <v>TVA 10%</v>
      </c>
      <c r="I213" s="605"/>
    </row>
    <row r="214" spans="1:9" ht="19.5" hidden="1" thickBot="1" x14ac:dyDescent="0.35">
      <c r="A214" s="600"/>
      <c r="B214" s="186" t="str">
        <f>$B$8</f>
        <v>Cotraitant 3</v>
      </c>
      <c r="C214" s="520">
        <f>$C$8</f>
        <v>0</v>
      </c>
      <c r="D214" s="179"/>
      <c r="E214" s="430"/>
      <c r="F214" s="430"/>
      <c r="G214" s="183">
        <f>E214-SUM(G215:G224)</f>
        <v>0</v>
      </c>
      <c r="H214" s="184">
        <f>F214-SUM(H215:H224)</f>
        <v>0</v>
      </c>
      <c r="I214" s="606"/>
    </row>
    <row r="215" spans="1:9" ht="18.75" hidden="1" customHeight="1" x14ac:dyDescent="0.3">
      <c r="A215" s="600"/>
      <c r="B215" s="385"/>
      <c r="C215" s="382"/>
      <c r="D215" s="200" t="str">
        <f>B215&amp;" "&amp;C215&amp;" "&amp;"("&amp;$B$68&amp;")"</f>
        <v xml:space="preserve">  (Cotraitant 1)</v>
      </c>
      <c r="E215" s="132"/>
      <c r="F215" s="607" t="s">
        <v>243</v>
      </c>
      <c r="G215" s="383"/>
      <c r="H215" s="383"/>
      <c r="I215" s="493"/>
    </row>
    <row r="216" spans="1:9" hidden="1" x14ac:dyDescent="0.3">
      <c r="A216" s="600"/>
      <c r="B216" s="385"/>
      <c r="C216" s="382"/>
      <c r="D216" s="200" t="str">
        <f>B216&amp;" "&amp;C216&amp;" "&amp;"("&amp;$B$68&amp;")"</f>
        <v xml:space="preserve">  (Cotraitant 1)</v>
      </c>
      <c r="E216" s="133"/>
      <c r="F216" s="608"/>
      <c r="G216" s="384"/>
      <c r="H216" s="384"/>
      <c r="I216" s="493"/>
    </row>
    <row r="217" spans="1:9" hidden="1" x14ac:dyDescent="0.3">
      <c r="A217" s="600"/>
      <c r="B217" s="385"/>
      <c r="C217" s="382"/>
      <c r="D217" s="558"/>
      <c r="E217" s="133"/>
      <c r="F217" s="608"/>
      <c r="G217" s="384"/>
      <c r="H217" s="384"/>
      <c r="I217" s="493"/>
    </row>
    <row r="218" spans="1:9" hidden="1" x14ac:dyDescent="0.3">
      <c r="A218" s="600"/>
      <c r="B218" s="385"/>
      <c r="C218" s="382"/>
      <c r="D218" s="558"/>
      <c r="E218" s="133"/>
      <c r="F218" s="608"/>
      <c r="G218" s="384"/>
      <c r="H218" s="384"/>
      <c r="I218" s="493"/>
    </row>
    <row r="219" spans="1:9" hidden="1" x14ac:dyDescent="0.3">
      <c r="A219" s="600"/>
      <c r="B219" s="385"/>
      <c r="C219" s="382"/>
      <c r="D219" s="558"/>
      <c r="E219" s="133"/>
      <c r="F219" s="608"/>
      <c r="G219" s="384"/>
      <c r="H219" s="384"/>
      <c r="I219" s="493"/>
    </row>
    <row r="220" spans="1:9" hidden="1" x14ac:dyDescent="0.3">
      <c r="A220" s="600"/>
      <c r="B220" s="385"/>
      <c r="C220" s="382"/>
      <c r="D220" s="558"/>
      <c r="E220" s="133"/>
      <c r="F220" s="608"/>
      <c r="G220" s="384"/>
      <c r="H220" s="384"/>
      <c r="I220" s="493"/>
    </row>
    <row r="221" spans="1:9" hidden="1" x14ac:dyDescent="0.3">
      <c r="A221" s="600"/>
      <c r="B221" s="385"/>
      <c r="C221" s="382"/>
      <c r="D221" s="558"/>
      <c r="E221" s="133"/>
      <c r="F221" s="608"/>
      <c r="G221" s="384"/>
      <c r="H221" s="384"/>
      <c r="I221" s="493"/>
    </row>
    <row r="222" spans="1:9" hidden="1" x14ac:dyDescent="0.3">
      <c r="A222" s="600"/>
      <c r="B222" s="385"/>
      <c r="C222" s="382"/>
      <c r="D222" s="200" t="str">
        <f>B222&amp;" "&amp;C222&amp;" "&amp;"("&amp;$B$68&amp;")"</f>
        <v xml:space="preserve">  (Cotraitant 1)</v>
      </c>
      <c r="E222" s="133"/>
      <c r="F222" s="608"/>
      <c r="G222" s="384"/>
      <c r="H222" s="384"/>
      <c r="I222" s="493"/>
    </row>
    <row r="223" spans="1:9" hidden="1" x14ac:dyDescent="0.3">
      <c r="A223" s="600"/>
      <c r="B223" s="385"/>
      <c r="C223" s="382"/>
      <c r="D223" s="200" t="str">
        <f>B223&amp;" "&amp;C223&amp;" "&amp;"("&amp;$B$68&amp;")"</f>
        <v xml:space="preserve">  (Cotraitant 1)</v>
      </c>
      <c r="E223" s="133"/>
      <c r="F223" s="608"/>
      <c r="G223" s="384"/>
      <c r="H223" s="384"/>
      <c r="I223" s="493"/>
    </row>
    <row r="224" spans="1:9" ht="19.5" hidden="1" thickBot="1" x14ac:dyDescent="0.35">
      <c r="A224" s="601"/>
      <c r="B224" s="385"/>
      <c r="C224" s="382"/>
      <c r="D224" s="200" t="str">
        <f>B224&amp;" "&amp;C224&amp;" "&amp;"("&amp;$B$68&amp;")"</f>
        <v xml:space="preserve">  (Cotraitant 1)</v>
      </c>
      <c r="E224" s="134"/>
      <c r="F224" s="609"/>
      <c r="G224" s="384"/>
      <c r="H224" s="384"/>
      <c r="I224" s="493"/>
    </row>
    <row r="225" spans="1:9" ht="18.75" hidden="1" customHeight="1" x14ac:dyDescent="0.3">
      <c r="A225" s="599" t="str">
        <f t="shared" ref="A225" si="50">$A$172</f>
        <v>Tranche OPTIONNELLE 1</v>
      </c>
      <c r="B225" s="602" t="s">
        <v>34</v>
      </c>
      <c r="C225" s="603" t="s">
        <v>35</v>
      </c>
      <c r="D225" s="197"/>
      <c r="E225" s="514" t="s">
        <v>242</v>
      </c>
      <c r="F225" s="515" t="str">
        <f>E225</f>
        <v>Montant intial TVA</v>
      </c>
      <c r="G225" s="180" t="s">
        <v>220</v>
      </c>
      <c r="H225" s="181" t="s">
        <v>220</v>
      </c>
      <c r="I225" s="604" t="s">
        <v>420</v>
      </c>
    </row>
    <row r="226" spans="1:9" hidden="1" x14ac:dyDescent="0.3">
      <c r="A226" s="600"/>
      <c r="B226" s="602"/>
      <c r="C226" s="603"/>
      <c r="D226" s="198"/>
      <c r="E226" s="512">
        <f>$C$24</f>
        <v>0.2</v>
      </c>
      <c r="F226" s="513">
        <f>$E$24</f>
        <v>0.1</v>
      </c>
      <c r="G226" s="182" t="str">
        <f>"TVA"&amp;" "&amp;$C$24*100&amp;"%"</f>
        <v>TVA 20%</v>
      </c>
      <c r="H226" s="182" t="str">
        <f>"TVA"&amp;" "&amp;$E$24*100&amp;"%"</f>
        <v>TVA 10%</v>
      </c>
      <c r="I226" s="605"/>
    </row>
    <row r="227" spans="1:9" ht="19.5" hidden="1" thickBot="1" x14ac:dyDescent="0.35">
      <c r="A227" s="600"/>
      <c r="B227" s="186" t="str">
        <f>$B$9</f>
        <v>Cotraitant 4</v>
      </c>
      <c r="C227" s="520">
        <f>$C$9</f>
        <v>0</v>
      </c>
      <c r="D227" s="179"/>
      <c r="E227" s="430"/>
      <c r="F227" s="430"/>
      <c r="G227" s="183">
        <f>E227-SUM(G228:G237)</f>
        <v>0</v>
      </c>
      <c r="H227" s="184">
        <f>F227-SUM(H228:H237)</f>
        <v>0</v>
      </c>
      <c r="I227" s="606"/>
    </row>
    <row r="228" spans="1:9" ht="18.75" hidden="1" customHeight="1" x14ac:dyDescent="0.3">
      <c r="A228" s="600"/>
      <c r="B228" s="385"/>
      <c r="C228" s="382"/>
      <c r="D228" s="200" t="str">
        <f>B228&amp;" "&amp;C228&amp;" "&amp;"("&amp;$B$68&amp;")"</f>
        <v xml:space="preserve">  (Cotraitant 1)</v>
      </c>
      <c r="E228" s="132"/>
      <c r="F228" s="607" t="s">
        <v>243</v>
      </c>
      <c r="G228" s="383"/>
      <c r="H228" s="383"/>
      <c r="I228" s="493"/>
    </row>
    <row r="229" spans="1:9" hidden="1" x14ac:dyDescent="0.3">
      <c r="A229" s="600"/>
      <c r="B229" s="385"/>
      <c r="C229" s="382"/>
      <c r="D229" s="200" t="str">
        <f>B229&amp;" "&amp;C229&amp;" "&amp;"("&amp;$B$68&amp;")"</f>
        <v xml:space="preserve">  (Cotraitant 1)</v>
      </c>
      <c r="E229" s="133"/>
      <c r="F229" s="608"/>
      <c r="G229" s="384"/>
      <c r="H229" s="384"/>
      <c r="I229" s="493"/>
    </row>
    <row r="230" spans="1:9" hidden="1" x14ac:dyDescent="0.3">
      <c r="A230" s="600"/>
      <c r="B230" s="385"/>
      <c r="C230" s="382"/>
      <c r="D230" s="558"/>
      <c r="E230" s="133"/>
      <c r="F230" s="608"/>
      <c r="G230" s="384"/>
      <c r="H230" s="384"/>
      <c r="I230" s="493"/>
    </row>
    <row r="231" spans="1:9" hidden="1" x14ac:dyDescent="0.3">
      <c r="A231" s="600"/>
      <c r="B231" s="385"/>
      <c r="C231" s="382"/>
      <c r="D231" s="558"/>
      <c r="E231" s="133"/>
      <c r="F231" s="608"/>
      <c r="G231" s="384"/>
      <c r="H231" s="384"/>
      <c r="I231" s="493"/>
    </row>
    <row r="232" spans="1:9" hidden="1" x14ac:dyDescent="0.3">
      <c r="A232" s="600"/>
      <c r="B232" s="385"/>
      <c r="C232" s="382"/>
      <c r="D232" s="558"/>
      <c r="E232" s="133"/>
      <c r="F232" s="608"/>
      <c r="G232" s="384"/>
      <c r="H232" s="384"/>
      <c r="I232" s="493"/>
    </row>
    <row r="233" spans="1:9" hidden="1" x14ac:dyDescent="0.3">
      <c r="A233" s="600"/>
      <c r="B233" s="385"/>
      <c r="C233" s="382"/>
      <c r="D233" s="558"/>
      <c r="E233" s="133"/>
      <c r="F233" s="608"/>
      <c r="G233" s="384"/>
      <c r="H233" s="384"/>
      <c r="I233" s="493"/>
    </row>
    <row r="234" spans="1:9" hidden="1" x14ac:dyDescent="0.3">
      <c r="A234" s="600"/>
      <c r="B234" s="385"/>
      <c r="C234" s="382"/>
      <c r="D234" s="200" t="str">
        <f>B234&amp;" "&amp;C234&amp;" "&amp;"("&amp;$B$68&amp;")"</f>
        <v xml:space="preserve">  (Cotraitant 1)</v>
      </c>
      <c r="E234" s="133"/>
      <c r="F234" s="608"/>
      <c r="G234" s="384"/>
      <c r="H234" s="384"/>
      <c r="I234" s="493"/>
    </row>
    <row r="235" spans="1:9" hidden="1" x14ac:dyDescent="0.3">
      <c r="A235" s="600"/>
      <c r="B235" s="385"/>
      <c r="C235" s="382"/>
      <c r="D235" s="200" t="str">
        <f>B235&amp;" "&amp;C235&amp;" "&amp;"("&amp;$B$68&amp;")"</f>
        <v xml:space="preserve">  (Cotraitant 1)</v>
      </c>
      <c r="E235" s="133"/>
      <c r="F235" s="608"/>
      <c r="G235" s="384"/>
      <c r="H235" s="384"/>
      <c r="I235" s="493"/>
    </row>
    <row r="236" spans="1:9" hidden="1" x14ac:dyDescent="0.3">
      <c r="A236" s="600"/>
      <c r="B236" s="385"/>
      <c r="C236" s="382"/>
      <c r="D236" s="200" t="str">
        <f>B236&amp;" "&amp;C236&amp;" "&amp;"("&amp;$B$68&amp;")"</f>
        <v xml:space="preserve">  (Cotraitant 1)</v>
      </c>
      <c r="E236" s="133"/>
      <c r="F236" s="608"/>
      <c r="G236" s="384"/>
      <c r="H236" s="384"/>
      <c r="I236" s="493"/>
    </row>
    <row r="237" spans="1:9" ht="19.5" hidden="1" thickBot="1" x14ac:dyDescent="0.35">
      <c r="A237" s="601"/>
      <c r="B237" s="385"/>
      <c r="C237" s="382"/>
      <c r="D237" s="200" t="str">
        <f>B237&amp;" "&amp;C237&amp;" "&amp;"("&amp;$B$68&amp;")"</f>
        <v xml:space="preserve">  (Cotraitant 1)</v>
      </c>
      <c r="E237" s="134"/>
      <c r="F237" s="609"/>
      <c r="G237" s="384"/>
      <c r="H237" s="384"/>
      <c r="I237" s="493"/>
    </row>
    <row r="238" spans="1:9" ht="18.75" hidden="1" customHeight="1" x14ac:dyDescent="0.3">
      <c r="A238" s="599" t="str">
        <f t="shared" ref="A238" si="51">$A$172</f>
        <v>Tranche OPTIONNELLE 1</v>
      </c>
      <c r="B238" s="602" t="s">
        <v>34</v>
      </c>
      <c r="C238" s="603" t="s">
        <v>35</v>
      </c>
      <c r="D238" s="197"/>
      <c r="E238" s="514" t="s">
        <v>242</v>
      </c>
      <c r="F238" s="515" t="str">
        <f>E238</f>
        <v>Montant intial TVA</v>
      </c>
      <c r="G238" s="180" t="s">
        <v>220</v>
      </c>
      <c r="H238" s="181" t="s">
        <v>220</v>
      </c>
      <c r="I238" s="604" t="s">
        <v>420</v>
      </c>
    </row>
    <row r="239" spans="1:9" hidden="1" x14ac:dyDescent="0.3">
      <c r="A239" s="600"/>
      <c r="B239" s="602"/>
      <c r="C239" s="603"/>
      <c r="D239" s="198"/>
      <c r="E239" s="512">
        <f>$C$24</f>
        <v>0.2</v>
      </c>
      <c r="F239" s="513">
        <f>$E$24</f>
        <v>0.1</v>
      </c>
      <c r="G239" s="182" t="str">
        <f>"TVA"&amp;" "&amp;$C$24*100&amp;"%"</f>
        <v>TVA 20%</v>
      </c>
      <c r="H239" s="182" t="str">
        <f>"TVA"&amp;" "&amp;$E$24*100&amp;"%"</f>
        <v>TVA 10%</v>
      </c>
      <c r="I239" s="605"/>
    </row>
    <row r="240" spans="1:9" ht="19.5" hidden="1" thickBot="1" x14ac:dyDescent="0.35">
      <c r="A240" s="600"/>
      <c r="B240" s="186" t="str">
        <f>$B$10</f>
        <v>Cotraitant 5</v>
      </c>
      <c r="C240" s="520">
        <f>$C$10</f>
        <v>0</v>
      </c>
      <c r="D240" s="179"/>
      <c r="E240" s="430"/>
      <c r="F240" s="430"/>
      <c r="G240" s="183">
        <f>E240-SUM(G241:G250)</f>
        <v>0</v>
      </c>
      <c r="H240" s="184">
        <f>F240-SUM(H241:H250)</f>
        <v>0</v>
      </c>
      <c r="I240" s="606"/>
    </row>
    <row r="241" spans="1:9" ht="18.75" hidden="1" customHeight="1" x14ac:dyDescent="0.3">
      <c r="A241" s="600"/>
      <c r="B241" s="385"/>
      <c r="C241" s="382"/>
      <c r="D241" s="200" t="str">
        <f>B241&amp;" "&amp;C241&amp;" "&amp;"("&amp;$B$68&amp;")"</f>
        <v xml:space="preserve">  (Cotraitant 1)</v>
      </c>
      <c r="E241" s="132"/>
      <c r="F241" s="607" t="s">
        <v>243</v>
      </c>
      <c r="G241" s="383"/>
      <c r="H241" s="383"/>
      <c r="I241" s="493"/>
    </row>
    <row r="242" spans="1:9" hidden="1" x14ac:dyDescent="0.3">
      <c r="A242" s="600"/>
      <c r="B242" s="385"/>
      <c r="C242" s="382"/>
      <c r="D242" s="200" t="str">
        <f>B242&amp;" "&amp;C242&amp;" "&amp;"("&amp;$B$68&amp;")"</f>
        <v xml:space="preserve">  (Cotraitant 1)</v>
      </c>
      <c r="E242" s="133"/>
      <c r="F242" s="608"/>
      <c r="G242" s="384"/>
      <c r="H242" s="384"/>
      <c r="I242" s="493"/>
    </row>
    <row r="243" spans="1:9" hidden="1" x14ac:dyDescent="0.3">
      <c r="A243" s="600"/>
      <c r="B243" s="385"/>
      <c r="C243" s="382"/>
      <c r="D243" s="558"/>
      <c r="E243" s="133"/>
      <c r="F243" s="608"/>
      <c r="G243" s="384"/>
      <c r="H243" s="384"/>
      <c r="I243" s="493"/>
    </row>
    <row r="244" spans="1:9" hidden="1" x14ac:dyDescent="0.3">
      <c r="A244" s="600"/>
      <c r="B244" s="385"/>
      <c r="C244" s="382"/>
      <c r="D244" s="558"/>
      <c r="E244" s="133"/>
      <c r="F244" s="608"/>
      <c r="G244" s="384"/>
      <c r="H244" s="384"/>
      <c r="I244" s="493"/>
    </row>
    <row r="245" spans="1:9" hidden="1" x14ac:dyDescent="0.3">
      <c r="A245" s="600"/>
      <c r="B245" s="385"/>
      <c r="C245" s="382"/>
      <c r="D245" s="558"/>
      <c r="E245" s="133"/>
      <c r="F245" s="608"/>
      <c r="G245" s="384"/>
      <c r="H245" s="384"/>
      <c r="I245" s="493"/>
    </row>
    <row r="246" spans="1:9" hidden="1" x14ac:dyDescent="0.3">
      <c r="A246" s="600"/>
      <c r="B246" s="385"/>
      <c r="C246" s="382"/>
      <c r="D246" s="558"/>
      <c r="E246" s="133"/>
      <c r="F246" s="608"/>
      <c r="G246" s="384"/>
      <c r="H246" s="384"/>
      <c r="I246" s="493"/>
    </row>
    <row r="247" spans="1:9" hidden="1" x14ac:dyDescent="0.3">
      <c r="A247" s="600"/>
      <c r="B247" s="385"/>
      <c r="C247" s="382"/>
      <c r="D247" s="200" t="str">
        <f>B247&amp;" "&amp;C247&amp;" "&amp;"("&amp;$B$68&amp;")"</f>
        <v xml:space="preserve">  (Cotraitant 1)</v>
      </c>
      <c r="E247" s="133"/>
      <c r="F247" s="608"/>
      <c r="G247" s="384"/>
      <c r="H247" s="384"/>
      <c r="I247" s="493"/>
    </row>
    <row r="248" spans="1:9" hidden="1" x14ac:dyDescent="0.3">
      <c r="A248" s="600"/>
      <c r="B248" s="385"/>
      <c r="C248" s="382"/>
      <c r="D248" s="200" t="str">
        <f>B248&amp;" "&amp;C248&amp;" "&amp;"("&amp;$B$68&amp;")"</f>
        <v xml:space="preserve">  (Cotraitant 1)</v>
      </c>
      <c r="E248" s="133"/>
      <c r="F248" s="608"/>
      <c r="G248" s="384"/>
      <c r="H248" s="384"/>
      <c r="I248" s="493"/>
    </row>
    <row r="249" spans="1:9" hidden="1" x14ac:dyDescent="0.3">
      <c r="A249" s="600"/>
      <c r="B249" s="385"/>
      <c r="C249" s="382"/>
      <c r="D249" s="200" t="str">
        <f>B249&amp;" "&amp;C249&amp;" "&amp;"("&amp;$B$68&amp;")"</f>
        <v xml:space="preserve">  (Cotraitant 1)</v>
      </c>
      <c r="E249" s="133"/>
      <c r="F249" s="608"/>
      <c r="G249" s="384"/>
      <c r="H249" s="384"/>
      <c r="I249" s="493"/>
    </row>
    <row r="250" spans="1:9" ht="19.5" hidden="1" thickBot="1" x14ac:dyDescent="0.35">
      <c r="A250" s="601"/>
      <c r="B250" s="385"/>
      <c r="C250" s="382"/>
      <c r="D250" s="200" t="str">
        <f>B250&amp;" "&amp;C250&amp;" "&amp;"("&amp;$B$68&amp;")"</f>
        <v xml:space="preserve">  (Cotraitant 1)</v>
      </c>
      <c r="E250" s="134"/>
      <c r="F250" s="609"/>
      <c r="G250" s="384"/>
      <c r="H250" s="384"/>
      <c r="I250" s="493"/>
    </row>
    <row r="251" spans="1:9" ht="18.75" hidden="1" customHeight="1" x14ac:dyDescent="0.3">
      <c r="A251" s="599" t="str">
        <f t="shared" ref="A251" si="52">$A$172</f>
        <v>Tranche OPTIONNELLE 1</v>
      </c>
      <c r="B251" s="602" t="s">
        <v>34</v>
      </c>
      <c r="C251" s="603" t="s">
        <v>35</v>
      </c>
      <c r="D251" s="197"/>
      <c r="E251" s="514" t="s">
        <v>242</v>
      </c>
      <c r="F251" s="515" t="str">
        <f>E251</f>
        <v>Montant intial TVA</v>
      </c>
      <c r="G251" s="180" t="s">
        <v>220</v>
      </c>
      <c r="H251" s="181" t="s">
        <v>220</v>
      </c>
      <c r="I251" s="604" t="s">
        <v>420</v>
      </c>
    </row>
    <row r="252" spans="1:9" hidden="1" x14ac:dyDescent="0.3">
      <c r="A252" s="600"/>
      <c r="B252" s="602"/>
      <c r="C252" s="603"/>
      <c r="D252" s="198"/>
      <c r="E252" s="512">
        <f>$C$24</f>
        <v>0.2</v>
      </c>
      <c r="F252" s="513">
        <f>$E$24</f>
        <v>0.1</v>
      </c>
      <c r="G252" s="182" t="str">
        <f>"TVA"&amp;" "&amp;$C$24*100&amp;"%"</f>
        <v>TVA 20%</v>
      </c>
      <c r="H252" s="182" t="str">
        <f>"TVA"&amp;" "&amp;$E$24*100&amp;"%"</f>
        <v>TVA 10%</v>
      </c>
      <c r="I252" s="605"/>
    </row>
    <row r="253" spans="1:9" ht="19.5" hidden="1" thickBot="1" x14ac:dyDescent="0.35">
      <c r="A253" s="600"/>
      <c r="B253" s="186" t="str">
        <f>$B$11</f>
        <v>Cotraitant 6</v>
      </c>
      <c r="C253" s="520">
        <f>$C$11</f>
        <v>0</v>
      </c>
      <c r="D253" s="179"/>
      <c r="E253" s="430"/>
      <c r="F253" s="430"/>
      <c r="G253" s="183">
        <f>E253-SUM(G254:G263)</f>
        <v>0</v>
      </c>
      <c r="H253" s="184">
        <f>F253-SUM(H254:H263)</f>
        <v>0</v>
      </c>
      <c r="I253" s="606"/>
    </row>
    <row r="254" spans="1:9" ht="18.75" hidden="1" customHeight="1" x14ac:dyDescent="0.3">
      <c r="A254" s="600"/>
      <c r="B254" s="385"/>
      <c r="C254" s="382"/>
      <c r="D254" s="200" t="str">
        <f>B254&amp;" "&amp;C254&amp;" "&amp;"("&amp;$B$68&amp;")"</f>
        <v xml:space="preserve">  (Cotraitant 1)</v>
      </c>
      <c r="E254" s="132"/>
      <c r="F254" s="607" t="s">
        <v>243</v>
      </c>
      <c r="G254" s="383"/>
      <c r="H254" s="383"/>
      <c r="I254" s="493"/>
    </row>
    <row r="255" spans="1:9" hidden="1" x14ac:dyDescent="0.3">
      <c r="A255" s="600"/>
      <c r="B255" s="385"/>
      <c r="C255" s="382"/>
      <c r="D255" s="200" t="str">
        <f>B255&amp;" "&amp;C255&amp;" "&amp;"("&amp;$B$68&amp;")"</f>
        <v xml:space="preserve">  (Cotraitant 1)</v>
      </c>
      <c r="E255" s="133"/>
      <c r="F255" s="608"/>
      <c r="G255" s="384"/>
      <c r="H255" s="384"/>
      <c r="I255" s="493"/>
    </row>
    <row r="256" spans="1:9" hidden="1" x14ac:dyDescent="0.3">
      <c r="A256" s="600"/>
      <c r="B256" s="385"/>
      <c r="C256" s="382"/>
      <c r="D256" s="558"/>
      <c r="E256" s="133"/>
      <c r="F256" s="608"/>
      <c r="G256" s="384"/>
      <c r="H256" s="384"/>
      <c r="I256" s="493"/>
    </row>
    <row r="257" spans="1:9" hidden="1" x14ac:dyDescent="0.3">
      <c r="A257" s="600"/>
      <c r="B257" s="385"/>
      <c r="C257" s="382"/>
      <c r="D257" s="558"/>
      <c r="E257" s="133"/>
      <c r="F257" s="608"/>
      <c r="G257" s="384"/>
      <c r="H257" s="384"/>
      <c r="I257" s="493"/>
    </row>
    <row r="258" spans="1:9" hidden="1" x14ac:dyDescent="0.3">
      <c r="A258" s="600"/>
      <c r="B258" s="385"/>
      <c r="C258" s="382"/>
      <c r="D258" s="558"/>
      <c r="E258" s="133"/>
      <c r="F258" s="608"/>
      <c r="G258" s="384"/>
      <c r="H258" s="384"/>
      <c r="I258" s="493"/>
    </row>
    <row r="259" spans="1:9" hidden="1" x14ac:dyDescent="0.3">
      <c r="A259" s="600"/>
      <c r="B259" s="385"/>
      <c r="C259" s="382"/>
      <c r="D259" s="558"/>
      <c r="E259" s="133"/>
      <c r="F259" s="608"/>
      <c r="G259" s="384"/>
      <c r="H259" s="384"/>
      <c r="I259" s="493"/>
    </row>
    <row r="260" spans="1:9" hidden="1" x14ac:dyDescent="0.3">
      <c r="A260" s="600"/>
      <c r="B260" s="385"/>
      <c r="C260" s="382"/>
      <c r="D260" s="200" t="str">
        <f>B260&amp;" "&amp;C260&amp;" "&amp;"("&amp;$B$68&amp;")"</f>
        <v xml:space="preserve">  (Cotraitant 1)</v>
      </c>
      <c r="E260" s="133"/>
      <c r="F260" s="608"/>
      <c r="G260" s="384"/>
      <c r="H260" s="384"/>
      <c r="I260" s="493"/>
    </row>
    <row r="261" spans="1:9" hidden="1" x14ac:dyDescent="0.3">
      <c r="A261" s="600"/>
      <c r="B261" s="385"/>
      <c r="C261" s="382"/>
      <c r="D261" s="200" t="str">
        <f>B261&amp;" "&amp;C261&amp;" "&amp;"("&amp;$B$68&amp;")"</f>
        <v xml:space="preserve">  (Cotraitant 1)</v>
      </c>
      <c r="E261" s="133"/>
      <c r="F261" s="608"/>
      <c r="G261" s="384"/>
      <c r="H261" s="384"/>
      <c r="I261" s="493"/>
    </row>
    <row r="262" spans="1:9" hidden="1" x14ac:dyDescent="0.3">
      <c r="A262" s="600"/>
      <c r="B262" s="385"/>
      <c r="C262" s="382"/>
      <c r="D262" s="200" t="str">
        <f>B262&amp;" "&amp;C262&amp;" "&amp;"("&amp;$B$68&amp;")"</f>
        <v xml:space="preserve">  (Cotraitant 1)</v>
      </c>
      <c r="E262" s="133"/>
      <c r="F262" s="608"/>
      <c r="G262" s="384"/>
      <c r="H262" s="384"/>
      <c r="I262" s="493"/>
    </row>
    <row r="263" spans="1:9" ht="19.5" hidden="1" thickBot="1" x14ac:dyDescent="0.35">
      <c r="A263" s="601"/>
      <c r="B263" s="385"/>
      <c r="C263" s="382"/>
      <c r="D263" s="200" t="str">
        <f>B263&amp;" "&amp;C263&amp;" "&amp;"("&amp;$B$68&amp;")"</f>
        <v xml:space="preserve">  (Cotraitant 1)</v>
      </c>
      <c r="E263" s="134"/>
      <c r="F263" s="609"/>
      <c r="G263" s="384"/>
      <c r="H263" s="384"/>
      <c r="I263" s="493"/>
    </row>
    <row r="264" spans="1:9" ht="18.75" hidden="1" customHeight="1" x14ac:dyDescent="0.3">
      <c r="A264" s="599" t="str">
        <f t="shared" ref="A264" si="53">$A$172</f>
        <v>Tranche OPTIONNELLE 1</v>
      </c>
      <c r="B264" s="602" t="s">
        <v>34</v>
      </c>
      <c r="C264" s="603" t="s">
        <v>35</v>
      </c>
      <c r="D264" s="197"/>
      <c r="E264" s="514" t="s">
        <v>242</v>
      </c>
      <c r="F264" s="515" t="str">
        <f>E264</f>
        <v>Montant intial TVA</v>
      </c>
      <c r="G264" s="180" t="s">
        <v>220</v>
      </c>
      <c r="H264" s="181" t="s">
        <v>220</v>
      </c>
      <c r="I264" s="604" t="s">
        <v>420</v>
      </c>
    </row>
    <row r="265" spans="1:9" hidden="1" x14ac:dyDescent="0.3">
      <c r="A265" s="600"/>
      <c r="B265" s="602"/>
      <c r="C265" s="603"/>
      <c r="D265" s="198"/>
      <c r="E265" s="512">
        <f>$C$24</f>
        <v>0.2</v>
      </c>
      <c r="F265" s="513">
        <f>$E$24</f>
        <v>0.1</v>
      </c>
      <c r="G265" s="182" t="str">
        <f>"TVA"&amp;" "&amp;$C$24*100&amp;"%"</f>
        <v>TVA 20%</v>
      </c>
      <c r="H265" s="182" t="str">
        <f>"TVA"&amp;" "&amp;$E$24*100&amp;"%"</f>
        <v>TVA 10%</v>
      </c>
      <c r="I265" s="605"/>
    </row>
    <row r="266" spans="1:9" ht="19.5" hidden="1" thickBot="1" x14ac:dyDescent="0.35">
      <c r="A266" s="600"/>
      <c r="B266" s="186" t="str">
        <f>$B$12</f>
        <v>Cotraitant 7</v>
      </c>
      <c r="C266" s="520">
        <f>$C$12</f>
        <v>0</v>
      </c>
      <c r="D266" s="179"/>
      <c r="E266" s="430"/>
      <c r="F266" s="430"/>
      <c r="G266" s="183">
        <f>E266-SUM(G267:G276)</f>
        <v>0</v>
      </c>
      <c r="H266" s="184">
        <f>F266-SUM(H267:H276)</f>
        <v>0</v>
      </c>
      <c r="I266" s="606"/>
    </row>
    <row r="267" spans="1:9" ht="18.75" hidden="1" customHeight="1" x14ac:dyDescent="0.3">
      <c r="A267" s="600"/>
      <c r="B267" s="385"/>
      <c r="C267" s="382"/>
      <c r="D267" s="200" t="str">
        <f>B267&amp;" "&amp;C267&amp;" "&amp;"("&amp;$B$68&amp;")"</f>
        <v xml:space="preserve">  (Cotraitant 1)</v>
      </c>
      <c r="E267" s="132"/>
      <c r="F267" s="607" t="s">
        <v>243</v>
      </c>
      <c r="G267" s="383"/>
      <c r="H267" s="383"/>
      <c r="I267" s="493"/>
    </row>
    <row r="268" spans="1:9" ht="18.75" hidden="1" customHeight="1" x14ac:dyDescent="0.3">
      <c r="A268" s="600"/>
      <c r="B268" s="385"/>
      <c r="C268" s="382"/>
      <c r="D268" s="558"/>
      <c r="E268" s="133"/>
      <c r="F268" s="608"/>
      <c r="G268" s="383"/>
      <c r="H268" s="383"/>
      <c r="I268" s="493"/>
    </row>
    <row r="269" spans="1:9" ht="18.75" hidden="1" customHeight="1" x14ac:dyDescent="0.3">
      <c r="A269" s="600"/>
      <c r="B269" s="385"/>
      <c r="C269" s="382"/>
      <c r="D269" s="558"/>
      <c r="E269" s="133"/>
      <c r="F269" s="608"/>
      <c r="G269" s="383"/>
      <c r="H269" s="383"/>
      <c r="I269" s="493"/>
    </row>
    <row r="270" spans="1:9" ht="18.75" hidden="1" customHeight="1" x14ac:dyDescent="0.3">
      <c r="A270" s="600"/>
      <c r="B270" s="385"/>
      <c r="C270" s="382"/>
      <c r="D270" s="558"/>
      <c r="E270" s="133"/>
      <c r="F270" s="608"/>
      <c r="G270" s="383"/>
      <c r="H270" s="383"/>
      <c r="I270" s="493"/>
    </row>
    <row r="271" spans="1:9" ht="18.75" hidden="1" customHeight="1" x14ac:dyDescent="0.3">
      <c r="A271" s="600"/>
      <c r="B271" s="385"/>
      <c r="C271" s="382"/>
      <c r="D271" s="558"/>
      <c r="E271" s="133"/>
      <c r="F271" s="608"/>
      <c r="G271" s="383"/>
      <c r="H271" s="383"/>
      <c r="I271" s="493"/>
    </row>
    <row r="272" spans="1:9" hidden="1" x14ac:dyDescent="0.3">
      <c r="A272" s="600"/>
      <c r="B272" s="385"/>
      <c r="C272" s="382"/>
      <c r="D272" s="200" t="str">
        <f>B272&amp;" "&amp;C272&amp;" "&amp;"("&amp;$B$68&amp;")"</f>
        <v xml:space="preserve">  (Cotraitant 1)</v>
      </c>
      <c r="E272" s="133"/>
      <c r="F272" s="608"/>
      <c r="G272" s="384"/>
      <c r="H272" s="384"/>
      <c r="I272" s="493"/>
    </row>
    <row r="273" spans="1:9" hidden="1" x14ac:dyDescent="0.3">
      <c r="A273" s="600"/>
      <c r="B273" s="385"/>
      <c r="C273" s="382"/>
      <c r="D273" s="200" t="str">
        <f>B273&amp;" "&amp;C273&amp;" "&amp;"("&amp;$B$68&amp;")"</f>
        <v xml:space="preserve">  (Cotraitant 1)</v>
      </c>
      <c r="E273" s="133"/>
      <c r="F273" s="608"/>
      <c r="G273" s="384"/>
      <c r="H273" s="384"/>
      <c r="I273" s="493"/>
    </row>
    <row r="274" spans="1:9" hidden="1" x14ac:dyDescent="0.3">
      <c r="A274" s="600"/>
      <c r="B274" s="385"/>
      <c r="C274" s="382"/>
      <c r="D274" s="200" t="str">
        <f>B274&amp;" "&amp;C274&amp;" "&amp;"("&amp;$B$68&amp;")"</f>
        <v xml:space="preserve">  (Cotraitant 1)</v>
      </c>
      <c r="E274" s="133"/>
      <c r="F274" s="608"/>
      <c r="G274" s="384"/>
      <c r="H274" s="384"/>
      <c r="I274" s="493"/>
    </row>
    <row r="275" spans="1:9" hidden="1" x14ac:dyDescent="0.3">
      <c r="A275" s="600"/>
      <c r="B275" s="385"/>
      <c r="C275" s="382"/>
      <c r="D275" s="200" t="str">
        <f>B275&amp;" "&amp;C275&amp;" "&amp;"("&amp;$B$68&amp;")"</f>
        <v xml:space="preserve">  (Cotraitant 1)</v>
      </c>
      <c r="E275" s="133"/>
      <c r="F275" s="608"/>
      <c r="G275" s="384"/>
      <c r="H275" s="384"/>
      <c r="I275" s="493"/>
    </row>
    <row r="276" spans="1:9" ht="19.5" hidden="1" thickBot="1" x14ac:dyDescent="0.35">
      <c r="A276" s="601"/>
      <c r="B276" s="385"/>
      <c r="C276" s="382"/>
      <c r="D276" s="200" t="str">
        <f>B276&amp;" "&amp;C276&amp;" "&amp;"("&amp;$B$68&amp;")"</f>
        <v xml:space="preserve">  (Cotraitant 1)</v>
      </c>
      <c r="E276" s="134"/>
      <c r="F276" s="609"/>
      <c r="G276" s="384"/>
      <c r="H276" s="384"/>
      <c r="I276" s="493"/>
    </row>
    <row r="277" spans="1:9" ht="18.75" hidden="1" customHeight="1" x14ac:dyDescent="0.3">
      <c r="A277" s="599" t="str">
        <f t="shared" ref="A277" si="54">$A$172</f>
        <v>Tranche OPTIONNELLE 1</v>
      </c>
      <c r="B277" s="602" t="s">
        <v>34</v>
      </c>
      <c r="C277" s="603" t="s">
        <v>35</v>
      </c>
      <c r="D277" s="197"/>
      <c r="E277" s="514" t="s">
        <v>242</v>
      </c>
      <c r="F277" s="515" t="str">
        <f>E277</f>
        <v>Montant intial TVA</v>
      </c>
      <c r="G277" s="180" t="s">
        <v>220</v>
      </c>
      <c r="H277" s="181" t="s">
        <v>220</v>
      </c>
      <c r="I277" s="604" t="s">
        <v>420</v>
      </c>
    </row>
    <row r="278" spans="1:9" hidden="1" x14ac:dyDescent="0.3">
      <c r="A278" s="600"/>
      <c r="B278" s="602"/>
      <c r="C278" s="603"/>
      <c r="D278" s="198"/>
      <c r="E278" s="512">
        <f>$C$24</f>
        <v>0.2</v>
      </c>
      <c r="F278" s="513">
        <f>$E$24</f>
        <v>0.1</v>
      </c>
      <c r="G278" s="182" t="str">
        <f>"TVA"&amp;" "&amp;$C$24*100&amp;"%"</f>
        <v>TVA 20%</v>
      </c>
      <c r="H278" s="182" t="str">
        <f>"TVA"&amp;" "&amp;$E$24*100&amp;"%"</f>
        <v>TVA 10%</v>
      </c>
      <c r="I278" s="605"/>
    </row>
    <row r="279" spans="1:9" ht="19.5" hidden="1" thickBot="1" x14ac:dyDescent="0.35">
      <c r="A279" s="600"/>
      <c r="B279" s="186" t="str">
        <f>$B$13</f>
        <v>Cotraitant 8</v>
      </c>
      <c r="C279" s="520">
        <f>$C$13</f>
        <v>0</v>
      </c>
      <c r="D279" s="179"/>
      <c r="E279" s="430"/>
      <c r="F279" s="430"/>
      <c r="G279" s="183">
        <f>E279-SUM(G280:G289)</f>
        <v>0</v>
      </c>
      <c r="H279" s="184">
        <f>F279-SUM(H280:H289)</f>
        <v>0</v>
      </c>
      <c r="I279" s="606"/>
    </row>
    <row r="280" spans="1:9" ht="18.75" hidden="1" customHeight="1" x14ac:dyDescent="0.3">
      <c r="A280" s="600"/>
      <c r="B280" s="385"/>
      <c r="C280" s="382"/>
      <c r="D280" s="200" t="str">
        <f>B280&amp;" "&amp;C280&amp;" "&amp;"("&amp;$B$68&amp;")"</f>
        <v xml:space="preserve">  (Cotraitant 1)</v>
      </c>
      <c r="E280" s="132"/>
      <c r="F280" s="607" t="s">
        <v>243</v>
      </c>
      <c r="G280" s="383"/>
      <c r="H280" s="383"/>
      <c r="I280" s="493"/>
    </row>
    <row r="281" spans="1:9" ht="18.75" hidden="1" customHeight="1" x14ac:dyDescent="0.3">
      <c r="A281" s="600"/>
      <c r="B281" s="385"/>
      <c r="C281" s="382"/>
      <c r="D281" s="558"/>
      <c r="E281" s="133"/>
      <c r="F281" s="608"/>
      <c r="G281" s="383"/>
      <c r="H281" s="383"/>
      <c r="I281" s="493"/>
    </row>
    <row r="282" spans="1:9" ht="18.75" hidden="1" customHeight="1" x14ac:dyDescent="0.3">
      <c r="A282" s="600"/>
      <c r="B282" s="385"/>
      <c r="C282" s="382"/>
      <c r="D282" s="558"/>
      <c r="E282" s="133"/>
      <c r="F282" s="608"/>
      <c r="G282" s="383"/>
      <c r="H282" s="383"/>
      <c r="I282" s="493"/>
    </row>
    <row r="283" spans="1:9" ht="18.75" hidden="1" customHeight="1" x14ac:dyDescent="0.3">
      <c r="A283" s="600"/>
      <c r="B283" s="385"/>
      <c r="C283" s="382"/>
      <c r="D283" s="558"/>
      <c r="E283" s="133"/>
      <c r="F283" s="608"/>
      <c r="G283" s="383"/>
      <c r="H283" s="383"/>
      <c r="I283" s="493"/>
    </row>
    <row r="284" spans="1:9" ht="18.75" hidden="1" customHeight="1" x14ac:dyDescent="0.3">
      <c r="A284" s="600"/>
      <c r="B284" s="385"/>
      <c r="C284" s="382"/>
      <c r="D284" s="558"/>
      <c r="E284" s="133"/>
      <c r="F284" s="608"/>
      <c r="G284" s="383"/>
      <c r="H284" s="383"/>
      <c r="I284" s="493"/>
    </row>
    <row r="285" spans="1:9" hidden="1" x14ac:dyDescent="0.3">
      <c r="A285" s="600"/>
      <c r="B285" s="385"/>
      <c r="C285" s="382"/>
      <c r="D285" s="200" t="str">
        <f>B285&amp;" "&amp;C285&amp;" "&amp;"("&amp;$B$68&amp;")"</f>
        <v xml:space="preserve">  (Cotraitant 1)</v>
      </c>
      <c r="E285" s="133"/>
      <c r="F285" s="608"/>
      <c r="G285" s="384"/>
      <c r="H285" s="384"/>
      <c r="I285" s="493"/>
    </row>
    <row r="286" spans="1:9" hidden="1" x14ac:dyDescent="0.3">
      <c r="A286" s="600"/>
      <c r="B286" s="385"/>
      <c r="C286" s="382"/>
      <c r="D286" s="200" t="str">
        <f>B286&amp;" "&amp;C286&amp;" "&amp;"("&amp;$B$68&amp;")"</f>
        <v xml:space="preserve">  (Cotraitant 1)</v>
      </c>
      <c r="E286" s="133"/>
      <c r="F286" s="608"/>
      <c r="G286" s="384"/>
      <c r="H286" s="384"/>
      <c r="I286" s="493"/>
    </row>
    <row r="287" spans="1:9" hidden="1" x14ac:dyDescent="0.3">
      <c r="A287" s="600"/>
      <c r="B287" s="385"/>
      <c r="C287" s="382"/>
      <c r="D287" s="200" t="str">
        <f>B287&amp;" "&amp;C287&amp;" "&amp;"("&amp;$B$68&amp;")"</f>
        <v xml:space="preserve">  (Cotraitant 1)</v>
      </c>
      <c r="E287" s="133"/>
      <c r="F287" s="608"/>
      <c r="G287" s="384"/>
      <c r="H287" s="384"/>
      <c r="I287" s="493"/>
    </row>
    <row r="288" spans="1:9" hidden="1" x14ac:dyDescent="0.3">
      <c r="A288" s="600"/>
      <c r="B288" s="385"/>
      <c r="C288" s="382"/>
      <c r="D288" s="200" t="str">
        <f>B288&amp;" "&amp;C288&amp;" "&amp;"("&amp;$B$68&amp;")"</f>
        <v xml:space="preserve">  (Cotraitant 1)</v>
      </c>
      <c r="E288" s="133"/>
      <c r="F288" s="608"/>
      <c r="G288" s="384"/>
      <c r="H288" s="384"/>
      <c r="I288" s="493"/>
    </row>
    <row r="289" spans="1:10" ht="19.5" hidden="1" thickBot="1" x14ac:dyDescent="0.35">
      <c r="A289" s="601"/>
      <c r="B289" s="385"/>
      <c r="C289" s="382"/>
      <c r="D289" s="200" t="str">
        <f>B289&amp;" "&amp;C289&amp;" "&amp;"("&amp;$B$68&amp;")"</f>
        <v xml:space="preserve">  (Cotraitant 1)</v>
      </c>
      <c r="E289" s="134"/>
      <c r="F289" s="609"/>
      <c r="G289" s="384"/>
      <c r="H289" s="384"/>
      <c r="I289" s="493"/>
    </row>
    <row r="290" spans="1:10" ht="18.75" customHeight="1" x14ac:dyDescent="0.3"/>
    <row r="291" spans="1:10" hidden="1" x14ac:dyDescent="0.3">
      <c r="A291" s="130"/>
      <c r="B291" s="185" t="s">
        <v>33</v>
      </c>
      <c r="C291" s="17" t="s">
        <v>270</v>
      </c>
      <c r="D291" s="203"/>
      <c r="E291" s="338" t="s">
        <v>271</v>
      </c>
      <c r="F291" s="456" t="s">
        <v>339</v>
      </c>
      <c r="G291" s="610" t="s">
        <v>398</v>
      </c>
      <c r="H291" s="610"/>
      <c r="I291" s="610" t="s">
        <v>399</v>
      </c>
      <c r="J291" s="610"/>
    </row>
    <row r="292" spans="1:10" ht="19.5" hidden="1" thickBot="1" x14ac:dyDescent="0.35">
      <c r="A292" s="611" t="s">
        <v>246</v>
      </c>
      <c r="B292" s="611"/>
      <c r="C292" s="38">
        <f>F27</f>
        <v>0</v>
      </c>
      <c r="D292" s="62"/>
      <c r="E292" s="38">
        <f>C292-(E295+F295+E308+F308+E321+F321+E334+F334+E347+F347+E360+F360+E373+F373+E386+F386+E399+F399)</f>
        <v>0</v>
      </c>
      <c r="F292" s="457"/>
      <c r="G292" s="612" t="s">
        <v>400</v>
      </c>
      <c r="H292" s="612"/>
      <c r="I292" s="613"/>
      <c r="J292" s="613"/>
    </row>
    <row r="293" spans="1:10" hidden="1" x14ac:dyDescent="0.3">
      <c r="A293" s="599" t="str">
        <f>$A$292</f>
        <v>Tranche OPTIONNELLE 2</v>
      </c>
      <c r="B293" s="602" t="s">
        <v>34</v>
      </c>
      <c r="C293" s="603" t="s">
        <v>35</v>
      </c>
      <c r="D293" s="197"/>
      <c r="E293" s="514" t="s">
        <v>242</v>
      </c>
      <c r="F293" s="515" t="str">
        <f>E293</f>
        <v>Montant intial TVA</v>
      </c>
      <c r="G293" s="483" t="s">
        <v>220</v>
      </c>
      <c r="H293" s="489" t="s">
        <v>220</v>
      </c>
      <c r="I293" s="604" t="s">
        <v>420</v>
      </c>
    </row>
    <row r="294" spans="1:10" hidden="1" x14ac:dyDescent="0.3">
      <c r="A294" s="600"/>
      <c r="B294" s="602"/>
      <c r="C294" s="603"/>
      <c r="D294" s="198"/>
      <c r="E294" s="512">
        <f>$C$24</f>
        <v>0.2</v>
      </c>
      <c r="F294" s="513">
        <f>$E$24</f>
        <v>0.1</v>
      </c>
      <c r="G294" s="182" t="str">
        <f>"TVA"&amp;" "&amp;$C$24*100&amp;"%"</f>
        <v>TVA 20%</v>
      </c>
      <c r="H294" s="182" t="str">
        <f>"TVA"&amp;" "&amp;$E$24*100&amp;"%"</f>
        <v>TVA 10%</v>
      </c>
      <c r="I294" s="605"/>
    </row>
    <row r="295" spans="1:10" ht="19.5" hidden="1" thickBot="1" x14ac:dyDescent="0.35">
      <c r="A295" s="600"/>
      <c r="B295" s="186" t="s">
        <v>1</v>
      </c>
      <c r="C295" s="520" t="str">
        <f>$C$5</f>
        <v>yy</v>
      </c>
      <c r="D295" s="199"/>
      <c r="E295" s="131">
        <f>C27-E308-E321-E334-E347-E360-E373-E386-E399</f>
        <v>0</v>
      </c>
      <c r="F295" s="131">
        <f>E27-F308-F321-F334-F347-F360-F373-F386-F399</f>
        <v>0</v>
      </c>
      <c r="G295" s="183">
        <f>E295-SUM(G296:G305)</f>
        <v>0</v>
      </c>
      <c r="H295" s="490">
        <f>F295-SUM(H296:H305)</f>
        <v>0</v>
      </c>
      <c r="I295" s="606"/>
    </row>
    <row r="296" spans="1:10" hidden="1" x14ac:dyDescent="0.3">
      <c r="A296" s="600"/>
      <c r="B296" s="385"/>
      <c r="C296" s="382"/>
      <c r="D296" s="200" t="str">
        <f>B296&amp;" "&amp;C296&amp;" "&amp;"("&amp;$B$55&amp;")"</f>
        <v xml:space="preserve">  (Titulaire)</v>
      </c>
      <c r="E296" s="132"/>
      <c r="F296" s="607" t="s">
        <v>243</v>
      </c>
      <c r="G296" s="383"/>
      <c r="H296" s="383"/>
      <c r="I296" s="493"/>
    </row>
    <row r="297" spans="1:10" hidden="1" x14ac:dyDescent="0.3">
      <c r="A297" s="600"/>
      <c r="B297" s="385"/>
      <c r="C297" s="382"/>
      <c r="D297" s="558"/>
      <c r="E297" s="133"/>
      <c r="F297" s="608"/>
      <c r="G297" s="383"/>
      <c r="H297" s="383"/>
      <c r="I297" s="493"/>
    </row>
    <row r="298" spans="1:10" hidden="1" x14ac:dyDescent="0.3">
      <c r="A298" s="600"/>
      <c r="B298" s="385"/>
      <c r="C298" s="382"/>
      <c r="D298" s="558"/>
      <c r="E298" s="133"/>
      <c r="F298" s="608"/>
      <c r="G298" s="383"/>
      <c r="H298" s="383"/>
      <c r="I298" s="493"/>
    </row>
    <row r="299" spans="1:10" hidden="1" x14ac:dyDescent="0.3">
      <c r="A299" s="600"/>
      <c r="B299" s="385"/>
      <c r="C299" s="382"/>
      <c r="D299" s="558"/>
      <c r="E299" s="133"/>
      <c r="F299" s="608"/>
      <c r="G299" s="383"/>
      <c r="H299" s="383"/>
      <c r="I299" s="493"/>
    </row>
    <row r="300" spans="1:10" hidden="1" x14ac:dyDescent="0.3">
      <c r="A300" s="600"/>
      <c r="B300" s="385"/>
      <c r="C300" s="382"/>
      <c r="D300" s="558"/>
      <c r="E300" s="133"/>
      <c r="F300" s="608"/>
      <c r="G300" s="383"/>
      <c r="H300" s="383"/>
      <c r="I300" s="493"/>
    </row>
    <row r="301" spans="1:10" hidden="1" x14ac:dyDescent="0.3">
      <c r="A301" s="600"/>
      <c r="B301" s="385"/>
      <c r="C301" s="382"/>
      <c r="D301" s="200" t="str">
        <f>B301&amp;" "&amp;C301&amp;" "&amp;"("&amp;$B$55&amp;")"</f>
        <v xml:space="preserve">  (Titulaire)</v>
      </c>
      <c r="E301" s="133"/>
      <c r="F301" s="608"/>
      <c r="G301" s="383"/>
      <c r="H301" s="384"/>
      <c r="I301" s="493"/>
    </row>
    <row r="302" spans="1:10" hidden="1" x14ac:dyDescent="0.3">
      <c r="A302" s="600"/>
      <c r="B302" s="385"/>
      <c r="C302" s="382"/>
      <c r="D302" s="200" t="str">
        <f>B302&amp;" "&amp;C302&amp;" "&amp;"("&amp;$B$55&amp;")"</f>
        <v xml:space="preserve">  (Titulaire)</v>
      </c>
      <c r="E302" s="133"/>
      <c r="F302" s="608"/>
      <c r="G302" s="383"/>
      <c r="H302" s="384"/>
      <c r="I302" s="493"/>
    </row>
    <row r="303" spans="1:10" hidden="1" x14ac:dyDescent="0.3">
      <c r="A303" s="600"/>
      <c r="B303" s="385"/>
      <c r="C303" s="382"/>
      <c r="D303" s="200" t="str">
        <f>B303&amp;" "&amp;C303&amp;" "&amp;"("&amp;$B$55&amp;")"</f>
        <v xml:space="preserve">  (Titulaire)</v>
      </c>
      <c r="E303" s="133"/>
      <c r="F303" s="608"/>
      <c r="G303" s="383"/>
      <c r="H303" s="384"/>
      <c r="I303" s="493"/>
    </row>
    <row r="304" spans="1:10" hidden="1" x14ac:dyDescent="0.3">
      <c r="A304" s="600"/>
      <c r="B304" s="385"/>
      <c r="C304" s="382"/>
      <c r="D304" s="200" t="str">
        <f>B304&amp;" "&amp;C304&amp;" "&amp;"("&amp;$B$55&amp;")"</f>
        <v xml:space="preserve">  (Titulaire)</v>
      </c>
      <c r="E304" s="133"/>
      <c r="F304" s="608"/>
      <c r="G304" s="383"/>
      <c r="H304" s="384"/>
      <c r="I304" s="493"/>
    </row>
    <row r="305" spans="1:10" ht="19.5" hidden="1" thickBot="1" x14ac:dyDescent="0.35">
      <c r="A305" s="601"/>
      <c r="B305" s="385"/>
      <c r="C305" s="382"/>
      <c r="D305" s="200" t="str">
        <f>B305&amp;" "&amp;C305&amp;" "&amp;"("&amp;$B$55&amp;")"</f>
        <v xml:space="preserve">  (Titulaire)</v>
      </c>
      <c r="E305" s="134"/>
      <c r="F305" s="609"/>
      <c r="G305" s="383"/>
      <c r="H305" s="384"/>
      <c r="I305" s="493"/>
    </row>
    <row r="306" spans="1:10" ht="18.75" hidden="1" customHeight="1" x14ac:dyDescent="0.3">
      <c r="A306" s="599" t="str">
        <f t="shared" ref="A306" si="55">$A$292</f>
        <v>Tranche OPTIONNELLE 2</v>
      </c>
      <c r="B306" s="602" t="s">
        <v>34</v>
      </c>
      <c r="C306" s="603" t="s">
        <v>35</v>
      </c>
      <c r="D306" s="197"/>
      <c r="E306" s="514" t="s">
        <v>242</v>
      </c>
      <c r="F306" s="515" t="str">
        <f>E306</f>
        <v>Montant intial TVA</v>
      </c>
      <c r="G306" s="180" t="s">
        <v>220</v>
      </c>
      <c r="H306" s="181" t="s">
        <v>220</v>
      </c>
      <c r="I306" s="604" t="s">
        <v>420</v>
      </c>
    </row>
    <row r="307" spans="1:10" hidden="1" x14ac:dyDescent="0.3">
      <c r="A307" s="600"/>
      <c r="B307" s="602"/>
      <c r="C307" s="603"/>
      <c r="D307" s="198"/>
      <c r="E307" s="512">
        <f>$C$24</f>
        <v>0.2</v>
      </c>
      <c r="F307" s="513">
        <f>$E$24</f>
        <v>0.1</v>
      </c>
      <c r="G307" s="182" t="str">
        <f>"TVA"&amp;" "&amp;$C$24*100&amp;"%"</f>
        <v>TVA 20%</v>
      </c>
      <c r="H307" s="182" t="str">
        <f>"TVA"&amp;" "&amp;$E$24*100&amp;"%"</f>
        <v>TVA 10%</v>
      </c>
      <c r="I307" s="605"/>
    </row>
    <row r="308" spans="1:10" ht="19.5" hidden="1" thickBot="1" x14ac:dyDescent="0.35">
      <c r="A308" s="600"/>
      <c r="B308" s="186" t="str">
        <f>$B$6</f>
        <v>Cotraitant 1</v>
      </c>
      <c r="C308" s="520">
        <f>$C$6</f>
        <v>0</v>
      </c>
      <c r="D308" s="179"/>
      <c r="E308" s="430"/>
      <c r="F308" s="430"/>
      <c r="G308" s="183">
        <f>E308-SUM(G309:G318)</f>
        <v>0</v>
      </c>
      <c r="H308" s="184">
        <f>F308-SUM(H309:H318)</f>
        <v>0</v>
      </c>
      <c r="I308" s="606"/>
    </row>
    <row r="309" spans="1:10" hidden="1" x14ac:dyDescent="0.3">
      <c r="A309" s="600"/>
      <c r="B309" s="385"/>
      <c r="C309" s="382"/>
      <c r="D309" s="200" t="str">
        <f>B309&amp;" "&amp;C309&amp;" "&amp;"("&amp;$B$68&amp;")"</f>
        <v xml:space="preserve">  (Cotraitant 1)</v>
      </c>
      <c r="E309" s="132"/>
      <c r="F309" s="607" t="s">
        <v>243</v>
      </c>
      <c r="G309" s="383"/>
      <c r="H309" s="383"/>
      <c r="I309" s="493"/>
    </row>
    <row r="310" spans="1:10" hidden="1" x14ac:dyDescent="0.3">
      <c r="A310" s="600"/>
      <c r="B310" s="385"/>
      <c r="C310" s="382"/>
      <c r="D310" s="558"/>
      <c r="E310" s="133"/>
      <c r="F310" s="608"/>
      <c r="G310" s="383"/>
      <c r="H310" s="383"/>
      <c r="I310" s="493"/>
    </row>
    <row r="311" spans="1:10" hidden="1" x14ac:dyDescent="0.3">
      <c r="A311" s="600"/>
      <c r="B311" s="385"/>
      <c r="C311" s="382"/>
      <c r="D311" s="558"/>
      <c r="E311" s="133"/>
      <c r="F311" s="608"/>
      <c r="G311" s="383"/>
      <c r="H311" s="383"/>
      <c r="I311" s="493"/>
    </row>
    <row r="312" spans="1:10" hidden="1" x14ac:dyDescent="0.3">
      <c r="A312" s="600"/>
      <c r="B312" s="385"/>
      <c r="C312" s="382"/>
      <c r="D312" s="558"/>
      <c r="E312" s="133"/>
      <c r="F312" s="608"/>
      <c r="G312" s="383"/>
      <c r="H312" s="383"/>
      <c r="I312" s="493"/>
    </row>
    <row r="313" spans="1:10" hidden="1" x14ac:dyDescent="0.3">
      <c r="A313" s="600"/>
      <c r="B313" s="385"/>
      <c r="C313" s="382"/>
      <c r="D313" s="558"/>
      <c r="E313" s="133"/>
      <c r="F313" s="608"/>
      <c r="G313" s="383"/>
      <c r="H313" s="383"/>
      <c r="I313" s="493"/>
    </row>
    <row r="314" spans="1:10" hidden="1" x14ac:dyDescent="0.3">
      <c r="A314" s="600"/>
      <c r="B314" s="385"/>
      <c r="C314" s="382"/>
      <c r="D314" s="200" t="str">
        <f>B314&amp;" "&amp;C314&amp;" "&amp;"("&amp;$B$68&amp;")"</f>
        <v xml:space="preserve">  (Cotraitant 1)</v>
      </c>
      <c r="E314" s="133"/>
      <c r="F314" s="608"/>
      <c r="G314" s="384"/>
      <c r="H314" s="384"/>
      <c r="I314" s="493"/>
    </row>
    <row r="315" spans="1:10" hidden="1" x14ac:dyDescent="0.3">
      <c r="A315" s="600"/>
      <c r="B315" s="385"/>
      <c r="C315" s="382"/>
      <c r="D315" s="200" t="str">
        <f>B315&amp;" "&amp;C315&amp;" "&amp;"("&amp;$B$68&amp;")"</f>
        <v xml:space="preserve">  (Cotraitant 1)</v>
      </c>
      <c r="E315" s="133"/>
      <c r="F315" s="608"/>
      <c r="G315" s="384"/>
      <c r="H315" s="384"/>
      <c r="I315" s="493"/>
    </row>
    <row r="316" spans="1:10" hidden="1" x14ac:dyDescent="0.3">
      <c r="A316" s="600"/>
      <c r="B316" s="385"/>
      <c r="C316" s="382"/>
      <c r="D316" s="200" t="str">
        <f>B316&amp;" "&amp;C316&amp;" "&amp;"("&amp;$B$68&amp;")"</f>
        <v xml:space="preserve">  (Cotraitant 1)</v>
      </c>
      <c r="E316" s="133"/>
      <c r="F316" s="608"/>
      <c r="G316" s="384"/>
      <c r="H316" s="384"/>
      <c r="I316" s="493"/>
    </row>
    <row r="317" spans="1:10" hidden="1" x14ac:dyDescent="0.3">
      <c r="A317" s="600"/>
      <c r="B317" s="385"/>
      <c r="C317" s="382"/>
      <c r="D317" s="200" t="str">
        <f>B317&amp;" "&amp;C317&amp;" "&amp;"("&amp;$B$68&amp;")"</f>
        <v xml:space="preserve">  (Cotraitant 1)</v>
      </c>
      <c r="E317" s="133"/>
      <c r="F317" s="608"/>
      <c r="G317" s="384"/>
      <c r="H317" s="384"/>
      <c r="I317" s="493"/>
    </row>
    <row r="318" spans="1:10" ht="19.5" hidden="1" thickBot="1" x14ac:dyDescent="0.35">
      <c r="A318" s="601"/>
      <c r="B318" s="385"/>
      <c r="C318" s="382"/>
      <c r="D318" s="200" t="str">
        <f>B318&amp;" "&amp;C318&amp;" "&amp;"("&amp;$B$68&amp;")"</f>
        <v xml:space="preserve">  (Cotraitant 1)</v>
      </c>
      <c r="E318" s="134"/>
      <c r="F318" s="609"/>
      <c r="G318" s="384"/>
      <c r="H318" s="384"/>
      <c r="I318" s="493"/>
    </row>
    <row r="319" spans="1:10" ht="18.75" hidden="1" customHeight="1" x14ac:dyDescent="0.3">
      <c r="A319" s="599" t="str">
        <f t="shared" ref="A319" si="56">$A$292</f>
        <v>Tranche OPTIONNELLE 2</v>
      </c>
      <c r="B319" s="602" t="s">
        <v>34</v>
      </c>
      <c r="C319" s="603" t="s">
        <v>35</v>
      </c>
      <c r="D319" s="197"/>
      <c r="E319" s="514" t="s">
        <v>242</v>
      </c>
      <c r="F319" s="515" t="str">
        <f>E319</f>
        <v>Montant intial TVA</v>
      </c>
      <c r="G319" s="180" t="s">
        <v>220</v>
      </c>
      <c r="H319" s="181" t="s">
        <v>220</v>
      </c>
      <c r="I319" s="604" t="s">
        <v>420</v>
      </c>
    </row>
    <row r="320" spans="1:10" hidden="1" x14ac:dyDescent="0.3">
      <c r="A320" s="600"/>
      <c r="B320" s="602"/>
      <c r="C320" s="603"/>
      <c r="D320" s="198"/>
      <c r="E320" s="512">
        <f>$C$24</f>
        <v>0.2</v>
      </c>
      <c r="F320" s="513">
        <f>$E$24</f>
        <v>0.1</v>
      </c>
      <c r="G320" s="182" t="str">
        <f>"TVA"&amp;" "&amp;$C$24*100&amp;"%"</f>
        <v>TVA 20%</v>
      </c>
      <c r="H320" s="182" t="str">
        <f>"TVA"&amp;" "&amp;$E$24*100&amp;"%"</f>
        <v>TVA 10%</v>
      </c>
      <c r="I320" s="605"/>
      <c r="J320" s="518"/>
    </row>
    <row r="321" spans="1:10" ht="19.5" hidden="1" thickBot="1" x14ac:dyDescent="0.35">
      <c r="A321" s="600"/>
      <c r="B321" s="186" t="str">
        <f>$B$7</f>
        <v>Cotraitant 2</v>
      </c>
      <c r="C321" s="520">
        <f>$C$7</f>
        <v>0</v>
      </c>
      <c r="D321" s="179"/>
      <c r="E321" s="430"/>
      <c r="F321" s="430"/>
      <c r="G321" s="183">
        <f>E321-SUM(G322:G331)</f>
        <v>0</v>
      </c>
      <c r="H321" s="184">
        <f>F321-SUM(H322:H331)</f>
        <v>0</v>
      </c>
      <c r="I321" s="606"/>
      <c r="J321" s="528"/>
    </row>
    <row r="322" spans="1:10" hidden="1" x14ac:dyDescent="0.3">
      <c r="A322" s="600"/>
      <c r="B322" s="385"/>
      <c r="C322" s="382"/>
      <c r="D322" s="200" t="str">
        <f>B322&amp;" "&amp;C322&amp;" "&amp;"("&amp;$B$68&amp;")"</f>
        <v xml:space="preserve">  (Cotraitant 1)</v>
      </c>
      <c r="E322" s="132"/>
      <c r="F322" s="607" t="s">
        <v>243</v>
      </c>
      <c r="G322" s="383"/>
      <c r="H322" s="383"/>
      <c r="I322" s="493"/>
    </row>
    <row r="323" spans="1:10" hidden="1" x14ac:dyDescent="0.3">
      <c r="A323" s="600"/>
      <c r="B323" s="385"/>
      <c r="C323" s="382"/>
      <c r="D323" s="200" t="str">
        <f>B323&amp;" "&amp;C323&amp;" "&amp;"("&amp;$B$68&amp;")"</f>
        <v xml:space="preserve">  (Cotraitant 1)</v>
      </c>
      <c r="E323" s="133"/>
      <c r="F323" s="608"/>
      <c r="G323" s="384"/>
      <c r="H323" s="384"/>
      <c r="I323" s="493"/>
    </row>
    <row r="324" spans="1:10" hidden="1" x14ac:dyDescent="0.3">
      <c r="A324" s="600"/>
      <c r="B324" s="385"/>
      <c r="C324" s="382"/>
      <c r="D324" s="558"/>
      <c r="E324" s="133"/>
      <c r="F324" s="608"/>
      <c r="G324" s="384"/>
      <c r="H324" s="384"/>
      <c r="I324" s="493"/>
    </row>
    <row r="325" spans="1:10" hidden="1" x14ac:dyDescent="0.3">
      <c r="A325" s="600"/>
      <c r="B325" s="385"/>
      <c r="C325" s="382"/>
      <c r="D325" s="558"/>
      <c r="E325" s="133"/>
      <c r="F325" s="608"/>
      <c r="G325" s="384"/>
      <c r="H325" s="384"/>
      <c r="I325" s="493"/>
    </row>
    <row r="326" spans="1:10" hidden="1" x14ac:dyDescent="0.3">
      <c r="A326" s="600"/>
      <c r="B326" s="385"/>
      <c r="C326" s="382"/>
      <c r="D326" s="558"/>
      <c r="E326" s="133"/>
      <c r="F326" s="608"/>
      <c r="G326" s="384"/>
      <c r="H326" s="384"/>
      <c r="I326" s="493"/>
    </row>
    <row r="327" spans="1:10" hidden="1" x14ac:dyDescent="0.3">
      <c r="A327" s="600"/>
      <c r="B327" s="385"/>
      <c r="C327" s="382"/>
      <c r="D327" s="558"/>
      <c r="E327" s="133"/>
      <c r="F327" s="608"/>
      <c r="G327" s="384"/>
      <c r="H327" s="384"/>
      <c r="I327" s="493"/>
    </row>
    <row r="328" spans="1:10" hidden="1" x14ac:dyDescent="0.3">
      <c r="A328" s="600"/>
      <c r="B328" s="385"/>
      <c r="C328" s="382"/>
      <c r="D328" s="200" t="str">
        <f>B328&amp;" "&amp;C328&amp;" "&amp;"("&amp;$B$68&amp;")"</f>
        <v xml:space="preserve">  (Cotraitant 1)</v>
      </c>
      <c r="E328" s="133"/>
      <c r="F328" s="608"/>
      <c r="G328" s="384"/>
      <c r="H328" s="384"/>
      <c r="I328" s="493"/>
    </row>
    <row r="329" spans="1:10" hidden="1" x14ac:dyDescent="0.3">
      <c r="A329" s="600"/>
      <c r="B329" s="385"/>
      <c r="C329" s="382"/>
      <c r="D329" s="200" t="str">
        <f>B329&amp;" "&amp;C329&amp;" "&amp;"("&amp;$B$68&amp;")"</f>
        <v xml:space="preserve">  (Cotraitant 1)</v>
      </c>
      <c r="E329" s="133"/>
      <c r="F329" s="608"/>
      <c r="G329" s="384"/>
      <c r="H329" s="384"/>
      <c r="I329" s="493"/>
    </row>
    <row r="330" spans="1:10" hidden="1" x14ac:dyDescent="0.3">
      <c r="A330" s="600"/>
      <c r="B330" s="385"/>
      <c r="C330" s="382"/>
      <c r="D330" s="200" t="str">
        <f>B330&amp;" "&amp;C330&amp;" "&amp;"("&amp;$B$68&amp;")"</f>
        <v xml:space="preserve">  (Cotraitant 1)</v>
      </c>
      <c r="E330" s="133"/>
      <c r="F330" s="608"/>
      <c r="G330" s="384"/>
      <c r="H330" s="384"/>
      <c r="I330" s="493"/>
    </row>
    <row r="331" spans="1:10" ht="19.5" hidden="1" thickBot="1" x14ac:dyDescent="0.35">
      <c r="A331" s="601"/>
      <c r="B331" s="385"/>
      <c r="C331" s="382"/>
      <c r="D331" s="200" t="str">
        <f>B331&amp;" "&amp;C331&amp;" "&amp;"("&amp;$B$68&amp;")"</f>
        <v xml:space="preserve">  (Cotraitant 1)</v>
      </c>
      <c r="E331" s="134"/>
      <c r="F331" s="609"/>
      <c r="G331" s="384"/>
      <c r="H331" s="384"/>
      <c r="I331" s="493"/>
    </row>
    <row r="332" spans="1:10" ht="18.75" hidden="1" customHeight="1" x14ac:dyDescent="0.3">
      <c r="A332" s="599" t="str">
        <f t="shared" ref="A332" si="57">$A$292</f>
        <v>Tranche OPTIONNELLE 2</v>
      </c>
      <c r="B332" s="602" t="s">
        <v>34</v>
      </c>
      <c r="C332" s="603" t="s">
        <v>35</v>
      </c>
      <c r="D332" s="197"/>
      <c r="E332" s="514" t="s">
        <v>242</v>
      </c>
      <c r="F332" s="515" t="str">
        <f>E332</f>
        <v>Montant intial TVA</v>
      </c>
      <c r="G332" s="180" t="s">
        <v>220</v>
      </c>
      <c r="H332" s="181" t="s">
        <v>220</v>
      </c>
      <c r="I332" s="604" t="s">
        <v>420</v>
      </c>
    </row>
    <row r="333" spans="1:10" hidden="1" x14ac:dyDescent="0.3">
      <c r="A333" s="600"/>
      <c r="B333" s="602"/>
      <c r="C333" s="603"/>
      <c r="D333" s="198"/>
      <c r="E333" s="512">
        <f>$C$24</f>
        <v>0.2</v>
      </c>
      <c r="F333" s="513">
        <f>$E$24</f>
        <v>0.1</v>
      </c>
      <c r="G333" s="182" t="str">
        <f>"TVA"&amp;" "&amp;$C$24*100&amp;"%"</f>
        <v>TVA 20%</v>
      </c>
      <c r="H333" s="182" t="str">
        <f>"TVA"&amp;" "&amp;$E$24*100&amp;"%"</f>
        <v>TVA 10%</v>
      </c>
      <c r="I333" s="605"/>
    </row>
    <row r="334" spans="1:10" ht="19.5" hidden="1" thickBot="1" x14ac:dyDescent="0.35">
      <c r="A334" s="600"/>
      <c r="B334" s="186" t="str">
        <f>$B$8</f>
        <v>Cotraitant 3</v>
      </c>
      <c r="C334" s="520">
        <f>$C$8</f>
        <v>0</v>
      </c>
      <c r="D334" s="179"/>
      <c r="E334" s="430"/>
      <c r="F334" s="430"/>
      <c r="G334" s="183">
        <f>E334-SUM(G335:G344)</f>
        <v>0</v>
      </c>
      <c r="H334" s="184">
        <f>F334-SUM(H335:H344)</f>
        <v>0</v>
      </c>
      <c r="I334" s="606"/>
    </row>
    <row r="335" spans="1:10" hidden="1" x14ac:dyDescent="0.3">
      <c r="A335" s="600"/>
      <c r="B335" s="385"/>
      <c r="C335" s="382"/>
      <c r="D335" s="200" t="str">
        <f>B335&amp;" "&amp;C335&amp;" "&amp;"("&amp;$B$68&amp;")"</f>
        <v xml:space="preserve">  (Cotraitant 1)</v>
      </c>
      <c r="E335" s="132"/>
      <c r="F335" s="607" t="s">
        <v>243</v>
      </c>
      <c r="G335" s="383"/>
      <c r="H335" s="383"/>
      <c r="I335" s="493"/>
    </row>
    <row r="336" spans="1:10" hidden="1" x14ac:dyDescent="0.3">
      <c r="A336" s="600"/>
      <c r="B336" s="385"/>
      <c r="C336" s="382"/>
      <c r="D336" s="558"/>
      <c r="E336" s="133"/>
      <c r="F336" s="608"/>
      <c r="G336" s="383"/>
      <c r="H336" s="383"/>
      <c r="I336" s="493"/>
    </row>
    <row r="337" spans="1:9" hidden="1" x14ac:dyDescent="0.3">
      <c r="A337" s="600"/>
      <c r="B337" s="385"/>
      <c r="C337" s="382"/>
      <c r="D337" s="558"/>
      <c r="E337" s="133"/>
      <c r="F337" s="608"/>
      <c r="G337" s="383"/>
      <c r="H337" s="383"/>
      <c r="I337" s="493"/>
    </row>
    <row r="338" spans="1:9" hidden="1" x14ac:dyDescent="0.3">
      <c r="A338" s="600"/>
      <c r="B338" s="385"/>
      <c r="C338" s="382"/>
      <c r="D338" s="558"/>
      <c r="E338" s="133"/>
      <c r="F338" s="608"/>
      <c r="G338" s="383"/>
      <c r="H338" s="383"/>
      <c r="I338" s="493"/>
    </row>
    <row r="339" spans="1:9" hidden="1" x14ac:dyDescent="0.3">
      <c r="A339" s="600"/>
      <c r="B339" s="385"/>
      <c r="C339" s="382"/>
      <c r="D339" s="558"/>
      <c r="E339" s="133"/>
      <c r="F339" s="608"/>
      <c r="G339" s="383"/>
      <c r="H339" s="383"/>
      <c r="I339" s="493"/>
    </row>
    <row r="340" spans="1:9" hidden="1" x14ac:dyDescent="0.3">
      <c r="A340" s="600"/>
      <c r="B340" s="385"/>
      <c r="C340" s="382"/>
      <c r="D340" s="200" t="str">
        <f>B340&amp;" "&amp;C340&amp;" "&amp;"("&amp;$B$68&amp;")"</f>
        <v xml:space="preserve">  (Cotraitant 1)</v>
      </c>
      <c r="E340" s="133"/>
      <c r="F340" s="608"/>
      <c r="G340" s="384"/>
      <c r="H340" s="384"/>
      <c r="I340" s="493"/>
    </row>
    <row r="341" spans="1:9" hidden="1" x14ac:dyDescent="0.3">
      <c r="A341" s="600"/>
      <c r="B341" s="385"/>
      <c r="C341" s="382"/>
      <c r="D341" s="200" t="str">
        <f>B341&amp;" "&amp;C341&amp;" "&amp;"("&amp;$B$68&amp;")"</f>
        <v xml:space="preserve">  (Cotraitant 1)</v>
      </c>
      <c r="E341" s="133"/>
      <c r="F341" s="608"/>
      <c r="G341" s="384"/>
      <c r="H341" s="384"/>
      <c r="I341" s="493"/>
    </row>
    <row r="342" spans="1:9" hidden="1" x14ac:dyDescent="0.3">
      <c r="A342" s="600"/>
      <c r="B342" s="385"/>
      <c r="C342" s="382"/>
      <c r="D342" s="200" t="str">
        <f>B342&amp;" "&amp;C342&amp;" "&amp;"("&amp;$B$68&amp;")"</f>
        <v xml:space="preserve">  (Cotraitant 1)</v>
      </c>
      <c r="E342" s="133"/>
      <c r="F342" s="608"/>
      <c r="G342" s="384"/>
      <c r="H342" s="384"/>
      <c r="I342" s="493"/>
    </row>
    <row r="343" spans="1:9" hidden="1" x14ac:dyDescent="0.3">
      <c r="A343" s="600"/>
      <c r="B343" s="385"/>
      <c r="C343" s="382"/>
      <c r="D343" s="200" t="str">
        <f>B343&amp;" "&amp;C343&amp;" "&amp;"("&amp;$B$68&amp;")"</f>
        <v xml:space="preserve">  (Cotraitant 1)</v>
      </c>
      <c r="E343" s="133"/>
      <c r="F343" s="608"/>
      <c r="G343" s="384"/>
      <c r="H343" s="384"/>
      <c r="I343" s="493"/>
    </row>
    <row r="344" spans="1:9" ht="19.5" hidden="1" thickBot="1" x14ac:dyDescent="0.35">
      <c r="A344" s="601"/>
      <c r="B344" s="385"/>
      <c r="C344" s="382"/>
      <c r="D344" s="200" t="str">
        <f>B344&amp;" "&amp;C344&amp;" "&amp;"("&amp;$B$68&amp;")"</f>
        <v xml:space="preserve">  (Cotraitant 1)</v>
      </c>
      <c r="E344" s="134"/>
      <c r="F344" s="609"/>
      <c r="G344" s="384"/>
      <c r="H344" s="384"/>
      <c r="I344" s="493"/>
    </row>
    <row r="345" spans="1:9" ht="18.75" hidden="1" customHeight="1" x14ac:dyDescent="0.3">
      <c r="A345" s="599" t="str">
        <f t="shared" ref="A345" si="58">$A$292</f>
        <v>Tranche OPTIONNELLE 2</v>
      </c>
      <c r="B345" s="602" t="s">
        <v>34</v>
      </c>
      <c r="C345" s="603" t="s">
        <v>35</v>
      </c>
      <c r="D345" s="197"/>
      <c r="E345" s="514" t="s">
        <v>242</v>
      </c>
      <c r="F345" s="515" t="str">
        <f>E345</f>
        <v>Montant intial TVA</v>
      </c>
      <c r="G345" s="180" t="s">
        <v>220</v>
      </c>
      <c r="H345" s="181" t="s">
        <v>220</v>
      </c>
      <c r="I345" s="604" t="s">
        <v>420</v>
      </c>
    </row>
    <row r="346" spans="1:9" hidden="1" x14ac:dyDescent="0.3">
      <c r="A346" s="600"/>
      <c r="B346" s="602"/>
      <c r="C346" s="603"/>
      <c r="D346" s="198"/>
      <c r="E346" s="512">
        <f>$C$24</f>
        <v>0.2</v>
      </c>
      <c r="F346" s="513">
        <f>$E$24</f>
        <v>0.1</v>
      </c>
      <c r="G346" s="182" t="str">
        <f>"TVA"&amp;" "&amp;$C$24*100&amp;"%"</f>
        <v>TVA 20%</v>
      </c>
      <c r="H346" s="182" t="str">
        <f>"TVA"&amp;" "&amp;$E$24*100&amp;"%"</f>
        <v>TVA 10%</v>
      </c>
      <c r="I346" s="605"/>
    </row>
    <row r="347" spans="1:9" ht="19.5" hidden="1" thickBot="1" x14ac:dyDescent="0.35">
      <c r="A347" s="600"/>
      <c r="B347" s="186" t="str">
        <f>$B$9</f>
        <v>Cotraitant 4</v>
      </c>
      <c r="C347" s="520">
        <f>$C$9</f>
        <v>0</v>
      </c>
      <c r="D347" s="179"/>
      <c r="E347" s="430"/>
      <c r="F347" s="430"/>
      <c r="G347" s="183">
        <f>E347-SUM(G348:G357)</f>
        <v>0</v>
      </c>
      <c r="H347" s="184">
        <f>F347-SUM(H348:H357)</f>
        <v>0</v>
      </c>
      <c r="I347" s="606"/>
    </row>
    <row r="348" spans="1:9" hidden="1" x14ac:dyDescent="0.3">
      <c r="A348" s="600"/>
      <c r="B348" s="385"/>
      <c r="C348" s="382"/>
      <c r="D348" s="200" t="str">
        <f>B348&amp;" "&amp;C348&amp;" "&amp;"("&amp;$B$68&amp;")"</f>
        <v xml:space="preserve">  (Cotraitant 1)</v>
      </c>
      <c r="E348" s="132"/>
      <c r="F348" s="607" t="s">
        <v>243</v>
      </c>
      <c r="G348" s="383"/>
      <c r="H348" s="383"/>
      <c r="I348" s="493"/>
    </row>
    <row r="349" spans="1:9" hidden="1" x14ac:dyDescent="0.3">
      <c r="A349" s="600"/>
      <c r="B349" s="385"/>
      <c r="C349" s="382"/>
      <c r="D349" s="200" t="str">
        <f>B349&amp;" "&amp;C349&amp;" "&amp;"("&amp;$B$68&amp;")"</f>
        <v xml:space="preserve">  (Cotraitant 1)</v>
      </c>
      <c r="E349" s="133"/>
      <c r="F349" s="608"/>
      <c r="G349" s="384"/>
      <c r="H349" s="384"/>
      <c r="I349" s="493"/>
    </row>
    <row r="350" spans="1:9" hidden="1" x14ac:dyDescent="0.3">
      <c r="A350" s="600"/>
      <c r="B350" s="385"/>
      <c r="C350" s="382"/>
      <c r="D350" s="558"/>
      <c r="E350" s="133"/>
      <c r="F350" s="608"/>
      <c r="G350" s="384"/>
      <c r="H350" s="384"/>
      <c r="I350" s="493"/>
    </row>
    <row r="351" spans="1:9" hidden="1" x14ac:dyDescent="0.3">
      <c r="A351" s="600"/>
      <c r="B351" s="385"/>
      <c r="C351" s="382"/>
      <c r="D351" s="558"/>
      <c r="E351" s="133"/>
      <c r="F351" s="608"/>
      <c r="G351" s="384"/>
      <c r="H351" s="384"/>
      <c r="I351" s="493"/>
    </row>
    <row r="352" spans="1:9" hidden="1" x14ac:dyDescent="0.3">
      <c r="A352" s="600"/>
      <c r="B352" s="385"/>
      <c r="C352" s="382"/>
      <c r="D352" s="558"/>
      <c r="E352" s="133"/>
      <c r="F352" s="608"/>
      <c r="G352" s="384"/>
      <c r="H352" s="384"/>
      <c r="I352" s="493"/>
    </row>
    <row r="353" spans="1:9" hidden="1" x14ac:dyDescent="0.3">
      <c r="A353" s="600"/>
      <c r="B353" s="385"/>
      <c r="C353" s="382"/>
      <c r="D353" s="558"/>
      <c r="E353" s="133"/>
      <c r="F353" s="608"/>
      <c r="G353" s="384"/>
      <c r="H353" s="384"/>
      <c r="I353" s="493"/>
    </row>
    <row r="354" spans="1:9" hidden="1" x14ac:dyDescent="0.3">
      <c r="A354" s="600"/>
      <c r="B354" s="385"/>
      <c r="C354" s="382"/>
      <c r="D354" s="200" t="str">
        <f>B354&amp;" "&amp;C354&amp;" "&amp;"("&amp;$B$68&amp;")"</f>
        <v xml:space="preserve">  (Cotraitant 1)</v>
      </c>
      <c r="E354" s="133"/>
      <c r="F354" s="608"/>
      <c r="G354" s="384"/>
      <c r="H354" s="384"/>
      <c r="I354" s="493"/>
    </row>
    <row r="355" spans="1:9" hidden="1" x14ac:dyDescent="0.3">
      <c r="A355" s="600"/>
      <c r="B355" s="385"/>
      <c r="C355" s="382"/>
      <c r="D355" s="200" t="str">
        <f>B355&amp;" "&amp;C355&amp;" "&amp;"("&amp;$B$68&amp;")"</f>
        <v xml:space="preserve">  (Cotraitant 1)</v>
      </c>
      <c r="E355" s="133"/>
      <c r="F355" s="608"/>
      <c r="G355" s="384"/>
      <c r="H355" s="384"/>
      <c r="I355" s="493"/>
    </row>
    <row r="356" spans="1:9" hidden="1" x14ac:dyDescent="0.3">
      <c r="A356" s="600"/>
      <c r="B356" s="385"/>
      <c r="C356" s="382"/>
      <c r="D356" s="200" t="str">
        <f>B356&amp;" "&amp;C356&amp;" "&amp;"("&amp;$B$68&amp;")"</f>
        <v xml:space="preserve">  (Cotraitant 1)</v>
      </c>
      <c r="E356" s="133"/>
      <c r="F356" s="608"/>
      <c r="G356" s="384"/>
      <c r="H356" s="384"/>
      <c r="I356" s="493"/>
    </row>
    <row r="357" spans="1:9" ht="19.5" hidden="1" thickBot="1" x14ac:dyDescent="0.35">
      <c r="A357" s="601"/>
      <c r="B357" s="385"/>
      <c r="C357" s="382"/>
      <c r="D357" s="200" t="str">
        <f>B357&amp;" "&amp;C357&amp;" "&amp;"("&amp;$B$68&amp;")"</f>
        <v xml:space="preserve">  (Cotraitant 1)</v>
      </c>
      <c r="E357" s="134"/>
      <c r="F357" s="609"/>
      <c r="G357" s="384"/>
      <c r="H357" s="384"/>
      <c r="I357" s="493"/>
    </row>
    <row r="358" spans="1:9" ht="18.75" hidden="1" customHeight="1" x14ac:dyDescent="0.3">
      <c r="A358" s="599" t="str">
        <f t="shared" ref="A358" si="59">$A$292</f>
        <v>Tranche OPTIONNELLE 2</v>
      </c>
      <c r="B358" s="602" t="s">
        <v>34</v>
      </c>
      <c r="C358" s="603" t="s">
        <v>35</v>
      </c>
      <c r="D358" s="197"/>
      <c r="E358" s="514" t="s">
        <v>242</v>
      </c>
      <c r="F358" s="515" t="str">
        <f>E358</f>
        <v>Montant intial TVA</v>
      </c>
      <c r="G358" s="180" t="s">
        <v>220</v>
      </c>
      <c r="H358" s="181" t="s">
        <v>220</v>
      </c>
      <c r="I358" s="604" t="s">
        <v>420</v>
      </c>
    </row>
    <row r="359" spans="1:9" hidden="1" x14ac:dyDescent="0.3">
      <c r="A359" s="600"/>
      <c r="B359" s="602"/>
      <c r="C359" s="603"/>
      <c r="D359" s="198"/>
      <c r="E359" s="512">
        <f>$C$24</f>
        <v>0.2</v>
      </c>
      <c r="F359" s="513">
        <f>$E$24</f>
        <v>0.1</v>
      </c>
      <c r="G359" s="182" t="str">
        <f>"TVA"&amp;" "&amp;$C$24*100&amp;"%"</f>
        <v>TVA 20%</v>
      </c>
      <c r="H359" s="182" t="str">
        <f>"TVA"&amp;" "&amp;$E$24*100&amp;"%"</f>
        <v>TVA 10%</v>
      </c>
      <c r="I359" s="605"/>
    </row>
    <row r="360" spans="1:9" ht="19.5" hidden="1" thickBot="1" x14ac:dyDescent="0.35">
      <c r="A360" s="600"/>
      <c r="B360" s="186" t="str">
        <f>$B$10</f>
        <v>Cotraitant 5</v>
      </c>
      <c r="C360" s="520">
        <f>$C$10</f>
        <v>0</v>
      </c>
      <c r="D360" s="179"/>
      <c r="E360" s="430"/>
      <c r="F360" s="430"/>
      <c r="G360" s="183">
        <f>E360-SUM(G361:G370)</f>
        <v>0</v>
      </c>
      <c r="H360" s="184">
        <f>F360-SUM(H361:H370)</f>
        <v>0</v>
      </c>
      <c r="I360" s="606"/>
    </row>
    <row r="361" spans="1:9" hidden="1" x14ac:dyDescent="0.3">
      <c r="A361" s="600"/>
      <c r="B361" s="385"/>
      <c r="C361" s="382"/>
      <c r="D361" s="200" t="str">
        <f>B361&amp;" "&amp;C361&amp;" "&amp;"("&amp;$B$68&amp;")"</f>
        <v xml:space="preserve">  (Cotraitant 1)</v>
      </c>
      <c r="E361" s="132"/>
      <c r="F361" s="607" t="s">
        <v>243</v>
      </c>
      <c r="G361" s="383"/>
      <c r="H361" s="383"/>
      <c r="I361" s="493"/>
    </row>
    <row r="362" spans="1:9" hidden="1" x14ac:dyDescent="0.3">
      <c r="A362" s="600"/>
      <c r="B362" s="385"/>
      <c r="C362" s="382"/>
      <c r="D362" s="200" t="str">
        <f>B362&amp;" "&amp;C362&amp;" "&amp;"("&amp;$B$68&amp;")"</f>
        <v xml:space="preserve">  (Cotraitant 1)</v>
      </c>
      <c r="E362" s="133"/>
      <c r="F362" s="608"/>
      <c r="G362" s="384"/>
      <c r="H362" s="384"/>
      <c r="I362" s="493"/>
    </row>
    <row r="363" spans="1:9" hidden="1" x14ac:dyDescent="0.3">
      <c r="A363" s="600"/>
      <c r="B363" s="385"/>
      <c r="C363" s="382"/>
      <c r="D363" s="558"/>
      <c r="E363" s="133"/>
      <c r="F363" s="608"/>
      <c r="G363" s="384"/>
      <c r="H363" s="384"/>
      <c r="I363" s="493"/>
    </row>
    <row r="364" spans="1:9" hidden="1" x14ac:dyDescent="0.3">
      <c r="A364" s="600"/>
      <c r="B364" s="385"/>
      <c r="C364" s="382"/>
      <c r="D364" s="558"/>
      <c r="E364" s="133"/>
      <c r="F364" s="608"/>
      <c r="G364" s="384"/>
      <c r="H364" s="384"/>
      <c r="I364" s="493"/>
    </row>
    <row r="365" spans="1:9" hidden="1" x14ac:dyDescent="0.3">
      <c r="A365" s="600"/>
      <c r="B365" s="385"/>
      <c r="C365" s="382"/>
      <c r="D365" s="558"/>
      <c r="E365" s="133"/>
      <c r="F365" s="608"/>
      <c r="G365" s="384"/>
      <c r="H365" s="384"/>
      <c r="I365" s="493"/>
    </row>
    <row r="366" spans="1:9" hidden="1" x14ac:dyDescent="0.3">
      <c r="A366" s="600"/>
      <c r="B366" s="385"/>
      <c r="C366" s="382"/>
      <c r="D366" s="558"/>
      <c r="E366" s="133"/>
      <c r="F366" s="608"/>
      <c r="G366" s="384"/>
      <c r="H366" s="384"/>
      <c r="I366" s="493"/>
    </row>
    <row r="367" spans="1:9" hidden="1" x14ac:dyDescent="0.3">
      <c r="A367" s="600"/>
      <c r="B367" s="385"/>
      <c r="C367" s="382"/>
      <c r="D367" s="200" t="str">
        <f>B367&amp;" "&amp;C367&amp;" "&amp;"("&amp;$B$68&amp;")"</f>
        <v xml:space="preserve">  (Cotraitant 1)</v>
      </c>
      <c r="E367" s="133"/>
      <c r="F367" s="608"/>
      <c r="G367" s="384"/>
      <c r="H367" s="384"/>
      <c r="I367" s="493"/>
    </row>
    <row r="368" spans="1:9" hidden="1" x14ac:dyDescent="0.3">
      <c r="A368" s="600"/>
      <c r="B368" s="385"/>
      <c r="C368" s="382"/>
      <c r="D368" s="200" t="str">
        <f>B368&amp;" "&amp;C368&amp;" "&amp;"("&amp;$B$68&amp;")"</f>
        <v xml:space="preserve">  (Cotraitant 1)</v>
      </c>
      <c r="E368" s="133"/>
      <c r="F368" s="608"/>
      <c r="G368" s="384"/>
      <c r="H368" s="384"/>
      <c r="I368" s="493"/>
    </row>
    <row r="369" spans="1:9" hidden="1" x14ac:dyDescent="0.3">
      <c r="A369" s="600"/>
      <c r="B369" s="385"/>
      <c r="C369" s="382"/>
      <c r="D369" s="200" t="str">
        <f>B369&amp;" "&amp;C369&amp;" "&amp;"("&amp;$B$68&amp;")"</f>
        <v xml:space="preserve">  (Cotraitant 1)</v>
      </c>
      <c r="E369" s="133"/>
      <c r="F369" s="608"/>
      <c r="G369" s="384"/>
      <c r="H369" s="384"/>
      <c r="I369" s="493"/>
    </row>
    <row r="370" spans="1:9" ht="19.5" hidden="1" thickBot="1" x14ac:dyDescent="0.35">
      <c r="A370" s="601"/>
      <c r="B370" s="385"/>
      <c r="C370" s="382"/>
      <c r="D370" s="200" t="str">
        <f>B370&amp;" "&amp;C370&amp;" "&amp;"("&amp;$B$68&amp;")"</f>
        <v xml:space="preserve">  (Cotraitant 1)</v>
      </c>
      <c r="E370" s="134"/>
      <c r="F370" s="609"/>
      <c r="G370" s="384"/>
      <c r="H370" s="384"/>
      <c r="I370" s="493"/>
    </row>
    <row r="371" spans="1:9" ht="18.75" hidden="1" customHeight="1" x14ac:dyDescent="0.3">
      <c r="A371" s="599" t="str">
        <f t="shared" ref="A371" si="60">$A$292</f>
        <v>Tranche OPTIONNELLE 2</v>
      </c>
      <c r="B371" s="602" t="s">
        <v>34</v>
      </c>
      <c r="C371" s="603" t="s">
        <v>35</v>
      </c>
      <c r="D371" s="197"/>
      <c r="E371" s="514" t="s">
        <v>242</v>
      </c>
      <c r="F371" s="515" t="str">
        <f>E371</f>
        <v>Montant intial TVA</v>
      </c>
      <c r="G371" s="180" t="s">
        <v>220</v>
      </c>
      <c r="H371" s="181" t="s">
        <v>220</v>
      </c>
      <c r="I371" s="604" t="s">
        <v>420</v>
      </c>
    </row>
    <row r="372" spans="1:9" hidden="1" x14ac:dyDescent="0.3">
      <c r="A372" s="600"/>
      <c r="B372" s="602"/>
      <c r="C372" s="603"/>
      <c r="D372" s="198"/>
      <c r="E372" s="512">
        <f>$C$24</f>
        <v>0.2</v>
      </c>
      <c r="F372" s="513">
        <f>$E$24</f>
        <v>0.1</v>
      </c>
      <c r="G372" s="182" t="str">
        <f>"TVA"&amp;" "&amp;$C$24*100&amp;"%"</f>
        <v>TVA 20%</v>
      </c>
      <c r="H372" s="182" t="str">
        <f>"TVA"&amp;" "&amp;$E$24*100&amp;"%"</f>
        <v>TVA 10%</v>
      </c>
      <c r="I372" s="605"/>
    </row>
    <row r="373" spans="1:9" ht="19.5" hidden="1" thickBot="1" x14ac:dyDescent="0.35">
      <c r="A373" s="600"/>
      <c r="B373" s="186" t="str">
        <f>$B$11</f>
        <v>Cotraitant 6</v>
      </c>
      <c r="C373" s="520">
        <f>$C$11</f>
        <v>0</v>
      </c>
      <c r="D373" s="179"/>
      <c r="E373" s="430"/>
      <c r="F373" s="430"/>
      <c r="G373" s="183">
        <f>E373-SUM(G374:G383)</f>
        <v>0</v>
      </c>
      <c r="H373" s="184">
        <f>F373-SUM(H374:H383)</f>
        <v>0</v>
      </c>
      <c r="I373" s="606"/>
    </row>
    <row r="374" spans="1:9" hidden="1" x14ac:dyDescent="0.3">
      <c r="A374" s="600"/>
      <c r="B374" s="385"/>
      <c r="C374" s="382"/>
      <c r="D374" s="200" t="str">
        <f>B374&amp;" "&amp;C374&amp;" "&amp;"("&amp;$B$68&amp;")"</f>
        <v xml:space="preserve">  (Cotraitant 1)</v>
      </c>
      <c r="E374" s="132"/>
      <c r="F374" s="607" t="s">
        <v>243</v>
      </c>
      <c r="G374" s="383"/>
      <c r="H374" s="383"/>
      <c r="I374" s="493"/>
    </row>
    <row r="375" spans="1:9" hidden="1" x14ac:dyDescent="0.3">
      <c r="A375" s="600"/>
      <c r="B375" s="385"/>
      <c r="C375" s="382"/>
      <c r="D375" s="200" t="str">
        <f>B375&amp;" "&amp;C375&amp;" "&amp;"("&amp;$B$68&amp;")"</f>
        <v xml:space="preserve">  (Cotraitant 1)</v>
      </c>
      <c r="E375" s="133"/>
      <c r="F375" s="608"/>
      <c r="G375" s="384"/>
      <c r="H375" s="384"/>
      <c r="I375" s="493"/>
    </row>
    <row r="376" spans="1:9" hidden="1" x14ac:dyDescent="0.3">
      <c r="A376" s="600"/>
      <c r="B376" s="385"/>
      <c r="C376" s="382"/>
      <c r="D376" s="558"/>
      <c r="E376" s="133"/>
      <c r="F376" s="608"/>
      <c r="G376" s="384"/>
      <c r="H376" s="384"/>
      <c r="I376" s="493"/>
    </row>
    <row r="377" spans="1:9" hidden="1" x14ac:dyDescent="0.3">
      <c r="A377" s="600"/>
      <c r="B377" s="385"/>
      <c r="C377" s="382"/>
      <c r="D377" s="558"/>
      <c r="E377" s="133"/>
      <c r="F377" s="608"/>
      <c r="G377" s="384"/>
      <c r="H377" s="384"/>
      <c r="I377" s="493"/>
    </row>
    <row r="378" spans="1:9" hidden="1" x14ac:dyDescent="0.3">
      <c r="A378" s="600"/>
      <c r="B378" s="385"/>
      <c r="C378" s="382"/>
      <c r="D378" s="558"/>
      <c r="E378" s="133"/>
      <c r="F378" s="608"/>
      <c r="G378" s="384"/>
      <c r="H378" s="384"/>
      <c r="I378" s="493"/>
    </row>
    <row r="379" spans="1:9" hidden="1" x14ac:dyDescent="0.3">
      <c r="A379" s="600"/>
      <c r="B379" s="385"/>
      <c r="C379" s="382"/>
      <c r="D379" s="558"/>
      <c r="E379" s="133"/>
      <c r="F379" s="608"/>
      <c r="G379" s="384"/>
      <c r="H379" s="384"/>
      <c r="I379" s="493"/>
    </row>
    <row r="380" spans="1:9" hidden="1" x14ac:dyDescent="0.3">
      <c r="A380" s="600"/>
      <c r="B380" s="385"/>
      <c r="C380" s="382"/>
      <c r="D380" s="200" t="str">
        <f>B380&amp;" "&amp;C380&amp;" "&amp;"("&amp;$B$68&amp;")"</f>
        <v xml:space="preserve">  (Cotraitant 1)</v>
      </c>
      <c r="E380" s="133"/>
      <c r="F380" s="608"/>
      <c r="G380" s="384"/>
      <c r="H380" s="384"/>
      <c r="I380" s="493"/>
    </row>
    <row r="381" spans="1:9" hidden="1" x14ac:dyDescent="0.3">
      <c r="A381" s="600"/>
      <c r="B381" s="385"/>
      <c r="C381" s="382"/>
      <c r="D381" s="200" t="str">
        <f>B381&amp;" "&amp;C381&amp;" "&amp;"("&amp;$B$68&amp;")"</f>
        <v xml:space="preserve">  (Cotraitant 1)</v>
      </c>
      <c r="E381" s="133"/>
      <c r="F381" s="608"/>
      <c r="G381" s="384"/>
      <c r="H381" s="384"/>
      <c r="I381" s="493"/>
    </row>
    <row r="382" spans="1:9" hidden="1" x14ac:dyDescent="0.3">
      <c r="A382" s="600"/>
      <c r="B382" s="385"/>
      <c r="C382" s="382"/>
      <c r="D382" s="200" t="str">
        <f>B382&amp;" "&amp;C382&amp;" "&amp;"("&amp;$B$68&amp;")"</f>
        <v xml:space="preserve">  (Cotraitant 1)</v>
      </c>
      <c r="E382" s="133"/>
      <c r="F382" s="608"/>
      <c r="G382" s="384"/>
      <c r="H382" s="384"/>
      <c r="I382" s="493"/>
    </row>
    <row r="383" spans="1:9" ht="19.5" hidden="1" thickBot="1" x14ac:dyDescent="0.35">
      <c r="A383" s="601"/>
      <c r="B383" s="385"/>
      <c r="C383" s="382"/>
      <c r="D383" s="200" t="str">
        <f>B383&amp;" "&amp;C383&amp;" "&amp;"("&amp;$B$68&amp;")"</f>
        <v xml:space="preserve">  (Cotraitant 1)</v>
      </c>
      <c r="E383" s="134"/>
      <c r="F383" s="609"/>
      <c r="G383" s="384"/>
      <c r="H383" s="384"/>
      <c r="I383" s="493"/>
    </row>
    <row r="384" spans="1:9" ht="18.75" hidden="1" customHeight="1" x14ac:dyDescent="0.3">
      <c r="A384" s="599" t="str">
        <f t="shared" ref="A384" si="61">$A$292</f>
        <v>Tranche OPTIONNELLE 2</v>
      </c>
      <c r="B384" s="602" t="s">
        <v>34</v>
      </c>
      <c r="C384" s="603" t="s">
        <v>35</v>
      </c>
      <c r="D384" s="197"/>
      <c r="E384" s="514" t="s">
        <v>242</v>
      </c>
      <c r="F384" s="515" t="str">
        <f>E384</f>
        <v>Montant intial TVA</v>
      </c>
      <c r="G384" s="180" t="s">
        <v>220</v>
      </c>
      <c r="H384" s="181" t="s">
        <v>220</v>
      </c>
      <c r="I384" s="604" t="s">
        <v>420</v>
      </c>
    </row>
    <row r="385" spans="1:9" hidden="1" x14ac:dyDescent="0.3">
      <c r="A385" s="600"/>
      <c r="B385" s="602"/>
      <c r="C385" s="603"/>
      <c r="D385" s="198"/>
      <c r="E385" s="512">
        <f>$C$24</f>
        <v>0.2</v>
      </c>
      <c r="F385" s="513">
        <f>$E$24</f>
        <v>0.1</v>
      </c>
      <c r="G385" s="182" t="str">
        <f>"TVA"&amp;" "&amp;$C$24*100&amp;"%"</f>
        <v>TVA 20%</v>
      </c>
      <c r="H385" s="182" t="str">
        <f>"TVA"&amp;" "&amp;$E$24*100&amp;"%"</f>
        <v>TVA 10%</v>
      </c>
      <c r="I385" s="605"/>
    </row>
    <row r="386" spans="1:9" ht="19.5" hidden="1" thickBot="1" x14ac:dyDescent="0.35">
      <c r="A386" s="600"/>
      <c r="B386" s="186" t="str">
        <f>$B$12</f>
        <v>Cotraitant 7</v>
      </c>
      <c r="C386" s="520">
        <f>$C$12</f>
        <v>0</v>
      </c>
      <c r="D386" s="179"/>
      <c r="E386" s="430"/>
      <c r="F386" s="430"/>
      <c r="G386" s="183">
        <f>E386-SUM(G387:G396)</f>
        <v>0</v>
      </c>
      <c r="H386" s="184">
        <f>F386-SUM(H387:H396)</f>
        <v>0</v>
      </c>
      <c r="I386" s="606"/>
    </row>
    <row r="387" spans="1:9" hidden="1" x14ac:dyDescent="0.3">
      <c r="A387" s="600"/>
      <c r="B387" s="385"/>
      <c r="C387" s="382"/>
      <c r="D387" s="200" t="str">
        <f>B387&amp;" "&amp;C387&amp;" "&amp;"("&amp;$B$68&amp;")"</f>
        <v xml:space="preserve">  (Cotraitant 1)</v>
      </c>
      <c r="E387" s="132"/>
      <c r="F387" s="607" t="s">
        <v>243</v>
      </c>
      <c r="G387" s="383"/>
      <c r="H387" s="383"/>
      <c r="I387" s="493"/>
    </row>
    <row r="388" spans="1:9" hidden="1" x14ac:dyDescent="0.3">
      <c r="A388" s="600"/>
      <c r="B388" s="385"/>
      <c r="C388" s="382"/>
      <c r="D388" s="200" t="str">
        <f>B388&amp;" "&amp;C388&amp;" "&amp;"("&amp;$B$68&amp;")"</f>
        <v xml:space="preserve">  (Cotraitant 1)</v>
      </c>
      <c r="E388" s="133"/>
      <c r="F388" s="608"/>
      <c r="G388" s="384"/>
      <c r="H388" s="384"/>
      <c r="I388" s="493"/>
    </row>
    <row r="389" spans="1:9" hidden="1" x14ac:dyDescent="0.3">
      <c r="A389" s="600"/>
      <c r="B389" s="385"/>
      <c r="C389" s="382"/>
      <c r="D389" s="558"/>
      <c r="E389" s="133"/>
      <c r="F389" s="608"/>
      <c r="G389" s="384"/>
      <c r="H389" s="384"/>
      <c r="I389" s="493"/>
    </row>
    <row r="390" spans="1:9" hidden="1" x14ac:dyDescent="0.3">
      <c r="A390" s="600"/>
      <c r="B390" s="385"/>
      <c r="C390" s="382"/>
      <c r="D390" s="558"/>
      <c r="E390" s="133"/>
      <c r="F390" s="608"/>
      <c r="G390" s="384"/>
      <c r="H390" s="384"/>
      <c r="I390" s="493"/>
    </row>
    <row r="391" spans="1:9" hidden="1" x14ac:dyDescent="0.3">
      <c r="A391" s="600"/>
      <c r="B391" s="385"/>
      <c r="C391" s="382"/>
      <c r="D391" s="558"/>
      <c r="E391" s="133"/>
      <c r="F391" s="608"/>
      <c r="G391" s="384"/>
      <c r="H391" s="384"/>
      <c r="I391" s="493"/>
    </row>
    <row r="392" spans="1:9" hidden="1" x14ac:dyDescent="0.3">
      <c r="A392" s="600"/>
      <c r="B392" s="385"/>
      <c r="C392" s="382"/>
      <c r="D392" s="558"/>
      <c r="E392" s="133"/>
      <c r="F392" s="608"/>
      <c r="G392" s="384"/>
      <c r="H392" s="384"/>
      <c r="I392" s="493"/>
    </row>
    <row r="393" spans="1:9" hidden="1" x14ac:dyDescent="0.3">
      <c r="A393" s="600"/>
      <c r="B393" s="385"/>
      <c r="C393" s="382"/>
      <c r="D393" s="200" t="str">
        <f>B393&amp;" "&amp;C393&amp;" "&amp;"("&amp;$B$68&amp;")"</f>
        <v xml:space="preserve">  (Cotraitant 1)</v>
      </c>
      <c r="E393" s="133"/>
      <c r="F393" s="608"/>
      <c r="G393" s="384"/>
      <c r="H393" s="384"/>
      <c r="I393" s="493"/>
    </row>
    <row r="394" spans="1:9" hidden="1" x14ac:dyDescent="0.3">
      <c r="A394" s="600"/>
      <c r="B394" s="385"/>
      <c r="C394" s="382"/>
      <c r="D394" s="200" t="str">
        <f>B394&amp;" "&amp;C394&amp;" "&amp;"("&amp;$B$68&amp;")"</f>
        <v xml:space="preserve">  (Cotraitant 1)</v>
      </c>
      <c r="E394" s="133"/>
      <c r="F394" s="608"/>
      <c r="G394" s="384"/>
      <c r="H394" s="384"/>
      <c r="I394" s="493"/>
    </row>
    <row r="395" spans="1:9" hidden="1" x14ac:dyDescent="0.3">
      <c r="A395" s="600"/>
      <c r="B395" s="385"/>
      <c r="C395" s="382"/>
      <c r="D395" s="200" t="str">
        <f>B395&amp;" "&amp;C395&amp;" "&amp;"("&amp;$B$68&amp;")"</f>
        <v xml:space="preserve">  (Cotraitant 1)</v>
      </c>
      <c r="E395" s="133"/>
      <c r="F395" s="608"/>
      <c r="G395" s="384"/>
      <c r="H395" s="384"/>
      <c r="I395" s="493"/>
    </row>
    <row r="396" spans="1:9" ht="19.5" hidden="1" thickBot="1" x14ac:dyDescent="0.35">
      <c r="A396" s="601"/>
      <c r="B396" s="385"/>
      <c r="C396" s="382"/>
      <c r="D396" s="200" t="str">
        <f>B396&amp;" "&amp;C396&amp;" "&amp;"("&amp;$B$68&amp;")"</f>
        <v xml:space="preserve">  (Cotraitant 1)</v>
      </c>
      <c r="E396" s="134"/>
      <c r="F396" s="609"/>
      <c r="G396" s="384"/>
      <c r="H396" s="384"/>
      <c r="I396" s="493"/>
    </row>
    <row r="397" spans="1:9" ht="18.75" hidden="1" customHeight="1" x14ac:dyDescent="0.3">
      <c r="A397" s="599" t="str">
        <f t="shared" ref="A397" si="62">$A$292</f>
        <v>Tranche OPTIONNELLE 2</v>
      </c>
      <c r="B397" s="602" t="s">
        <v>34</v>
      </c>
      <c r="C397" s="603" t="s">
        <v>35</v>
      </c>
      <c r="D397" s="197"/>
      <c r="E397" s="514" t="s">
        <v>242</v>
      </c>
      <c r="F397" s="515" t="str">
        <f>E397</f>
        <v>Montant intial TVA</v>
      </c>
      <c r="G397" s="180" t="s">
        <v>220</v>
      </c>
      <c r="H397" s="181" t="s">
        <v>220</v>
      </c>
      <c r="I397" s="604" t="s">
        <v>420</v>
      </c>
    </row>
    <row r="398" spans="1:9" hidden="1" x14ac:dyDescent="0.3">
      <c r="A398" s="600"/>
      <c r="B398" s="602"/>
      <c r="C398" s="603"/>
      <c r="D398" s="198"/>
      <c r="E398" s="512">
        <f>$C$24</f>
        <v>0.2</v>
      </c>
      <c r="F398" s="513">
        <f>$E$24</f>
        <v>0.1</v>
      </c>
      <c r="G398" s="182" t="str">
        <f>"TVA"&amp;" "&amp;$C$24*100&amp;"%"</f>
        <v>TVA 20%</v>
      </c>
      <c r="H398" s="182" t="str">
        <f>"TVA"&amp;" "&amp;$E$24*100&amp;"%"</f>
        <v>TVA 10%</v>
      </c>
      <c r="I398" s="605"/>
    </row>
    <row r="399" spans="1:9" ht="19.5" hidden="1" thickBot="1" x14ac:dyDescent="0.35">
      <c r="A399" s="600"/>
      <c r="B399" s="186" t="str">
        <f>$B$13</f>
        <v>Cotraitant 8</v>
      </c>
      <c r="C399" s="520">
        <f>$C$13</f>
        <v>0</v>
      </c>
      <c r="D399" s="179"/>
      <c r="E399" s="430"/>
      <c r="F399" s="430"/>
      <c r="G399" s="183">
        <f>E399-SUM(G400:G409)</f>
        <v>0</v>
      </c>
      <c r="H399" s="184">
        <f>F399-SUM(H400:H409)</f>
        <v>0</v>
      </c>
      <c r="I399" s="606"/>
    </row>
    <row r="400" spans="1:9" hidden="1" x14ac:dyDescent="0.3">
      <c r="A400" s="600"/>
      <c r="B400" s="385"/>
      <c r="C400" s="382"/>
      <c r="D400" s="200" t="str">
        <f>B400&amp;" "&amp;C400&amp;" "&amp;"("&amp;$B$68&amp;")"</f>
        <v xml:space="preserve">  (Cotraitant 1)</v>
      </c>
      <c r="E400" s="132"/>
      <c r="F400" s="607" t="s">
        <v>243</v>
      </c>
      <c r="G400" s="383"/>
      <c r="H400" s="383"/>
      <c r="I400" s="493"/>
    </row>
    <row r="401" spans="1:10" hidden="1" x14ac:dyDescent="0.3">
      <c r="A401" s="600"/>
      <c r="B401" s="385"/>
      <c r="C401" s="382"/>
      <c r="D401" s="558"/>
      <c r="E401" s="133"/>
      <c r="F401" s="608"/>
      <c r="G401" s="383"/>
      <c r="H401" s="383"/>
      <c r="I401" s="493"/>
    </row>
    <row r="402" spans="1:10" hidden="1" x14ac:dyDescent="0.3">
      <c r="A402" s="600"/>
      <c r="B402" s="385"/>
      <c r="C402" s="382"/>
      <c r="D402" s="558"/>
      <c r="E402" s="133"/>
      <c r="F402" s="608"/>
      <c r="G402" s="383"/>
      <c r="H402" s="383"/>
      <c r="I402" s="493"/>
    </row>
    <row r="403" spans="1:10" hidden="1" x14ac:dyDescent="0.3">
      <c r="A403" s="600"/>
      <c r="B403" s="385"/>
      <c r="C403" s="382"/>
      <c r="D403" s="558"/>
      <c r="E403" s="133"/>
      <c r="F403" s="608"/>
      <c r="G403" s="383"/>
      <c r="H403" s="383"/>
      <c r="I403" s="493"/>
    </row>
    <row r="404" spans="1:10" hidden="1" x14ac:dyDescent="0.3">
      <c r="A404" s="600"/>
      <c r="B404" s="385"/>
      <c r="C404" s="382"/>
      <c r="D404" s="558"/>
      <c r="E404" s="133"/>
      <c r="F404" s="608"/>
      <c r="G404" s="383"/>
      <c r="H404" s="383"/>
      <c r="I404" s="493"/>
    </row>
    <row r="405" spans="1:10" hidden="1" x14ac:dyDescent="0.3">
      <c r="A405" s="600"/>
      <c r="B405" s="385"/>
      <c r="C405" s="382"/>
      <c r="D405" s="200" t="str">
        <f>B405&amp;" "&amp;C405&amp;" "&amp;"("&amp;$B$68&amp;")"</f>
        <v xml:space="preserve">  (Cotraitant 1)</v>
      </c>
      <c r="E405" s="133"/>
      <c r="F405" s="608"/>
      <c r="G405" s="384"/>
      <c r="H405" s="384"/>
      <c r="I405" s="493"/>
    </row>
    <row r="406" spans="1:10" hidden="1" x14ac:dyDescent="0.3">
      <c r="A406" s="600"/>
      <c r="B406" s="385"/>
      <c r="C406" s="382"/>
      <c r="D406" s="200" t="str">
        <f>B406&amp;" "&amp;C406&amp;" "&amp;"("&amp;$B$68&amp;")"</f>
        <v xml:space="preserve">  (Cotraitant 1)</v>
      </c>
      <c r="E406" s="133"/>
      <c r="F406" s="608"/>
      <c r="G406" s="384"/>
      <c r="H406" s="384"/>
      <c r="I406" s="493"/>
    </row>
    <row r="407" spans="1:10" hidden="1" x14ac:dyDescent="0.3">
      <c r="A407" s="600"/>
      <c r="B407" s="385"/>
      <c r="C407" s="382"/>
      <c r="D407" s="200" t="str">
        <f>B407&amp;" "&amp;C407&amp;" "&amp;"("&amp;$B$68&amp;")"</f>
        <v xml:space="preserve">  (Cotraitant 1)</v>
      </c>
      <c r="E407" s="133"/>
      <c r="F407" s="608"/>
      <c r="G407" s="384"/>
      <c r="H407" s="384"/>
      <c r="I407" s="493"/>
    </row>
    <row r="408" spans="1:10" hidden="1" x14ac:dyDescent="0.3">
      <c r="A408" s="600"/>
      <c r="B408" s="385"/>
      <c r="C408" s="382"/>
      <c r="D408" s="200" t="str">
        <f>B408&amp;" "&amp;C408&amp;" "&amp;"("&amp;$B$68&amp;")"</f>
        <v xml:space="preserve">  (Cotraitant 1)</v>
      </c>
      <c r="E408" s="133"/>
      <c r="F408" s="608"/>
      <c r="G408" s="384"/>
      <c r="H408" s="384"/>
      <c r="I408" s="493"/>
    </row>
    <row r="409" spans="1:10" ht="19.5" hidden="1" thickBot="1" x14ac:dyDescent="0.35">
      <c r="A409" s="601"/>
      <c r="B409" s="385"/>
      <c r="C409" s="382"/>
      <c r="D409" s="200" t="str">
        <f>B409&amp;" "&amp;C409&amp;" "&amp;"("&amp;$B$68&amp;")"</f>
        <v xml:space="preserve">  (Cotraitant 1)</v>
      </c>
      <c r="E409" s="134"/>
      <c r="F409" s="609"/>
      <c r="G409" s="384"/>
      <c r="H409" s="384"/>
      <c r="I409" s="493"/>
    </row>
    <row r="410" spans="1:10" ht="18.75" customHeight="1" x14ac:dyDescent="0.3"/>
    <row r="411" spans="1:10" hidden="1" x14ac:dyDescent="0.3">
      <c r="A411" s="130"/>
      <c r="B411" s="185" t="s">
        <v>33</v>
      </c>
      <c r="C411" s="17" t="s">
        <v>270</v>
      </c>
      <c r="D411" s="203"/>
      <c r="E411" s="338" t="s">
        <v>271</v>
      </c>
      <c r="F411" s="456" t="s">
        <v>339</v>
      </c>
      <c r="G411" s="610" t="s">
        <v>398</v>
      </c>
      <c r="H411" s="610"/>
      <c r="I411" s="610" t="s">
        <v>399</v>
      </c>
      <c r="J411" s="610"/>
    </row>
    <row r="412" spans="1:10" ht="19.5" hidden="1" thickBot="1" x14ac:dyDescent="0.35">
      <c r="A412" s="611" t="s">
        <v>248</v>
      </c>
      <c r="B412" s="611"/>
      <c r="C412" s="38">
        <f>F28</f>
        <v>0</v>
      </c>
      <c r="D412" s="62"/>
      <c r="E412" s="38">
        <f>C412-(E415+F415+E428+F428+E441+F441+E454+F454+E467+F467+E480+F480+E493+F493+E506+F506+E519+F519)</f>
        <v>0</v>
      </c>
      <c r="F412" s="457"/>
      <c r="G412" s="612" t="s">
        <v>400</v>
      </c>
      <c r="H412" s="612"/>
      <c r="I412" s="613"/>
      <c r="J412" s="613"/>
    </row>
    <row r="413" spans="1:10" hidden="1" x14ac:dyDescent="0.3">
      <c r="A413" s="599" t="str">
        <f>$A$412</f>
        <v>Tranche OPTIONNELLE 3</v>
      </c>
      <c r="B413" s="602" t="s">
        <v>34</v>
      </c>
      <c r="C413" s="603" t="s">
        <v>35</v>
      </c>
      <c r="D413" s="197"/>
      <c r="E413" s="514" t="s">
        <v>242</v>
      </c>
      <c r="F413" s="515" t="str">
        <f>E413</f>
        <v>Montant intial TVA</v>
      </c>
      <c r="G413" s="483" t="s">
        <v>220</v>
      </c>
      <c r="H413" s="489" t="s">
        <v>220</v>
      </c>
      <c r="I413" s="604" t="s">
        <v>420</v>
      </c>
    </row>
    <row r="414" spans="1:10" hidden="1" x14ac:dyDescent="0.3">
      <c r="A414" s="600"/>
      <c r="B414" s="602"/>
      <c r="C414" s="603"/>
      <c r="D414" s="198"/>
      <c r="E414" s="512">
        <f>$C$24</f>
        <v>0.2</v>
      </c>
      <c r="F414" s="513">
        <f>$E$24</f>
        <v>0.1</v>
      </c>
      <c r="G414" s="182" t="str">
        <f>"TVA"&amp;" "&amp;$C$24*100&amp;"%"</f>
        <v>TVA 20%</v>
      </c>
      <c r="H414" s="182" t="str">
        <f>"TVA"&amp;" "&amp;$E$24*100&amp;"%"</f>
        <v>TVA 10%</v>
      </c>
      <c r="I414" s="605"/>
    </row>
    <row r="415" spans="1:10" ht="19.5" hidden="1" thickBot="1" x14ac:dyDescent="0.35">
      <c r="A415" s="600"/>
      <c r="B415" s="186" t="s">
        <v>1</v>
      </c>
      <c r="C415" s="520" t="str">
        <f>$C$5</f>
        <v>yy</v>
      </c>
      <c r="D415" s="199"/>
      <c r="E415" s="131">
        <f>C28-E428-E441-E454-E467-E480-E493-E506-E519</f>
        <v>0</v>
      </c>
      <c r="F415" s="131">
        <f>E28-F428-F441-F454-F467-F480-F493-F506-F519</f>
        <v>0</v>
      </c>
      <c r="G415" s="183">
        <f>E415-SUM(G416:G425)</f>
        <v>0</v>
      </c>
      <c r="H415" s="490">
        <f>F415-SUM(H416:H425)</f>
        <v>0</v>
      </c>
      <c r="I415" s="606"/>
    </row>
    <row r="416" spans="1:10" hidden="1" x14ac:dyDescent="0.3">
      <c r="A416" s="600"/>
      <c r="B416" s="385"/>
      <c r="C416" s="382"/>
      <c r="D416" s="200" t="str">
        <f>B416&amp;" "&amp;C416&amp;" "&amp;"("&amp;$B$55&amp;")"</f>
        <v xml:space="preserve">  (Titulaire)</v>
      </c>
      <c r="E416" s="132"/>
      <c r="F416" s="607" t="s">
        <v>243</v>
      </c>
      <c r="G416" s="383"/>
      <c r="H416" s="383"/>
      <c r="I416" s="493"/>
    </row>
    <row r="417" spans="1:9" hidden="1" x14ac:dyDescent="0.3">
      <c r="A417" s="600"/>
      <c r="B417" s="385"/>
      <c r="C417" s="382"/>
      <c r="D417" s="558"/>
      <c r="E417" s="133"/>
      <c r="F417" s="608"/>
      <c r="G417" s="383"/>
      <c r="H417" s="383"/>
      <c r="I417" s="493"/>
    </row>
    <row r="418" spans="1:9" hidden="1" x14ac:dyDescent="0.3">
      <c r="A418" s="600"/>
      <c r="B418" s="385"/>
      <c r="C418" s="382"/>
      <c r="D418" s="558"/>
      <c r="E418" s="133"/>
      <c r="F418" s="608"/>
      <c r="G418" s="383"/>
      <c r="H418" s="383"/>
      <c r="I418" s="493"/>
    </row>
    <row r="419" spans="1:9" hidden="1" x14ac:dyDescent="0.3">
      <c r="A419" s="600"/>
      <c r="B419" s="385"/>
      <c r="C419" s="382"/>
      <c r="D419" s="558"/>
      <c r="E419" s="133"/>
      <c r="F419" s="608"/>
      <c r="G419" s="383"/>
      <c r="H419" s="383"/>
      <c r="I419" s="493"/>
    </row>
    <row r="420" spans="1:9" hidden="1" x14ac:dyDescent="0.3">
      <c r="A420" s="600"/>
      <c r="B420" s="385"/>
      <c r="C420" s="382"/>
      <c r="D420" s="558"/>
      <c r="E420" s="133"/>
      <c r="F420" s="608"/>
      <c r="G420" s="383"/>
      <c r="H420" s="383"/>
      <c r="I420" s="493"/>
    </row>
    <row r="421" spans="1:9" hidden="1" x14ac:dyDescent="0.3">
      <c r="A421" s="600"/>
      <c r="B421" s="385"/>
      <c r="C421" s="382"/>
      <c r="D421" s="200" t="str">
        <f>B421&amp;" "&amp;C421&amp;" "&amp;"("&amp;$B$55&amp;")"</f>
        <v xml:space="preserve">  (Titulaire)</v>
      </c>
      <c r="E421" s="133"/>
      <c r="F421" s="608"/>
      <c r="G421" s="383"/>
      <c r="H421" s="384"/>
      <c r="I421" s="493"/>
    </row>
    <row r="422" spans="1:9" hidden="1" x14ac:dyDescent="0.3">
      <c r="A422" s="600"/>
      <c r="B422" s="385"/>
      <c r="C422" s="382"/>
      <c r="D422" s="200" t="str">
        <f>B422&amp;" "&amp;C422&amp;" "&amp;"("&amp;$B$55&amp;")"</f>
        <v xml:space="preserve">  (Titulaire)</v>
      </c>
      <c r="E422" s="133"/>
      <c r="F422" s="608"/>
      <c r="G422" s="383"/>
      <c r="H422" s="384"/>
      <c r="I422" s="493"/>
    </row>
    <row r="423" spans="1:9" hidden="1" x14ac:dyDescent="0.3">
      <c r="A423" s="600"/>
      <c r="B423" s="385"/>
      <c r="C423" s="382"/>
      <c r="D423" s="200" t="str">
        <f>B423&amp;" "&amp;C423&amp;" "&amp;"("&amp;$B$55&amp;")"</f>
        <v xml:space="preserve">  (Titulaire)</v>
      </c>
      <c r="E423" s="133"/>
      <c r="F423" s="608"/>
      <c r="G423" s="383"/>
      <c r="H423" s="384"/>
      <c r="I423" s="493"/>
    </row>
    <row r="424" spans="1:9" hidden="1" x14ac:dyDescent="0.3">
      <c r="A424" s="600"/>
      <c r="B424" s="385"/>
      <c r="C424" s="382"/>
      <c r="D424" s="200" t="str">
        <f>B424&amp;" "&amp;C424&amp;" "&amp;"("&amp;$B$55&amp;")"</f>
        <v xml:space="preserve">  (Titulaire)</v>
      </c>
      <c r="E424" s="133"/>
      <c r="F424" s="608"/>
      <c r="G424" s="383"/>
      <c r="H424" s="384"/>
      <c r="I424" s="493"/>
    </row>
    <row r="425" spans="1:9" ht="19.5" hidden="1" thickBot="1" x14ac:dyDescent="0.35">
      <c r="A425" s="601"/>
      <c r="B425" s="385"/>
      <c r="C425" s="382"/>
      <c r="D425" s="200" t="str">
        <f>B425&amp;" "&amp;C425&amp;" "&amp;"("&amp;$B$55&amp;")"</f>
        <v xml:space="preserve">  (Titulaire)</v>
      </c>
      <c r="E425" s="134"/>
      <c r="F425" s="609"/>
      <c r="G425" s="383"/>
      <c r="H425" s="384"/>
      <c r="I425" s="493"/>
    </row>
    <row r="426" spans="1:9" ht="18.75" hidden="1" customHeight="1" x14ac:dyDescent="0.3">
      <c r="A426" s="599" t="str">
        <f t="shared" ref="A426" si="63">$A$412</f>
        <v>Tranche OPTIONNELLE 3</v>
      </c>
      <c r="B426" s="602" t="s">
        <v>34</v>
      </c>
      <c r="C426" s="603" t="s">
        <v>35</v>
      </c>
      <c r="D426" s="197"/>
      <c r="E426" s="514" t="s">
        <v>242</v>
      </c>
      <c r="F426" s="515" t="str">
        <f>E426</f>
        <v>Montant intial TVA</v>
      </c>
      <c r="G426" s="180" t="s">
        <v>220</v>
      </c>
      <c r="H426" s="181" t="s">
        <v>220</v>
      </c>
      <c r="I426" s="604" t="s">
        <v>420</v>
      </c>
    </row>
    <row r="427" spans="1:9" hidden="1" x14ac:dyDescent="0.3">
      <c r="A427" s="600"/>
      <c r="B427" s="602"/>
      <c r="C427" s="603"/>
      <c r="D427" s="198"/>
      <c r="E427" s="512">
        <f>$C$24</f>
        <v>0.2</v>
      </c>
      <c r="F427" s="513">
        <f>$E$24</f>
        <v>0.1</v>
      </c>
      <c r="G427" s="182" t="str">
        <f>"TVA"&amp;" "&amp;$C$24*100&amp;"%"</f>
        <v>TVA 20%</v>
      </c>
      <c r="H427" s="182" t="str">
        <f>"TVA"&amp;" "&amp;$E$24*100&amp;"%"</f>
        <v>TVA 10%</v>
      </c>
      <c r="I427" s="605"/>
    </row>
    <row r="428" spans="1:9" ht="19.5" hidden="1" thickBot="1" x14ac:dyDescent="0.35">
      <c r="A428" s="600"/>
      <c r="B428" s="186" t="str">
        <f>$B$6</f>
        <v>Cotraitant 1</v>
      </c>
      <c r="C428" s="520">
        <f>$C$6</f>
        <v>0</v>
      </c>
      <c r="D428" s="179"/>
      <c r="E428" s="430"/>
      <c r="F428" s="430"/>
      <c r="G428" s="183">
        <f>E428-SUM(G429:G438)</f>
        <v>0</v>
      </c>
      <c r="H428" s="184">
        <f>F428-SUM(H429:H438)</f>
        <v>0</v>
      </c>
      <c r="I428" s="606"/>
    </row>
    <row r="429" spans="1:9" hidden="1" x14ac:dyDescent="0.3">
      <c r="A429" s="600"/>
      <c r="B429" s="385"/>
      <c r="C429" s="382"/>
      <c r="D429" s="200" t="str">
        <f>B429&amp;" "&amp;C429&amp;" "&amp;"("&amp;$B$68&amp;")"</f>
        <v xml:space="preserve">  (Cotraitant 1)</v>
      </c>
      <c r="E429" s="132"/>
      <c r="F429" s="607" t="s">
        <v>243</v>
      </c>
      <c r="G429" s="383"/>
      <c r="H429" s="383"/>
      <c r="I429" s="493"/>
    </row>
    <row r="430" spans="1:9" hidden="1" x14ac:dyDescent="0.3">
      <c r="A430" s="600"/>
      <c r="B430" s="385"/>
      <c r="C430" s="382"/>
      <c r="D430" s="558"/>
      <c r="E430" s="133"/>
      <c r="F430" s="608"/>
      <c r="G430" s="383"/>
      <c r="H430" s="383"/>
      <c r="I430" s="493"/>
    </row>
    <row r="431" spans="1:9" hidden="1" x14ac:dyDescent="0.3">
      <c r="A431" s="600"/>
      <c r="B431" s="385"/>
      <c r="C431" s="382"/>
      <c r="D431" s="558"/>
      <c r="E431" s="133"/>
      <c r="F431" s="608"/>
      <c r="G431" s="383"/>
      <c r="H431" s="383"/>
      <c r="I431" s="493"/>
    </row>
    <row r="432" spans="1:9" hidden="1" x14ac:dyDescent="0.3">
      <c r="A432" s="600"/>
      <c r="B432" s="385"/>
      <c r="C432" s="382"/>
      <c r="D432" s="558"/>
      <c r="E432" s="133"/>
      <c r="F432" s="608"/>
      <c r="G432" s="383"/>
      <c r="H432" s="383"/>
      <c r="I432" s="493"/>
    </row>
    <row r="433" spans="1:10" hidden="1" x14ac:dyDescent="0.3">
      <c r="A433" s="600"/>
      <c r="B433" s="385"/>
      <c r="C433" s="382"/>
      <c r="D433" s="558"/>
      <c r="E433" s="133"/>
      <c r="F433" s="608"/>
      <c r="G433" s="383"/>
      <c r="H433" s="383"/>
      <c r="I433" s="493"/>
    </row>
    <row r="434" spans="1:10" hidden="1" x14ac:dyDescent="0.3">
      <c r="A434" s="600"/>
      <c r="B434" s="385"/>
      <c r="C434" s="382"/>
      <c r="D434" s="200" t="str">
        <f>B434&amp;" "&amp;C434&amp;" "&amp;"("&amp;$B$68&amp;")"</f>
        <v xml:space="preserve">  (Cotraitant 1)</v>
      </c>
      <c r="E434" s="133"/>
      <c r="F434" s="608"/>
      <c r="G434" s="384"/>
      <c r="H434" s="384"/>
      <c r="I434" s="493"/>
    </row>
    <row r="435" spans="1:10" hidden="1" x14ac:dyDescent="0.3">
      <c r="A435" s="600"/>
      <c r="B435" s="385"/>
      <c r="C435" s="382"/>
      <c r="D435" s="200" t="str">
        <f>B435&amp;" "&amp;C435&amp;" "&amp;"("&amp;$B$68&amp;")"</f>
        <v xml:space="preserve">  (Cotraitant 1)</v>
      </c>
      <c r="E435" s="133"/>
      <c r="F435" s="608"/>
      <c r="G435" s="384"/>
      <c r="H435" s="384"/>
      <c r="I435" s="493"/>
    </row>
    <row r="436" spans="1:10" hidden="1" x14ac:dyDescent="0.3">
      <c r="A436" s="600"/>
      <c r="B436" s="385"/>
      <c r="C436" s="382"/>
      <c r="D436" s="200" t="str">
        <f>B436&amp;" "&amp;C436&amp;" "&amp;"("&amp;$B$68&amp;")"</f>
        <v xml:space="preserve">  (Cotraitant 1)</v>
      </c>
      <c r="E436" s="133"/>
      <c r="F436" s="608"/>
      <c r="G436" s="384"/>
      <c r="H436" s="384"/>
      <c r="I436" s="493"/>
    </row>
    <row r="437" spans="1:10" hidden="1" x14ac:dyDescent="0.3">
      <c r="A437" s="600"/>
      <c r="B437" s="385"/>
      <c r="C437" s="382"/>
      <c r="D437" s="200" t="str">
        <f>B437&amp;" "&amp;C437&amp;" "&amp;"("&amp;$B$68&amp;")"</f>
        <v xml:space="preserve">  (Cotraitant 1)</v>
      </c>
      <c r="E437" s="133"/>
      <c r="F437" s="608"/>
      <c r="G437" s="384"/>
      <c r="H437" s="384"/>
      <c r="I437" s="493"/>
    </row>
    <row r="438" spans="1:10" ht="19.5" hidden="1" thickBot="1" x14ac:dyDescent="0.35">
      <c r="A438" s="601"/>
      <c r="B438" s="385"/>
      <c r="C438" s="382"/>
      <c r="D438" s="200" t="str">
        <f>B438&amp;" "&amp;C438&amp;" "&amp;"("&amp;$B$68&amp;")"</f>
        <v xml:space="preserve">  (Cotraitant 1)</v>
      </c>
      <c r="E438" s="134"/>
      <c r="F438" s="609"/>
      <c r="G438" s="384"/>
      <c r="H438" s="384"/>
      <c r="I438" s="493"/>
    </row>
    <row r="439" spans="1:10" ht="18.75" hidden="1" customHeight="1" x14ac:dyDescent="0.3">
      <c r="A439" s="599" t="str">
        <f t="shared" ref="A439" si="64">$A$412</f>
        <v>Tranche OPTIONNELLE 3</v>
      </c>
      <c r="B439" s="602" t="s">
        <v>34</v>
      </c>
      <c r="C439" s="603" t="s">
        <v>35</v>
      </c>
      <c r="D439" s="197"/>
      <c r="E439" s="514" t="s">
        <v>242</v>
      </c>
      <c r="F439" s="515" t="str">
        <f>E439</f>
        <v>Montant intial TVA</v>
      </c>
      <c r="G439" s="180" t="s">
        <v>220</v>
      </c>
      <c r="H439" s="181" t="s">
        <v>220</v>
      </c>
      <c r="I439" s="604" t="s">
        <v>420</v>
      </c>
    </row>
    <row r="440" spans="1:10" hidden="1" x14ac:dyDescent="0.3">
      <c r="A440" s="600"/>
      <c r="B440" s="602"/>
      <c r="C440" s="603"/>
      <c r="D440" s="198"/>
      <c r="E440" s="512">
        <f>$C$24</f>
        <v>0.2</v>
      </c>
      <c r="F440" s="513">
        <f>$E$24</f>
        <v>0.1</v>
      </c>
      <c r="G440" s="182" t="str">
        <f>"TVA"&amp;" "&amp;$C$24*100&amp;"%"</f>
        <v>TVA 20%</v>
      </c>
      <c r="H440" s="182" t="str">
        <f>"TVA"&amp;" "&amp;$E$24*100&amp;"%"</f>
        <v>TVA 10%</v>
      </c>
      <c r="I440" s="605"/>
      <c r="J440" s="518"/>
    </row>
    <row r="441" spans="1:10" ht="19.5" hidden="1" thickBot="1" x14ac:dyDescent="0.35">
      <c r="A441" s="600"/>
      <c r="B441" s="186" t="str">
        <f>$B$7</f>
        <v>Cotraitant 2</v>
      </c>
      <c r="C441" s="520">
        <f>$C$7</f>
        <v>0</v>
      </c>
      <c r="D441" s="179"/>
      <c r="E441" s="430"/>
      <c r="F441" s="430"/>
      <c r="G441" s="183">
        <f>E441-SUM(G442:G451)</f>
        <v>0</v>
      </c>
      <c r="H441" s="184">
        <f>F441-SUM(H442:H451)</f>
        <v>0</v>
      </c>
      <c r="I441" s="606"/>
      <c r="J441" s="528"/>
    </row>
    <row r="442" spans="1:10" hidden="1" x14ac:dyDescent="0.3">
      <c r="A442" s="600"/>
      <c r="B442" s="385"/>
      <c r="C442" s="382"/>
      <c r="D442" s="200" t="str">
        <f>B442&amp;" "&amp;C442&amp;" "&amp;"("&amp;$B$68&amp;")"</f>
        <v xml:space="preserve">  (Cotraitant 1)</v>
      </c>
      <c r="E442" s="132"/>
      <c r="F442" s="607" t="s">
        <v>243</v>
      </c>
      <c r="G442" s="383"/>
      <c r="H442" s="383"/>
      <c r="I442" s="493"/>
    </row>
    <row r="443" spans="1:10" hidden="1" x14ac:dyDescent="0.3">
      <c r="A443" s="600"/>
      <c r="B443" s="385"/>
      <c r="C443" s="382"/>
      <c r="D443" s="558"/>
      <c r="E443" s="133"/>
      <c r="F443" s="608"/>
      <c r="G443" s="383"/>
      <c r="H443" s="383"/>
      <c r="I443" s="493"/>
    </row>
    <row r="444" spans="1:10" hidden="1" x14ac:dyDescent="0.3">
      <c r="A444" s="600"/>
      <c r="B444" s="385"/>
      <c r="C444" s="382"/>
      <c r="D444" s="558"/>
      <c r="E444" s="133"/>
      <c r="F444" s="608"/>
      <c r="G444" s="383"/>
      <c r="H444" s="383"/>
      <c r="I444" s="493"/>
    </row>
    <row r="445" spans="1:10" hidden="1" x14ac:dyDescent="0.3">
      <c r="A445" s="600"/>
      <c r="B445" s="385"/>
      <c r="C445" s="382"/>
      <c r="D445" s="558"/>
      <c r="E445" s="133"/>
      <c r="F445" s="608"/>
      <c r="G445" s="383"/>
      <c r="H445" s="383"/>
      <c r="I445" s="493"/>
    </row>
    <row r="446" spans="1:10" hidden="1" x14ac:dyDescent="0.3">
      <c r="A446" s="600"/>
      <c r="B446" s="385"/>
      <c r="C446" s="382"/>
      <c r="D446" s="558"/>
      <c r="E446" s="133"/>
      <c r="F446" s="608"/>
      <c r="G446" s="383"/>
      <c r="H446" s="383"/>
      <c r="I446" s="493"/>
    </row>
    <row r="447" spans="1:10" hidden="1" x14ac:dyDescent="0.3">
      <c r="A447" s="600"/>
      <c r="B447" s="385"/>
      <c r="C447" s="382"/>
      <c r="D447" s="200" t="str">
        <f>B447&amp;" "&amp;C447&amp;" "&amp;"("&amp;$B$68&amp;")"</f>
        <v xml:space="preserve">  (Cotraitant 1)</v>
      </c>
      <c r="E447" s="133"/>
      <c r="F447" s="608"/>
      <c r="G447" s="384"/>
      <c r="H447" s="384"/>
      <c r="I447" s="493"/>
    </row>
    <row r="448" spans="1:10" hidden="1" x14ac:dyDescent="0.3">
      <c r="A448" s="600"/>
      <c r="B448" s="385"/>
      <c r="C448" s="382"/>
      <c r="D448" s="200" t="str">
        <f>B448&amp;" "&amp;C448&amp;" "&amp;"("&amp;$B$68&amp;")"</f>
        <v xml:space="preserve">  (Cotraitant 1)</v>
      </c>
      <c r="E448" s="133"/>
      <c r="F448" s="608"/>
      <c r="G448" s="384"/>
      <c r="H448" s="384"/>
      <c r="I448" s="493"/>
    </row>
    <row r="449" spans="1:9" hidden="1" x14ac:dyDescent="0.3">
      <c r="A449" s="600"/>
      <c r="B449" s="385"/>
      <c r="C449" s="382"/>
      <c r="D449" s="200" t="str">
        <f>B449&amp;" "&amp;C449&amp;" "&amp;"("&amp;$B$68&amp;")"</f>
        <v xml:space="preserve">  (Cotraitant 1)</v>
      </c>
      <c r="E449" s="133"/>
      <c r="F449" s="608"/>
      <c r="G449" s="384"/>
      <c r="H449" s="384"/>
      <c r="I449" s="493"/>
    </row>
    <row r="450" spans="1:9" hidden="1" x14ac:dyDescent="0.3">
      <c r="A450" s="600"/>
      <c r="B450" s="385"/>
      <c r="C450" s="382"/>
      <c r="D450" s="200" t="str">
        <f>B450&amp;" "&amp;C450&amp;" "&amp;"("&amp;$B$68&amp;")"</f>
        <v xml:space="preserve">  (Cotraitant 1)</v>
      </c>
      <c r="E450" s="133"/>
      <c r="F450" s="608"/>
      <c r="G450" s="384"/>
      <c r="H450" s="384"/>
      <c r="I450" s="493"/>
    </row>
    <row r="451" spans="1:9" ht="19.5" hidden="1" thickBot="1" x14ac:dyDescent="0.35">
      <c r="A451" s="601"/>
      <c r="B451" s="385"/>
      <c r="C451" s="382"/>
      <c r="D451" s="200" t="str">
        <f>B451&amp;" "&amp;C451&amp;" "&amp;"("&amp;$B$68&amp;")"</f>
        <v xml:space="preserve">  (Cotraitant 1)</v>
      </c>
      <c r="E451" s="134"/>
      <c r="F451" s="609"/>
      <c r="G451" s="384"/>
      <c r="H451" s="384"/>
      <c r="I451" s="493"/>
    </row>
    <row r="452" spans="1:9" ht="18.75" hidden="1" customHeight="1" x14ac:dyDescent="0.3">
      <c r="A452" s="599" t="str">
        <f t="shared" ref="A452" si="65">$A$412</f>
        <v>Tranche OPTIONNELLE 3</v>
      </c>
      <c r="B452" s="602" t="s">
        <v>34</v>
      </c>
      <c r="C452" s="603" t="s">
        <v>35</v>
      </c>
      <c r="D452" s="197"/>
      <c r="E452" s="514" t="s">
        <v>242</v>
      </c>
      <c r="F452" s="515" t="str">
        <f>E452</f>
        <v>Montant intial TVA</v>
      </c>
      <c r="G452" s="180" t="s">
        <v>220</v>
      </c>
      <c r="H452" s="181" t="s">
        <v>220</v>
      </c>
      <c r="I452" s="604" t="s">
        <v>420</v>
      </c>
    </row>
    <row r="453" spans="1:9" hidden="1" x14ac:dyDescent="0.3">
      <c r="A453" s="600"/>
      <c r="B453" s="602"/>
      <c r="C453" s="603"/>
      <c r="D453" s="198"/>
      <c r="E453" s="512">
        <f>$C$24</f>
        <v>0.2</v>
      </c>
      <c r="F453" s="513">
        <f>$E$24</f>
        <v>0.1</v>
      </c>
      <c r="G453" s="182" t="str">
        <f>"TVA"&amp;" "&amp;$C$24*100&amp;"%"</f>
        <v>TVA 20%</v>
      </c>
      <c r="H453" s="182" t="str">
        <f>"TVA"&amp;" "&amp;$E$24*100&amp;"%"</f>
        <v>TVA 10%</v>
      </c>
      <c r="I453" s="605"/>
    </row>
    <row r="454" spans="1:9" ht="19.5" hidden="1" thickBot="1" x14ac:dyDescent="0.35">
      <c r="A454" s="600"/>
      <c r="B454" s="186" t="str">
        <f>$B$8</f>
        <v>Cotraitant 3</v>
      </c>
      <c r="C454" s="520">
        <f>$C$8</f>
        <v>0</v>
      </c>
      <c r="D454" s="179"/>
      <c r="E454" s="430"/>
      <c r="F454" s="430"/>
      <c r="G454" s="183">
        <f>E454-SUM(G455:G464)</f>
        <v>0</v>
      </c>
      <c r="H454" s="184">
        <f>F454-SUM(H455:H464)</f>
        <v>0</v>
      </c>
      <c r="I454" s="606"/>
    </row>
    <row r="455" spans="1:9" hidden="1" x14ac:dyDescent="0.3">
      <c r="A455" s="600"/>
      <c r="B455" s="385"/>
      <c r="C455" s="382"/>
      <c r="D455" s="200" t="str">
        <f>B455&amp;" "&amp;C455&amp;" "&amp;"("&amp;$B$68&amp;")"</f>
        <v xml:space="preserve">  (Cotraitant 1)</v>
      </c>
      <c r="E455" s="132"/>
      <c r="F455" s="607" t="s">
        <v>243</v>
      </c>
      <c r="G455" s="383"/>
      <c r="H455" s="383"/>
      <c r="I455" s="493"/>
    </row>
    <row r="456" spans="1:9" hidden="1" x14ac:dyDescent="0.3">
      <c r="A456" s="600"/>
      <c r="B456" s="385"/>
      <c r="C456" s="382"/>
      <c r="D456" s="558"/>
      <c r="E456" s="133"/>
      <c r="F456" s="608"/>
      <c r="G456" s="383"/>
      <c r="H456" s="383"/>
      <c r="I456" s="493"/>
    </row>
    <row r="457" spans="1:9" hidden="1" x14ac:dyDescent="0.3">
      <c r="A457" s="600"/>
      <c r="B457" s="385"/>
      <c r="C457" s="382"/>
      <c r="D457" s="558"/>
      <c r="E457" s="133"/>
      <c r="F457" s="608"/>
      <c r="G457" s="383"/>
      <c r="H457" s="383"/>
      <c r="I457" s="493"/>
    </row>
    <row r="458" spans="1:9" hidden="1" x14ac:dyDescent="0.3">
      <c r="A458" s="600"/>
      <c r="B458" s="385"/>
      <c r="C458" s="382"/>
      <c r="D458" s="558"/>
      <c r="E458" s="133"/>
      <c r="F458" s="608"/>
      <c r="G458" s="383"/>
      <c r="H458" s="383"/>
      <c r="I458" s="493"/>
    </row>
    <row r="459" spans="1:9" hidden="1" x14ac:dyDescent="0.3">
      <c r="A459" s="600"/>
      <c r="B459" s="385"/>
      <c r="C459" s="382"/>
      <c r="D459" s="558"/>
      <c r="E459" s="133"/>
      <c r="F459" s="608"/>
      <c r="G459" s="383"/>
      <c r="H459" s="383"/>
      <c r="I459" s="493"/>
    </row>
    <row r="460" spans="1:9" hidden="1" x14ac:dyDescent="0.3">
      <c r="A460" s="600"/>
      <c r="B460" s="385"/>
      <c r="C460" s="382"/>
      <c r="D460" s="200" t="str">
        <f>B460&amp;" "&amp;C460&amp;" "&amp;"("&amp;$B$68&amp;")"</f>
        <v xml:space="preserve">  (Cotraitant 1)</v>
      </c>
      <c r="E460" s="133"/>
      <c r="F460" s="608"/>
      <c r="G460" s="384"/>
      <c r="H460" s="384"/>
      <c r="I460" s="493"/>
    </row>
    <row r="461" spans="1:9" hidden="1" x14ac:dyDescent="0.3">
      <c r="A461" s="600"/>
      <c r="B461" s="385"/>
      <c r="C461" s="382"/>
      <c r="D461" s="200" t="str">
        <f>B461&amp;" "&amp;C461&amp;" "&amp;"("&amp;$B$68&amp;")"</f>
        <v xml:space="preserve">  (Cotraitant 1)</v>
      </c>
      <c r="E461" s="133"/>
      <c r="F461" s="608"/>
      <c r="G461" s="384"/>
      <c r="H461" s="384"/>
      <c r="I461" s="493"/>
    </row>
    <row r="462" spans="1:9" hidden="1" x14ac:dyDescent="0.3">
      <c r="A462" s="600"/>
      <c r="B462" s="385"/>
      <c r="C462" s="382"/>
      <c r="D462" s="200" t="str">
        <f>B462&amp;" "&amp;C462&amp;" "&amp;"("&amp;$B$68&amp;")"</f>
        <v xml:space="preserve">  (Cotraitant 1)</v>
      </c>
      <c r="E462" s="133"/>
      <c r="F462" s="608"/>
      <c r="G462" s="384"/>
      <c r="H462" s="384"/>
      <c r="I462" s="493"/>
    </row>
    <row r="463" spans="1:9" hidden="1" x14ac:dyDescent="0.3">
      <c r="A463" s="600"/>
      <c r="B463" s="385"/>
      <c r="C463" s="382"/>
      <c r="D463" s="200" t="str">
        <f>B463&amp;" "&amp;C463&amp;" "&amp;"("&amp;$B$68&amp;")"</f>
        <v xml:space="preserve">  (Cotraitant 1)</v>
      </c>
      <c r="E463" s="133"/>
      <c r="F463" s="608"/>
      <c r="G463" s="384"/>
      <c r="H463" s="384"/>
      <c r="I463" s="493"/>
    </row>
    <row r="464" spans="1:9" ht="19.5" hidden="1" thickBot="1" x14ac:dyDescent="0.35">
      <c r="A464" s="601"/>
      <c r="B464" s="385"/>
      <c r="C464" s="382"/>
      <c r="D464" s="200" t="str">
        <f>B464&amp;" "&amp;C464&amp;" "&amp;"("&amp;$B$68&amp;")"</f>
        <v xml:space="preserve">  (Cotraitant 1)</v>
      </c>
      <c r="E464" s="134"/>
      <c r="F464" s="609"/>
      <c r="G464" s="384"/>
      <c r="H464" s="384"/>
      <c r="I464" s="493"/>
    </row>
    <row r="465" spans="1:9" ht="18.75" hidden="1" customHeight="1" x14ac:dyDescent="0.3">
      <c r="A465" s="599" t="str">
        <f t="shared" ref="A465" si="66">$A$412</f>
        <v>Tranche OPTIONNELLE 3</v>
      </c>
      <c r="B465" s="602" t="s">
        <v>34</v>
      </c>
      <c r="C465" s="603" t="s">
        <v>35</v>
      </c>
      <c r="D465" s="197"/>
      <c r="E465" s="514" t="s">
        <v>242</v>
      </c>
      <c r="F465" s="515" t="str">
        <f>E465</f>
        <v>Montant intial TVA</v>
      </c>
      <c r="G465" s="180" t="s">
        <v>220</v>
      </c>
      <c r="H465" s="181" t="s">
        <v>220</v>
      </c>
      <c r="I465" s="604" t="s">
        <v>420</v>
      </c>
    </row>
    <row r="466" spans="1:9" hidden="1" x14ac:dyDescent="0.3">
      <c r="A466" s="600"/>
      <c r="B466" s="602"/>
      <c r="C466" s="603"/>
      <c r="D466" s="198"/>
      <c r="E466" s="512">
        <f>$C$24</f>
        <v>0.2</v>
      </c>
      <c r="F466" s="513">
        <f>$E$24</f>
        <v>0.1</v>
      </c>
      <c r="G466" s="182" t="str">
        <f>"TVA"&amp;" "&amp;$C$24*100&amp;"%"</f>
        <v>TVA 20%</v>
      </c>
      <c r="H466" s="182" t="str">
        <f>"TVA"&amp;" "&amp;$E$24*100&amp;"%"</f>
        <v>TVA 10%</v>
      </c>
      <c r="I466" s="605"/>
    </row>
    <row r="467" spans="1:9" ht="19.5" hidden="1" thickBot="1" x14ac:dyDescent="0.35">
      <c r="A467" s="600"/>
      <c r="B467" s="186" t="str">
        <f>$B$9</f>
        <v>Cotraitant 4</v>
      </c>
      <c r="C467" s="520">
        <f>$C$9</f>
        <v>0</v>
      </c>
      <c r="D467" s="179"/>
      <c r="E467" s="430"/>
      <c r="F467" s="430"/>
      <c r="G467" s="183">
        <f>E467-SUM(G468:G477)</f>
        <v>0</v>
      </c>
      <c r="H467" s="184">
        <f>F467-SUM(H468:H477)</f>
        <v>0</v>
      </c>
      <c r="I467" s="606"/>
    </row>
    <row r="468" spans="1:9" hidden="1" x14ac:dyDescent="0.3">
      <c r="A468" s="600"/>
      <c r="B468" s="385"/>
      <c r="C468" s="382"/>
      <c r="D468" s="200" t="str">
        <f>B468&amp;" "&amp;C468&amp;" "&amp;"("&amp;$B$68&amp;")"</f>
        <v xml:space="preserve">  (Cotraitant 1)</v>
      </c>
      <c r="E468" s="132"/>
      <c r="F468" s="607" t="s">
        <v>243</v>
      </c>
      <c r="G468" s="383"/>
      <c r="H468" s="383"/>
      <c r="I468" s="493"/>
    </row>
    <row r="469" spans="1:9" hidden="1" x14ac:dyDescent="0.3">
      <c r="A469" s="600"/>
      <c r="B469" s="385"/>
      <c r="C469" s="382"/>
      <c r="D469" s="558"/>
      <c r="E469" s="133"/>
      <c r="F469" s="608"/>
      <c r="G469" s="383"/>
      <c r="H469" s="383"/>
      <c r="I469" s="493"/>
    </row>
    <row r="470" spans="1:9" hidden="1" x14ac:dyDescent="0.3">
      <c r="A470" s="600"/>
      <c r="B470" s="385"/>
      <c r="C470" s="382"/>
      <c r="D470" s="558"/>
      <c r="E470" s="133"/>
      <c r="F470" s="608"/>
      <c r="G470" s="383"/>
      <c r="H470" s="383"/>
      <c r="I470" s="493"/>
    </row>
    <row r="471" spans="1:9" hidden="1" x14ac:dyDescent="0.3">
      <c r="A471" s="600"/>
      <c r="B471" s="385"/>
      <c r="C471" s="382"/>
      <c r="D471" s="558"/>
      <c r="E471" s="133"/>
      <c r="F471" s="608"/>
      <c r="G471" s="383"/>
      <c r="H471" s="383"/>
      <c r="I471" s="493"/>
    </row>
    <row r="472" spans="1:9" hidden="1" x14ac:dyDescent="0.3">
      <c r="A472" s="600"/>
      <c r="B472" s="385"/>
      <c r="C472" s="382"/>
      <c r="D472" s="558"/>
      <c r="E472" s="133"/>
      <c r="F472" s="608"/>
      <c r="G472" s="383"/>
      <c r="H472" s="383"/>
      <c r="I472" s="493"/>
    </row>
    <row r="473" spans="1:9" hidden="1" x14ac:dyDescent="0.3">
      <c r="A473" s="600"/>
      <c r="B473" s="385"/>
      <c r="C473" s="382"/>
      <c r="D473" s="200" t="str">
        <f>B473&amp;" "&amp;C473&amp;" "&amp;"("&amp;$B$68&amp;")"</f>
        <v xml:space="preserve">  (Cotraitant 1)</v>
      </c>
      <c r="E473" s="133"/>
      <c r="F473" s="608"/>
      <c r="G473" s="384"/>
      <c r="H473" s="384"/>
      <c r="I473" s="493"/>
    </row>
    <row r="474" spans="1:9" hidden="1" x14ac:dyDescent="0.3">
      <c r="A474" s="600"/>
      <c r="B474" s="385"/>
      <c r="C474" s="382"/>
      <c r="D474" s="200" t="str">
        <f>B474&amp;" "&amp;C474&amp;" "&amp;"("&amp;$B$68&amp;")"</f>
        <v xml:space="preserve">  (Cotraitant 1)</v>
      </c>
      <c r="E474" s="133"/>
      <c r="F474" s="608"/>
      <c r="G474" s="384"/>
      <c r="H474" s="384"/>
      <c r="I474" s="493"/>
    </row>
    <row r="475" spans="1:9" hidden="1" x14ac:dyDescent="0.3">
      <c r="A475" s="600"/>
      <c r="B475" s="385"/>
      <c r="C475" s="382"/>
      <c r="D475" s="200" t="str">
        <f>B475&amp;" "&amp;C475&amp;" "&amp;"("&amp;$B$68&amp;")"</f>
        <v xml:space="preserve">  (Cotraitant 1)</v>
      </c>
      <c r="E475" s="133"/>
      <c r="F475" s="608"/>
      <c r="G475" s="384"/>
      <c r="H475" s="384"/>
      <c r="I475" s="493"/>
    </row>
    <row r="476" spans="1:9" hidden="1" x14ac:dyDescent="0.3">
      <c r="A476" s="600"/>
      <c r="B476" s="385"/>
      <c r="C476" s="382"/>
      <c r="D476" s="200" t="str">
        <f>B476&amp;" "&amp;C476&amp;" "&amp;"("&amp;$B$68&amp;")"</f>
        <v xml:space="preserve">  (Cotraitant 1)</v>
      </c>
      <c r="E476" s="133"/>
      <c r="F476" s="608"/>
      <c r="G476" s="384"/>
      <c r="H476" s="384"/>
      <c r="I476" s="493"/>
    </row>
    <row r="477" spans="1:9" ht="19.5" hidden="1" thickBot="1" x14ac:dyDescent="0.35">
      <c r="A477" s="601"/>
      <c r="B477" s="385"/>
      <c r="C477" s="382"/>
      <c r="D477" s="200" t="str">
        <f>B477&amp;" "&amp;C477&amp;" "&amp;"("&amp;$B$68&amp;")"</f>
        <v xml:space="preserve">  (Cotraitant 1)</v>
      </c>
      <c r="E477" s="134"/>
      <c r="F477" s="609"/>
      <c r="G477" s="384"/>
      <c r="H477" s="384"/>
      <c r="I477" s="493"/>
    </row>
    <row r="478" spans="1:9" ht="18.75" hidden="1" customHeight="1" x14ac:dyDescent="0.3">
      <c r="A478" s="599" t="str">
        <f t="shared" ref="A478" si="67">$A$412</f>
        <v>Tranche OPTIONNELLE 3</v>
      </c>
      <c r="B478" s="602" t="s">
        <v>34</v>
      </c>
      <c r="C478" s="603" t="s">
        <v>35</v>
      </c>
      <c r="D478" s="197"/>
      <c r="E478" s="514" t="s">
        <v>242</v>
      </c>
      <c r="F478" s="515" t="str">
        <f>E478</f>
        <v>Montant intial TVA</v>
      </c>
      <c r="G478" s="180" t="s">
        <v>220</v>
      </c>
      <c r="H478" s="181" t="s">
        <v>220</v>
      </c>
      <c r="I478" s="604" t="s">
        <v>420</v>
      </c>
    </row>
    <row r="479" spans="1:9" hidden="1" x14ac:dyDescent="0.3">
      <c r="A479" s="600"/>
      <c r="B479" s="602"/>
      <c r="C479" s="603"/>
      <c r="D479" s="198"/>
      <c r="E479" s="512">
        <f>$C$24</f>
        <v>0.2</v>
      </c>
      <c r="F479" s="513">
        <f>$E$24</f>
        <v>0.1</v>
      </c>
      <c r="G479" s="182" t="str">
        <f>"TVA"&amp;" "&amp;$C$24*100&amp;"%"</f>
        <v>TVA 20%</v>
      </c>
      <c r="H479" s="182" t="str">
        <f>"TVA"&amp;" "&amp;$E$24*100&amp;"%"</f>
        <v>TVA 10%</v>
      </c>
      <c r="I479" s="605"/>
    </row>
    <row r="480" spans="1:9" ht="19.5" hidden="1" thickBot="1" x14ac:dyDescent="0.35">
      <c r="A480" s="600"/>
      <c r="B480" s="186" t="str">
        <f>$B$10</f>
        <v>Cotraitant 5</v>
      </c>
      <c r="C480" s="520">
        <f>$C$10</f>
        <v>0</v>
      </c>
      <c r="D480" s="179"/>
      <c r="E480" s="430"/>
      <c r="F480" s="430"/>
      <c r="G480" s="183">
        <f>E480-SUM(G481:G490)</f>
        <v>0</v>
      </c>
      <c r="H480" s="184">
        <f>F480-SUM(H481:H490)</f>
        <v>0</v>
      </c>
      <c r="I480" s="606"/>
    </row>
    <row r="481" spans="1:9" hidden="1" x14ac:dyDescent="0.3">
      <c r="A481" s="600"/>
      <c r="B481" s="385"/>
      <c r="C481" s="382"/>
      <c r="D481" s="200" t="str">
        <f>B481&amp;" "&amp;C481&amp;" "&amp;"("&amp;$B$68&amp;")"</f>
        <v xml:space="preserve">  (Cotraitant 1)</v>
      </c>
      <c r="E481" s="132"/>
      <c r="F481" s="607" t="s">
        <v>243</v>
      </c>
      <c r="G481" s="383"/>
      <c r="H481" s="383"/>
      <c r="I481" s="493"/>
    </row>
    <row r="482" spans="1:9" hidden="1" x14ac:dyDescent="0.3">
      <c r="A482" s="600"/>
      <c r="B482" s="385"/>
      <c r="C482" s="382"/>
      <c r="D482" s="558"/>
      <c r="E482" s="133"/>
      <c r="F482" s="608"/>
      <c r="G482" s="383"/>
      <c r="H482" s="383"/>
      <c r="I482" s="493"/>
    </row>
    <row r="483" spans="1:9" hidden="1" x14ac:dyDescent="0.3">
      <c r="A483" s="600"/>
      <c r="B483" s="385"/>
      <c r="C483" s="382"/>
      <c r="D483" s="558"/>
      <c r="E483" s="133"/>
      <c r="F483" s="608"/>
      <c r="G483" s="383"/>
      <c r="H483" s="383"/>
      <c r="I483" s="493"/>
    </row>
    <row r="484" spans="1:9" hidden="1" x14ac:dyDescent="0.3">
      <c r="A484" s="600"/>
      <c r="B484" s="385"/>
      <c r="C484" s="382"/>
      <c r="D484" s="558"/>
      <c r="E484" s="133"/>
      <c r="F484" s="608"/>
      <c r="G484" s="383"/>
      <c r="H484" s="383"/>
      <c r="I484" s="493"/>
    </row>
    <row r="485" spans="1:9" hidden="1" x14ac:dyDescent="0.3">
      <c r="A485" s="600"/>
      <c r="B485" s="385"/>
      <c r="C485" s="382"/>
      <c r="D485" s="558"/>
      <c r="E485" s="133"/>
      <c r="F485" s="608"/>
      <c r="G485" s="383"/>
      <c r="H485" s="383"/>
      <c r="I485" s="493"/>
    </row>
    <row r="486" spans="1:9" hidden="1" x14ac:dyDescent="0.3">
      <c r="A486" s="600"/>
      <c r="B486" s="385"/>
      <c r="C486" s="382"/>
      <c r="D486" s="200" t="str">
        <f>B486&amp;" "&amp;C486&amp;" "&amp;"("&amp;$B$68&amp;")"</f>
        <v xml:space="preserve">  (Cotraitant 1)</v>
      </c>
      <c r="E486" s="133"/>
      <c r="F486" s="608"/>
      <c r="G486" s="384"/>
      <c r="H486" s="384"/>
      <c r="I486" s="493"/>
    </row>
    <row r="487" spans="1:9" hidden="1" x14ac:dyDescent="0.3">
      <c r="A487" s="600"/>
      <c r="B487" s="385"/>
      <c r="C487" s="382"/>
      <c r="D487" s="200" t="str">
        <f>B487&amp;" "&amp;C487&amp;" "&amp;"("&amp;$B$68&amp;")"</f>
        <v xml:space="preserve">  (Cotraitant 1)</v>
      </c>
      <c r="E487" s="133"/>
      <c r="F487" s="608"/>
      <c r="G487" s="384"/>
      <c r="H487" s="384"/>
      <c r="I487" s="493"/>
    </row>
    <row r="488" spans="1:9" hidden="1" x14ac:dyDescent="0.3">
      <c r="A488" s="600"/>
      <c r="B488" s="385"/>
      <c r="C488" s="382"/>
      <c r="D488" s="200" t="str">
        <f>B488&amp;" "&amp;C488&amp;" "&amp;"("&amp;$B$68&amp;")"</f>
        <v xml:space="preserve">  (Cotraitant 1)</v>
      </c>
      <c r="E488" s="133"/>
      <c r="F488" s="608"/>
      <c r="G488" s="384"/>
      <c r="H488" s="384"/>
      <c r="I488" s="493"/>
    </row>
    <row r="489" spans="1:9" hidden="1" x14ac:dyDescent="0.3">
      <c r="A489" s="600"/>
      <c r="B489" s="385"/>
      <c r="C489" s="382"/>
      <c r="D489" s="200" t="str">
        <f>B489&amp;" "&amp;C489&amp;" "&amp;"("&amp;$B$68&amp;")"</f>
        <v xml:space="preserve">  (Cotraitant 1)</v>
      </c>
      <c r="E489" s="133"/>
      <c r="F489" s="608"/>
      <c r="G489" s="384"/>
      <c r="H489" s="384"/>
      <c r="I489" s="493"/>
    </row>
    <row r="490" spans="1:9" ht="19.5" hidden="1" thickBot="1" x14ac:dyDescent="0.35">
      <c r="A490" s="601"/>
      <c r="B490" s="385"/>
      <c r="C490" s="382"/>
      <c r="D490" s="200" t="str">
        <f>B490&amp;" "&amp;C490&amp;" "&amp;"("&amp;$B$68&amp;")"</f>
        <v xml:space="preserve">  (Cotraitant 1)</v>
      </c>
      <c r="E490" s="134"/>
      <c r="F490" s="609"/>
      <c r="G490" s="384"/>
      <c r="H490" s="384"/>
      <c r="I490" s="493"/>
    </row>
    <row r="491" spans="1:9" ht="18.75" hidden="1" customHeight="1" x14ac:dyDescent="0.3">
      <c r="A491" s="599" t="str">
        <f t="shared" ref="A491" si="68">$A$412</f>
        <v>Tranche OPTIONNELLE 3</v>
      </c>
      <c r="B491" s="602" t="s">
        <v>34</v>
      </c>
      <c r="C491" s="603" t="s">
        <v>35</v>
      </c>
      <c r="D491" s="197"/>
      <c r="E491" s="514" t="s">
        <v>242</v>
      </c>
      <c r="F491" s="515" t="str">
        <f>E491</f>
        <v>Montant intial TVA</v>
      </c>
      <c r="G491" s="180" t="s">
        <v>220</v>
      </c>
      <c r="H491" s="181" t="s">
        <v>220</v>
      </c>
      <c r="I491" s="604" t="s">
        <v>420</v>
      </c>
    </row>
    <row r="492" spans="1:9" hidden="1" x14ac:dyDescent="0.3">
      <c r="A492" s="600"/>
      <c r="B492" s="602"/>
      <c r="C492" s="603"/>
      <c r="D492" s="198"/>
      <c r="E492" s="512">
        <f>$C$24</f>
        <v>0.2</v>
      </c>
      <c r="F492" s="513">
        <f>$E$24</f>
        <v>0.1</v>
      </c>
      <c r="G492" s="182" t="str">
        <f>"TVA"&amp;" "&amp;$C$24*100&amp;"%"</f>
        <v>TVA 20%</v>
      </c>
      <c r="H492" s="182" t="str">
        <f>"TVA"&amp;" "&amp;$E$24*100&amp;"%"</f>
        <v>TVA 10%</v>
      </c>
      <c r="I492" s="605"/>
    </row>
    <row r="493" spans="1:9" ht="19.5" hidden="1" thickBot="1" x14ac:dyDescent="0.35">
      <c r="A493" s="600"/>
      <c r="B493" s="186" t="str">
        <f>$B$11</f>
        <v>Cotraitant 6</v>
      </c>
      <c r="C493" s="520">
        <f>$C$11</f>
        <v>0</v>
      </c>
      <c r="D493" s="179"/>
      <c r="E493" s="430"/>
      <c r="F493" s="430"/>
      <c r="G493" s="183">
        <f>E493-SUM(G494:G503)</f>
        <v>0</v>
      </c>
      <c r="H493" s="184">
        <f>F493-SUM(H494:H503)</f>
        <v>0</v>
      </c>
      <c r="I493" s="606"/>
    </row>
    <row r="494" spans="1:9" hidden="1" x14ac:dyDescent="0.3">
      <c r="A494" s="600"/>
      <c r="B494" s="385"/>
      <c r="C494" s="382"/>
      <c r="D494" s="200" t="str">
        <f>B494&amp;" "&amp;C494&amp;" "&amp;"("&amp;$B$68&amp;")"</f>
        <v xml:space="preserve">  (Cotraitant 1)</v>
      </c>
      <c r="E494" s="132"/>
      <c r="F494" s="607" t="s">
        <v>243</v>
      </c>
      <c r="G494" s="383"/>
      <c r="H494" s="383"/>
      <c r="I494" s="493"/>
    </row>
    <row r="495" spans="1:9" hidden="1" x14ac:dyDescent="0.3">
      <c r="A495" s="600"/>
      <c r="B495" s="385"/>
      <c r="C495" s="382"/>
      <c r="D495" s="200" t="str">
        <f>B495&amp;" "&amp;C495&amp;" "&amp;"("&amp;$B$68&amp;")"</f>
        <v xml:space="preserve">  (Cotraitant 1)</v>
      </c>
      <c r="E495" s="133"/>
      <c r="F495" s="608"/>
      <c r="G495" s="384"/>
      <c r="H495" s="384"/>
      <c r="I495" s="493"/>
    </row>
    <row r="496" spans="1:9" hidden="1" x14ac:dyDescent="0.3">
      <c r="A496" s="600"/>
      <c r="B496" s="385"/>
      <c r="C496" s="382"/>
      <c r="D496" s="558"/>
      <c r="E496" s="133"/>
      <c r="F496" s="608"/>
      <c r="G496" s="384"/>
      <c r="H496" s="384"/>
      <c r="I496" s="493"/>
    </row>
    <row r="497" spans="1:9" hidden="1" x14ac:dyDescent="0.3">
      <c r="A497" s="600"/>
      <c r="B497" s="385"/>
      <c r="C497" s="382"/>
      <c r="D497" s="558"/>
      <c r="E497" s="133"/>
      <c r="F497" s="608"/>
      <c r="G497" s="384"/>
      <c r="H497" s="384"/>
      <c r="I497" s="493"/>
    </row>
    <row r="498" spans="1:9" hidden="1" x14ac:dyDescent="0.3">
      <c r="A498" s="600"/>
      <c r="B498" s="385"/>
      <c r="C498" s="382"/>
      <c r="D498" s="558"/>
      <c r="E498" s="133"/>
      <c r="F498" s="608"/>
      <c r="G498" s="384"/>
      <c r="H498" s="384"/>
      <c r="I498" s="493"/>
    </row>
    <row r="499" spans="1:9" hidden="1" x14ac:dyDescent="0.3">
      <c r="A499" s="600"/>
      <c r="B499" s="385"/>
      <c r="C499" s="382"/>
      <c r="D499" s="558"/>
      <c r="E499" s="133"/>
      <c r="F499" s="608"/>
      <c r="G499" s="384"/>
      <c r="H499" s="384"/>
      <c r="I499" s="493"/>
    </row>
    <row r="500" spans="1:9" hidden="1" x14ac:dyDescent="0.3">
      <c r="A500" s="600"/>
      <c r="B500" s="385"/>
      <c r="C500" s="382"/>
      <c r="D500" s="200" t="str">
        <f>B500&amp;" "&amp;C500&amp;" "&amp;"("&amp;$B$68&amp;")"</f>
        <v xml:space="preserve">  (Cotraitant 1)</v>
      </c>
      <c r="E500" s="133"/>
      <c r="F500" s="608"/>
      <c r="G500" s="384"/>
      <c r="H500" s="384"/>
      <c r="I500" s="493"/>
    </row>
    <row r="501" spans="1:9" hidden="1" x14ac:dyDescent="0.3">
      <c r="A501" s="600"/>
      <c r="B501" s="385"/>
      <c r="C501" s="382"/>
      <c r="D501" s="200" t="str">
        <f>B501&amp;" "&amp;C501&amp;" "&amp;"("&amp;$B$68&amp;")"</f>
        <v xml:space="preserve">  (Cotraitant 1)</v>
      </c>
      <c r="E501" s="133"/>
      <c r="F501" s="608"/>
      <c r="G501" s="384"/>
      <c r="H501" s="384"/>
      <c r="I501" s="493"/>
    </row>
    <row r="502" spans="1:9" hidden="1" x14ac:dyDescent="0.3">
      <c r="A502" s="600"/>
      <c r="B502" s="385"/>
      <c r="C502" s="382"/>
      <c r="D502" s="200" t="str">
        <f>B502&amp;" "&amp;C502&amp;" "&amp;"("&amp;$B$68&amp;")"</f>
        <v xml:space="preserve">  (Cotraitant 1)</v>
      </c>
      <c r="E502" s="133"/>
      <c r="F502" s="608"/>
      <c r="G502" s="384"/>
      <c r="H502" s="384"/>
      <c r="I502" s="493"/>
    </row>
    <row r="503" spans="1:9" ht="19.5" hidden="1" thickBot="1" x14ac:dyDescent="0.35">
      <c r="A503" s="601"/>
      <c r="B503" s="385"/>
      <c r="C503" s="382"/>
      <c r="D503" s="200" t="str">
        <f>B503&amp;" "&amp;C503&amp;" "&amp;"("&amp;$B$68&amp;")"</f>
        <v xml:space="preserve">  (Cotraitant 1)</v>
      </c>
      <c r="E503" s="134"/>
      <c r="F503" s="609"/>
      <c r="G503" s="384"/>
      <c r="H503" s="384"/>
      <c r="I503" s="493"/>
    </row>
    <row r="504" spans="1:9" ht="18.75" hidden="1" customHeight="1" x14ac:dyDescent="0.3">
      <c r="A504" s="599" t="str">
        <f t="shared" ref="A504" si="69">$A$412</f>
        <v>Tranche OPTIONNELLE 3</v>
      </c>
      <c r="B504" s="602" t="s">
        <v>34</v>
      </c>
      <c r="C504" s="603" t="s">
        <v>35</v>
      </c>
      <c r="D504" s="197"/>
      <c r="E504" s="514" t="s">
        <v>242</v>
      </c>
      <c r="F504" s="515" t="str">
        <f>E504</f>
        <v>Montant intial TVA</v>
      </c>
      <c r="G504" s="180" t="s">
        <v>220</v>
      </c>
      <c r="H504" s="181" t="s">
        <v>220</v>
      </c>
      <c r="I504" s="604" t="s">
        <v>420</v>
      </c>
    </row>
    <row r="505" spans="1:9" hidden="1" x14ac:dyDescent="0.3">
      <c r="A505" s="600"/>
      <c r="B505" s="602"/>
      <c r="C505" s="603"/>
      <c r="D505" s="198"/>
      <c r="E505" s="512">
        <f>$C$24</f>
        <v>0.2</v>
      </c>
      <c r="F505" s="513">
        <f>$E$24</f>
        <v>0.1</v>
      </c>
      <c r="G505" s="182" t="str">
        <f>"TVA"&amp;" "&amp;$C$24*100&amp;"%"</f>
        <v>TVA 20%</v>
      </c>
      <c r="H505" s="182" t="str">
        <f>"TVA"&amp;" "&amp;$E$24*100&amp;"%"</f>
        <v>TVA 10%</v>
      </c>
      <c r="I505" s="605"/>
    </row>
    <row r="506" spans="1:9" ht="19.5" hidden="1" thickBot="1" x14ac:dyDescent="0.35">
      <c r="A506" s="600"/>
      <c r="B506" s="186" t="str">
        <f>$B$12</f>
        <v>Cotraitant 7</v>
      </c>
      <c r="C506" s="520">
        <f>$C$12</f>
        <v>0</v>
      </c>
      <c r="D506" s="179"/>
      <c r="E506" s="430"/>
      <c r="F506" s="430"/>
      <c r="G506" s="183">
        <f>E506-SUM(G507:G516)</f>
        <v>0</v>
      </c>
      <c r="H506" s="184">
        <f>F506-SUM(H507:H516)</f>
        <v>0</v>
      </c>
      <c r="I506" s="606"/>
    </row>
    <row r="507" spans="1:9" hidden="1" x14ac:dyDescent="0.3">
      <c r="A507" s="600"/>
      <c r="B507" s="385"/>
      <c r="C507" s="382"/>
      <c r="D507" s="200" t="str">
        <f>B507&amp;" "&amp;C507&amp;" "&amp;"("&amp;$B$68&amp;")"</f>
        <v xml:space="preserve">  (Cotraitant 1)</v>
      </c>
      <c r="E507" s="132"/>
      <c r="F507" s="607" t="s">
        <v>243</v>
      </c>
      <c r="G507" s="383"/>
      <c r="H507" s="383"/>
      <c r="I507" s="493"/>
    </row>
    <row r="508" spans="1:9" hidden="1" x14ac:dyDescent="0.3">
      <c r="A508" s="600"/>
      <c r="B508" s="385"/>
      <c r="C508" s="382"/>
      <c r="D508" s="558"/>
      <c r="E508" s="133"/>
      <c r="F508" s="608"/>
      <c r="G508" s="383"/>
      <c r="H508" s="383"/>
      <c r="I508" s="493"/>
    </row>
    <row r="509" spans="1:9" hidden="1" x14ac:dyDescent="0.3">
      <c r="A509" s="600"/>
      <c r="B509" s="385"/>
      <c r="C509" s="382"/>
      <c r="D509" s="558"/>
      <c r="E509" s="133"/>
      <c r="F509" s="608"/>
      <c r="G509" s="383"/>
      <c r="H509" s="383"/>
      <c r="I509" s="493"/>
    </row>
    <row r="510" spans="1:9" hidden="1" x14ac:dyDescent="0.3">
      <c r="A510" s="600"/>
      <c r="B510" s="385"/>
      <c r="C510" s="382"/>
      <c r="D510" s="558"/>
      <c r="E510" s="133"/>
      <c r="F510" s="608"/>
      <c r="G510" s="383"/>
      <c r="H510" s="383"/>
      <c r="I510" s="493"/>
    </row>
    <row r="511" spans="1:9" hidden="1" x14ac:dyDescent="0.3">
      <c r="A511" s="600"/>
      <c r="B511" s="385"/>
      <c r="C511" s="382"/>
      <c r="D511" s="558"/>
      <c r="E511" s="133"/>
      <c r="F511" s="608"/>
      <c r="G511" s="383"/>
      <c r="H511" s="383"/>
      <c r="I511" s="493"/>
    </row>
    <row r="512" spans="1:9" hidden="1" x14ac:dyDescent="0.3">
      <c r="A512" s="600"/>
      <c r="B512" s="385"/>
      <c r="C512" s="382"/>
      <c r="D512" s="200" t="str">
        <f>B512&amp;" "&amp;C512&amp;" "&amp;"("&amp;$B$68&amp;")"</f>
        <v xml:space="preserve">  (Cotraitant 1)</v>
      </c>
      <c r="E512" s="133"/>
      <c r="F512" s="608"/>
      <c r="G512" s="384"/>
      <c r="H512" s="384"/>
      <c r="I512" s="493"/>
    </row>
    <row r="513" spans="1:9" hidden="1" x14ac:dyDescent="0.3">
      <c r="A513" s="600"/>
      <c r="B513" s="385"/>
      <c r="C513" s="382"/>
      <c r="D513" s="200" t="str">
        <f>B513&amp;" "&amp;C513&amp;" "&amp;"("&amp;$B$68&amp;")"</f>
        <v xml:space="preserve">  (Cotraitant 1)</v>
      </c>
      <c r="E513" s="133"/>
      <c r="F513" s="608"/>
      <c r="G513" s="384"/>
      <c r="H513" s="384"/>
      <c r="I513" s="493"/>
    </row>
    <row r="514" spans="1:9" hidden="1" x14ac:dyDescent="0.3">
      <c r="A514" s="600"/>
      <c r="B514" s="385"/>
      <c r="C514" s="382"/>
      <c r="D514" s="200" t="str">
        <f>B514&amp;" "&amp;C514&amp;" "&amp;"("&amp;$B$68&amp;")"</f>
        <v xml:space="preserve">  (Cotraitant 1)</v>
      </c>
      <c r="E514" s="133"/>
      <c r="F514" s="608"/>
      <c r="G514" s="384"/>
      <c r="H514" s="384"/>
      <c r="I514" s="493"/>
    </row>
    <row r="515" spans="1:9" hidden="1" x14ac:dyDescent="0.3">
      <c r="A515" s="600"/>
      <c r="B515" s="385"/>
      <c r="C515" s="382"/>
      <c r="D515" s="200" t="str">
        <f>B515&amp;" "&amp;C515&amp;" "&amp;"("&amp;$B$68&amp;")"</f>
        <v xml:space="preserve">  (Cotraitant 1)</v>
      </c>
      <c r="E515" s="133"/>
      <c r="F515" s="608"/>
      <c r="G515" s="384"/>
      <c r="H515" s="384"/>
      <c r="I515" s="493"/>
    </row>
    <row r="516" spans="1:9" ht="19.5" hidden="1" thickBot="1" x14ac:dyDescent="0.35">
      <c r="A516" s="601"/>
      <c r="B516" s="385"/>
      <c r="C516" s="382"/>
      <c r="D516" s="200" t="str">
        <f>B516&amp;" "&amp;C516&amp;" "&amp;"("&amp;$B$68&amp;")"</f>
        <v xml:space="preserve">  (Cotraitant 1)</v>
      </c>
      <c r="E516" s="134"/>
      <c r="F516" s="609"/>
      <c r="G516" s="384"/>
      <c r="H516" s="384"/>
      <c r="I516" s="493"/>
    </row>
    <row r="517" spans="1:9" ht="18.75" hidden="1" customHeight="1" x14ac:dyDescent="0.3">
      <c r="A517" s="599" t="str">
        <f t="shared" ref="A517" si="70">$A$412</f>
        <v>Tranche OPTIONNELLE 3</v>
      </c>
      <c r="B517" s="602" t="s">
        <v>34</v>
      </c>
      <c r="C517" s="603" t="s">
        <v>35</v>
      </c>
      <c r="D517" s="197"/>
      <c r="E517" s="514" t="s">
        <v>242</v>
      </c>
      <c r="F517" s="515" t="str">
        <f>E517</f>
        <v>Montant intial TVA</v>
      </c>
      <c r="G517" s="180" t="s">
        <v>220</v>
      </c>
      <c r="H517" s="181" t="s">
        <v>220</v>
      </c>
      <c r="I517" s="604" t="s">
        <v>420</v>
      </c>
    </row>
    <row r="518" spans="1:9" hidden="1" x14ac:dyDescent="0.3">
      <c r="A518" s="600"/>
      <c r="B518" s="602"/>
      <c r="C518" s="603"/>
      <c r="D518" s="198"/>
      <c r="E518" s="512">
        <f>$C$24</f>
        <v>0.2</v>
      </c>
      <c r="F518" s="513">
        <f>$E$24</f>
        <v>0.1</v>
      </c>
      <c r="G518" s="182" t="str">
        <f>"TVA"&amp;" "&amp;$C$24*100&amp;"%"</f>
        <v>TVA 20%</v>
      </c>
      <c r="H518" s="182" t="str">
        <f>"TVA"&amp;" "&amp;$E$24*100&amp;"%"</f>
        <v>TVA 10%</v>
      </c>
      <c r="I518" s="605"/>
    </row>
    <row r="519" spans="1:9" ht="19.5" hidden="1" thickBot="1" x14ac:dyDescent="0.35">
      <c r="A519" s="600"/>
      <c r="B519" s="186" t="str">
        <f>$B$13</f>
        <v>Cotraitant 8</v>
      </c>
      <c r="C519" s="520">
        <f>$C$13</f>
        <v>0</v>
      </c>
      <c r="D519" s="179"/>
      <c r="E519" s="430"/>
      <c r="F519" s="430"/>
      <c r="G519" s="183">
        <f>E519-SUM(G520:G529)</f>
        <v>0</v>
      </c>
      <c r="H519" s="184">
        <f>F519-SUM(H520:H529)</f>
        <v>0</v>
      </c>
      <c r="I519" s="606"/>
    </row>
    <row r="520" spans="1:9" hidden="1" x14ac:dyDescent="0.3">
      <c r="A520" s="600"/>
      <c r="B520" s="385"/>
      <c r="C520" s="382"/>
      <c r="D520" s="200" t="str">
        <f>B520&amp;" "&amp;C520&amp;" "&amp;"("&amp;$B$68&amp;")"</f>
        <v xml:space="preserve">  (Cotraitant 1)</v>
      </c>
      <c r="E520" s="132"/>
      <c r="F520" s="607" t="s">
        <v>243</v>
      </c>
      <c r="G520" s="383"/>
      <c r="H520" s="383"/>
      <c r="I520" s="493"/>
    </row>
    <row r="521" spans="1:9" hidden="1" x14ac:dyDescent="0.3">
      <c r="A521" s="600"/>
      <c r="B521" s="385"/>
      <c r="C521" s="382"/>
      <c r="D521" s="558"/>
      <c r="E521" s="133"/>
      <c r="F521" s="608"/>
      <c r="G521" s="383"/>
      <c r="H521" s="383"/>
      <c r="I521" s="493"/>
    </row>
    <row r="522" spans="1:9" hidden="1" x14ac:dyDescent="0.3">
      <c r="A522" s="600"/>
      <c r="B522" s="385"/>
      <c r="C522" s="382"/>
      <c r="D522" s="558"/>
      <c r="E522" s="133"/>
      <c r="F522" s="608"/>
      <c r="G522" s="383"/>
      <c r="H522" s="383"/>
      <c r="I522" s="493"/>
    </row>
    <row r="523" spans="1:9" hidden="1" x14ac:dyDescent="0.3">
      <c r="A523" s="600"/>
      <c r="B523" s="385"/>
      <c r="C523" s="382"/>
      <c r="D523" s="558"/>
      <c r="E523" s="133"/>
      <c r="F523" s="608"/>
      <c r="G523" s="383"/>
      <c r="H523" s="383"/>
      <c r="I523" s="493"/>
    </row>
    <row r="524" spans="1:9" hidden="1" x14ac:dyDescent="0.3">
      <c r="A524" s="600"/>
      <c r="B524" s="385"/>
      <c r="C524" s="382"/>
      <c r="D524" s="558"/>
      <c r="E524" s="133"/>
      <c r="F524" s="608"/>
      <c r="G524" s="383"/>
      <c r="H524" s="383"/>
      <c r="I524" s="493"/>
    </row>
    <row r="525" spans="1:9" hidden="1" x14ac:dyDescent="0.3">
      <c r="A525" s="600"/>
      <c r="B525" s="385"/>
      <c r="C525" s="382"/>
      <c r="D525" s="200" t="str">
        <f>B525&amp;" "&amp;C525&amp;" "&amp;"("&amp;$B$68&amp;")"</f>
        <v xml:space="preserve">  (Cotraitant 1)</v>
      </c>
      <c r="E525" s="133"/>
      <c r="F525" s="608"/>
      <c r="G525" s="384"/>
      <c r="H525" s="384"/>
      <c r="I525" s="493"/>
    </row>
    <row r="526" spans="1:9" hidden="1" x14ac:dyDescent="0.3">
      <c r="A526" s="600"/>
      <c r="B526" s="385"/>
      <c r="C526" s="382"/>
      <c r="D526" s="200" t="str">
        <f>B526&amp;" "&amp;C526&amp;" "&amp;"("&amp;$B$68&amp;")"</f>
        <v xml:space="preserve">  (Cotraitant 1)</v>
      </c>
      <c r="E526" s="133"/>
      <c r="F526" s="608"/>
      <c r="G526" s="384"/>
      <c r="H526" s="384"/>
      <c r="I526" s="493"/>
    </row>
    <row r="527" spans="1:9" hidden="1" x14ac:dyDescent="0.3">
      <c r="A527" s="600"/>
      <c r="B527" s="385"/>
      <c r="C527" s="382"/>
      <c r="D527" s="200" t="str">
        <f>B527&amp;" "&amp;C527&amp;" "&amp;"("&amp;$B$68&amp;")"</f>
        <v xml:space="preserve">  (Cotraitant 1)</v>
      </c>
      <c r="E527" s="133"/>
      <c r="F527" s="608"/>
      <c r="G527" s="384"/>
      <c r="H527" s="384"/>
      <c r="I527" s="493"/>
    </row>
    <row r="528" spans="1:9" hidden="1" x14ac:dyDescent="0.3">
      <c r="A528" s="600"/>
      <c r="B528" s="385"/>
      <c r="C528" s="382"/>
      <c r="D528" s="200" t="str">
        <f>B528&amp;" "&amp;C528&amp;" "&amp;"("&amp;$B$68&amp;")"</f>
        <v xml:space="preserve">  (Cotraitant 1)</v>
      </c>
      <c r="E528" s="133"/>
      <c r="F528" s="608"/>
      <c r="G528" s="384"/>
      <c r="H528" s="384"/>
      <c r="I528" s="493"/>
    </row>
    <row r="529" spans="1:10" ht="19.5" hidden="1" thickBot="1" x14ac:dyDescent="0.35">
      <c r="A529" s="601"/>
      <c r="B529" s="385"/>
      <c r="C529" s="382"/>
      <c r="D529" s="200" t="str">
        <f>B529&amp;" "&amp;C529&amp;" "&amp;"("&amp;$B$68&amp;")"</f>
        <v xml:space="preserve">  (Cotraitant 1)</v>
      </c>
      <c r="E529" s="134"/>
      <c r="F529" s="609"/>
      <c r="G529" s="384"/>
      <c r="H529" s="384"/>
      <c r="I529" s="493"/>
    </row>
    <row r="530" spans="1:10" ht="18.75" customHeight="1" x14ac:dyDescent="0.3"/>
    <row r="531" spans="1:10" hidden="1" x14ac:dyDescent="0.3">
      <c r="A531" s="130"/>
      <c r="B531" s="185" t="s">
        <v>33</v>
      </c>
      <c r="C531" s="17" t="s">
        <v>270</v>
      </c>
      <c r="D531" s="203"/>
      <c r="E531" s="338" t="s">
        <v>271</v>
      </c>
      <c r="F531" s="456" t="s">
        <v>339</v>
      </c>
      <c r="G531" s="610" t="s">
        <v>398</v>
      </c>
      <c r="H531" s="610"/>
      <c r="I531" s="610" t="s">
        <v>399</v>
      </c>
      <c r="J531" s="610"/>
    </row>
    <row r="532" spans="1:10" ht="19.5" hidden="1" thickBot="1" x14ac:dyDescent="0.35">
      <c r="A532" s="611" t="s">
        <v>481</v>
      </c>
      <c r="B532" s="611"/>
      <c r="C532" s="38">
        <f>F29</f>
        <v>0</v>
      </c>
      <c r="D532" s="62"/>
      <c r="E532" s="38">
        <f>C532-(E535+F535+E548+F548+E561+F561+E574+F574+E587+F587+E600+F600+E613+F613+E626+F626+E639+F639)</f>
        <v>0</v>
      </c>
      <c r="F532" s="457"/>
      <c r="G532" s="612" t="s">
        <v>400</v>
      </c>
      <c r="H532" s="612"/>
      <c r="I532" s="613"/>
      <c r="J532" s="613"/>
    </row>
    <row r="533" spans="1:10" hidden="1" x14ac:dyDescent="0.3">
      <c r="A533" s="599" t="str">
        <f>$A$532</f>
        <v>Tranche OPTIONNELLE 4</v>
      </c>
      <c r="B533" s="602" t="s">
        <v>34</v>
      </c>
      <c r="C533" s="603" t="s">
        <v>35</v>
      </c>
      <c r="D533" s="197"/>
      <c r="E533" s="514" t="s">
        <v>242</v>
      </c>
      <c r="F533" s="515" t="str">
        <f>E533</f>
        <v>Montant intial TVA</v>
      </c>
      <c r="G533" s="483" t="s">
        <v>220</v>
      </c>
      <c r="H533" s="489" t="s">
        <v>220</v>
      </c>
      <c r="I533" s="604" t="s">
        <v>420</v>
      </c>
    </row>
    <row r="534" spans="1:10" hidden="1" x14ac:dyDescent="0.3">
      <c r="A534" s="600"/>
      <c r="B534" s="602"/>
      <c r="C534" s="603"/>
      <c r="D534" s="198"/>
      <c r="E534" s="512">
        <f>$C$24</f>
        <v>0.2</v>
      </c>
      <c r="F534" s="513">
        <f>$E$24</f>
        <v>0.1</v>
      </c>
      <c r="G534" s="182" t="str">
        <f>"TVA"&amp;" "&amp;$C$24*100&amp;"%"</f>
        <v>TVA 20%</v>
      </c>
      <c r="H534" s="182" t="str">
        <f>"TVA"&amp;" "&amp;$E$24*100&amp;"%"</f>
        <v>TVA 10%</v>
      </c>
      <c r="I534" s="605"/>
    </row>
    <row r="535" spans="1:10" ht="19.5" hidden="1" thickBot="1" x14ac:dyDescent="0.35">
      <c r="A535" s="600"/>
      <c r="B535" s="186" t="s">
        <v>1</v>
      </c>
      <c r="C535" s="520" t="str">
        <f>$C$5</f>
        <v>yy</v>
      </c>
      <c r="D535" s="199"/>
      <c r="E535" s="131">
        <f>C29-E548-E561-E574-E587-E600-E613-E626-E639</f>
        <v>0</v>
      </c>
      <c r="F535" s="131">
        <f>E29-F548-F561-F574-F587-F600-F613-F626-F639</f>
        <v>0</v>
      </c>
      <c r="G535" s="183">
        <f>E535-SUM(G536:G545)</f>
        <v>0</v>
      </c>
      <c r="H535" s="490">
        <f>F535-SUM(H536:H545)</f>
        <v>0</v>
      </c>
      <c r="I535" s="606"/>
    </row>
    <row r="536" spans="1:10" hidden="1" x14ac:dyDescent="0.3">
      <c r="A536" s="600"/>
      <c r="B536" s="385"/>
      <c r="C536" s="382"/>
      <c r="D536" s="200" t="str">
        <f>B536&amp;" "&amp;C536&amp;" "&amp;"("&amp;$B$55&amp;")"</f>
        <v xml:space="preserve">  (Titulaire)</v>
      </c>
      <c r="E536" s="132"/>
      <c r="F536" s="607" t="s">
        <v>243</v>
      </c>
      <c r="G536" s="383"/>
      <c r="H536" s="383"/>
      <c r="I536" s="493"/>
    </row>
    <row r="537" spans="1:10" hidden="1" x14ac:dyDescent="0.3">
      <c r="A537" s="600"/>
      <c r="B537" s="385"/>
      <c r="C537" s="382"/>
      <c r="D537" s="558"/>
      <c r="E537" s="133"/>
      <c r="F537" s="608"/>
      <c r="G537" s="383"/>
      <c r="H537" s="383"/>
      <c r="I537" s="493"/>
    </row>
    <row r="538" spans="1:10" hidden="1" x14ac:dyDescent="0.3">
      <c r="A538" s="600"/>
      <c r="B538" s="385"/>
      <c r="C538" s="382"/>
      <c r="D538" s="558"/>
      <c r="E538" s="133"/>
      <c r="F538" s="608"/>
      <c r="G538" s="383"/>
      <c r="H538" s="383"/>
      <c r="I538" s="493"/>
    </row>
    <row r="539" spans="1:10" hidden="1" x14ac:dyDescent="0.3">
      <c r="A539" s="600"/>
      <c r="B539" s="385"/>
      <c r="C539" s="382"/>
      <c r="D539" s="558"/>
      <c r="E539" s="133"/>
      <c r="F539" s="608"/>
      <c r="G539" s="383"/>
      <c r="H539" s="383"/>
      <c r="I539" s="493"/>
    </row>
    <row r="540" spans="1:10" hidden="1" x14ac:dyDescent="0.3">
      <c r="A540" s="600"/>
      <c r="B540" s="385"/>
      <c r="C540" s="382"/>
      <c r="D540" s="558"/>
      <c r="E540" s="133"/>
      <c r="F540" s="608"/>
      <c r="G540" s="383"/>
      <c r="H540" s="383"/>
      <c r="I540" s="493"/>
    </row>
    <row r="541" spans="1:10" hidden="1" x14ac:dyDescent="0.3">
      <c r="A541" s="600"/>
      <c r="B541" s="385"/>
      <c r="C541" s="382"/>
      <c r="D541" s="200" t="str">
        <f>B541&amp;" "&amp;C541&amp;" "&amp;"("&amp;$B$55&amp;")"</f>
        <v xml:space="preserve">  (Titulaire)</v>
      </c>
      <c r="E541" s="133"/>
      <c r="F541" s="608"/>
      <c r="G541" s="383"/>
      <c r="H541" s="384"/>
      <c r="I541" s="493"/>
    </row>
    <row r="542" spans="1:10" hidden="1" x14ac:dyDescent="0.3">
      <c r="A542" s="600"/>
      <c r="B542" s="385"/>
      <c r="C542" s="382"/>
      <c r="D542" s="200" t="str">
        <f>B542&amp;" "&amp;C542&amp;" "&amp;"("&amp;$B$55&amp;")"</f>
        <v xml:space="preserve">  (Titulaire)</v>
      </c>
      <c r="E542" s="133"/>
      <c r="F542" s="608"/>
      <c r="G542" s="383"/>
      <c r="H542" s="384"/>
      <c r="I542" s="493"/>
    </row>
    <row r="543" spans="1:10" hidden="1" x14ac:dyDescent="0.3">
      <c r="A543" s="600"/>
      <c r="B543" s="385"/>
      <c r="C543" s="382"/>
      <c r="D543" s="200" t="str">
        <f>B543&amp;" "&amp;C543&amp;" "&amp;"("&amp;$B$55&amp;")"</f>
        <v xml:space="preserve">  (Titulaire)</v>
      </c>
      <c r="E543" s="133"/>
      <c r="F543" s="608"/>
      <c r="G543" s="383"/>
      <c r="H543" s="384"/>
      <c r="I543" s="493"/>
    </row>
    <row r="544" spans="1:10" hidden="1" x14ac:dyDescent="0.3">
      <c r="A544" s="600"/>
      <c r="B544" s="385"/>
      <c r="C544" s="382"/>
      <c r="D544" s="200" t="str">
        <f>B544&amp;" "&amp;C544&amp;" "&amp;"("&amp;$B$55&amp;")"</f>
        <v xml:space="preserve">  (Titulaire)</v>
      </c>
      <c r="E544" s="133"/>
      <c r="F544" s="608"/>
      <c r="G544" s="383"/>
      <c r="H544" s="384"/>
      <c r="I544" s="493"/>
    </row>
    <row r="545" spans="1:10" ht="19.5" hidden="1" thickBot="1" x14ac:dyDescent="0.35">
      <c r="A545" s="601"/>
      <c r="B545" s="385"/>
      <c r="C545" s="382"/>
      <c r="D545" s="200" t="str">
        <f>B545&amp;" "&amp;C545&amp;" "&amp;"("&amp;$B$55&amp;")"</f>
        <v xml:space="preserve">  (Titulaire)</v>
      </c>
      <c r="E545" s="134"/>
      <c r="F545" s="609"/>
      <c r="G545" s="383"/>
      <c r="H545" s="384"/>
      <c r="I545" s="493"/>
    </row>
    <row r="546" spans="1:10" ht="18.75" hidden="1" customHeight="1" x14ac:dyDescent="0.3">
      <c r="A546" s="599" t="str">
        <f t="shared" ref="A546" si="71">$A$532</f>
        <v>Tranche OPTIONNELLE 4</v>
      </c>
      <c r="B546" s="602" t="s">
        <v>34</v>
      </c>
      <c r="C546" s="603" t="s">
        <v>35</v>
      </c>
      <c r="D546" s="197"/>
      <c r="E546" s="514" t="s">
        <v>242</v>
      </c>
      <c r="F546" s="515" t="str">
        <f>E546</f>
        <v>Montant intial TVA</v>
      </c>
      <c r="G546" s="180" t="s">
        <v>220</v>
      </c>
      <c r="H546" s="181" t="s">
        <v>220</v>
      </c>
      <c r="I546" s="604" t="s">
        <v>420</v>
      </c>
    </row>
    <row r="547" spans="1:10" hidden="1" x14ac:dyDescent="0.3">
      <c r="A547" s="600"/>
      <c r="B547" s="602"/>
      <c r="C547" s="603"/>
      <c r="D547" s="198"/>
      <c r="E547" s="512">
        <f>$C$24</f>
        <v>0.2</v>
      </c>
      <c r="F547" s="513">
        <f>$E$24</f>
        <v>0.1</v>
      </c>
      <c r="G547" s="182" t="str">
        <f>"TVA"&amp;" "&amp;$C$24*100&amp;"%"</f>
        <v>TVA 20%</v>
      </c>
      <c r="H547" s="182" t="str">
        <f>"TVA"&amp;" "&amp;$E$24*100&amp;"%"</f>
        <v>TVA 10%</v>
      </c>
      <c r="I547" s="605"/>
    </row>
    <row r="548" spans="1:10" ht="19.5" hidden="1" thickBot="1" x14ac:dyDescent="0.35">
      <c r="A548" s="600"/>
      <c r="B548" s="186" t="str">
        <f>$B$6</f>
        <v>Cotraitant 1</v>
      </c>
      <c r="C548" s="520">
        <f>$C$6</f>
        <v>0</v>
      </c>
      <c r="D548" s="179"/>
      <c r="E548" s="430"/>
      <c r="F548" s="430"/>
      <c r="G548" s="183">
        <f>E548-SUM(G549:G558)</f>
        <v>0</v>
      </c>
      <c r="H548" s="184">
        <f>F548-SUM(H549:H558)</f>
        <v>0</v>
      </c>
      <c r="I548" s="606"/>
    </row>
    <row r="549" spans="1:10" hidden="1" x14ac:dyDescent="0.3">
      <c r="A549" s="600"/>
      <c r="B549" s="385"/>
      <c r="C549" s="382"/>
      <c r="D549" s="200" t="str">
        <f>B549&amp;" "&amp;C549&amp;" "&amp;"("&amp;$B$68&amp;")"</f>
        <v xml:space="preserve">  (Cotraitant 1)</v>
      </c>
      <c r="E549" s="132"/>
      <c r="F549" s="607" t="s">
        <v>243</v>
      </c>
      <c r="G549" s="383"/>
      <c r="H549" s="383"/>
      <c r="I549" s="493"/>
    </row>
    <row r="550" spans="1:10" hidden="1" x14ac:dyDescent="0.3">
      <c r="A550" s="600"/>
      <c r="B550" s="385"/>
      <c r="C550" s="382"/>
      <c r="D550" s="558"/>
      <c r="E550" s="133"/>
      <c r="F550" s="608"/>
      <c r="G550" s="383"/>
      <c r="H550" s="383"/>
      <c r="I550" s="493"/>
    </row>
    <row r="551" spans="1:10" hidden="1" x14ac:dyDescent="0.3">
      <c r="A551" s="600"/>
      <c r="B551" s="385"/>
      <c r="C551" s="382"/>
      <c r="D551" s="558"/>
      <c r="E551" s="133"/>
      <c r="F551" s="608"/>
      <c r="G551" s="383"/>
      <c r="H551" s="383"/>
      <c r="I551" s="493"/>
    </row>
    <row r="552" spans="1:10" hidden="1" x14ac:dyDescent="0.3">
      <c r="A552" s="600"/>
      <c r="B552" s="385"/>
      <c r="C552" s="382"/>
      <c r="D552" s="558"/>
      <c r="E552" s="133"/>
      <c r="F552" s="608"/>
      <c r="G552" s="383"/>
      <c r="H552" s="383"/>
      <c r="I552" s="493"/>
    </row>
    <row r="553" spans="1:10" hidden="1" x14ac:dyDescent="0.3">
      <c r="A553" s="600"/>
      <c r="B553" s="385"/>
      <c r="C553" s="382"/>
      <c r="D553" s="558"/>
      <c r="E553" s="133"/>
      <c r="F553" s="608"/>
      <c r="G553" s="383"/>
      <c r="H553" s="383"/>
      <c r="I553" s="493"/>
    </row>
    <row r="554" spans="1:10" hidden="1" x14ac:dyDescent="0.3">
      <c r="A554" s="600"/>
      <c r="B554" s="385"/>
      <c r="C554" s="382"/>
      <c r="D554" s="200" t="str">
        <f>B554&amp;" "&amp;C554&amp;" "&amp;"("&amp;$B$68&amp;")"</f>
        <v xml:space="preserve">  (Cotraitant 1)</v>
      </c>
      <c r="E554" s="133"/>
      <c r="F554" s="608"/>
      <c r="G554" s="384"/>
      <c r="H554" s="384"/>
      <c r="I554" s="493"/>
    </row>
    <row r="555" spans="1:10" hidden="1" x14ac:dyDescent="0.3">
      <c r="A555" s="600"/>
      <c r="B555" s="385"/>
      <c r="C555" s="382"/>
      <c r="D555" s="200" t="str">
        <f>B555&amp;" "&amp;C555&amp;" "&amp;"("&amp;$B$68&amp;")"</f>
        <v xml:space="preserve">  (Cotraitant 1)</v>
      </c>
      <c r="E555" s="133"/>
      <c r="F555" s="608"/>
      <c r="G555" s="384"/>
      <c r="H555" s="384"/>
      <c r="I555" s="493"/>
    </row>
    <row r="556" spans="1:10" hidden="1" x14ac:dyDescent="0.3">
      <c r="A556" s="600"/>
      <c r="B556" s="385"/>
      <c r="C556" s="382"/>
      <c r="D556" s="200" t="str">
        <f>B556&amp;" "&amp;C556&amp;" "&amp;"("&amp;$B$68&amp;")"</f>
        <v xml:space="preserve">  (Cotraitant 1)</v>
      </c>
      <c r="E556" s="133"/>
      <c r="F556" s="608"/>
      <c r="G556" s="384"/>
      <c r="H556" s="384"/>
      <c r="I556" s="493"/>
    </row>
    <row r="557" spans="1:10" hidden="1" x14ac:dyDescent="0.3">
      <c r="A557" s="600"/>
      <c r="B557" s="385"/>
      <c r="C557" s="382"/>
      <c r="D557" s="200" t="str">
        <f>B557&amp;" "&amp;C557&amp;" "&amp;"("&amp;$B$68&amp;")"</f>
        <v xml:space="preserve">  (Cotraitant 1)</v>
      </c>
      <c r="E557" s="133"/>
      <c r="F557" s="608"/>
      <c r="G557" s="384"/>
      <c r="H557" s="384"/>
      <c r="I557" s="493"/>
    </row>
    <row r="558" spans="1:10" ht="19.5" hidden="1" thickBot="1" x14ac:dyDescent="0.35">
      <c r="A558" s="601"/>
      <c r="B558" s="385"/>
      <c r="C558" s="382"/>
      <c r="D558" s="200" t="str">
        <f>B558&amp;" "&amp;C558&amp;" "&amp;"("&amp;$B$68&amp;")"</f>
        <v xml:space="preserve">  (Cotraitant 1)</v>
      </c>
      <c r="E558" s="134"/>
      <c r="F558" s="609"/>
      <c r="G558" s="384"/>
      <c r="H558" s="384"/>
      <c r="I558" s="493"/>
    </row>
    <row r="559" spans="1:10" ht="18.75" hidden="1" customHeight="1" x14ac:dyDescent="0.3">
      <c r="A559" s="599" t="str">
        <f t="shared" ref="A559" si="72">$A$532</f>
        <v>Tranche OPTIONNELLE 4</v>
      </c>
      <c r="B559" s="602" t="s">
        <v>34</v>
      </c>
      <c r="C559" s="603" t="s">
        <v>35</v>
      </c>
      <c r="D559" s="197"/>
      <c r="E559" s="514" t="s">
        <v>242</v>
      </c>
      <c r="F559" s="515" t="str">
        <f>E559</f>
        <v>Montant intial TVA</v>
      </c>
      <c r="G559" s="180" t="s">
        <v>220</v>
      </c>
      <c r="H559" s="181" t="s">
        <v>220</v>
      </c>
      <c r="I559" s="604" t="s">
        <v>420</v>
      </c>
    </row>
    <row r="560" spans="1:10" hidden="1" x14ac:dyDescent="0.3">
      <c r="A560" s="600"/>
      <c r="B560" s="602"/>
      <c r="C560" s="603"/>
      <c r="D560" s="198"/>
      <c r="E560" s="512">
        <f>$C$24</f>
        <v>0.2</v>
      </c>
      <c r="F560" s="513">
        <f>$E$24</f>
        <v>0.1</v>
      </c>
      <c r="G560" s="182" t="str">
        <f>"TVA"&amp;" "&amp;$C$24*100&amp;"%"</f>
        <v>TVA 20%</v>
      </c>
      <c r="H560" s="182" t="str">
        <f>"TVA"&amp;" "&amp;$E$24*100&amp;"%"</f>
        <v>TVA 10%</v>
      </c>
      <c r="I560" s="605"/>
      <c r="J560" s="518"/>
    </row>
    <row r="561" spans="1:10" ht="19.5" hidden="1" thickBot="1" x14ac:dyDescent="0.35">
      <c r="A561" s="600"/>
      <c r="B561" s="186" t="str">
        <f>$B$7</f>
        <v>Cotraitant 2</v>
      </c>
      <c r="C561" s="520">
        <f>$C$7</f>
        <v>0</v>
      </c>
      <c r="D561" s="179"/>
      <c r="E561" s="430"/>
      <c r="F561" s="430"/>
      <c r="G561" s="183">
        <f>E561-SUM(G562:G571)</f>
        <v>0</v>
      </c>
      <c r="H561" s="184">
        <f>F561-SUM(H562:H571)</f>
        <v>0</v>
      </c>
      <c r="I561" s="606"/>
      <c r="J561" s="528"/>
    </row>
    <row r="562" spans="1:10" hidden="1" x14ac:dyDescent="0.3">
      <c r="A562" s="600"/>
      <c r="B562" s="385"/>
      <c r="C562" s="382"/>
      <c r="D562" s="200" t="str">
        <f>B562&amp;" "&amp;C562&amp;" "&amp;"("&amp;$B$68&amp;")"</f>
        <v xml:space="preserve">  (Cotraitant 1)</v>
      </c>
      <c r="E562" s="132"/>
      <c r="F562" s="607" t="s">
        <v>243</v>
      </c>
      <c r="G562" s="383"/>
      <c r="H562" s="383"/>
      <c r="I562" s="493"/>
    </row>
    <row r="563" spans="1:10" hidden="1" x14ac:dyDescent="0.3">
      <c r="A563" s="600"/>
      <c r="B563" s="385"/>
      <c r="C563" s="382"/>
      <c r="D563" s="200" t="str">
        <f>B563&amp;" "&amp;C563&amp;" "&amp;"("&amp;$B$68&amp;")"</f>
        <v xml:space="preserve">  (Cotraitant 1)</v>
      </c>
      <c r="E563" s="133"/>
      <c r="F563" s="608"/>
      <c r="G563" s="384"/>
      <c r="H563" s="384"/>
      <c r="I563" s="493"/>
    </row>
    <row r="564" spans="1:10" hidden="1" x14ac:dyDescent="0.3">
      <c r="A564" s="600"/>
      <c r="B564" s="385"/>
      <c r="C564" s="382"/>
      <c r="D564" s="558"/>
      <c r="E564" s="133"/>
      <c r="F564" s="608"/>
      <c r="G564" s="384"/>
      <c r="H564" s="384"/>
      <c r="I564" s="493"/>
    </row>
    <row r="565" spans="1:10" hidden="1" x14ac:dyDescent="0.3">
      <c r="A565" s="600"/>
      <c r="B565" s="385"/>
      <c r="C565" s="382"/>
      <c r="D565" s="558"/>
      <c r="E565" s="133"/>
      <c r="F565" s="608"/>
      <c r="G565" s="384"/>
      <c r="H565" s="384"/>
      <c r="I565" s="493"/>
    </row>
    <row r="566" spans="1:10" hidden="1" x14ac:dyDescent="0.3">
      <c r="A566" s="600"/>
      <c r="B566" s="385"/>
      <c r="C566" s="382"/>
      <c r="D566" s="558"/>
      <c r="E566" s="133"/>
      <c r="F566" s="608"/>
      <c r="G566" s="384"/>
      <c r="H566" s="384"/>
      <c r="I566" s="493"/>
    </row>
    <row r="567" spans="1:10" hidden="1" x14ac:dyDescent="0.3">
      <c r="A567" s="600"/>
      <c r="B567" s="385"/>
      <c r="C567" s="382"/>
      <c r="D567" s="558"/>
      <c r="E567" s="133"/>
      <c r="F567" s="608"/>
      <c r="G567" s="384"/>
      <c r="H567" s="384"/>
      <c r="I567" s="493"/>
    </row>
    <row r="568" spans="1:10" hidden="1" x14ac:dyDescent="0.3">
      <c r="A568" s="600"/>
      <c r="B568" s="385"/>
      <c r="C568" s="382"/>
      <c r="D568" s="200" t="str">
        <f>B568&amp;" "&amp;C568&amp;" "&amp;"("&amp;$B$68&amp;")"</f>
        <v xml:space="preserve">  (Cotraitant 1)</v>
      </c>
      <c r="E568" s="133"/>
      <c r="F568" s="608"/>
      <c r="G568" s="384"/>
      <c r="H568" s="384"/>
      <c r="I568" s="493"/>
    </row>
    <row r="569" spans="1:10" hidden="1" x14ac:dyDescent="0.3">
      <c r="A569" s="600"/>
      <c r="B569" s="385"/>
      <c r="C569" s="382"/>
      <c r="D569" s="200" t="str">
        <f>B569&amp;" "&amp;C569&amp;" "&amp;"("&amp;$B$68&amp;")"</f>
        <v xml:space="preserve">  (Cotraitant 1)</v>
      </c>
      <c r="E569" s="133"/>
      <c r="F569" s="608"/>
      <c r="G569" s="384"/>
      <c r="H569" s="384"/>
      <c r="I569" s="493"/>
    </row>
    <row r="570" spans="1:10" hidden="1" x14ac:dyDescent="0.3">
      <c r="A570" s="600"/>
      <c r="B570" s="385"/>
      <c r="C570" s="382"/>
      <c r="D570" s="200" t="str">
        <f>B570&amp;" "&amp;C570&amp;" "&amp;"("&amp;$B$68&amp;")"</f>
        <v xml:space="preserve">  (Cotraitant 1)</v>
      </c>
      <c r="E570" s="133"/>
      <c r="F570" s="608"/>
      <c r="G570" s="384"/>
      <c r="H570" s="384"/>
      <c r="I570" s="493"/>
    </row>
    <row r="571" spans="1:10" ht="19.5" hidden="1" thickBot="1" x14ac:dyDescent="0.35">
      <c r="A571" s="601"/>
      <c r="B571" s="385"/>
      <c r="C571" s="382"/>
      <c r="D571" s="200" t="str">
        <f>B571&amp;" "&amp;C571&amp;" "&amp;"("&amp;$B$68&amp;")"</f>
        <v xml:space="preserve">  (Cotraitant 1)</v>
      </c>
      <c r="E571" s="134"/>
      <c r="F571" s="609"/>
      <c r="G571" s="384"/>
      <c r="H571" s="384"/>
      <c r="I571" s="493"/>
    </row>
    <row r="572" spans="1:10" ht="18.75" hidden="1" customHeight="1" x14ac:dyDescent="0.3">
      <c r="A572" s="599" t="str">
        <f t="shared" ref="A572" si="73">$A$532</f>
        <v>Tranche OPTIONNELLE 4</v>
      </c>
      <c r="B572" s="602" t="s">
        <v>34</v>
      </c>
      <c r="C572" s="603" t="s">
        <v>35</v>
      </c>
      <c r="D572" s="197"/>
      <c r="E572" s="514" t="s">
        <v>242</v>
      </c>
      <c r="F572" s="515" t="str">
        <f>E572</f>
        <v>Montant intial TVA</v>
      </c>
      <c r="G572" s="180" t="s">
        <v>220</v>
      </c>
      <c r="H572" s="181" t="s">
        <v>220</v>
      </c>
      <c r="I572" s="604" t="s">
        <v>420</v>
      </c>
    </row>
    <row r="573" spans="1:10" hidden="1" x14ac:dyDescent="0.3">
      <c r="A573" s="600"/>
      <c r="B573" s="602"/>
      <c r="C573" s="603"/>
      <c r="D573" s="198"/>
      <c r="E573" s="512">
        <f>$C$24</f>
        <v>0.2</v>
      </c>
      <c r="F573" s="513">
        <f>$E$24</f>
        <v>0.1</v>
      </c>
      <c r="G573" s="182" t="str">
        <f>"TVA"&amp;" "&amp;$C$24*100&amp;"%"</f>
        <v>TVA 20%</v>
      </c>
      <c r="H573" s="182" t="str">
        <f>"TVA"&amp;" "&amp;$E$24*100&amp;"%"</f>
        <v>TVA 10%</v>
      </c>
      <c r="I573" s="605"/>
    </row>
    <row r="574" spans="1:10" ht="19.5" hidden="1" thickBot="1" x14ac:dyDescent="0.35">
      <c r="A574" s="600"/>
      <c r="B574" s="186" t="str">
        <f>$B$8</f>
        <v>Cotraitant 3</v>
      </c>
      <c r="C574" s="520">
        <f>$C$8</f>
        <v>0</v>
      </c>
      <c r="D574" s="179"/>
      <c r="E574" s="430"/>
      <c r="F574" s="430"/>
      <c r="G574" s="183">
        <f>E574-SUM(G575:G584)</f>
        <v>0</v>
      </c>
      <c r="H574" s="184">
        <f>F574-SUM(H575:H584)</f>
        <v>0</v>
      </c>
      <c r="I574" s="606"/>
    </row>
    <row r="575" spans="1:10" hidden="1" x14ac:dyDescent="0.3">
      <c r="A575" s="600"/>
      <c r="B575" s="385"/>
      <c r="C575" s="382"/>
      <c r="D575" s="200" t="str">
        <f>B575&amp;" "&amp;C575&amp;" "&amp;"("&amp;$B$68&amp;")"</f>
        <v xml:space="preserve">  (Cotraitant 1)</v>
      </c>
      <c r="E575" s="132"/>
      <c r="F575" s="607" t="s">
        <v>243</v>
      </c>
      <c r="G575" s="383"/>
      <c r="H575" s="383"/>
      <c r="I575" s="493"/>
    </row>
    <row r="576" spans="1:10" hidden="1" x14ac:dyDescent="0.3">
      <c r="A576" s="600"/>
      <c r="B576" s="385"/>
      <c r="C576" s="382"/>
      <c r="D576" s="200" t="str">
        <f>B576&amp;" "&amp;C576&amp;" "&amp;"("&amp;$B$68&amp;")"</f>
        <v xml:space="preserve">  (Cotraitant 1)</v>
      </c>
      <c r="E576" s="133"/>
      <c r="F576" s="608"/>
      <c r="G576" s="384"/>
      <c r="H576" s="384"/>
      <c r="I576" s="493"/>
    </row>
    <row r="577" spans="1:9" hidden="1" x14ac:dyDescent="0.3">
      <c r="A577" s="600"/>
      <c r="B577" s="385"/>
      <c r="C577" s="382"/>
      <c r="D577" s="558"/>
      <c r="E577" s="133"/>
      <c r="F577" s="608"/>
      <c r="G577" s="384"/>
      <c r="H577" s="384"/>
      <c r="I577" s="493"/>
    </row>
    <row r="578" spans="1:9" hidden="1" x14ac:dyDescent="0.3">
      <c r="A578" s="600"/>
      <c r="B578" s="385"/>
      <c r="C578" s="382"/>
      <c r="D578" s="558"/>
      <c r="E578" s="133"/>
      <c r="F578" s="608"/>
      <c r="G578" s="384"/>
      <c r="H578" s="384"/>
      <c r="I578" s="493"/>
    </row>
    <row r="579" spans="1:9" hidden="1" x14ac:dyDescent="0.3">
      <c r="A579" s="600"/>
      <c r="B579" s="385"/>
      <c r="C579" s="382"/>
      <c r="D579" s="558"/>
      <c r="E579" s="133"/>
      <c r="F579" s="608"/>
      <c r="G579" s="384"/>
      <c r="H579" s="384"/>
      <c r="I579" s="493"/>
    </row>
    <row r="580" spans="1:9" hidden="1" x14ac:dyDescent="0.3">
      <c r="A580" s="600"/>
      <c r="B580" s="385"/>
      <c r="C580" s="382"/>
      <c r="D580" s="558"/>
      <c r="E580" s="133"/>
      <c r="F580" s="608"/>
      <c r="G580" s="384"/>
      <c r="H580" s="384"/>
      <c r="I580" s="493"/>
    </row>
    <row r="581" spans="1:9" hidden="1" x14ac:dyDescent="0.3">
      <c r="A581" s="600"/>
      <c r="B581" s="385"/>
      <c r="C581" s="382"/>
      <c r="D581" s="200" t="str">
        <f>B581&amp;" "&amp;C581&amp;" "&amp;"("&amp;$B$68&amp;")"</f>
        <v xml:space="preserve">  (Cotraitant 1)</v>
      </c>
      <c r="E581" s="133"/>
      <c r="F581" s="608"/>
      <c r="G581" s="384"/>
      <c r="H581" s="384"/>
      <c r="I581" s="493"/>
    </row>
    <row r="582" spans="1:9" hidden="1" x14ac:dyDescent="0.3">
      <c r="A582" s="600"/>
      <c r="B582" s="385"/>
      <c r="C582" s="382"/>
      <c r="D582" s="200" t="str">
        <f>B582&amp;" "&amp;C582&amp;" "&amp;"("&amp;$B$68&amp;")"</f>
        <v xml:space="preserve">  (Cotraitant 1)</v>
      </c>
      <c r="E582" s="133"/>
      <c r="F582" s="608"/>
      <c r="G582" s="384"/>
      <c r="H582" s="384"/>
      <c r="I582" s="493"/>
    </row>
    <row r="583" spans="1:9" hidden="1" x14ac:dyDescent="0.3">
      <c r="A583" s="600"/>
      <c r="B583" s="385"/>
      <c r="C583" s="382"/>
      <c r="D583" s="200" t="str">
        <f>B583&amp;" "&amp;C583&amp;" "&amp;"("&amp;$B$68&amp;")"</f>
        <v xml:space="preserve">  (Cotraitant 1)</v>
      </c>
      <c r="E583" s="133"/>
      <c r="F583" s="608"/>
      <c r="G583" s="384"/>
      <c r="H583" s="384"/>
      <c r="I583" s="493"/>
    </row>
    <row r="584" spans="1:9" ht="19.5" hidden="1" thickBot="1" x14ac:dyDescent="0.35">
      <c r="A584" s="601"/>
      <c r="B584" s="385"/>
      <c r="C584" s="382"/>
      <c r="D584" s="200" t="str">
        <f>B584&amp;" "&amp;C584&amp;" "&amp;"("&amp;$B$68&amp;")"</f>
        <v xml:space="preserve">  (Cotraitant 1)</v>
      </c>
      <c r="E584" s="134"/>
      <c r="F584" s="609"/>
      <c r="G584" s="384"/>
      <c r="H584" s="384"/>
      <c r="I584" s="493"/>
    </row>
    <row r="585" spans="1:9" ht="18.75" hidden="1" customHeight="1" x14ac:dyDescent="0.3">
      <c r="A585" s="599" t="str">
        <f t="shared" ref="A585" si="74">$A$532</f>
        <v>Tranche OPTIONNELLE 4</v>
      </c>
      <c r="B585" s="602" t="s">
        <v>34</v>
      </c>
      <c r="C585" s="603" t="s">
        <v>35</v>
      </c>
      <c r="D585" s="197"/>
      <c r="E585" s="514" t="s">
        <v>242</v>
      </c>
      <c r="F585" s="515" t="str">
        <f>E585</f>
        <v>Montant intial TVA</v>
      </c>
      <c r="G585" s="180" t="s">
        <v>220</v>
      </c>
      <c r="H585" s="181" t="s">
        <v>220</v>
      </c>
      <c r="I585" s="604" t="s">
        <v>420</v>
      </c>
    </row>
    <row r="586" spans="1:9" hidden="1" x14ac:dyDescent="0.3">
      <c r="A586" s="600"/>
      <c r="B586" s="602"/>
      <c r="C586" s="603"/>
      <c r="D586" s="198"/>
      <c r="E586" s="512">
        <f>$C$24</f>
        <v>0.2</v>
      </c>
      <c r="F586" s="513">
        <f>$E$24</f>
        <v>0.1</v>
      </c>
      <c r="G586" s="182" t="str">
        <f>"TVA"&amp;" "&amp;$C$24*100&amp;"%"</f>
        <v>TVA 20%</v>
      </c>
      <c r="H586" s="182" t="str">
        <f>"TVA"&amp;" "&amp;$E$24*100&amp;"%"</f>
        <v>TVA 10%</v>
      </c>
      <c r="I586" s="605"/>
    </row>
    <row r="587" spans="1:9" ht="19.5" hidden="1" thickBot="1" x14ac:dyDescent="0.35">
      <c r="A587" s="600"/>
      <c r="B587" s="186" t="str">
        <f>$B$9</f>
        <v>Cotraitant 4</v>
      </c>
      <c r="C587" s="520">
        <f>$C$9</f>
        <v>0</v>
      </c>
      <c r="D587" s="179"/>
      <c r="E587" s="430"/>
      <c r="F587" s="430"/>
      <c r="G587" s="183">
        <f>E587-SUM(G588:G597)</f>
        <v>0</v>
      </c>
      <c r="H587" s="184">
        <f>F587-SUM(H588:H597)</f>
        <v>0</v>
      </c>
      <c r="I587" s="606"/>
    </row>
    <row r="588" spans="1:9" hidden="1" x14ac:dyDescent="0.3">
      <c r="A588" s="600"/>
      <c r="B588" s="385"/>
      <c r="C588" s="382"/>
      <c r="D588" s="200" t="str">
        <f>B588&amp;" "&amp;C588&amp;" "&amp;"("&amp;$B$68&amp;")"</f>
        <v xml:space="preserve">  (Cotraitant 1)</v>
      </c>
      <c r="E588" s="132"/>
      <c r="F588" s="607" t="s">
        <v>243</v>
      </c>
      <c r="G588" s="383"/>
      <c r="H588" s="383"/>
      <c r="I588" s="493"/>
    </row>
    <row r="589" spans="1:9" hidden="1" x14ac:dyDescent="0.3">
      <c r="A589" s="600"/>
      <c r="B589" s="385"/>
      <c r="C589" s="382"/>
      <c r="D589" s="558"/>
      <c r="E589" s="133"/>
      <c r="F589" s="608"/>
      <c r="G589" s="383"/>
      <c r="H589" s="383"/>
      <c r="I589" s="493"/>
    </row>
    <row r="590" spans="1:9" hidden="1" x14ac:dyDescent="0.3">
      <c r="A590" s="600"/>
      <c r="B590" s="385"/>
      <c r="C590" s="382"/>
      <c r="D590" s="558"/>
      <c r="E590" s="133"/>
      <c r="F590" s="608"/>
      <c r="G590" s="383"/>
      <c r="H590" s="383"/>
      <c r="I590" s="493"/>
    </row>
    <row r="591" spans="1:9" hidden="1" x14ac:dyDescent="0.3">
      <c r="A591" s="600"/>
      <c r="B591" s="385"/>
      <c r="C591" s="382"/>
      <c r="D591" s="558"/>
      <c r="E591" s="133"/>
      <c r="F591" s="608"/>
      <c r="G591" s="383"/>
      <c r="H591" s="383"/>
      <c r="I591" s="493"/>
    </row>
    <row r="592" spans="1:9" hidden="1" x14ac:dyDescent="0.3">
      <c r="A592" s="600"/>
      <c r="B592" s="385"/>
      <c r="C592" s="382"/>
      <c r="D592" s="558"/>
      <c r="E592" s="133"/>
      <c r="F592" s="608"/>
      <c r="G592" s="383"/>
      <c r="H592" s="383"/>
      <c r="I592" s="493"/>
    </row>
    <row r="593" spans="1:9" hidden="1" x14ac:dyDescent="0.3">
      <c r="A593" s="600"/>
      <c r="B593" s="385"/>
      <c r="C593" s="382"/>
      <c r="D593" s="200" t="str">
        <f>B593&amp;" "&amp;C593&amp;" "&amp;"("&amp;$B$68&amp;")"</f>
        <v xml:space="preserve">  (Cotraitant 1)</v>
      </c>
      <c r="E593" s="133"/>
      <c r="F593" s="608"/>
      <c r="G593" s="384"/>
      <c r="H593" s="384"/>
      <c r="I593" s="493"/>
    </row>
    <row r="594" spans="1:9" hidden="1" x14ac:dyDescent="0.3">
      <c r="A594" s="600"/>
      <c r="B594" s="385"/>
      <c r="C594" s="382"/>
      <c r="D594" s="200" t="str">
        <f>B594&amp;" "&amp;C594&amp;" "&amp;"("&amp;$B$68&amp;")"</f>
        <v xml:space="preserve">  (Cotraitant 1)</v>
      </c>
      <c r="E594" s="133"/>
      <c r="F594" s="608"/>
      <c r="G594" s="384"/>
      <c r="H594" s="384"/>
      <c r="I594" s="493"/>
    </row>
    <row r="595" spans="1:9" hidden="1" x14ac:dyDescent="0.3">
      <c r="A595" s="600"/>
      <c r="B595" s="385"/>
      <c r="C595" s="382"/>
      <c r="D595" s="200" t="str">
        <f>B595&amp;" "&amp;C595&amp;" "&amp;"("&amp;$B$68&amp;")"</f>
        <v xml:space="preserve">  (Cotraitant 1)</v>
      </c>
      <c r="E595" s="133"/>
      <c r="F595" s="608"/>
      <c r="G595" s="384"/>
      <c r="H595" s="384"/>
      <c r="I595" s="493"/>
    </row>
    <row r="596" spans="1:9" hidden="1" x14ac:dyDescent="0.3">
      <c r="A596" s="600"/>
      <c r="B596" s="385"/>
      <c r="C596" s="382"/>
      <c r="D596" s="200" t="str">
        <f>B596&amp;" "&amp;C596&amp;" "&amp;"("&amp;$B$68&amp;")"</f>
        <v xml:space="preserve">  (Cotraitant 1)</v>
      </c>
      <c r="E596" s="133"/>
      <c r="F596" s="608"/>
      <c r="G596" s="384"/>
      <c r="H596" s="384"/>
      <c r="I596" s="493"/>
    </row>
    <row r="597" spans="1:9" ht="19.5" hidden="1" thickBot="1" x14ac:dyDescent="0.35">
      <c r="A597" s="601"/>
      <c r="B597" s="385"/>
      <c r="C597" s="382"/>
      <c r="D597" s="200" t="str">
        <f>B597&amp;" "&amp;C597&amp;" "&amp;"("&amp;$B$68&amp;")"</f>
        <v xml:space="preserve">  (Cotraitant 1)</v>
      </c>
      <c r="E597" s="134"/>
      <c r="F597" s="609"/>
      <c r="G597" s="384"/>
      <c r="H597" s="384"/>
      <c r="I597" s="493"/>
    </row>
    <row r="598" spans="1:9" ht="18.75" hidden="1" customHeight="1" x14ac:dyDescent="0.3">
      <c r="A598" s="599" t="str">
        <f t="shared" ref="A598" si="75">$A$532</f>
        <v>Tranche OPTIONNELLE 4</v>
      </c>
      <c r="B598" s="602" t="s">
        <v>34</v>
      </c>
      <c r="C598" s="603" t="s">
        <v>35</v>
      </c>
      <c r="D598" s="197"/>
      <c r="E598" s="514" t="s">
        <v>242</v>
      </c>
      <c r="F598" s="515" t="str">
        <f>E598</f>
        <v>Montant intial TVA</v>
      </c>
      <c r="G598" s="180" t="s">
        <v>220</v>
      </c>
      <c r="H598" s="181" t="s">
        <v>220</v>
      </c>
      <c r="I598" s="604" t="s">
        <v>420</v>
      </c>
    </row>
    <row r="599" spans="1:9" hidden="1" x14ac:dyDescent="0.3">
      <c r="A599" s="600"/>
      <c r="B599" s="602"/>
      <c r="C599" s="603"/>
      <c r="D599" s="198"/>
      <c r="E599" s="512">
        <f>$C$24</f>
        <v>0.2</v>
      </c>
      <c r="F599" s="513">
        <f>$E$24</f>
        <v>0.1</v>
      </c>
      <c r="G599" s="182" t="str">
        <f>"TVA"&amp;" "&amp;$C$24*100&amp;"%"</f>
        <v>TVA 20%</v>
      </c>
      <c r="H599" s="182" t="str">
        <f>"TVA"&amp;" "&amp;$E$24*100&amp;"%"</f>
        <v>TVA 10%</v>
      </c>
      <c r="I599" s="605"/>
    </row>
    <row r="600" spans="1:9" ht="19.5" hidden="1" thickBot="1" x14ac:dyDescent="0.35">
      <c r="A600" s="600"/>
      <c r="B600" s="186" t="str">
        <f>$B$10</f>
        <v>Cotraitant 5</v>
      </c>
      <c r="C600" s="520">
        <f>$C$10</f>
        <v>0</v>
      </c>
      <c r="D600" s="179"/>
      <c r="E600" s="430"/>
      <c r="F600" s="430"/>
      <c r="G600" s="183">
        <f>E600-SUM(G601:G610)</f>
        <v>0</v>
      </c>
      <c r="H600" s="184">
        <f>F600-SUM(H601:H610)</f>
        <v>0</v>
      </c>
      <c r="I600" s="606"/>
    </row>
    <row r="601" spans="1:9" hidden="1" x14ac:dyDescent="0.3">
      <c r="A601" s="600"/>
      <c r="B601" s="385"/>
      <c r="C601" s="382"/>
      <c r="D601" s="200" t="str">
        <f>B601&amp;" "&amp;C601&amp;" "&amp;"("&amp;$B$68&amp;")"</f>
        <v xml:space="preserve">  (Cotraitant 1)</v>
      </c>
      <c r="E601" s="132"/>
      <c r="F601" s="607" t="s">
        <v>243</v>
      </c>
      <c r="G601" s="383"/>
      <c r="H601" s="383"/>
      <c r="I601" s="493"/>
    </row>
    <row r="602" spans="1:9" hidden="1" x14ac:dyDescent="0.3">
      <c r="A602" s="600"/>
      <c r="B602" s="385"/>
      <c r="C602" s="382"/>
      <c r="D602" s="200" t="str">
        <f>B602&amp;" "&amp;C602&amp;" "&amp;"("&amp;$B$68&amp;")"</f>
        <v xml:space="preserve">  (Cotraitant 1)</v>
      </c>
      <c r="E602" s="133"/>
      <c r="F602" s="608"/>
      <c r="G602" s="384"/>
      <c r="H602" s="384"/>
      <c r="I602" s="493"/>
    </row>
    <row r="603" spans="1:9" hidden="1" x14ac:dyDescent="0.3">
      <c r="A603" s="600"/>
      <c r="B603" s="385"/>
      <c r="C603" s="382"/>
      <c r="D603" s="558"/>
      <c r="E603" s="133"/>
      <c r="F603" s="608"/>
      <c r="G603" s="384"/>
      <c r="H603" s="384"/>
      <c r="I603" s="493"/>
    </row>
    <row r="604" spans="1:9" hidden="1" x14ac:dyDescent="0.3">
      <c r="A604" s="600"/>
      <c r="B604" s="385"/>
      <c r="C604" s="382"/>
      <c r="D604" s="558"/>
      <c r="E604" s="133"/>
      <c r="F604" s="608"/>
      <c r="G604" s="384"/>
      <c r="H604" s="384"/>
      <c r="I604" s="493"/>
    </row>
    <row r="605" spans="1:9" hidden="1" x14ac:dyDescent="0.3">
      <c r="A605" s="600"/>
      <c r="B605" s="385"/>
      <c r="C605" s="382"/>
      <c r="D605" s="558"/>
      <c r="E605" s="133"/>
      <c r="F605" s="608"/>
      <c r="G605" s="384"/>
      <c r="H605" s="384"/>
      <c r="I605" s="493"/>
    </row>
    <row r="606" spans="1:9" hidden="1" x14ac:dyDescent="0.3">
      <c r="A606" s="600"/>
      <c r="B606" s="385"/>
      <c r="C606" s="382"/>
      <c r="D606" s="558"/>
      <c r="E606" s="133"/>
      <c r="F606" s="608"/>
      <c r="G606" s="384"/>
      <c r="H606" s="384"/>
      <c r="I606" s="493"/>
    </row>
    <row r="607" spans="1:9" hidden="1" x14ac:dyDescent="0.3">
      <c r="A607" s="600"/>
      <c r="B607" s="385"/>
      <c r="C607" s="382"/>
      <c r="D607" s="200" t="str">
        <f>B607&amp;" "&amp;C607&amp;" "&amp;"("&amp;$B$68&amp;")"</f>
        <v xml:space="preserve">  (Cotraitant 1)</v>
      </c>
      <c r="E607" s="133"/>
      <c r="F607" s="608"/>
      <c r="G607" s="384"/>
      <c r="H607" s="384"/>
      <c r="I607" s="493"/>
    </row>
    <row r="608" spans="1:9" hidden="1" x14ac:dyDescent="0.3">
      <c r="A608" s="600"/>
      <c r="B608" s="385"/>
      <c r="C608" s="382"/>
      <c r="D608" s="200" t="str">
        <f>B608&amp;" "&amp;C608&amp;" "&amp;"("&amp;$B$68&amp;")"</f>
        <v xml:space="preserve">  (Cotraitant 1)</v>
      </c>
      <c r="E608" s="133"/>
      <c r="F608" s="608"/>
      <c r="G608" s="384"/>
      <c r="H608" s="384"/>
      <c r="I608" s="493"/>
    </row>
    <row r="609" spans="1:9" hidden="1" x14ac:dyDescent="0.3">
      <c r="A609" s="600"/>
      <c r="B609" s="385"/>
      <c r="C609" s="382"/>
      <c r="D609" s="200" t="str">
        <f>B609&amp;" "&amp;C609&amp;" "&amp;"("&amp;$B$68&amp;")"</f>
        <v xml:space="preserve">  (Cotraitant 1)</v>
      </c>
      <c r="E609" s="133"/>
      <c r="F609" s="608"/>
      <c r="G609" s="384"/>
      <c r="H609" s="384"/>
      <c r="I609" s="493"/>
    </row>
    <row r="610" spans="1:9" ht="19.5" hidden="1" thickBot="1" x14ac:dyDescent="0.35">
      <c r="A610" s="601"/>
      <c r="B610" s="385"/>
      <c r="C610" s="382"/>
      <c r="D610" s="200" t="str">
        <f>B610&amp;" "&amp;C610&amp;" "&amp;"("&amp;$B$68&amp;")"</f>
        <v xml:space="preserve">  (Cotraitant 1)</v>
      </c>
      <c r="E610" s="134"/>
      <c r="F610" s="609"/>
      <c r="G610" s="384"/>
      <c r="H610" s="384"/>
      <c r="I610" s="493"/>
    </row>
    <row r="611" spans="1:9" ht="18.75" hidden="1" customHeight="1" x14ac:dyDescent="0.3">
      <c r="A611" s="599" t="str">
        <f t="shared" ref="A611" si="76">$A$532</f>
        <v>Tranche OPTIONNELLE 4</v>
      </c>
      <c r="B611" s="602" t="s">
        <v>34</v>
      </c>
      <c r="C611" s="603" t="s">
        <v>35</v>
      </c>
      <c r="D611" s="197"/>
      <c r="E611" s="514" t="s">
        <v>242</v>
      </c>
      <c r="F611" s="515" t="str">
        <f>E611</f>
        <v>Montant intial TVA</v>
      </c>
      <c r="G611" s="180" t="s">
        <v>220</v>
      </c>
      <c r="H611" s="181" t="s">
        <v>220</v>
      </c>
      <c r="I611" s="604" t="s">
        <v>420</v>
      </c>
    </row>
    <row r="612" spans="1:9" hidden="1" x14ac:dyDescent="0.3">
      <c r="A612" s="600"/>
      <c r="B612" s="602"/>
      <c r="C612" s="603"/>
      <c r="D612" s="198"/>
      <c r="E612" s="512">
        <f>$C$24</f>
        <v>0.2</v>
      </c>
      <c r="F612" s="513">
        <f>$E$24</f>
        <v>0.1</v>
      </c>
      <c r="G612" s="182" t="str">
        <f>"TVA"&amp;" "&amp;$C$24*100&amp;"%"</f>
        <v>TVA 20%</v>
      </c>
      <c r="H612" s="182" t="str">
        <f>"TVA"&amp;" "&amp;$E$24*100&amp;"%"</f>
        <v>TVA 10%</v>
      </c>
      <c r="I612" s="605"/>
    </row>
    <row r="613" spans="1:9" ht="19.5" hidden="1" thickBot="1" x14ac:dyDescent="0.35">
      <c r="A613" s="600"/>
      <c r="B613" s="186" t="str">
        <f>$B$11</f>
        <v>Cotraitant 6</v>
      </c>
      <c r="C613" s="520">
        <f>$C$11</f>
        <v>0</v>
      </c>
      <c r="D613" s="179"/>
      <c r="E613" s="430"/>
      <c r="F613" s="430"/>
      <c r="G613" s="183">
        <f>E613-SUM(G614:G623)</f>
        <v>0</v>
      </c>
      <c r="H613" s="184">
        <f>F613-SUM(H614:H623)</f>
        <v>0</v>
      </c>
      <c r="I613" s="606"/>
    </row>
    <row r="614" spans="1:9" hidden="1" x14ac:dyDescent="0.3">
      <c r="A614" s="600"/>
      <c r="B614" s="385"/>
      <c r="C614" s="382"/>
      <c r="D614" s="200" t="str">
        <f>B614&amp;" "&amp;C614&amp;" "&amp;"("&amp;$B$68&amp;")"</f>
        <v xml:space="preserve">  (Cotraitant 1)</v>
      </c>
      <c r="E614" s="132"/>
      <c r="F614" s="607" t="s">
        <v>243</v>
      </c>
      <c r="G614" s="383"/>
      <c r="H614" s="383"/>
      <c r="I614" s="493"/>
    </row>
    <row r="615" spans="1:9" hidden="1" x14ac:dyDescent="0.3">
      <c r="A615" s="600"/>
      <c r="B615" s="385"/>
      <c r="C615" s="382"/>
      <c r="D615" s="200" t="str">
        <f>B615&amp;" "&amp;C615&amp;" "&amp;"("&amp;$B$68&amp;")"</f>
        <v xml:space="preserve">  (Cotraitant 1)</v>
      </c>
      <c r="E615" s="133"/>
      <c r="F615" s="608"/>
      <c r="G615" s="384"/>
      <c r="H615" s="384"/>
      <c r="I615" s="493"/>
    </row>
    <row r="616" spans="1:9" hidden="1" x14ac:dyDescent="0.3">
      <c r="A616" s="600"/>
      <c r="B616" s="385"/>
      <c r="C616" s="382"/>
      <c r="D616" s="558"/>
      <c r="E616" s="133"/>
      <c r="F616" s="608"/>
      <c r="G616" s="384"/>
      <c r="H616" s="384"/>
      <c r="I616" s="493"/>
    </row>
    <row r="617" spans="1:9" hidden="1" x14ac:dyDescent="0.3">
      <c r="A617" s="600"/>
      <c r="B617" s="385"/>
      <c r="C617" s="382"/>
      <c r="D617" s="558"/>
      <c r="E617" s="133"/>
      <c r="F617" s="608"/>
      <c r="G617" s="384"/>
      <c r="H617" s="384"/>
      <c r="I617" s="493"/>
    </row>
    <row r="618" spans="1:9" hidden="1" x14ac:dyDescent="0.3">
      <c r="A618" s="600"/>
      <c r="B618" s="385"/>
      <c r="C618" s="382"/>
      <c r="D618" s="558"/>
      <c r="E618" s="133"/>
      <c r="F618" s="608"/>
      <c r="G618" s="384"/>
      <c r="H618" s="384"/>
      <c r="I618" s="493"/>
    </row>
    <row r="619" spans="1:9" hidden="1" x14ac:dyDescent="0.3">
      <c r="A619" s="600"/>
      <c r="B619" s="385"/>
      <c r="C619" s="382"/>
      <c r="D619" s="558"/>
      <c r="E619" s="133"/>
      <c r="F619" s="608"/>
      <c r="G619" s="384"/>
      <c r="H619" s="384"/>
      <c r="I619" s="493"/>
    </row>
    <row r="620" spans="1:9" hidden="1" x14ac:dyDescent="0.3">
      <c r="A620" s="600"/>
      <c r="B620" s="385"/>
      <c r="C620" s="382"/>
      <c r="D620" s="200" t="str">
        <f>B620&amp;" "&amp;C620&amp;" "&amp;"("&amp;$B$68&amp;")"</f>
        <v xml:space="preserve">  (Cotraitant 1)</v>
      </c>
      <c r="E620" s="133"/>
      <c r="F620" s="608"/>
      <c r="G620" s="384"/>
      <c r="H620" s="384"/>
      <c r="I620" s="493"/>
    </row>
    <row r="621" spans="1:9" hidden="1" x14ac:dyDescent="0.3">
      <c r="A621" s="600"/>
      <c r="B621" s="385"/>
      <c r="C621" s="382"/>
      <c r="D621" s="200" t="str">
        <f>B621&amp;" "&amp;C621&amp;" "&amp;"("&amp;$B$68&amp;")"</f>
        <v xml:space="preserve">  (Cotraitant 1)</v>
      </c>
      <c r="E621" s="133"/>
      <c r="F621" s="608"/>
      <c r="G621" s="384"/>
      <c r="H621" s="384"/>
      <c r="I621" s="493"/>
    </row>
    <row r="622" spans="1:9" hidden="1" x14ac:dyDescent="0.3">
      <c r="A622" s="600"/>
      <c r="B622" s="385"/>
      <c r="C622" s="382"/>
      <c r="D622" s="200" t="str">
        <f>B622&amp;" "&amp;C622&amp;" "&amp;"("&amp;$B$68&amp;")"</f>
        <v xml:space="preserve">  (Cotraitant 1)</v>
      </c>
      <c r="E622" s="133"/>
      <c r="F622" s="608"/>
      <c r="G622" s="384"/>
      <c r="H622" s="384"/>
      <c r="I622" s="493"/>
    </row>
    <row r="623" spans="1:9" ht="19.5" hidden="1" thickBot="1" x14ac:dyDescent="0.35">
      <c r="A623" s="601"/>
      <c r="B623" s="385"/>
      <c r="C623" s="382"/>
      <c r="D623" s="200" t="str">
        <f>B623&amp;" "&amp;C623&amp;" "&amp;"("&amp;$B$68&amp;")"</f>
        <v xml:space="preserve">  (Cotraitant 1)</v>
      </c>
      <c r="E623" s="134"/>
      <c r="F623" s="609"/>
      <c r="G623" s="384"/>
      <c r="H623" s="384"/>
      <c r="I623" s="493"/>
    </row>
    <row r="624" spans="1:9" ht="18.75" hidden="1" customHeight="1" x14ac:dyDescent="0.3">
      <c r="A624" s="599" t="str">
        <f t="shared" ref="A624" si="77">$A$532</f>
        <v>Tranche OPTIONNELLE 4</v>
      </c>
      <c r="B624" s="602" t="s">
        <v>34</v>
      </c>
      <c r="C624" s="603" t="s">
        <v>35</v>
      </c>
      <c r="D624" s="197"/>
      <c r="E624" s="514" t="s">
        <v>242</v>
      </c>
      <c r="F624" s="515" t="str">
        <f>E624</f>
        <v>Montant intial TVA</v>
      </c>
      <c r="G624" s="180" t="s">
        <v>220</v>
      </c>
      <c r="H624" s="181" t="s">
        <v>220</v>
      </c>
      <c r="I624" s="604" t="s">
        <v>420</v>
      </c>
    </row>
    <row r="625" spans="1:9" hidden="1" x14ac:dyDescent="0.3">
      <c r="A625" s="600"/>
      <c r="B625" s="602"/>
      <c r="C625" s="603"/>
      <c r="D625" s="198"/>
      <c r="E625" s="512">
        <f>$C$24</f>
        <v>0.2</v>
      </c>
      <c r="F625" s="513">
        <f>$E$24</f>
        <v>0.1</v>
      </c>
      <c r="G625" s="182" t="str">
        <f>"TVA"&amp;" "&amp;$C$24*100&amp;"%"</f>
        <v>TVA 20%</v>
      </c>
      <c r="H625" s="182" t="str">
        <f>"TVA"&amp;" "&amp;$E$24*100&amp;"%"</f>
        <v>TVA 10%</v>
      </c>
      <c r="I625" s="605"/>
    </row>
    <row r="626" spans="1:9" ht="19.5" hidden="1" thickBot="1" x14ac:dyDescent="0.35">
      <c r="A626" s="600"/>
      <c r="B626" s="186" t="str">
        <f>$B$12</f>
        <v>Cotraitant 7</v>
      </c>
      <c r="C626" s="520">
        <f>$C$12</f>
        <v>0</v>
      </c>
      <c r="D626" s="179"/>
      <c r="E626" s="430"/>
      <c r="F626" s="430"/>
      <c r="G626" s="183">
        <f>E626-SUM(G627:G636)</f>
        <v>0</v>
      </c>
      <c r="H626" s="184">
        <f>F626-SUM(H627:H636)</f>
        <v>0</v>
      </c>
      <c r="I626" s="606"/>
    </row>
    <row r="627" spans="1:9" hidden="1" x14ac:dyDescent="0.3">
      <c r="A627" s="600"/>
      <c r="B627" s="385"/>
      <c r="C627" s="382"/>
      <c r="D627" s="200" t="str">
        <f>B627&amp;" "&amp;C627&amp;" "&amp;"("&amp;$B$68&amp;")"</f>
        <v xml:space="preserve">  (Cotraitant 1)</v>
      </c>
      <c r="E627" s="132"/>
      <c r="F627" s="607" t="s">
        <v>243</v>
      </c>
      <c r="G627" s="383"/>
      <c r="H627" s="383"/>
      <c r="I627" s="493"/>
    </row>
    <row r="628" spans="1:9" hidden="1" x14ac:dyDescent="0.3">
      <c r="A628" s="600"/>
      <c r="B628" s="385"/>
      <c r="C628" s="382"/>
      <c r="D628" s="200" t="str">
        <f>B628&amp;" "&amp;C628&amp;" "&amp;"("&amp;$B$68&amp;")"</f>
        <v xml:space="preserve">  (Cotraitant 1)</v>
      </c>
      <c r="E628" s="133"/>
      <c r="F628" s="608"/>
      <c r="G628" s="384"/>
      <c r="H628" s="384"/>
      <c r="I628" s="493"/>
    </row>
    <row r="629" spans="1:9" hidden="1" x14ac:dyDescent="0.3">
      <c r="A629" s="600"/>
      <c r="B629" s="385"/>
      <c r="C629" s="382"/>
      <c r="D629" s="558"/>
      <c r="E629" s="133"/>
      <c r="F629" s="608"/>
      <c r="G629" s="384"/>
      <c r="H629" s="384"/>
      <c r="I629" s="493"/>
    </row>
    <row r="630" spans="1:9" hidden="1" x14ac:dyDescent="0.3">
      <c r="A630" s="600"/>
      <c r="B630" s="385"/>
      <c r="C630" s="382"/>
      <c r="D630" s="558"/>
      <c r="E630" s="133"/>
      <c r="F630" s="608"/>
      <c r="G630" s="384"/>
      <c r="H630" s="384"/>
      <c r="I630" s="493"/>
    </row>
    <row r="631" spans="1:9" hidden="1" x14ac:dyDescent="0.3">
      <c r="A631" s="600"/>
      <c r="B631" s="385"/>
      <c r="C631" s="382"/>
      <c r="D631" s="558"/>
      <c r="E631" s="133"/>
      <c r="F631" s="608"/>
      <c r="G631" s="384"/>
      <c r="H631" s="384"/>
      <c r="I631" s="493"/>
    </row>
    <row r="632" spans="1:9" hidden="1" x14ac:dyDescent="0.3">
      <c r="A632" s="600"/>
      <c r="B632" s="385"/>
      <c r="C632" s="382"/>
      <c r="D632" s="558"/>
      <c r="E632" s="133"/>
      <c r="F632" s="608"/>
      <c r="G632" s="384"/>
      <c r="H632" s="384"/>
      <c r="I632" s="493"/>
    </row>
    <row r="633" spans="1:9" hidden="1" x14ac:dyDescent="0.3">
      <c r="A633" s="600"/>
      <c r="B633" s="385"/>
      <c r="C633" s="382"/>
      <c r="D633" s="200" t="str">
        <f>B633&amp;" "&amp;C633&amp;" "&amp;"("&amp;$B$68&amp;")"</f>
        <v xml:space="preserve">  (Cotraitant 1)</v>
      </c>
      <c r="E633" s="133"/>
      <c r="F633" s="608"/>
      <c r="G633" s="384"/>
      <c r="H633" s="384"/>
      <c r="I633" s="493"/>
    </row>
    <row r="634" spans="1:9" hidden="1" x14ac:dyDescent="0.3">
      <c r="A634" s="600"/>
      <c r="B634" s="385"/>
      <c r="C634" s="382"/>
      <c r="D634" s="200" t="str">
        <f>B634&amp;" "&amp;C634&amp;" "&amp;"("&amp;$B$68&amp;")"</f>
        <v xml:space="preserve">  (Cotraitant 1)</v>
      </c>
      <c r="E634" s="133"/>
      <c r="F634" s="608"/>
      <c r="G634" s="384"/>
      <c r="H634" s="384"/>
      <c r="I634" s="493"/>
    </row>
    <row r="635" spans="1:9" hidden="1" x14ac:dyDescent="0.3">
      <c r="A635" s="600"/>
      <c r="B635" s="385"/>
      <c r="C635" s="382"/>
      <c r="D635" s="200" t="str">
        <f>B635&amp;" "&amp;C635&amp;" "&amp;"("&amp;$B$68&amp;")"</f>
        <v xml:space="preserve">  (Cotraitant 1)</v>
      </c>
      <c r="E635" s="133"/>
      <c r="F635" s="608"/>
      <c r="G635" s="384"/>
      <c r="H635" s="384"/>
      <c r="I635" s="493"/>
    </row>
    <row r="636" spans="1:9" ht="19.5" hidden="1" thickBot="1" x14ac:dyDescent="0.35">
      <c r="A636" s="601"/>
      <c r="B636" s="385"/>
      <c r="C636" s="382"/>
      <c r="D636" s="200" t="str">
        <f>B636&amp;" "&amp;C636&amp;" "&amp;"("&amp;$B$68&amp;")"</f>
        <v xml:space="preserve">  (Cotraitant 1)</v>
      </c>
      <c r="E636" s="134"/>
      <c r="F636" s="609"/>
      <c r="G636" s="384"/>
      <c r="H636" s="384"/>
      <c r="I636" s="493"/>
    </row>
    <row r="637" spans="1:9" ht="18.75" hidden="1" customHeight="1" x14ac:dyDescent="0.3">
      <c r="A637" s="599" t="str">
        <f t="shared" ref="A637" si="78">$A$532</f>
        <v>Tranche OPTIONNELLE 4</v>
      </c>
      <c r="B637" s="602" t="s">
        <v>34</v>
      </c>
      <c r="C637" s="603" t="s">
        <v>35</v>
      </c>
      <c r="D637" s="197"/>
      <c r="E637" s="514" t="s">
        <v>242</v>
      </c>
      <c r="F637" s="515" t="str">
        <f>E637</f>
        <v>Montant intial TVA</v>
      </c>
      <c r="G637" s="180" t="s">
        <v>220</v>
      </c>
      <c r="H637" s="181" t="s">
        <v>220</v>
      </c>
      <c r="I637" s="604" t="s">
        <v>420</v>
      </c>
    </row>
    <row r="638" spans="1:9" hidden="1" x14ac:dyDescent="0.3">
      <c r="A638" s="600"/>
      <c r="B638" s="602"/>
      <c r="C638" s="603"/>
      <c r="D638" s="198"/>
      <c r="E638" s="512">
        <f>$C$24</f>
        <v>0.2</v>
      </c>
      <c r="F638" s="513">
        <f>$E$24</f>
        <v>0.1</v>
      </c>
      <c r="G638" s="182" t="str">
        <f>"TVA"&amp;" "&amp;$C$24*100&amp;"%"</f>
        <v>TVA 20%</v>
      </c>
      <c r="H638" s="182" t="str">
        <f>"TVA"&amp;" "&amp;$E$24*100&amp;"%"</f>
        <v>TVA 10%</v>
      </c>
      <c r="I638" s="605"/>
    </row>
    <row r="639" spans="1:9" ht="19.5" hidden="1" thickBot="1" x14ac:dyDescent="0.35">
      <c r="A639" s="600"/>
      <c r="B639" s="186" t="str">
        <f>$B$13</f>
        <v>Cotraitant 8</v>
      </c>
      <c r="C639" s="520">
        <f>$C$13</f>
        <v>0</v>
      </c>
      <c r="D639" s="179"/>
      <c r="E639" s="430"/>
      <c r="F639" s="430"/>
      <c r="G639" s="183">
        <f>E639-SUM(G640:G649)</f>
        <v>0</v>
      </c>
      <c r="H639" s="184">
        <f>F639-SUM(H640:H649)</f>
        <v>0</v>
      </c>
      <c r="I639" s="606"/>
    </row>
    <row r="640" spans="1:9" hidden="1" x14ac:dyDescent="0.3">
      <c r="A640" s="600"/>
      <c r="B640" s="385"/>
      <c r="C640" s="382"/>
      <c r="D640" s="200" t="str">
        <f>B640&amp;" "&amp;C640&amp;" "&amp;"("&amp;$B$68&amp;")"</f>
        <v xml:space="preserve">  (Cotraitant 1)</v>
      </c>
      <c r="E640" s="132"/>
      <c r="F640" s="607" t="s">
        <v>243</v>
      </c>
      <c r="G640" s="383"/>
      <c r="H640" s="383"/>
      <c r="I640" s="493"/>
    </row>
    <row r="641" spans="1:10" hidden="1" x14ac:dyDescent="0.3">
      <c r="A641" s="600"/>
      <c r="B641" s="385"/>
      <c r="C641" s="382"/>
      <c r="D641" s="558"/>
      <c r="E641" s="133"/>
      <c r="F641" s="608"/>
      <c r="G641" s="383"/>
      <c r="H641" s="383"/>
      <c r="I641" s="493"/>
    </row>
    <row r="642" spans="1:10" hidden="1" x14ac:dyDescent="0.3">
      <c r="A642" s="600"/>
      <c r="B642" s="385"/>
      <c r="C642" s="382"/>
      <c r="D642" s="558"/>
      <c r="E642" s="133"/>
      <c r="F642" s="608"/>
      <c r="G642" s="383"/>
      <c r="H642" s="383"/>
      <c r="I642" s="493"/>
    </row>
    <row r="643" spans="1:10" hidden="1" x14ac:dyDescent="0.3">
      <c r="A643" s="600"/>
      <c r="B643" s="385"/>
      <c r="C643" s="382"/>
      <c r="D643" s="558"/>
      <c r="E643" s="133"/>
      <c r="F643" s="608"/>
      <c r="G643" s="383"/>
      <c r="H643" s="383"/>
      <c r="I643" s="493"/>
    </row>
    <row r="644" spans="1:10" hidden="1" x14ac:dyDescent="0.3">
      <c r="A644" s="600"/>
      <c r="B644" s="385"/>
      <c r="C644" s="382"/>
      <c r="D644" s="558"/>
      <c r="E644" s="133"/>
      <c r="F644" s="608"/>
      <c r="G644" s="383"/>
      <c r="H644" s="383"/>
      <c r="I644" s="493"/>
    </row>
    <row r="645" spans="1:10" hidden="1" x14ac:dyDescent="0.3">
      <c r="A645" s="600"/>
      <c r="B645" s="385"/>
      <c r="C645" s="382"/>
      <c r="D645" s="200" t="str">
        <f>B645&amp;" "&amp;C645&amp;" "&amp;"("&amp;$B$68&amp;")"</f>
        <v xml:space="preserve">  (Cotraitant 1)</v>
      </c>
      <c r="E645" s="133"/>
      <c r="F645" s="608"/>
      <c r="G645" s="384"/>
      <c r="H645" s="384"/>
      <c r="I645" s="493"/>
    </row>
    <row r="646" spans="1:10" hidden="1" x14ac:dyDescent="0.3">
      <c r="A646" s="600"/>
      <c r="B646" s="385"/>
      <c r="C646" s="382"/>
      <c r="D646" s="200" t="str">
        <f>B646&amp;" "&amp;C646&amp;" "&amp;"("&amp;$B$68&amp;")"</f>
        <v xml:space="preserve">  (Cotraitant 1)</v>
      </c>
      <c r="E646" s="133"/>
      <c r="F646" s="608"/>
      <c r="G646" s="384"/>
      <c r="H646" s="384"/>
      <c r="I646" s="493"/>
    </row>
    <row r="647" spans="1:10" hidden="1" x14ac:dyDescent="0.3">
      <c r="A647" s="600"/>
      <c r="B647" s="385"/>
      <c r="C647" s="382"/>
      <c r="D647" s="200" t="str">
        <f>B647&amp;" "&amp;C647&amp;" "&amp;"("&amp;$B$68&amp;")"</f>
        <v xml:space="preserve">  (Cotraitant 1)</v>
      </c>
      <c r="E647" s="133"/>
      <c r="F647" s="608"/>
      <c r="G647" s="384"/>
      <c r="H647" s="384"/>
      <c r="I647" s="493"/>
    </row>
    <row r="648" spans="1:10" hidden="1" x14ac:dyDescent="0.3">
      <c r="A648" s="600"/>
      <c r="B648" s="385"/>
      <c r="C648" s="382"/>
      <c r="D648" s="200" t="str">
        <f>B648&amp;" "&amp;C648&amp;" "&amp;"("&amp;$B$68&amp;")"</f>
        <v xml:space="preserve">  (Cotraitant 1)</v>
      </c>
      <c r="E648" s="133"/>
      <c r="F648" s="608"/>
      <c r="G648" s="384"/>
      <c r="H648" s="384"/>
      <c r="I648" s="493"/>
    </row>
    <row r="649" spans="1:10" ht="19.5" hidden="1" thickBot="1" x14ac:dyDescent="0.35">
      <c r="A649" s="601"/>
      <c r="B649" s="385"/>
      <c r="C649" s="382"/>
      <c r="D649" s="200" t="str">
        <f>B649&amp;" "&amp;C649&amp;" "&amp;"("&amp;$B$68&amp;")"</f>
        <v xml:space="preserve">  (Cotraitant 1)</v>
      </c>
      <c r="E649" s="134"/>
      <c r="F649" s="609"/>
      <c r="G649" s="384"/>
      <c r="H649" s="384"/>
      <c r="I649" s="493"/>
    </row>
    <row r="650" spans="1:10" ht="18.75" customHeight="1" x14ac:dyDescent="0.3"/>
    <row r="651" spans="1:10" hidden="1" x14ac:dyDescent="0.3">
      <c r="A651" s="130"/>
      <c r="B651" s="185" t="s">
        <v>33</v>
      </c>
      <c r="C651" s="17" t="s">
        <v>270</v>
      </c>
      <c r="D651" s="203"/>
      <c r="E651" s="338" t="s">
        <v>271</v>
      </c>
      <c r="F651" s="456" t="s">
        <v>339</v>
      </c>
      <c r="G651" s="610" t="s">
        <v>398</v>
      </c>
      <c r="H651" s="610"/>
      <c r="I651" s="610" t="s">
        <v>399</v>
      </c>
      <c r="J651" s="610"/>
    </row>
    <row r="652" spans="1:10" ht="19.5" hidden="1" thickBot="1" x14ac:dyDescent="0.35">
      <c r="A652" s="611" t="s">
        <v>482</v>
      </c>
      <c r="B652" s="611"/>
      <c r="C652" s="38">
        <f>F30</f>
        <v>0</v>
      </c>
      <c r="D652" s="62"/>
      <c r="E652" s="38">
        <f>C652-(E655+F655+E668+F668+E681+F681+E694+F694+E707+F707+E720+F720+E733+F733+E746+F746+E759+F759)</f>
        <v>0</v>
      </c>
      <c r="F652" s="457"/>
      <c r="G652" s="612" t="s">
        <v>400</v>
      </c>
      <c r="H652" s="612"/>
      <c r="I652" s="613"/>
      <c r="J652" s="613"/>
    </row>
    <row r="653" spans="1:10" hidden="1" x14ac:dyDescent="0.3">
      <c r="A653" s="599" t="str">
        <f>$A$652</f>
        <v>Tranche OPTIONNELLE 5</v>
      </c>
      <c r="B653" s="602" t="s">
        <v>34</v>
      </c>
      <c r="C653" s="603" t="s">
        <v>35</v>
      </c>
      <c r="D653" s="197"/>
      <c r="E653" s="514" t="s">
        <v>242</v>
      </c>
      <c r="F653" s="515" t="str">
        <f>E653</f>
        <v>Montant intial TVA</v>
      </c>
      <c r="G653" s="483" t="s">
        <v>220</v>
      </c>
      <c r="H653" s="489" t="s">
        <v>220</v>
      </c>
      <c r="I653" s="604" t="s">
        <v>420</v>
      </c>
    </row>
    <row r="654" spans="1:10" hidden="1" x14ac:dyDescent="0.3">
      <c r="A654" s="600"/>
      <c r="B654" s="602"/>
      <c r="C654" s="603"/>
      <c r="D654" s="198"/>
      <c r="E654" s="512">
        <f>$C$24</f>
        <v>0.2</v>
      </c>
      <c r="F654" s="513">
        <f>$E$24</f>
        <v>0.1</v>
      </c>
      <c r="G654" s="182" t="str">
        <f>"TVA"&amp;" "&amp;$C$24*100&amp;"%"</f>
        <v>TVA 20%</v>
      </c>
      <c r="H654" s="182" t="str">
        <f>"TVA"&amp;" "&amp;$E$24*100&amp;"%"</f>
        <v>TVA 10%</v>
      </c>
      <c r="I654" s="605"/>
    </row>
    <row r="655" spans="1:10" ht="19.5" hidden="1" thickBot="1" x14ac:dyDescent="0.35">
      <c r="A655" s="600"/>
      <c r="B655" s="186" t="s">
        <v>1</v>
      </c>
      <c r="C655" s="520" t="str">
        <f>$C$5</f>
        <v>yy</v>
      </c>
      <c r="D655" s="199"/>
      <c r="E655" s="131">
        <f>C30-E668-E681-E694-E707-E720-E733-E746-E759</f>
        <v>0</v>
      </c>
      <c r="F655" s="131">
        <f>E30-F668-F681-F694-F707-F720-F733-F746-F759</f>
        <v>0</v>
      </c>
      <c r="G655" s="183">
        <f>E655-SUM(G656:G665)</f>
        <v>0</v>
      </c>
      <c r="H655" s="490">
        <f>F655-SUM(H656:H665)</f>
        <v>0</v>
      </c>
      <c r="I655" s="606"/>
    </row>
    <row r="656" spans="1:10" hidden="1" x14ac:dyDescent="0.3">
      <c r="A656" s="600"/>
      <c r="B656" s="385"/>
      <c r="C656" s="382"/>
      <c r="D656" s="200" t="str">
        <f>B656&amp;" "&amp;C656&amp;" "&amp;"("&amp;$B$55&amp;")"</f>
        <v xml:space="preserve">  (Titulaire)</v>
      </c>
      <c r="E656" s="132"/>
      <c r="F656" s="607" t="s">
        <v>243</v>
      </c>
      <c r="G656" s="383"/>
      <c r="H656" s="383"/>
      <c r="I656" s="493"/>
    </row>
    <row r="657" spans="1:9" hidden="1" x14ac:dyDescent="0.3">
      <c r="A657" s="600"/>
      <c r="B657" s="385"/>
      <c r="C657" s="382"/>
      <c r="D657" s="558"/>
      <c r="E657" s="133"/>
      <c r="F657" s="608"/>
      <c r="G657" s="383"/>
      <c r="H657" s="383"/>
      <c r="I657" s="493"/>
    </row>
    <row r="658" spans="1:9" hidden="1" x14ac:dyDescent="0.3">
      <c r="A658" s="600"/>
      <c r="B658" s="385"/>
      <c r="C658" s="382"/>
      <c r="D658" s="558"/>
      <c r="E658" s="133"/>
      <c r="F658" s="608"/>
      <c r="G658" s="383"/>
      <c r="H658" s="383"/>
      <c r="I658" s="493"/>
    </row>
    <row r="659" spans="1:9" hidden="1" x14ac:dyDescent="0.3">
      <c r="A659" s="600"/>
      <c r="B659" s="385"/>
      <c r="C659" s="382"/>
      <c r="D659" s="558"/>
      <c r="E659" s="133"/>
      <c r="F659" s="608"/>
      <c r="G659" s="383"/>
      <c r="H659" s="383"/>
      <c r="I659" s="493"/>
    </row>
    <row r="660" spans="1:9" hidden="1" x14ac:dyDescent="0.3">
      <c r="A660" s="600"/>
      <c r="B660" s="385"/>
      <c r="C660" s="382"/>
      <c r="D660" s="558"/>
      <c r="E660" s="133"/>
      <c r="F660" s="608"/>
      <c r="G660" s="383"/>
      <c r="H660" s="383"/>
      <c r="I660" s="493"/>
    </row>
    <row r="661" spans="1:9" hidden="1" x14ac:dyDescent="0.3">
      <c r="A661" s="600"/>
      <c r="B661" s="385"/>
      <c r="C661" s="382"/>
      <c r="D661" s="200" t="str">
        <f>B661&amp;" "&amp;C661&amp;" "&amp;"("&amp;$B$55&amp;")"</f>
        <v xml:space="preserve">  (Titulaire)</v>
      </c>
      <c r="E661" s="133"/>
      <c r="F661" s="608"/>
      <c r="G661" s="383"/>
      <c r="H661" s="384"/>
      <c r="I661" s="493"/>
    </row>
    <row r="662" spans="1:9" hidden="1" x14ac:dyDescent="0.3">
      <c r="A662" s="600"/>
      <c r="B662" s="385"/>
      <c r="C662" s="382"/>
      <c r="D662" s="200" t="str">
        <f>B662&amp;" "&amp;C662&amp;" "&amp;"("&amp;$B$55&amp;")"</f>
        <v xml:space="preserve">  (Titulaire)</v>
      </c>
      <c r="E662" s="133"/>
      <c r="F662" s="608"/>
      <c r="G662" s="383"/>
      <c r="H662" s="384"/>
      <c r="I662" s="493"/>
    </row>
    <row r="663" spans="1:9" hidden="1" x14ac:dyDescent="0.3">
      <c r="A663" s="600"/>
      <c r="B663" s="385"/>
      <c r="C663" s="382"/>
      <c r="D663" s="200" t="str">
        <f>B663&amp;" "&amp;C663&amp;" "&amp;"("&amp;$B$55&amp;")"</f>
        <v xml:space="preserve">  (Titulaire)</v>
      </c>
      <c r="E663" s="133"/>
      <c r="F663" s="608"/>
      <c r="G663" s="383"/>
      <c r="H663" s="384"/>
      <c r="I663" s="493"/>
    </row>
    <row r="664" spans="1:9" hidden="1" x14ac:dyDescent="0.3">
      <c r="A664" s="600"/>
      <c r="B664" s="385"/>
      <c r="C664" s="382"/>
      <c r="D664" s="200" t="str">
        <f>B664&amp;" "&amp;C664&amp;" "&amp;"("&amp;$B$55&amp;")"</f>
        <v xml:space="preserve">  (Titulaire)</v>
      </c>
      <c r="E664" s="133"/>
      <c r="F664" s="608"/>
      <c r="G664" s="383"/>
      <c r="H664" s="384"/>
      <c r="I664" s="493"/>
    </row>
    <row r="665" spans="1:9" ht="19.5" hidden="1" thickBot="1" x14ac:dyDescent="0.35">
      <c r="A665" s="601"/>
      <c r="B665" s="385"/>
      <c r="C665" s="382"/>
      <c r="D665" s="200" t="str">
        <f>B665&amp;" "&amp;C665&amp;" "&amp;"("&amp;$B$55&amp;")"</f>
        <v xml:space="preserve">  (Titulaire)</v>
      </c>
      <c r="E665" s="134"/>
      <c r="F665" s="609"/>
      <c r="G665" s="383"/>
      <c r="H665" s="384"/>
      <c r="I665" s="493"/>
    </row>
    <row r="666" spans="1:9" ht="18.75" hidden="1" customHeight="1" x14ac:dyDescent="0.3">
      <c r="A666" s="599" t="str">
        <f t="shared" ref="A666" si="79">$A$652</f>
        <v>Tranche OPTIONNELLE 5</v>
      </c>
      <c r="B666" s="602" t="s">
        <v>34</v>
      </c>
      <c r="C666" s="603" t="s">
        <v>35</v>
      </c>
      <c r="D666" s="197"/>
      <c r="E666" s="514" t="s">
        <v>242</v>
      </c>
      <c r="F666" s="515" t="str">
        <f>E666</f>
        <v>Montant intial TVA</v>
      </c>
      <c r="G666" s="180" t="s">
        <v>220</v>
      </c>
      <c r="H666" s="181" t="s">
        <v>220</v>
      </c>
      <c r="I666" s="604" t="s">
        <v>420</v>
      </c>
    </row>
    <row r="667" spans="1:9" hidden="1" x14ac:dyDescent="0.3">
      <c r="A667" s="600"/>
      <c r="B667" s="602"/>
      <c r="C667" s="603"/>
      <c r="D667" s="198"/>
      <c r="E667" s="512">
        <f>$C$24</f>
        <v>0.2</v>
      </c>
      <c r="F667" s="513">
        <f>$E$24</f>
        <v>0.1</v>
      </c>
      <c r="G667" s="182" t="str">
        <f>"TVA"&amp;" "&amp;$C$24*100&amp;"%"</f>
        <v>TVA 20%</v>
      </c>
      <c r="H667" s="182" t="str">
        <f>"TVA"&amp;" "&amp;$E$24*100&amp;"%"</f>
        <v>TVA 10%</v>
      </c>
      <c r="I667" s="605"/>
    </row>
    <row r="668" spans="1:9" ht="19.5" hidden="1" thickBot="1" x14ac:dyDescent="0.35">
      <c r="A668" s="600"/>
      <c r="B668" s="186" t="str">
        <f>$B$6</f>
        <v>Cotraitant 1</v>
      </c>
      <c r="C668" s="520">
        <f>$C$6</f>
        <v>0</v>
      </c>
      <c r="D668" s="179"/>
      <c r="E668" s="430"/>
      <c r="F668" s="430"/>
      <c r="G668" s="183">
        <f>E668-SUM(G669:G678)</f>
        <v>0</v>
      </c>
      <c r="H668" s="184">
        <f>F668-SUM(H669:H678)</f>
        <v>0</v>
      </c>
      <c r="I668" s="606"/>
    </row>
    <row r="669" spans="1:9" hidden="1" x14ac:dyDescent="0.3">
      <c r="A669" s="600"/>
      <c r="B669" s="385"/>
      <c r="C669" s="382"/>
      <c r="D669" s="200" t="str">
        <f>B669&amp;" "&amp;C669&amp;" "&amp;"("&amp;$B$68&amp;")"</f>
        <v xml:space="preserve">  (Cotraitant 1)</v>
      </c>
      <c r="E669" s="132"/>
      <c r="F669" s="607" t="s">
        <v>243</v>
      </c>
      <c r="G669" s="383"/>
      <c r="H669" s="383"/>
      <c r="I669" s="493"/>
    </row>
    <row r="670" spans="1:9" hidden="1" x14ac:dyDescent="0.3">
      <c r="A670" s="600"/>
      <c r="B670" s="385"/>
      <c r="C670" s="382"/>
      <c r="D670" s="200" t="str">
        <f>B670&amp;" "&amp;C670&amp;" "&amp;"("&amp;$B$68&amp;")"</f>
        <v xml:space="preserve">  (Cotraitant 1)</v>
      </c>
      <c r="E670" s="133"/>
      <c r="F670" s="608"/>
      <c r="G670" s="384"/>
      <c r="H670" s="384"/>
      <c r="I670" s="493"/>
    </row>
    <row r="671" spans="1:9" hidden="1" x14ac:dyDescent="0.3">
      <c r="A671" s="600"/>
      <c r="B671" s="385"/>
      <c r="C671" s="382"/>
      <c r="D671" s="558"/>
      <c r="E671" s="133"/>
      <c r="F671" s="608"/>
      <c r="G671" s="384"/>
      <c r="H671" s="384"/>
      <c r="I671" s="493"/>
    </row>
    <row r="672" spans="1:9" hidden="1" x14ac:dyDescent="0.3">
      <c r="A672" s="600"/>
      <c r="B672" s="385"/>
      <c r="C672" s="382"/>
      <c r="D672" s="558"/>
      <c r="E672" s="133"/>
      <c r="F672" s="608"/>
      <c r="G672" s="384"/>
      <c r="H672" s="384"/>
      <c r="I672" s="493"/>
    </row>
    <row r="673" spans="1:10" hidden="1" x14ac:dyDescent="0.3">
      <c r="A673" s="600"/>
      <c r="B673" s="385"/>
      <c r="C673" s="382"/>
      <c r="D673" s="558"/>
      <c r="E673" s="133"/>
      <c r="F673" s="608"/>
      <c r="G673" s="384"/>
      <c r="H673" s="384"/>
      <c r="I673" s="493"/>
    </row>
    <row r="674" spans="1:10" hidden="1" x14ac:dyDescent="0.3">
      <c r="A674" s="600"/>
      <c r="B674" s="385"/>
      <c r="C674" s="382"/>
      <c r="D674" s="558"/>
      <c r="E674" s="133"/>
      <c r="F674" s="608"/>
      <c r="G674" s="384"/>
      <c r="H674" s="384"/>
      <c r="I674" s="493"/>
    </row>
    <row r="675" spans="1:10" hidden="1" x14ac:dyDescent="0.3">
      <c r="A675" s="600"/>
      <c r="B675" s="385"/>
      <c r="C675" s="382"/>
      <c r="D675" s="200" t="str">
        <f>B675&amp;" "&amp;C675&amp;" "&amp;"("&amp;$B$68&amp;")"</f>
        <v xml:space="preserve">  (Cotraitant 1)</v>
      </c>
      <c r="E675" s="133"/>
      <c r="F675" s="608"/>
      <c r="G675" s="384"/>
      <c r="H675" s="384"/>
      <c r="I675" s="493"/>
    </row>
    <row r="676" spans="1:10" hidden="1" x14ac:dyDescent="0.3">
      <c r="A676" s="600"/>
      <c r="B676" s="385"/>
      <c r="C676" s="382"/>
      <c r="D676" s="200" t="str">
        <f>B676&amp;" "&amp;C676&amp;" "&amp;"("&amp;$B$68&amp;")"</f>
        <v xml:space="preserve">  (Cotraitant 1)</v>
      </c>
      <c r="E676" s="133"/>
      <c r="F676" s="608"/>
      <c r="G676" s="384"/>
      <c r="H676" s="384"/>
      <c r="I676" s="493"/>
    </row>
    <row r="677" spans="1:10" hidden="1" x14ac:dyDescent="0.3">
      <c r="A677" s="600"/>
      <c r="B677" s="385"/>
      <c r="C677" s="382"/>
      <c r="D677" s="200" t="str">
        <f>B677&amp;" "&amp;C677&amp;" "&amp;"("&amp;$B$68&amp;")"</f>
        <v xml:space="preserve">  (Cotraitant 1)</v>
      </c>
      <c r="E677" s="133"/>
      <c r="F677" s="608"/>
      <c r="G677" s="384"/>
      <c r="H677" s="384"/>
      <c r="I677" s="493"/>
    </row>
    <row r="678" spans="1:10" ht="19.5" hidden="1" thickBot="1" x14ac:dyDescent="0.35">
      <c r="A678" s="601"/>
      <c r="B678" s="385"/>
      <c r="C678" s="382"/>
      <c r="D678" s="200" t="str">
        <f>B678&amp;" "&amp;C678&amp;" "&amp;"("&amp;$B$68&amp;")"</f>
        <v xml:space="preserve">  (Cotraitant 1)</v>
      </c>
      <c r="E678" s="134"/>
      <c r="F678" s="609"/>
      <c r="G678" s="384"/>
      <c r="H678" s="384"/>
      <c r="I678" s="493"/>
    </row>
    <row r="679" spans="1:10" ht="18.75" hidden="1" customHeight="1" x14ac:dyDescent="0.3">
      <c r="A679" s="599" t="str">
        <f t="shared" ref="A679" si="80">$A$652</f>
        <v>Tranche OPTIONNELLE 5</v>
      </c>
      <c r="B679" s="602" t="s">
        <v>34</v>
      </c>
      <c r="C679" s="603" t="s">
        <v>35</v>
      </c>
      <c r="D679" s="197"/>
      <c r="E679" s="514" t="s">
        <v>242</v>
      </c>
      <c r="F679" s="515" t="str">
        <f>E679</f>
        <v>Montant intial TVA</v>
      </c>
      <c r="G679" s="180" t="s">
        <v>220</v>
      </c>
      <c r="H679" s="181" t="s">
        <v>220</v>
      </c>
      <c r="I679" s="604" t="s">
        <v>420</v>
      </c>
    </row>
    <row r="680" spans="1:10" hidden="1" x14ac:dyDescent="0.3">
      <c r="A680" s="600"/>
      <c r="B680" s="602"/>
      <c r="C680" s="603"/>
      <c r="D680" s="198"/>
      <c r="E680" s="512">
        <f>$C$24</f>
        <v>0.2</v>
      </c>
      <c r="F680" s="513">
        <f>$E$24</f>
        <v>0.1</v>
      </c>
      <c r="G680" s="182" t="str">
        <f>"TVA"&amp;" "&amp;$C$24*100&amp;"%"</f>
        <v>TVA 20%</v>
      </c>
      <c r="H680" s="182" t="str">
        <f>"TVA"&amp;" "&amp;$E$24*100&amp;"%"</f>
        <v>TVA 10%</v>
      </c>
      <c r="I680" s="605"/>
      <c r="J680" s="518"/>
    </row>
    <row r="681" spans="1:10" ht="19.5" hidden="1" thickBot="1" x14ac:dyDescent="0.35">
      <c r="A681" s="600"/>
      <c r="B681" s="186" t="str">
        <f>$B$7</f>
        <v>Cotraitant 2</v>
      </c>
      <c r="C681" s="520">
        <f>$C$7</f>
        <v>0</v>
      </c>
      <c r="D681" s="179"/>
      <c r="E681" s="430"/>
      <c r="F681" s="430"/>
      <c r="G681" s="183">
        <f>E681-SUM(G682:G691)</f>
        <v>0</v>
      </c>
      <c r="H681" s="184">
        <f>F681-SUM(H682:H691)</f>
        <v>0</v>
      </c>
      <c r="I681" s="606"/>
      <c r="J681" s="528"/>
    </row>
    <row r="682" spans="1:10" hidden="1" x14ac:dyDescent="0.3">
      <c r="A682" s="600"/>
      <c r="B682" s="385"/>
      <c r="C682" s="382"/>
      <c r="D682" s="200" t="str">
        <f>B682&amp;" "&amp;C682&amp;" "&amp;"("&amp;$B$68&amp;")"</f>
        <v xml:space="preserve">  (Cotraitant 1)</v>
      </c>
      <c r="E682" s="132"/>
      <c r="F682" s="607" t="s">
        <v>243</v>
      </c>
      <c r="G682" s="383"/>
      <c r="H682" s="383"/>
      <c r="I682" s="493"/>
    </row>
    <row r="683" spans="1:10" hidden="1" x14ac:dyDescent="0.3">
      <c r="A683" s="600"/>
      <c r="B683" s="385"/>
      <c r="C683" s="382"/>
      <c r="D683" s="558"/>
      <c r="E683" s="133"/>
      <c r="F683" s="608"/>
      <c r="G683" s="383"/>
      <c r="H683" s="383"/>
      <c r="I683" s="493"/>
    </row>
    <row r="684" spans="1:10" hidden="1" x14ac:dyDescent="0.3">
      <c r="A684" s="600"/>
      <c r="B684" s="385"/>
      <c r="C684" s="382"/>
      <c r="D684" s="558"/>
      <c r="E684" s="133"/>
      <c r="F684" s="608"/>
      <c r="G684" s="383"/>
      <c r="H684" s="383"/>
      <c r="I684" s="493"/>
    </row>
    <row r="685" spans="1:10" hidden="1" x14ac:dyDescent="0.3">
      <c r="A685" s="600"/>
      <c r="B685" s="385"/>
      <c r="C685" s="382"/>
      <c r="D685" s="558"/>
      <c r="E685" s="133"/>
      <c r="F685" s="608"/>
      <c r="G685" s="383"/>
      <c r="H685" s="383"/>
      <c r="I685" s="493"/>
    </row>
    <row r="686" spans="1:10" hidden="1" x14ac:dyDescent="0.3">
      <c r="A686" s="600"/>
      <c r="B686" s="385"/>
      <c r="C686" s="382"/>
      <c r="D686" s="558"/>
      <c r="E686" s="133"/>
      <c r="F686" s="608"/>
      <c r="G686" s="383"/>
      <c r="H686" s="383"/>
      <c r="I686" s="493"/>
    </row>
    <row r="687" spans="1:10" hidden="1" x14ac:dyDescent="0.3">
      <c r="A687" s="600"/>
      <c r="B687" s="385"/>
      <c r="C687" s="382"/>
      <c r="D687" s="200" t="str">
        <f>B687&amp;" "&amp;C687&amp;" "&amp;"("&amp;$B$68&amp;")"</f>
        <v xml:space="preserve">  (Cotraitant 1)</v>
      </c>
      <c r="E687" s="133"/>
      <c r="F687" s="608"/>
      <c r="G687" s="384"/>
      <c r="H687" s="384"/>
      <c r="I687" s="493"/>
    </row>
    <row r="688" spans="1:10" hidden="1" x14ac:dyDescent="0.3">
      <c r="A688" s="600"/>
      <c r="B688" s="385"/>
      <c r="C688" s="382"/>
      <c r="D688" s="200" t="str">
        <f>B688&amp;" "&amp;C688&amp;" "&amp;"("&amp;$B$68&amp;")"</f>
        <v xml:space="preserve">  (Cotraitant 1)</v>
      </c>
      <c r="E688" s="133"/>
      <c r="F688" s="608"/>
      <c r="G688" s="384"/>
      <c r="H688" s="384"/>
      <c r="I688" s="493"/>
    </row>
    <row r="689" spans="1:9" hidden="1" x14ac:dyDescent="0.3">
      <c r="A689" s="600"/>
      <c r="B689" s="385"/>
      <c r="C689" s="382"/>
      <c r="D689" s="200" t="str">
        <f>B689&amp;" "&amp;C689&amp;" "&amp;"("&amp;$B$68&amp;")"</f>
        <v xml:space="preserve">  (Cotraitant 1)</v>
      </c>
      <c r="E689" s="133"/>
      <c r="F689" s="608"/>
      <c r="G689" s="384"/>
      <c r="H689" s="384"/>
      <c r="I689" s="493"/>
    </row>
    <row r="690" spans="1:9" hidden="1" x14ac:dyDescent="0.3">
      <c r="A690" s="600"/>
      <c r="B690" s="385"/>
      <c r="C690" s="382"/>
      <c r="D690" s="200" t="str">
        <f>B690&amp;" "&amp;C690&amp;" "&amp;"("&amp;$B$68&amp;")"</f>
        <v xml:space="preserve">  (Cotraitant 1)</v>
      </c>
      <c r="E690" s="133"/>
      <c r="F690" s="608"/>
      <c r="G690" s="384"/>
      <c r="H690" s="384"/>
      <c r="I690" s="493"/>
    </row>
    <row r="691" spans="1:9" ht="19.5" hidden="1" thickBot="1" x14ac:dyDescent="0.35">
      <c r="A691" s="601"/>
      <c r="B691" s="385"/>
      <c r="C691" s="382"/>
      <c r="D691" s="200" t="str">
        <f>B691&amp;" "&amp;C691&amp;" "&amp;"("&amp;$B$68&amp;")"</f>
        <v xml:space="preserve">  (Cotraitant 1)</v>
      </c>
      <c r="E691" s="134"/>
      <c r="F691" s="609"/>
      <c r="G691" s="384"/>
      <c r="H691" s="384"/>
      <c r="I691" s="493"/>
    </row>
    <row r="692" spans="1:9" ht="18.75" hidden="1" customHeight="1" x14ac:dyDescent="0.3">
      <c r="A692" s="599" t="str">
        <f t="shared" ref="A692" si="81">$A$652</f>
        <v>Tranche OPTIONNELLE 5</v>
      </c>
      <c r="B692" s="602" t="s">
        <v>34</v>
      </c>
      <c r="C692" s="603" t="s">
        <v>35</v>
      </c>
      <c r="D692" s="197"/>
      <c r="E692" s="514" t="s">
        <v>242</v>
      </c>
      <c r="F692" s="515" t="str">
        <f>E692</f>
        <v>Montant intial TVA</v>
      </c>
      <c r="G692" s="180" t="s">
        <v>220</v>
      </c>
      <c r="H692" s="181" t="s">
        <v>220</v>
      </c>
      <c r="I692" s="604" t="s">
        <v>420</v>
      </c>
    </row>
    <row r="693" spans="1:9" hidden="1" x14ac:dyDescent="0.3">
      <c r="A693" s="600"/>
      <c r="B693" s="602"/>
      <c r="C693" s="603"/>
      <c r="D693" s="198"/>
      <c r="E693" s="512">
        <f>$C$24</f>
        <v>0.2</v>
      </c>
      <c r="F693" s="513">
        <f>$E$24</f>
        <v>0.1</v>
      </c>
      <c r="G693" s="182" t="str">
        <f>"TVA"&amp;" "&amp;$C$24*100&amp;"%"</f>
        <v>TVA 20%</v>
      </c>
      <c r="H693" s="182" t="str">
        <f>"TVA"&amp;" "&amp;$E$24*100&amp;"%"</f>
        <v>TVA 10%</v>
      </c>
      <c r="I693" s="605"/>
    </row>
    <row r="694" spans="1:9" ht="19.5" hidden="1" thickBot="1" x14ac:dyDescent="0.35">
      <c r="A694" s="600"/>
      <c r="B694" s="186" t="str">
        <f>$B$8</f>
        <v>Cotraitant 3</v>
      </c>
      <c r="C694" s="520">
        <f>$C$8</f>
        <v>0</v>
      </c>
      <c r="D694" s="179"/>
      <c r="E694" s="430"/>
      <c r="F694" s="430"/>
      <c r="G694" s="183">
        <f>E694-SUM(G695:G704)</f>
        <v>0</v>
      </c>
      <c r="H694" s="184">
        <f>F694-SUM(H695:H704)</f>
        <v>0</v>
      </c>
      <c r="I694" s="606"/>
    </row>
    <row r="695" spans="1:9" hidden="1" x14ac:dyDescent="0.3">
      <c r="A695" s="600"/>
      <c r="B695" s="385"/>
      <c r="C695" s="382"/>
      <c r="D695" s="200" t="str">
        <f>B695&amp;" "&amp;C695&amp;" "&amp;"("&amp;$B$68&amp;")"</f>
        <v xml:space="preserve">  (Cotraitant 1)</v>
      </c>
      <c r="E695" s="132"/>
      <c r="F695" s="607" t="s">
        <v>243</v>
      </c>
      <c r="G695" s="383"/>
      <c r="H695" s="383"/>
      <c r="I695" s="493"/>
    </row>
    <row r="696" spans="1:9" hidden="1" x14ac:dyDescent="0.3">
      <c r="A696" s="600"/>
      <c r="B696" s="385"/>
      <c r="C696" s="382"/>
      <c r="D696" s="558"/>
      <c r="E696" s="133"/>
      <c r="F696" s="608"/>
      <c r="G696" s="383"/>
      <c r="H696" s="383"/>
      <c r="I696" s="493"/>
    </row>
    <row r="697" spans="1:9" hidden="1" x14ac:dyDescent="0.3">
      <c r="A697" s="600"/>
      <c r="B697" s="385"/>
      <c r="C697" s="382"/>
      <c r="D697" s="558"/>
      <c r="E697" s="133"/>
      <c r="F697" s="608"/>
      <c r="G697" s="383"/>
      <c r="H697" s="383"/>
      <c r="I697" s="493"/>
    </row>
    <row r="698" spans="1:9" hidden="1" x14ac:dyDescent="0.3">
      <c r="A698" s="600"/>
      <c r="B698" s="385"/>
      <c r="C698" s="382"/>
      <c r="D698" s="558"/>
      <c r="E698" s="133"/>
      <c r="F698" s="608"/>
      <c r="G698" s="383"/>
      <c r="H698" s="383"/>
      <c r="I698" s="493"/>
    </row>
    <row r="699" spans="1:9" hidden="1" x14ac:dyDescent="0.3">
      <c r="A699" s="600"/>
      <c r="B699" s="385"/>
      <c r="C699" s="382"/>
      <c r="D699" s="558"/>
      <c r="E699" s="133"/>
      <c r="F699" s="608"/>
      <c r="G699" s="383"/>
      <c r="H699" s="383"/>
      <c r="I699" s="493"/>
    </row>
    <row r="700" spans="1:9" hidden="1" x14ac:dyDescent="0.3">
      <c r="A700" s="600"/>
      <c r="B700" s="385"/>
      <c r="C700" s="382"/>
      <c r="D700" s="200" t="str">
        <f>B700&amp;" "&amp;C700&amp;" "&amp;"("&amp;$B$68&amp;")"</f>
        <v xml:space="preserve">  (Cotraitant 1)</v>
      </c>
      <c r="E700" s="133"/>
      <c r="F700" s="608"/>
      <c r="G700" s="384"/>
      <c r="H700" s="384"/>
      <c r="I700" s="493"/>
    </row>
    <row r="701" spans="1:9" hidden="1" x14ac:dyDescent="0.3">
      <c r="A701" s="600"/>
      <c r="B701" s="385"/>
      <c r="C701" s="382"/>
      <c r="D701" s="200" t="str">
        <f>B701&amp;" "&amp;C701&amp;" "&amp;"("&amp;$B$68&amp;")"</f>
        <v xml:space="preserve">  (Cotraitant 1)</v>
      </c>
      <c r="E701" s="133"/>
      <c r="F701" s="608"/>
      <c r="G701" s="384"/>
      <c r="H701" s="384"/>
      <c r="I701" s="493"/>
    </row>
    <row r="702" spans="1:9" hidden="1" x14ac:dyDescent="0.3">
      <c r="A702" s="600"/>
      <c r="B702" s="385"/>
      <c r="C702" s="382"/>
      <c r="D702" s="200" t="str">
        <f>B702&amp;" "&amp;C702&amp;" "&amp;"("&amp;$B$68&amp;")"</f>
        <v xml:space="preserve">  (Cotraitant 1)</v>
      </c>
      <c r="E702" s="133"/>
      <c r="F702" s="608"/>
      <c r="G702" s="384"/>
      <c r="H702" s="384"/>
      <c r="I702" s="493"/>
    </row>
    <row r="703" spans="1:9" hidden="1" x14ac:dyDescent="0.3">
      <c r="A703" s="600"/>
      <c r="B703" s="385"/>
      <c r="C703" s="382"/>
      <c r="D703" s="200" t="str">
        <f>B703&amp;" "&amp;C703&amp;" "&amp;"("&amp;$B$68&amp;")"</f>
        <v xml:space="preserve">  (Cotraitant 1)</v>
      </c>
      <c r="E703" s="133"/>
      <c r="F703" s="608"/>
      <c r="G703" s="384"/>
      <c r="H703" s="384"/>
      <c r="I703" s="493"/>
    </row>
    <row r="704" spans="1:9" ht="19.5" hidden="1" thickBot="1" x14ac:dyDescent="0.35">
      <c r="A704" s="601"/>
      <c r="B704" s="385"/>
      <c r="C704" s="382"/>
      <c r="D704" s="200" t="str">
        <f>B704&amp;" "&amp;C704&amp;" "&amp;"("&amp;$B$68&amp;")"</f>
        <v xml:space="preserve">  (Cotraitant 1)</v>
      </c>
      <c r="E704" s="134"/>
      <c r="F704" s="609"/>
      <c r="G704" s="384"/>
      <c r="H704" s="384"/>
      <c r="I704" s="493"/>
    </row>
    <row r="705" spans="1:9" ht="18.75" hidden="1" customHeight="1" x14ac:dyDescent="0.3">
      <c r="A705" s="599" t="str">
        <f t="shared" ref="A705" si="82">$A$652</f>
        <v>Tranche OPTIONNELLE 5</v>
      </c>
      <c r="B705" s="602" t="s">
        <v>34</v>
      </c>
      <c r="C705" s="603" t="s">
        <v>35</v>
      </c>
      <c r="D705" s="197"/>
      <c r="E705" s="514" t="s">
        <v>242</v>
      </c>
      <c r="F705" s="515" t="str">
        <f>E705</f>
        <v>Montant intial TVA</v>
      </c>
      <c r="G705" s="180" t="s">
        <v>220</v>
      </c>
      <c r="H705" s="181" t="s">
        <v>220</v>
      </c>
      <c r="I705" s="604" t="s">
        <v>420</v>
      </c>
    </row>
    <row r="706" spans="1:9" hidden="1" x14ac:dyDescent="0.3">
      <c r="A706" s="600"/>
      <c r="B706" s="602"/>
      <c r="C706" s="603"/>
      <c r="D706" s="198"/>
      <c r="E706" s="512">
        <f>$C$24</f>
        <v>0.2</v>
      </c>
      <c r="F706" s="513">
        <f>$E$24</f>
        <v>0.1</v>
      </c>
      <c r="G706" s="182" t="str">
        <f>"TVA"&amp;" "&amp;$C$24*100&amp;"%"</f>
        <v>TVA 20%</v>
      </c>
      <c r="H706" s="182" t="str">
        <f>"TVA"&amp;" "&amp;$E$24*100&amp;"%"</f>
        <v>TVA 10%</v>
      </c>
      <c r="I706" s="605"/>
    </row>
    <row r="707" spans="1:9" ht="19.5" hidden="1" thickBot="1" x14ac:dyDescent="0.35">
      <c r="A707" s="600"/>
      <c r="B707" s="186" t="str">
        <f>$B$9</f>
        <v>Cotraitant 4</v>
      </c>
      <c r="C707" s="520">
        <f>$C$9</f>
        <v>0</v>
      </c>
      <c r="D707" s="179"/>
      <c r="E707" s="430"/>
      <c r="F707" s="430"/>
      <c r="G707" s="183">
        <f>E707-SUM(G708:G717)</f>
        <v>0</v>
      </c>
      <c r="H707" s="184">
        <f>F707-SUM(H708:H717)</f>
        <v>0</v>
      </c>
      <c r="I707" s="606"/>
    </row>
    <row r="708" spans="1:9" hidden="1" x14ac:dyDescent="0.3">
      <c r="A708" s="600"/>
      <c r="B708" s="385"/>
      <c r="C708" s="382"/>
      <c r="D708" s="200" t="str">
        <f>B708&amp;" "&amp;C708&amp;" "&amp;"("&amp;$B$68&amp;")"</f>
        <v xml:space="preserve">  (Cotraitant 1)</v>
      </c>
      <c r="E708" s="132"/>
      <c r="F708" s="607" t="s">
        <v>243</v>
      </c>
      <c r="G708" s="383"/>
      <c r="H708" s="383"/>
      <c r="I708" s="493"/>
    </row>
    <row r="709" spans="1:9" hidden="1" x14ac:dyDescent="0.3">
      <c r="A709" s="600"/>
      <c r="B709" s="385"/>
      <c r="C709" s="382"/>
      <c r="D709" s="558"/>
      <c r="E709" s="133"/>
      <c r="F709" s="608"/>
      <c r="G709" s="383"/>
      <c r="H709" s="383"/>
      <c r="I709" s="493"/>
    </row>
    <row r="710" spans="1:9" hidden="1" x14ac:dyDescent="0.3">
      <c r="A710" s="600"/>
      <c r="B710" s="385"/>
      <c r="C710" s="382"/>
      <c r="D710" s="558"/>
      <c r="E710" s="133"/>
      <c r="F710" s="608"/>
      <c r="G710" s="383"/>
      <c r="H710" s="383"/>
      <c r="I710" s="493"/>
    </row>
    <row r="711" spans="1:9" hidden="1" x14ac:dyDescent="0.3">
      <c r="A711" s="600"/>
      <c r="B711" s="385"/>
      <c r="C711" s="382"/>
      <c r="D711" s="558"/>
      <c r="E711" s="133"/>
      <c r="F711" s="608"/>
      <c r="G711" s="383"/>
      <c r="H711" s="383"/>
      <c r="I711" s="493"/>
    </row>
    <row r="712" spans="1:9" hidden="1" x14ac:dyDescent="0.3">
      <c r="A712" s="600"/>
      <c r="B712" s="385"/>
      <c r="C712" s="382"/>
      <c r="D712" s="558"/>
      <c r="E712" s="133"/>
      <c r="F712" s="608"/>
      <c r="G712" s="383"/>
      <c r="H712" s="383"/>
      <c r="I712" s="493"/>
    </row>
    <row r="713" spans="1:9" hidden="1" x14ac:dyDescent="0.3">
      <c r="A713" s="600"/>
      <c r="B713" s="385"/>
      <c r="C713" s="382"/>
      <c r="D713" s="200" t="str">
        <f>B713&amp;" "&amp;C713&amp;" "&amp;"("&amp;$B$68&amp;")"</f>
        <v xml:space="preserve">  (Cotraitant 1)</v>
      </c>
      <c r="E713" s="133"/>
      <c r="F713" s="608"/>
      <c r="G713" s="384"/>
      <c r="H713" s="384"/>
      <c r="I713" s="493"/>
    </row>
    <row r="714" spans="1:9" hidden="1" x14ac:dyDescent="0.3">
      <c r="A714" s="600"/>
      <c r="B714" s="385"/>
      <c r="C714" s="382"/>
      <c r="D714" s="200" t="str">
        <f>B714&amp;" "&amp;C714&amp;" "&amp;"("&amp;$B$68&amp;")"</f>
        <v xml:space="preserve">  (Cotraitant 1)</v>
      </c>
      <c r="E714" s="133"/>
      <c r="F714" s="608"/>
      <c r="G714" s="384"/>
      <c r="H714" s="384"/>
      <c r="I714" s="493"/>
    </row>
    <row r="715" spans="1:9" hidden="1" x14ac:dyDescent="0.3">
      <c r="A715" s="600"/>
      <c r="B715" s="385"/>
      <c r="C715" s="382"/>
      <c r="D715" s="200" t="str">
        <f>B715&amp;" "&amp;C715&amp;" "&amp;"("&amp;$B$68&amp;")"</f>
        <v xml:space="preserve">  (Cotraitant 1)</v>
      </c>
      <c r="E715" s="133"/>
      <c r="F715" s="608"/>
      <c r="G715" s="384"/>
      <c r="H715" s="384"/>
      <c r="I715" s="493"/>
    </row>
    <row r="716" spans="1:9" hidden="1" x14ac:dyDescent="0.3">
      <c r="A716" s="600"/>
      <c r="B716" s="385"/>
      <c r="C716" s="382"/>
      <c r="D716" s="200" t="str">
        <f>B716&amp;" "&amp;C716&amp;" "&amp;"("&amp;$B$68&amp;")"</f>
        <v xml:space="preserve">  (Cotraitant 1)</v>
      </c>
      <c r="E716" s="133"/>
      <c r="F716" s="608"/>
      <c r="G716" s="384"/>
      <c r="H716" s="384"/>
      <c r="I716" s="493"/>
    </row>
    <row r="717" spans="1:9" ht="19.5" hidden="1" thickBot="1" x14ac:dyDescent="0.35">
      <c r="A717" s="601"/>
      <c r="B717" s="385"/>
      <c r="C717" s="382"/>
      <c r="D717" s="200" t="str">
        <f>B717&amp;" "&amp;C717&amp;" "&amp;"("&amp;$B$68&amp;")"</f>
        <v xml:space="preserve">  (Cotraitant 1)</v>
      </c>
      <c r="E717" s="134"/>
      <c r="F717" s="609"/>
      <c r="G717" s="384"/>
      <c r="H717" s="384"/>
      <c r="I717" s="493"/>
    </row>
    <row r="718" spans="1:9" ht="18.75" hidden="1" customHeight="1" x14ac:dyDescent="0.3">
      <c r="A718" s="599" t="str">
        <f t="shared" ref="A718" si="83">$A$652</f>
        <v>Tranche OPTIONNELLE 5</v>
      </c>
      <c r="B718" s="602" t="s">
        <v>34</v>
      </c>
      <c r="C718" s="603" t="s">
        <v>35</v>
      </c>
      <c r="D718" s="197"/>
      <c r="E718" s="514" t="s">
        <v>242</v>
      </c>
      <c r="F718" s="515" t="str">
        <f>E718</f>
        <v>Montant intial TVA</v>
      </c>
      <c r="G718" s="180" t="s">
        <v>220</v>
      </c>
      <c r="H718" s="181" t="s">
        <v>220</v>
      </c>
      <c r="I718" s="604" t="s">
        <v>420</v>
      </c>
    </row>
    <row r="719" spans="1:9" hidden="1" x14ac:dyDescent="0.3">
      <c r="A719" s="600"/>
      <c r="B719" s="602"/>
      <c r="C719" s="603"/>
      <c r="D719" s="198"/>
      <c r="E719" s="512">
        <f>$C$24</f>
        <v>0.2</v>
      </c>
      <c r="F719" s="513">
        <f>$E$24</f>
        <v>0.1</v>
      </c>
      <c r="G719" s="182" t="str">
        <f>"TVA"&amp;" "&amp;$C$24*100&amp;"%"</f>
        <v>TVA 20%</v>
      </c>
      <c r="H719" s="182" t="str">
        <f>"TVA"&amp;" "&amp;$E$24*100&amp;"%"</f>
        <v>TVA 10%</v>
      </c>
      <c r="I719" s="605"/>
    </row>
    <row r="720" spans="1:9" ht="19.5" hidden="1" thickBot="1" x14ac:dyDescent="0.35">
      <c r="A720" s="600"/>
      <c r="B720" s="186" t="str">
        <f>$B$10</f>
        <v>Cotraitant 5</v>
      </c>
      <c r="C720" s="520">
        <f>$C$10</f>
        <v>0</v>
      </c>
      <c r="D720" s="179"/>
      <c r="E720" s="430"/>
      <c r="F720" s="430"/>
      <c r="G720" s="183">
        <f>E720-SUM(G721:G730)</f>
        <v>0</v>
      </c>
      <c r="H720" s="184">
        <f>F720-SUM(H721:H730)</f>
        <v>0</v>
      </c>
      <c r="I720" s="606"/>
    </row>
    <row r="721" spans="1:9" hidden="1" x14ac:dyDescent="0.3">
      <c r="A721" s="600"/>
      <c r="B721" s="385"/>
      <c r="C721" s="382"/>
      <c r="D721" s="200" t="str">
        <f>B721&amp;" "&amp;C721&amp;" "&amp;"("&amp;$B$68&amp;")"</f>
        <v xml:space="preserve">  (Cotraitant 1)</v>
      </c>
      <c r="E721" s="132"/>
      <c r="F721" s="607" t="s">
        <v>243</v>
      </c>
      <c r="G721" s="383"/>
      <c r="H721" s="383"/>
      <c r="I721" s="493"/>
    </row>
    <row r="722" spans="1:9" hidden="1" x14ac:dyDescent="0.3">
      <c r="A722" s="600"/>
      <c r="B722" s="385"/>
      <c r="C722" s="382"/>
      <c r="D722" s="558"/>
      <c r="E722" s="133"/>
      <c r="F722" s="608"/>
      <c r="G722" s="383"/>
      <c r="H722" s="383"/>
      <c r="I722" s="493"/>
    </row>
    <row r="723" spans="1:9" hidden="1" x14ac:dyDescent="0.3">
      <c r="A723" s="600"/>
      <c r="B723" s="385"/>
      <c r="C723" s="382"/>
      <c r="D723" s="558"/>
      <c r="E723" s="133"/>
      <c r="F723" s="608"/>
      <c r="G723" s="383"/>
      <c r="H723" s="383"/>
      <c r="I723" s="493"/>
    </row>
    <row r="724" spans="1:9" hidden="1" x14ac:dyDescent="0.3">
      <c r="A724" s="600"/>
      <c r="B724" s="385"/>
      <c r="C724" s="382"/>
      <c r="D724" s="558"/>
      <c r="E724" s="133"/>
      <c r="F724" s="608"/>
      <c r="G724" s="383"/>
      <c r="H724" s="383"/>
      <c r="I724" s="493"/>
    </row>
    <row r="725" spans="1:9" hidden="1" x14ac:dyDescent="0.3">
      <c r="A725" s="600"/>
      <c r="B725" s="385"/>
      <c r="C725" s="382"/>
      <c r="D725" s="558"/>
      <c r="E725" s="133"/>
      <c r="F725" s="608"/>
      <c r="G725" s="383"/>
      <c r="H725" s="383"/>
      <c r="I725" s="493"/>
    </row>
    <row r="726" spans="1:9" hidden="1" x14ac:dyDescent="0.3">
      <c r="A726" s="600"/>
      <c r="B726" s="385"/>
      <c r="C726" s="382"/>
      <c r="D726" s="200" t="str">
        <f>B726&amp;" "&amp;C726&amp;" "&amp;"("&amp;$B$68&amp;")"</f>
        <v xml:space="preserve">  (Cotraitant 1)</v>
      </c>
      <c r="E726" s="133"/>
      <c r="F726" s="608"/>
      <c r="G726" s="384"/>
      <c r="H726" s="384"/>
      <c r="I726" s="493"/>
    </row>
    <row r="727" spans="1:9" hidden="1" x14ac:dyDescent="0.3">
      <c r="A727" s="600"/>
      <c r="B727" s="385"/>
      <c r="C727" s="382"/>
      <c r="D727" s="200" t="str">
        <f>B727&amp;" "&amp;C727&amp;" "&amp;"("&amp;$B$68&amp;")"</f>
        <v xml:space="preserve">  (Cotraitant 1)</v>
      </c>
      <c r="E727" s="133"/>
      <c r="F727" s="608"/>
      <c r="G727" s="384"/>
      <c r="H727" s="384"/>
      <c r="I727" s="493"/>
    </row>
    <row r="728" spans="1:9" hidden="1" x14ac:dyDescent="0.3">
      <c r="A728" s="600"/>
      <c r="B728" s="385"/>
      <c r="C728" s="382"/>
      <c r="D728" s="200" t="str">
        <f>B728&amp;" "&amp;C728&amp;" "&amp;"("&amp;$B$68&amp;")"</f>
        <v xml:space="preserve">  (Cotraitant 1)</v>
      </c>
      <c r="E728" s="133"/>
      <c r="F728" s="608"/>
      <c r="G728" s="384"/>
      <c r="H728" s="384"/>
      <c r="I728" s="493"/>
    </row>
    <row r="729" spans="1:9" hidden="1" x14ac:dyDescent="0.3">
      <c r="A729" s="600"/>
      <c r="B729" s="385"/>
      <c r="C729" s="382"/>
      <c r="D729" s="200" t="str">
        <f>B729&amp;" "&amp;C729&amp;" "&amp;"("&amp;$B$68&amp;")"</f>
        <v xml:space="preserve">  (Cotraitant 1)</v>
      </c>
      <c r="E729" s="133"/>
      <c r="F729" s="608"/>
      <c r="G729" s="384"/>
      <c r="H729" s="384"/>
      <c r="I729" s="493"/>
    </row>
    <row r="730" spans="1:9" ht="19.5" hidden="1" thickBot="1" x14ac:dyDescent="0.35">
      <c r="A730" s="601"/>
      <c r="B730" s="385"/>
      <c r="C730" s="382"/>
      <c r="D730" s="200" t="str">
        <f>B730&amp;" "&amp;C730&amp;" "&amp;"("&amp;$B$68&amp;")"</f>
        <v xml:space="preserve">  (Cotraitant 1)</v>
      </c>
      <c r="E730" s="134"/>
      <c r="F730" s="609"/>
      <c r="G730" s="384"/>
      <c r="H730" s="384"/>
      <c r="I730" s="493"/>
    </row>
    <row r="731" spans="1:9" ht="18.75" hidden="1" customHeight="1" x14ac:dyDescent="0.3">
      <c r="A731" s="599" t="str">
        <f t="shared" ref="A731" si="84">$A$652</f>
        <v>Tranche OPTIONNELLE 5</v>
      </c>
      <c r="B731" s="602" t="s">
        <v>34</v>
      </c>
      <c r="C731" s="603" t="s">
        <v>35</v>
      </c>
      <c r="D731" s="197"/>
      <c r="E731" s="514" t="s">
        <v>242</v>
      </c>
      <c r="F731" s="515" t="str">
        <f>E731</f>
        <v>Montant intial TVA</v>
      </c>
      <c r="G731" s="180" t="s">
        <v>220</v>
      </c>
      <c r="H731" s="181" t="s">
        <v>220</v>
      </c>
      <c r="I731" s="604" t="s">
        <v>420</v>
      </c>
    </row>
    <row r="732" spans="1:9" hidden="1" x14ac:dyDescent="0.3">
      <c r="A732" s="600"/>
      <c r="B732" s="602"/>
      <c r="C732" s="603"/>
      <c r="D732" s="198"/>
      <c r="E732" s="512">
        <f>$C$24</f>
        <v>0.2</v>
      </c>
      <c r="F732" s="513">
        <f>$E$24</f>
        <v>0.1</v>
      </c>
      <c r="G732" s="182" t="str">
        <f>"TVA"&amp;" "&amp;$C$24*100&amp;"%"</f>
        <v>TVA 20%</v>
      </c>
      <c r="H732" s="182" t="str">
        <f>"TVA"&amp;" "&amp;$E$24*100&amp;"%"</f>
        <v>TVA 10%</v>
      </c>
      <c r="I732" s="605"/>
    </row>
    <row r="733" spans="1:9" ht="19.5" hidden="1" thickBot="1" x14ac:dyDescent="0.35">
      <c r="A733" s="600"/>
      <c r="B733" s="186" t="str">
        <f>$B$11</f>
        <v>Cotraitant 6</v>
      </c>
      <c r="C733" s="520">
        <f>$C$11</f>
        <v>0</v>
      </c>
      <c r="D733" s="179"/>
      <c r="E733" s="430"/>
      <c r="F733" s="430"/>
      <c r="G733" s="183">
        <f>E733-SUM(G734:G743)</f>
        <v>0</v>
      </c>
      <c r="H733" s="184">
        <f>F733-SUM(H734:H743)</f>
        <v>0</v>
      </c>
      <c r="I733" s="606"/>
    </row>
    <row r="734" spans="1:9" hidden="1" x14ac:dyDescent="0.3">
      <c r="A734" s="600"/>
      <c r="B734" s="385"/>
      <c r="C734" s="382"/>
      <c r="D734" s="200" t="str">
        <f>B734&amp;" "&amp;C734&amp;" "&amp;"("&amp;$B$68&amp;")"</f>
        <v xml:space="preserve">  (Cotraitant 1)</v>
      </c>
      <c r="E734" s="132"/>
      <c r="F734" s="607" t="s">
        <v>243</v>
      </c>
      <c r="G734" s="383"/>
      <c r="H734" s="383"/>
      <c r="I734" s="493"/>
    </row>
    <row r="735" spans="1:9" hidden="1" x14ac:dyDescent="0.3">
      <c r="A735" s="600"/>
      <c r="B735" s="385"/>
      <c r="C735" s="382"/>
      <c r="D735" s="558"/>
      <c r="E735" s="133"/>
      <c r="F735" s="608"/>
      <c r="G735" s="383"/>
      <c r="H735" s="383"/>
      <c r="I735" s="493"/>
    </row>
    <row r="736" spans="1:9" hidden="1" x14ac:dyDescent="0.3">
      <c r="A736" s="600"/>
      <c r="B736" s="385"/>
      <c r="C736" s="382"/>
      <c r="D736" s="558"/>
      <c r="E736" s="133"/>
      <c r="F736" s="608"/>
      <c r="G736" s="383"/>
      <c r="H736" s="383"/>
      <c r="I736" s="493"/>
    </row>
    <row r="737" spans="1:9" hidden="1" x14ac:dyDescent="0.3">
      <c r="A737" s="600"/>
      <c r="B737" s="385"/>
      <c r="C737" s="382"/>
      <c r="D737" s="558"/>
      <c r="E737" s="133"/>
      <c r="F737" s="608"/>
      <c r="G737" s="383"/>
      <c r="H737" s="383"/>
      <c r="I737" s="493"/>
    </row>
    <row r="738" spans="1:9" hidden="1" x14ac:dyDescent="0.3">
      <c r="A738" s="600"/>
      <c r="B738" s="385"/>
      <c r="C738" s="382"/>
      <c r="D738" s="558"/>
      <c r="E738" s="133"/>
      <c r="F738" s="608"/>
      <c r="G738" s="383"/>
      <c r="H738" s="383"/>
      <c r="I738" s="493"/>
    </row>
    <row r="739" spans="1:9" hidden="1" x14ac:dyDescent="0.3">
      <c r="A739" s="600"/>
      <c r="B739" s="385"/>
      <c r="C739" s="382"/>
      <c r="D739" s="200" t="str">
        <f>B739&amp;" "&amp;C739&amp;" "&amp;"("&amp;$B$68&amp;")"</f>
        <v xml:space="preserve">  (Cotraitant 1)</v>
      </c>
      <c r="E739" s="133"/>
      <c r="F739" s="608"/>
      <c r="G739" s="384"/>
      <c r="H739" s="384"/>
      <c r="I739" s="493"/>
    </row>
    <row r="740" spans="1:9" hidden="1" x14ac:dyDescent="0.3">
      <c r="A740" s="600"/>
      <c r="B740" s="385"/>
      <c r="C740" s="382"/>
      <c r="D740" s="200" t="str">
        <f>B740&amp;" "&amp;C740&amp;" "&amp;"("&amp;$B$68&amp;")"</f>
        <v xml:space="preserve">  (Cotraitant 1)</v>
      </c>
      <c r="E740" s="133"/>
      <c r="F740" s="608"/>
      <c r="G740" s="384"/>
      <c r="H740" s="384"/>
      <c r="I740" s="493"/>
    </row>
    <row r="741" spans="1:9" hidden="1" x14ac:dyDescent="0.3">
      <c r="A741" s="600"/>
      <c r="B741" s="385"/>
      <c r="C741" s="382"/>
      <c r="D741" s="200" t="str">
        <f>B741&amp;" "&amp;C741&amp;" "&amp;"("&amp;$B$68&amp;")"</f>
        <v xml:space="preserve">  (Cotraitant 1)</v>
      </c>
      <c r="E741" s="133"/>
      <c r="F741" s="608"/>
      <c r="G741" s="384"/>
      <c r="H741" s="384"/>
      <c r="I741" s="493"/>
    </row>
    <row r="742" spans="1:9" hidden="1" x14ac:dyDescent="0.3">
      <c r="A742" s="600"/>
      <c r="B742" s="385"/>
      <c r="C742" s="382"/>
      <c r="D742" s="200" t="str">
        <f>B742&amp;" "&amp;C742&amp;" "&amp;"("&amp;$B$68&amp;")"</f>
        <v xml:space="preserve">  (Cotraitant 1)</v>
      </c>
      <c r="E742" s="133"/>
      <c r="F742" s="608"/>
      <c r="G742" s="384"/>
      <c r="H742" s="384"/>
      <c r="I742" s="493"/>
    </row>
    <row r="743" spans="1:9" ht="19.5" hidden="1" thickBot="1" x14ac:dyDescent="0.35">
      <c r="A743" s="601"/>
      <c r="B743" s="385"/>
      <c r="C743" s="382"/>
      <c r="D743" s="200" t="str">
        <f>B743&amp;" "&amp;C743&amp;" "&amp;"("&amp;$B$68&amp;")"</f>
        <v xml:space="preserve">  (Cotraitant 1)</v>
      </c>
      <c r="E743" s="134"/>
      <c r="F743" s="609"/>
      <c r="G743" s="384"/>
      <c r="H743" s="384"/>
      <c r="I743" s="493"/>
    </row>
    <row r="744" spans="1:9" ht="18.75" hidden="1" customHeight="1" x14ac:dyDescent="0.3">
      <c r="A744" s="599" t="str">
        <f t="shared" ref="A744" si="85">$A$652</f>
        <v>Tranche OPTIONNELLE 5</v>
      </c>
      <c r="B744" s="602" t="s">
        <v>34</v>
      </c>
      <c r="C744" s="603" t="s">
        <v>35</v>
      </c>
      <c r="D744" s="197"/>
      <c r="E744" s="514" t="s">
        <v>242</v>
      </c>
      <c r="F744" s="515" t="str">
        <f>E744</f>
        <v>Montant intial TVA</v>
      </c>
      <c r="G744" s="180" t="s">
        <v>220</v>
      </c>
      <c r="H744" s="181" t="s">
        <v>220</v>
      </c>
      <c r="I744" s="604" t="s">
        <v>420</v>
      </c>
    </row>
    <row r="745" spans="1:9" hidden="1" x14ac:dyDescent="0.3">
      <c r="A745" s="600"/>
      <c r="B745" s="602"/>
      <c r="C745" s="603"/>
      <c r="D745" s="198"/>
      <c r="E745" s="512">
        <f>$C$24</f>
        <v>0.2</v>
      </c>
      <c r="F745" s="513">
        <f>$E$24</f>
        <v>0.1</v>
      </c>
      <c r="G745" s="182" t="str">
        <f>"TVA"&amp;" "&amp;$C$24*100&amp;"%"</f>
        <v>TVA 20%</v>
      </c>
      <c r="H745" s="182" t="str">
        <f>"TVA"&amp;" "&amp;$E$24*100&amp;"%"</f>
        <v>TVA 10%</v>
      </c>
      <c r="I745" s="605"/>
    </row>
    <row r="746" spans="1:9" ht="19.5" hidden="1" thickBot="1" x14ac:dyDescent="0.35">
      <c r="A746" s="600"/>
      <c r="B746" s="186" t="str">
        <f>$B$12</f>
        <v>Cotraitant 7</v>
      </c>
      <c r="C746" s="520">
        <f>$C$12</f>
        <v>0</v>
      </c>
      <c r="D746" s="179"/>
      <c r="E746" s="430"/>
      <c r="F746" s="430"/>
      <c r="G746" s="183">
        <f>E746-SUM(G747:G756)</f>
        <v>0</v>
      </c>
      <c r="H746" s="184">
        <f>F746-SUM(H747:H756)</f>
        <v>0</v>
      </c>
      <c r="I746" s="606"/>
    </row>
    <row r="747" spans="1:9" hidden="1" x14ac:dyDescent="0.3">
      <c r="A747" s="600"/>
      <c r="B747" s="385"/>
      <c r="C747" s="382"/>
      <c r="D747" s="200" t="str">
        <f>B747&amp;" "&amp;C747&amp;" "&amp;"("&amp;$B$68&amp;")"</f>
        <v xml:space="preserve">  (Cotraitant 1)</v>
      </c>
      <c r="E747" s="132"/>
      <c r="F747" s="607" t="s">
        <v>243</v>
      </c>
      <c r="G747" s="383"/>
      <c r="H747" s="383"/>
      <c r="I747" s="493"/>
    </row>
    <row r="748" spans="1:9" hidden="1" x14ac:dyDescent="0.3">
      <c r="A748" s="600"/>
      <c r="B748" s="385"/>
      <c r="C748" s="382"/>
      <c r="D748" s="558"/>
      <c r="E748" s="133"/>
      <c r="F748" s="608"/>
      <c r="G748" s="383"/>
      <c r="H748" s="383"/>
      <c r="I748" s="493"/>
    </row>
    <row r="749" spans="1:9" hidden="1" x14ac:dyDescent="0.3">
      <c r="A749" s="600"/>
      <c r="B749" s="385"/>
      <c r="C749" s="382"/>
      <c r="D749" s="558"/>
      <c r="E749" s="133"/>
      <c r="F749" s="608"/>
      <c r="G749" s="383"/>
      <c r="H749" s="383"/>
      <c r="I749" s="493"/>
    </row>
    <row r="750" spans="1:9" hidden="1" x14ac:dyDescent="0.3">
      <c r="A750" s="600"/>
      <c r="B750" s="385"/>
      <c r="C750" s="382"/>
      <c r="D750" s="558"/>
      <c r="E750" s="133"/>
      <c r="F750" s="608"/>
      <c r="G750" s="383"/>
      <c r="H750" s="383"/>
      <c r="I750" s="493"/>
    </row>
    <row r="751" spans="1:9" hidden="1" x14ac:dyDescent="0.3">
      <c r="A751" s="600"/>
      <c r="B751" s="385"/>
      <c r="C751" s="382"/>
      <c r="D751" s="558"/>
      <c r="E751" s="133"/>
      <c r="F751" s="608"/>
      <c r="G751" s="383"/>
      <c r="H751" s="383"/>
      <c r="I751" s="493"/>
    </row>
    <row r="752" spans="1:9" hidden="1" x14ac:dyDescent="0.3">
      <c r="A752" s="600"/>
      <c r="B752" s="385"/>
      <c r="C752" s="382"/>
      <c r="D752" s="200" t="str">
        <f>B752&amp;" "&amp;C752&amp;" "&amp;"("&amp;$B$68&amp;")"</f>
        <v xml:space="preserve">  (Cotraitant 1)</v>
      </c>
      <c r="E752" s="133"/>
      <c r="F752" s="608"/>
      <c r="G752" s="384"/>
      <c r="H752" s="384"/>
      <c r="I752" s="493"/>
    </row>
    <row r="753" spans="1:9" hidden="1" x14ac:dyDescent="0.3">
      <c r="A753" s="600"/>
      <c r="B753" s="385"/>
      <c r="C753" s="382"/>
      <c r="D753" s="200" t="str">
        <f>B753&amp;" "&amp;C753&amp;" "&amp;"("&amp;$B$68&amp;")"</f>
        <v xml:space="preserve">  (Cotraitant 1)</v>
      </c>
      <c r="E753" s="133"/>
      <c r="F753" s="608"/>
      <c r="G753" s="384"/>
      <c r="H753" s="384"/>
      <c r="I753" s="493"/>
    </row>
    <row r="754" spans="1:9" hidden="1" x14ac:dyDescent="0.3">
      <c r="A754" s="600"/>
      <c r="B754" s="385"/>
      <c r="C754" s="382"/>
      <c r="D754" s="200" t="str">
        <f>B754&amp;" "&amp;C754&amp;" "&amp;"("&amp;$B$68&amp;")"</f>
        <v xml:space="preserve">  (Cotraitant 1)</v>
      </c>
      <c r="E754" s="133"/>
      <c r="F754" s="608"/>
      <c r="G754" s="384"/>
      <c r="H754" s="384"/>
      <c r="I754" s="493"/>
    </row>
    <row r="755" spans="1:9" hidden="1" x14ac:dyDescent="0.3">
      <c r="A755" s="600"/>
      <c r="B755" s="385"/>
      <c r="C755" s="382"/>
      <c r="D755" s="200" t="str">
        <f>B755&amp;" "&amp;C755&amp;" "&amp;"("&amp;$B$68&amp;")"</f>
        <v xml:space="preserve">  (Cotraitant 1)</v>
      </c>
      <c r="E755" s="133"/>
      <c r="F755" s="608"/>
      <c r="G755" s="384"/>
      <c r="H755" s="384"/>
      <c r="I755" s="493"/>
    </row>
    <row r="756" spans="1:9" ht="19.5" hidden="1" thickBot="1" x14ac:dyDescent="0.35">
      <c r="A756" s="601"/>
      <c r="B756" s="385"/>
      <c r="C756" s="382"/>
      <c r="D756" s="200" t="str">
        <f>B756&amp;" "&amp;C756&amp;" "&amp;"("&amp;$B$68&amp;")"</f>
        <v xml:space="preserve">  (Cotraitant 1)</v>
      </c>
      <c r="E756" s="134"/>
      <c r="F756" s="609"/>
      <c r="G756" s="384"/>
      <c r="H756" s="384"/>
      <c r="I756" s="493"/>
    </row>
    <row r="757" spans="1:9" ht="18.75" hidden="1" customHeight="1" x14ac:dyDescent="0.3">
      <c r="A757" s="599" t="str">
        <f t="shared" ref="A757" si="86">$A$652</f>
        <v>Tranche OPTIONNELLE 5</v>
      </c>
      <c r="B757" s="602" t="s">
        <v>34</v>
      </c>
      <c r="C757" s="603" t="s">
        <v>35</v>
      </c>
      <c r="D757" s="197"/>
      <c r="E757" s="514" t="s">
        <v>242</v>
      </c>
      <c r="F757" s="515" t="str">
        <f>E757</f>
        <v>Montant intial TVA</v>
      </c>
      <c r="G757" s="180" t="s">
        <v>220</v>
      </c>
      <c r="H757" s="181" t="s">
        <v>220</v>
      </c>
      <c r="I757" s="604" t="s">
        <v>420</v>
      </c>
    </row>
    <row r="758" spans="1:9" hidden="1" x14ac:dyDescent="0.3">
      <c r="A758" s="600"/>
      <c r="B758" s="602"/>
      <c r="C758" s="603"/>
      <c r="D758" s="198"/>
      <c r="E758" s="512">
        <f>$C$24</f>
        <v>0.2</v>
      </c>
      <c r="F758" s="513">
        <f>$E$24</f>
        <v>0.1</v>
      </c>
      <c r="G758" s="182" t="str">
        <f>"TVA"&amp;" "&amp;$C$24*100&amp;"%"</f>
        <v>TVA 20%</v>
      </c>
      <c r="H758" s="182" t="str">
        <f>"TVA"&amp;" "&amp;$E$24*100&amp;"%"</f>
        <v>TVA 10%</v>
      </c>
      <c r="I758" s="605"/>
    </row>
    <row r="759" spans="1:9" ht="19.5" hidden="1" thickBot="1" x14ac:dyDescent="0.35">
      <c r="A759" s="600"/>
      <c r="B759" s="186" t="str">
        <f>$B$13</f>
        <v>Cotraitant 8</v>
      </c>
      <c r="C759" s="520">
        <f>$C$13</f>
        <v>0</v>
      </c>
      <c r="D759" s="179"/>
      <c r="E759" s="430"/>
      <c r="F759" s="430"/>
      <c r="G759" s="183">
        <f>E759-SUM(G760:G769)</f>
        <v>0</v>
      </c>
      <c r="H759" s="184">
        <f>F759-SUM(H760:H769)</f>
        <v>0</v>
      </c>
      <c r="I759" s="606"/>
    </row>
    <row r="760" spans="1:9" hidden="1" x14ac:dyDescent="0.3">
      <c r="A760" s="600"/>
      <c r="B760" s="385"/>
      <c r="C760" s="382"/>
      <c r="D760" s="200" t="str">
        <f>B760&amp;" "&amp;C760&amp;" "&amp;"("&amp;$B$68&amp;")"</f>
        <v xml:space="preserve">  (Cotraitant 1)</v>
      </c>
      <c r="E760" s="132"/>
      <c r="F760" s="607" t="s">
        <v>243</v>
      </c>
      <c r="G760" s="383"/>
      <c r="H760" s="383"/>
      <c r="I760" s="493"/>
    </row>
    <row r="761" spans="1:9" hidden="1" x14ac:dyDescent="0.3">
      <c r="A761" s="600"/>
      <c r="B761" s="385"/>
      <c r="C761" s="382"/>
      <c r="D761" s="558"/>
      <c r="E761" s="133"/>
      <c r="F761" s="608"/>
      <c r="G761" s="383"/>
      <c r="H761" s="383"/>
      <c r="I761" s="493"/>
    </row>
    <row r="762" spans="1:9" hidden="1" x14ac:dyDescent="0.3">
      <c r="A762" s="600"/>
      <c r="B762" s="385"/>
      <c r="C762" s="382"/>
      <c r="D762" s="558"/>
      <c r="E762" s="133"/>
      <c r="F762" s="608"/>
      <c r="G762" s="383"/>
      <c r="H762" s="383"/>
      <c r="I762" s="493"/>
    </row>
    <row r="763" spans="1:9" hidden="1" x14ac:dyDescent="0.3">
      <c r="A763" s="600"/>
      <c r="B763" s="385"/>
      <c r="C763" s="382"/>
      <c r="D763" s="558"/>
      <c r="E763" s="133"/>
      <c r="F763" s="608"/>
      <c r="G763" s="383"/>
      <c r="H763" s="383"/>
      <c r="I763" s="493"/>
    </row>
    <row r="764" spans="1:9" hidden="1" x14ac:dyDescent="0.3">
      <c r="A764" s="600"/>
      <c r="B764" s="385"/>
      <c r="C764" s="382"/>
      <c r="D764" s="558"/>
      <c r="E764" s="133"/>
      <c r="F764" s="608"/>
      <c r="G764" s="383"/>
      <c r="H764" s="383"/>
      <c r="I764" s="493"/>
    </row>
    <row r="765" spans="1:9" hidden="1" x14ac:dyDescent="0.3">
      <c r="A765" s="600"/>
      <c r="B765" s="385"/>
      <c r="C765" s="382"/>
      <c r="D765" s="200" t="str">
        <f>B765&amp;" "&amp;C765&amp;" "&amp;"("&amp;$B$68&amp;")"</f>
        <v xml:space="preserve">  (Cotraitant 1)</v>
      </c>
      <c r="E765" s="133"/>
      <c r="F765" s="608"/>
      <c r="G765" s="384"/>
      <c r="H765" s="384"/>
      <c r="I765" s="493"/>
    </row>
    <row r="766" spans="1:9" hidden="1" x14ac:dyDescent="0.3">
      <c r="A766" s="600"/>
      <c r="B766" s="385"/>
      <c r="C766" s="382"/>
      <c r="D766" s="200" t="str">
        <f>B766&amp;" "&amp;C766&amp;" "&amp;"("&amp;$B$68&amp;")"</f>
        <v xml:space="preserve">  (Cotraitant 1)</v>
      </c>
      <c r="E766" s="133"/>
      <c r="F766" s="608"/>
      <c r="G766" s="384"/>
      <c r="H766" s="384"/>
      <c r="I766" s="493"/>
    </row>
    <row r="767" spans="1:9" hidden="1" x14ac:dyDescent="0.3">
      <c r="A767" s="600"/>
      <c r="B767" s="385"/>
      <c r="C767" s="382"/>
      <c r="D767" s="200" t="str">
        <f>B767&amp;" "&amp;C767&amp;" "&amp;"("&amp;$B$68&amp;")"</f>
        <v xml:space="preserve">  (Cotraitant 1)</v>
      </c>
      <c r="E767" s="133"/>
      <c r="F767" s="608"/>
      <c r="G767" s="384"/>
      <c r="H767" s="384"/>
      <c r="I767" s="493"/>
    </row>
    <row r="768" spans="1:9" hidden="1" x14ac:dyDescent="0.3">
      <c r="A768" s="600"/>
      <c r="B768" s="385"/>
      <c r="C768" s="382"/>
      <c r="D768" s="200" t="str">
        <f>B768&amp;" "&amp;C768&amp;" "&amp;"("&amp;$B$68&amp;")"</f>
        <v xml:space="preserve">  (Cotraitant 1)</v>
      </c>
      <c r="E768" s="133"/>
      <c r="F768" s="608"/>
      <c r="G768" s="384"/>
      <c r="H768" s="384"/>
      <c r="I768" s="493"/>
    </row>
    <row r="769" spans="1:10" ht="19.5" hidden="1" thickBot="1" x14ac:dyDescent="0.35">
      <c r="A769" s="601"/>
      <c r="B769" s="385"/>
      <c r="C769" s="382"/>
      <c r="D769" s="200" t="str">
        <f>B769&amp;" "&amp;C769&amp;" "&amp;"("&amp;$B$68&amp;")"</f>
        <v xml:space="preserve">  (Cotraitant 1)</v>
      </c>
      <c r="E769" s="134"/>
      <c r="F769" s="609"/>
      <c r="G769" s="384"/>
      <c r="H769" s="384"/>
      <c r="I769" s="493"/>
    </row>
    <row r="770" spans="1:10" ht="18.75" customHeight="1" x14ac:dyDescent="0.3"/>
    <row r="771" spans="1:10" hidden="1" x14ac:dyDescent="0.3">
      <c r="A771" s="130"/>
      <c r="B771" s="185" t="s">
        <v>33</v>
      </c>
      <c r="C771" s="17" t="s">
        <v>270</v>
      </c>
      <c r="D771" s="203"/>
      <c r="E771" s="338" t="s">
        <v>271</v>
      </c>
      <c r="F771" s="456" t="s">
        <v>339</v>
      </c>
      <c r="G771" s="610" t="s">
        <v>398</v>
      </c>
      <c r="H771" s="610"/>
      <c r="I771" s="610" t="s">
        <v>399</v>
      </c>
      <c r="J771" s="610"/>
    </row>
    <row r="772" spans="1:10" ht="19.5" hidden="1" thickBot="1" x14ac:dyDescent="0.35">
      <c r="A772" s="611" t="s">
        <v>483</v>
      </c>
      <c r="B772" s="611"/>
      <c r="C772" s="38">
        <f>F31</f>
        <v>0</v>
      </c>
      <c r="D772" s="62"/>
      <c r="E772" s="38">
        <f>C772-(E775+F775+E788+F788+E801+F801+E814+F814+E827+F827+E840+F840+E853+F853+E866+F866+E879+F879)</f>
        <v>0</v>
      </c>
      <c r="F772" s="457"/>
      <c r="G772" s="612" t="s">
        <v>400</v>
      </c>
      <c r="H772" s="612"/>
      <c r="I772" s="613"/>
      <c r="J772" s="613"/>
    </row>
    <row r="773" spans="1:10" hidden="1" x14ac:dyDescent="0.3">
      <c r="A773" s="599" t="str">
        <f>$A$772</f>
        <v>Tranche OPTIONNELLE 6</v>
      </c>
      <c r="B773" s="602" t="s">
        <v>34</v>
      </c>
      <c r="C773" s="603" t="s">
        <v>35</v>
      </c>
      <c r="D773" s="197"/>
      <c r="E773" s="514" t="s">
        <v>242</v>
      </c>
      <c r="F773" s="515" t="str">
        <f>E773</f>
        <v>Montant intial TVA</v>
      </c>
      <c r="G773" s="483" t="s">
        <v>220</v>
      </c>
      <c r="H773" s="489" t="s">
        <v>220</v>
      </c>
      <c r="I773" s="604" t="s">
        <v>420</v>
      </c>
    </row>
    <row r="774" spans="1:10" hidden="1" x14ac:dyDescent="0.3">
      <c r="A774" s="600"/>
      <c r="B774" s="602"/>
      <c r="C774" s="603"/>
      <c r="D774" s="198"/>
      <c r="E774" s="512">
        <f>$C$24</f>
        <v>0.2</v>
      </c>
      <c r="F774" s="513">
        <f>$E$24</f>
        <v>0.1</v>
      </c>
      <c r="G774" s="182" t="str">
        <f>"TVA"&amp;" "&amp;$C$24*100&amp;"%"</f>
        <v>TVA 20%</v>
      </c>
      <c r="H774" s="182" t="str">
        <f>"TVA"&amp;" "&amp;$E$24*100&amp;"%"</f>
        <v>TVA 10%</v>
      </c>
      <c r="I774" s="605"/>
    </row>
    <row r="775" spans="1:10" ht="19.5" hidden="1" thickBot="1" x14ac:dyDescent="0.35">
      <c r="A775" s="600"/>
      <c r="B775" s="186" t="s">
        <v>1</v>
      </c>
      <c r="C775" s="520" t="str">
        <f>$C$5</f>
        <v>yy</v>
      </c>
      <c r="D775" s="199"/>
      <c r="E775" s="131">
        <f>C31-E788-E801-E814-E827-E840-E853-E866-E879</f>
        <v>0</v>
      </c>
      <c r="F775" s="131">
        <f>E31-F788-F801-F814-F827-F840-F853-F866-F879</f>
        <v>0</v>
      </c>
      <c r="G775" s="183">
        <f>E775-SUM(G776:G785)</f>
        <v>0</v>
      </c>
      <c r="H775" s="490">
        <f>F775-SUM(H776:H785)</f>
        <v>0</v>
      </c>
      <c r="I775" s="606"/>
    </row>
    <row r="776" spans="1:10" hidden="1" x14ac:dyDescent="0.3">
      <c r="A776" s="600"/>
      <c r="B776" s="385"/>
      <c r="C776" s="382"/>
      <c r="D776" s="200" t="str">
        <f>B776&amp;" "&amp;C776&amp;" "&amp;"("&amp;$B$55&amp;")"</f>
        <v xml:space="preserve">  (Titulaire)</v>
      </c>
      <c r="E776" s="132"/>
      <c r="F776" s="607" t="s">
        <v>243</v>
      </c>
      <c r="G776" s="383"/>
      <c r="H776" s="383"/>
      <c r="I776" s="493"/>
    </row>
    <row r="777" spans="1:10" hidden="1" x14ac:dyDescent="0.3">
      <c r="A777" s="600"/>
      <c r="B777" s="385"/>
      <c r="C777" s="382"/>
      <c r="D777" s="558"/>
      <c r="E777" s="133"/>
      <c r="F777" s="608"/>
      <c r="G777" s="383"/>
      <c r="H777" s="383"/>
      <c r="I777" s="493"/>
    </row>
    <row r="778" spans="1:10" hidden="1" x14ac:dyDescent="0.3">
      <c r="A778" s="600"/>
      <c r="B778" s="385"/>
      <c r="C778" s="382"/>
      <c r="D778" s="558"/>
      <c r="E778" s="133"/>
      <c r="F778" s="608"/>
      <c r="G778" s="383"/>
      <c r="H778" s="383"/>
      <c r="I778" s="493"/>
    </row>
    <row r="779" spans="1:10" hidden="1" x14ac:dyDescent="0.3">
      <c r="A779" s="600"/>
      <c r="B779" s="385"/>
      <c r="C779" s="382"/>
      <c r="D779" s="558"/>
      <c r="E779" s="133"/>
      <c r="F779" s="608"/>
      <c r="G779" s="383"/>
      <c r="H779" s="383"/>
      <c r="I779" s="493"/>
    </row>
    <row r="780" spans="1:10" hidden="1" x14ac:dyDescent="0.3">
      <c r="A780" s="600"/>
      <c r="B780" s="385"/>
      <c r="C780" s="382"/>
      <c r="D780" s="558"/>
      <c r="E780" s="133"/>
      <c r="F780" s="608"/>
      <c r="G780" s="383"/>
      <c r="H780" s="383"/>
      <c r="I780" s="493"/>
    </row>
    <row r="781" spans="1:10" hidden="1" x14ac:dyDescent="0.3">
      <c r="A781" s="600"/>
      <c r="B781" s="385"/>
      <c r="C781" s="382"/>
      <c r="D781" s="200" t="str">
        <f>B781&amp;" "&amp;C781&amp;" "&amp;"("&amp;$B$55&amp;")"</f>
        <v xml:space="preserve">  (Titulaire)</v>
      </c>
      <c r="E781" s="133"/>
      <c r="F781" s="608"/>
      <c r="G781" s="383"/>
      <c r="H781" s="384"/>
      <c r="I781" s="493"/>
    </row>
    <row r="782" spans="1:10" hidden="1" x14ac:dyDescent="0.3">
      <c r="A782" s="600"/>
      <c r="B782" s="385"/>
      <c r="C782" s="382"/>
      <c r="D782" s="200" t="str">
        <f>B782&amp;" "&amp;C782&amp;" "&amp;"("&amp;$B$55&amp;")"</f>
        <v xml:space="preserve">  (Titulaire)</v>
      </c>
      <c r="E782" s="133"/>
      <c r="F782" s="608"/>
      <c r="G782" s="383"/>
      <c r="H782" s="384"/>
      <c r="I782" s="493"/>
    </row>
    <row r="783" spans="1:10" hidden="1" x14ac:dyDescent="0.3">
      <c r="A783" s="600"/>
      <c r="B783" s="385"/>
      <c r="C783" s="382"/>
      <c r="D783" s="200" t="str">
        <f>B783&amp;" "&amp;C783&amp;" "&amp;"("&amp;$B$55&amp;")"</f>
        <v xml:space="preserve">  (Titulaire)</v>
      </c>
      <c r="E783" s="133"/>
      <c r="F783" s="608"/>
      <c r="G783" s="383"/>
      <c r="H783" s="384"/>
      <c r="I783" s="493"/>
    </row>
    <row r="784" spans="1:10" hidden="1" x14ac:dyDescent="0.3">
      <c r="A784" s="600"/>
      <c r="B784" s="385"/>
      <c r="C784" s="382"/>
      <c r="D784" s="200" t="str">
        <f>B784&amp;" "&amp;C784&amp;" "&amp;"("&amp;$B$55&amp;")"</f>
        <v xml:space="preserve">  (Titulaire)</v>
      </c>
      <c r="E784" s="133"/>
      <c r="F784" s="608"/>
      <c r="G784" s="383"/>
      <c r="H784" s="384"/>
      <c r="I784" s="493"/>
    </row>
    <row r="785" spans="1:10" ht="19.5" hidden="1" thickBot="1" x14ac:dyDescent="0.35">
      <c r="A785" s="601"/>
      <c r="B785" s="385"/>
      <c r="C785" s="382"/>
      <c r="D785" s="200" t="str">
        <f>B785&amp;" "&amp;C785&amp;" "&amp;"("&amp;$B$55&amp;")"</f>
        <v xml:space="preserve">  (Titulaire)</v>
      </c>
      <c r="E785" s="134"/>
      <c r="F785" s="609"/>
      <c r="G785" s="383"/>
      <c r="H785" s="384"/>
      <c r="I785" s="493"/>
    </row>
    <row r="786" spans="1:10" ht="18.75" hidden="1" customHeight="1" x14ac:dyDescent="0.3">
      <c r="A786" s="599" t="str">
        <f t="shared" ref="A786" si="87">$A$772</f>
        <v>Tranche OPTIONNELLE 6</v>
      </c>
      <c r="B786" s="602" t="s">
        <v>34</v>
      </c>
      <c r="C786" s="603" t="s">
        <v>35</v>
      </c>
      <c r="D786" s="197"/>
      <c r="E786" s="514" t="s">
        <v>242</v>
      </c>
      <c r="F786" s="515" t="str">
        <f>E786</f>
        <v>Montant intial TVA</v>
      </c>
      <c r="G786" s="180" t="s">
        <v>220</v>
      </c>
      <c r="H786" s="181" t="s">
        <v>220</v>
      </c>
      <c r="I786" s="604" t="s">
        <v>420</v>
      </c>
    </row>
    <row r="787" spans="1:10" hidden="1" x14ac:dyDescent="0.3">
      <c r="A787" s="600"/>
      <c r="B787" s="602"/>
      <c r="C787" s="603"/>
      <c r="D787" s="198"/>
      <c r="E787" s="512">
        <f>$C$24</f>
        <v>0.2</v>
      </c>
      <c r="F787" s="513">
        <f>$E$24</f>
        <v>0.1</v>
      </c>
      <c r="G787" s="182" t="str">
        <f>"TVA"&amp;" "&amp;$C$24*100&amp;"%"</f>
        <v>TVA 20%</v>
      </c>
      <c r="H787" s="182" t="str">
        <f>"TVA"&amp;" "&amp;$E$24*100&amp;"%"</f>
        <v>TVA 10%</v>
      </c>
      <c r="I787" s="605"/>
    </row>
    <row r="788" spans="1:10" ht="19.5" hidden="1" thickBot="1" x14ac:dyDescent="0.35">
      <c r="A788" s="600"/>
      <c r="B788" s="186" t="str">
        <f>$B$6</f>
        <v>Cotraitant 1</v>
      </c>
      <c r="C788" s="520">
        <f>$C$6</f>
        <v>0</v>
      </c>
      <c r="D788" s="179"/>
      <c r="E788" s="430"/>
      <c r="F788" s="430"/>
      <c r="G788" s="183">
        <f>E788-SUM(G789:G798)</f>
        <v>0</v>
      </c>
      <c r="H788" s="184">
        <f>F788-SUM(H789:H798)</f>
        <v>0</v>
      </c>
      <c r="I788" s="606"/>
    </row>
    <row r="789" spans="1:10" hidden="1" x14ac:dyDescent="0.3">
      <c r="A789" s="600"/>
      <c r="B789" s="385"/>
      <c r="C789" s="382"/>
      <c r="D789" s="200" t="str">
        <f>B789&amp;" "&amp;C789&amp;" "&amp;"("&amp;$B$68&amp;")"</f>
        <v xml:space="preserve">  (Cotraitant 1)</v>
      </c>
      <c r="E789" s="132"/>
      <c r="F789" s="607" t="s">
        <v>243</v>
      </c>
      <c r="G789" s="383"/>
      <c r="H789" s="383"/>
      <c r="I789" s="493"/>
    </row>
    <row r="790" spans="1:10" hidden="1" x14ac:dyDescent="0.3">
      <c r="A790" s="600"/>
      <c r="B790" s="385"/>
      <c r="C790" s="382"/>
      <c r="D790" s="558"/>
      <c r="E790" s="133"/>
      <c r="F790" s="608"/>
      <c r="G790" s="383"/>
      <c r="H790" s="383"/>
      <c r="I790" s="493"/>
    </row>
    <row r="791" spans="1:10" hidden="1" x14ac:dyDescent="0.3">
      <c r="A791" s="600"/>
      <c r="B791" s="385"/>
      <c r="C791" s="382"/>
      <c r="D791" s="558"/>
      <c r="E791" s="133"/>
      <c r="F791" s="608"/>
      <c r="G791" s="383"/>
      <c r="H791" s="383"/>
      <c r="I791" s="493"/>
    </row>
    <row r="792" spans="1:10" hidden="1" x14ac:dyDescent="0.3">
      <c r="A792" s="600"/>
      <c r="B792" s="385"/>
      <c r="C792" s="382"/>
      <c r="D792" s="558"/>
      <c r="E792" s="133"/>
      <c r="F792" s="608"/>
      <c r="G792" s="383"/>
      <c r="H792" s="383"/>
      <c r="I792" s="493"/>
    </row>
    <row r="793" spans="1:10" hidden="1" x14ac:dyDescent="0.3">
      <c r="A793" s="600"/>
      <c r="B793" s="385"/>
      <c r="C793" s="382"/>
      <c r="D793" s="558"/>
      <c r="E793" s="133"/>
      <c r="F793" s="608"/>
      <c r="G793" s="383"/>
      <c r="H793" s="383"/>
      <c r="I793" s="493"/>
    </row>
    <row r="794" spans="1:10" hidden="1" x14ac:dyDescent="0.3">
      <c r="A794" s="600"/>
      <c r="B794" s="385"/>
      <c r="C794" s="382"/>
      <c r="D794" s="200" t="str">
        <f>B794&amp;" "&amp;C794&amp;" "&amp;"("&amp;$B$68&amp;")"</f>
        <v xml:space="preserve">  (Cotraitant 1)</v>
      </c>
      <c r="E794" s="133"/>
      <c r="F794" s="608"/>
      <c r="G794" s="384"/>
      <c r="H794" s="384"/>
      <c r="I794" s="493"/>
    </row>
    <row r="795" spans="1:10" hidden="1" x14ac:dyDescent="0.3">
      <c r="A795" s="600"/>
      <c r="B795" s="385"/>
      <c r="C795" s="382"/>
      <c r="D795" s="200" t="str">
        <f>B795&amp;" "&amp;C795&amp;" "&amp;"("&amp;$B$68&amp;")"</f>
        <v xml:space="preserve">  (Cotraitant 1)</v>
      </c>
      <c r="E795" s="133"/>
      <c r="F795" s="608"/>
      <c r="G795" s="384"/>
      <c r="H795" s="384"/>
      <c r="I795" s="493"/>
    </row>
    <row r="796" spans="1:10" hidden="1" x14ac:dyDescent="0.3">
      <c r="A796" s="600"/>
      <c r="B796" s="385"/>
      <c r="C796" s="382"/>
      <c r="D796" s="200" t="str">
        <f>B796&amp;" "&amp;C796&amp;" "&amp;"("&amp;$B$68&amp;")"</f>
        <v xml:space="preserve">  (Cotraitant 1)</v>
      </c>
      <c r="E796" s="133"/>
      <c r="F796" s="608"/>
      <c r="G796" s="384"/>
      <c r="H796" s="384"/>
      <c r="I796" s="493"/>
    </row>
    <row r="797" spans="1:10" hidden="1" x14ac:dyDescent="0.3">
      <c r="A797" s="600"/>
      <c r="B797" s="385"/>
      <c r="C797" s="382"/>
      <c r="D797" s="200" t="str">
        <f>B797&amp;" "&amp;C797&amp;" "&amp;"("&amp;$B$68&amp;")"</f>
        <v xml:space="preserve">  (Cotraitant 1)</v>
      </c>
      <c r="E797" s="133"/>
      <c r="F797" s="608"/>
      <c r="G797" s="384"/>
      <c r="H797" s="384"/>
      <c r="I797" s="493"/>
    </row>
    <row r="798" spans="1:10" ht="19.5" hidden="1" thickBot="1" x14ac:dyDescent="0.35">
      <c r="A798" s="601"/>
      <c r="B798" s="385"/>
      <c r="C798" s="382"/>
      <c r="D798" s="200" t="str">
        <f>B798&amp;" "&amp;C798&amp;" "&amp;"("&amp;$B$68&amp;")"</f>
        <v xml:space="preserve">  (Cotraitant 1)</v>
      </c>
      <c r="E798" s="134"/>
      <c r="F798" s="609"/>
      <c r="G798" s="384"/>
      <c r="H798" s="384"/>
      <c r="I798" s="493"/>
    </row>
    <row r="799" spans="1:10" ht="18.75" hidden="1" customHeight="1" x14ac:dyDescent="0.3">
      <c r="A799" s="599" t="str">
        <f t="shared" ref="A799" si="88">$A$772</f>
        <v>Tranche OPTIONNELLE 6</v>
      </c>
      <c r="B799" s="602" t="s">
        <v>34</v>
      </c>
      <c r="C799" s="603" t="s">
        <v>35</v>
      </c>
      <c r="D799" s="197"/>
      <c r="E799" s="514" t="s">
        <v>242</v>
      </c>
      <c r="F799" s="515" t="str">
        <f>E799</f>
        <v>Montant intial TVA</v>
      </c>
      <c r="G799" s="180" t="s">
        <v>220</v>
      </c>
      <c r="H799" s="181" t="s">
        <v>220</v>
      </c>
      <c r="I799" s="604" t="s">
        <v>420</v>
      </c>
    </row>
    <row r="800" spans="1:10" hidden="1" x14ac:dyDescent="0.3">
      <c r="A800" s="600"/>
      <c r="B800" s="602"/>
      <c r="C800" s="603"/>
      <c r="D800" s="198"/>
      <c r="E800" s="512">
        <f>$C$24</f>
        <v>0.2</v>
      </c>
      <c r="F800" s="513">
        <f>$E$24</f>
        <v>0.1</v>
      </c>
      <c r="G800" s="182" t="str">
        <f>"TVA"&amp;" "&amp;$C$24*100&amp;"%"</f>
        <v>TVA 20%</v>
      </c>
      <c r="H800" s="182" t="str">
        <f>"TVA"&amp;" "&amp;$E$24*100&amp;"%"</f>
        <v>TVA 10%</v>
      </c>
      <c r="I800" s="605"/>
      <c r="J800" s="518"/>
    </row>
    <row r="801" spans="1:10" ht="19.5" hidden="1" thickBot="1" x14ac:dyDescent="0.35">
      <c r="A801" s="600"/>
      <c r="B801" s="186" t="str">
        <f>$B$7</f>
        <v>Cotraitant 2</v>
      </c>
      <c r="C801" s="520">
        <f>$C$7</f>
        <v>0</v>
      </c>
      <c r="D801" s="179"/>
      <c r="E801" s="430"/>
      <c r="F801" s="430"/>
      <c r="G801" s="183">
        <f>E801-SUM(G802:G811)</f>
        <v>0</v>
      </c>
      <c r="H801" s="184">
        <f>F801-SUM(H802:H811)</f>
        <v>0</v>
      </c>
      <c r="I801" s="606"/>
      <c r="J801" s="528"/>
    </row>
    <row r="802" spans="1:10" hidden="1" x14ac:dyDescent="0.3">
      <c r="A802" s="600"/>
      <c r="B802" s="385"/>
      <c r="C802" s="382"/>
      <c r="D802" s="200" t="str">
        <f>B802&amp;" "&amp;C802&amp;" "&amp;"("&amp;$B$68&amp;")"</f>
        <v xml:space="preserve">  (Cotraitant 1)</v>
      </c>
      <c r="E802" s="132"/>
      <c r="F802" s="607" t="s">
        <v>243</v>
      </c>
      <c r="G802" s="383"/>
      <c r="H802" s="383"/>
      <c r="I802" s="493"/>
    </row>
    <row r="803" spans="1:10" hidden="1" x14ac:dyDescent="0.3">
      <c r="A803" s="600"/>
      <c r="B803" s="385"/>
      <c r="C803" s="382"/>
      <c r="D803" s="558"/>
      <c r="E803" s="133"/>
      <c r="F803" s="608"/>
      <c r="G803" s="383"/>
      <c r="H803" s="383"/>
      <c r="I803" s="493"/>
    </row>
    <row r="804" spans="1:10" hidden="1" x14ac:dyDescent="0.3">
      <c r="A804" s="600"/>
      <c r="B804" s="385"/>
      <c r="C804" s="382"/>
      <c r="D804" s="558"/>
      <c r="E804" s="133"/>
      <c r="F804" s="608"/>
      <c r="G804" s="383"/>
      <c r="H804" s="383"/>
      <c r="I804" s="493"/>
    </row>
    <row r="805" spans="1:10" hidden="1" x14ac:dyDescent="0.3">
      <c r="A805" s="600"/>
      <c r="B805" s="385"/>
      <c r="C805" s="382"/>
      <c r="D805" s="558"/>
      <c r="E805" s="133"/>
      <c r="F805" s="608"/>
      <c r="G805" s="383"/>
      <c r="H805" s="383"/>
      <c r="I805" s="493"/>
    </row>
    <row r="806" spans="1:10" hidden="1" x14ac:dyDescent="0.3">
      <c r="A806" s="600"/>
      <c r="B806" s="385"/>
      <c r="C806" s="382"/>
      <c r="D806" s="558"/>
      <c r="E806" s="133"/>
      <c r="F806" s="608"/>
      <c r="G806" s="383"/>
      <c r="H806" s="383"/>
      <c r="I806" s="493"/>
    </row>
    <row r="807" spans="1:10" hidden="1" x14ac:dyDescent="0.3">
      <c r="A807" s="600"/>
      <c r="B807" s="385"/>
      <c r="C807" s="382"/>
      <c r="D807" s="200" t="str">
        <f>B807&amp;" "&amp;C807&amp;" "&amp;"("&amp;$B$68&amp;")"</f>
        <v xml:space="preserve">  (Cotraitant 1)</v>
      </c>
      <c r="E807" s="133"/>
      <c r="F807" s="608"/>
      <c r="G807" s="384"/>
      <c r="H807" s="384"/>
      <c r="I807" s="493"/>
    </row>
    <row r="808" spans="1:10" hidden="1" x14ac:dyDescent="0.3">
      <c r="A808" s="600"/>
      <c r="B808" s="385"/>
      <c r="C808" s="382"/>
      <c r="D808" s="200" t="str">
        <f>B808&amp;" "&amp;C808&amp;" "&amp;"("&amp;$B$68&amp;")"</f>
        <v xml:space="preserve">  (Cotraitant 1)</v>
      </c>
      <c r="E808" s="133"/>
      <c r="F808" s="608"/>
      <c r="G808" s="384"/>
      <c r="H808" s="384"/>
      <c r="I808" s="493"/>
    </row>
    <row r="809" spans="1:10" hidden="1" x14ac:dyDescent="0.3">
      <c r="A809" s="600"/>
      <c r="B809" s="385"/>
      <c r="C809" s="382"/>
      <c r="D809" s="200" t="str">
        <f>B809&amp;" "&amp;C809&amp;" "&amp;"("&amp;$B$68&amp;")"</f>
        <v xml:space="preserve">  (Cotraitant 1)</v>
      </c>
      <c r="E809" s="133"/>
      <c r="F809" s="608"/>
      <c r="G809" s="384"/>
      <c r="H809" s="384"/>
      <c r="I809" s="493"/>
    </row>
    <row r="810" spans="1:10" hidden="1" x14ac:dyDescent="0.3">
      <c r="A810" s="600"/>
      <c r="B810" s="385"/>
      <c r="C810" s="382"/>
      <c r="D810" s="200" t="str">
        <f>B810&amp;" "&amp;C810&amp;" "&amp;"("&amp;$B$68&amp;")"</f>
        <v xml:space="preserve">  (Cotraitant 1)</v>
      </c>
      <c r="E810" s="133"/>
      <c r="F810" s="608"/>
      <c r="G810" s="384"/>
      <c r="H810" s="384"/>
      <c r="I810" s="493"/>
    </row>
    <row r="811" spans="1:10" ht="19.5" hidden="1" thickBot="1" x14ac:dyDescent="0.35">
      <c r="A811" s="601"/>
      <c r="B811" s="385"/>
      <c r="C811" s="382"/>
      <c r="D811" s="200" t="str">
        <f>B811&amp;" "&amp;C811&amp;" "&amp;"("&amp;$B$68&amp;")"</f>
        <v xml:space="preserve">  (Cotraitant 1)</v>
      </c>
      <c r="E811" s="134"/>
      <c r="F811" s="609"/>
      <c r="G811" s="384"/>
      <c r="H811" s="384"/>
      <c r="I811" s="493"/>
    </row>
    <row r="812" spans="1:10" ht="18.75" hidden="1" customHeight="1" x14ac:dyDescent="0.3">
      <c r="A812" s="599" t="str">
        <f t="shared" ref="A812" si="89">$A$772</f>
        <v>Tranche OPTIONNELLE 6</v>
      </c>
      <c r="B812" s="602" t="s">
        <v>34</v>
      </c>
      <c r="C812" s="603" t="s">
        <v>35</v>
      </c>
      <c r="D812" s="197"/>
      <c r="E812" s="514" t="s">
        <v>242</v>
      </c>
      <c r="F812" s="515" t="str">
        <f>E812</f>
        <v>Montant intial TVA</v>
      </c>
      <c r="G812" s="180" t="s">
        <v>220</v>
      </c>
      <c r="H812" s="181" t="s">
        <v>220</v>
      </c>
      <c r="I812" s="604" t="s">
        <v>420</v>
      </c>
    </row>
    <row r="813" spans="1:10" hidden="1" x14ac:dyDescent="0.3">
      <c r="A813" s="600"/>
      <c r="B813" s="602"/>
      <c r="C813" s="603"/>
      <c r="D813" s="198"/>
      <c r="E813" s="512">
        <f>$C$24</f>
        <v>0.2</v>
      </c>
      <c r="F813" s="513">
        <f>$E$24</f>
        <v>0.1</v>
      </c>
      <c r="G813" s="182" t="str">
        <f>"TVA"&amp;" "&amp;$C$24*100&amp;"%"</f>
        <v>TVA 20%</v>
      </c>
      <c r="H813" s="182" t="str">
        <f>"TVA"&amp;" "&amp;$E$24*100&amp;"%"</f>
        <v>TVA 10%</v>
      </c>
      <c r="I813" s="605"/>
    </row>
    <row r="814" spans="1:10" ht="19.5" hidden="1" thickBot="1" x14ac:dyDescent="0.35">
      <c r="A814" s="600"/>
      <c r="B814" s="186" t="str">
        <f>$B$8</f>
        <v>Cotraitant 3</v>
      </c>
      <c r="C814" s="520">
        <f>$C$8</f>
        <v>0</v>
      </c>
      <c r="D814" s="179"/>
      <c r="E814" s="430"/>
      <c r="F814" s="430"/>
      <c r="G814" s="183">
        <f>E814-SUM(G815:G824)</f>
        <v>0</v>
      </c>
      <c r="H814" s="184">
        <f>F814-SUM(H815:H824)</f>
        <v>0</v>
      </c>
      <c r="I814" s="606"/>
    </row>
    <row r="815" spans="1:10" hidden="1" x14ac:dyDescent="0.3">
      <c r="A815" s="600"/>
      <c r="B815" s="385"/>
      <c r="C815" s="382"/>
      <c r="D815" s="200" t="str">
        <f>B815&amp;" "&amp;C815&amp;" "&amp;"("&amp;$B$68&amp;")"</f>
        <v xml:space="preserve">  (Cotraitant 1)</v>
      </c>
      <c r="E815" s="132"/>
      <c r="F815" s="607" t="s">
        <v>243</v>
      </c>
      <c r="G815" s="383"/>
      <c r="H815" s="383"/>
      <c r="I815" s="493"/>
    </row>
    <row r="816" spans="1:10" hidden="1" x14ac:dyDescent="0.3">
      <c r="A816" s="600"/>
      <c r="B816" s="385"/>
      <c r="C816" s="382"/>
      <c r="D816" s="200" t="str">
        <f>B816&amp;" "&amp;C816&amp;" "&amp;"("&amp;$B$68&amp;")"</f>
        <v xml:space="preserve">  (Cotraitant 1)</v>
      </c>
      <c r="E816" s="133"/>
      <c r="F816" s="608"/>
      <c r="G816" s="384"/>
      <c r="H816" s="384"/>
      <c r="I816" s="493"/>
    </row>
    <row r="817" spans="1:9" hidden="1" x14ac:dyDescent="0.3">
      <c r="A817" s="600"/>
      <c r="B817" s="385"/>
      <c r="C817" s="382"/>
      <c r="D817" s="558"/>
      <c r="E817" s="133"/>
      <c r="F817" s="608"/>
      <c r="G817" s="384"/>
      <c r="H817" s="384"/>
      <c r="I817" s="493"/>
    </row>
    <row r="818" spans="1:9" hidden="1" x14ac:dyDescent="0.3">
      <c r="A818" s="600"/>
      <c r="B818" s="385"/>
      <c r="C818" s="382"/>
      <c r="D818" s="558"/>
      <c r="E818" s="133"/>
      <c r="F818" s="608"/>
      <c r="G818" s="384"/>
      <c r="H818" s="384"/>
      <c r="I818" s="493"/>
    </row>
    <row r="819" spans="1:9" hidden="1" x14ac:dyDescent="0.3">
      <c r="A819" s="600"/>
      <c r="B819" s="385"/>
      <c r="C819" s="382"/>
      <c r="D819" s="558"/>
      <c r="E819" s="133"/>
      <c r="F819" s="608"/>
      <c r="G819" s="384"/>
      <c r="H819" s="384"/>
      <c r="I819" s="493"/>
    </row>
    <row r="820" spans="1:9" hidden="1" x14ac:dyDescent="0.3">
      <c r="A820" s="600"/>
      <c r="B820" s="385"/>
      <c r="C820" s="382"/>
      <c r="D820" s="558"/>
      <c r="E820" s="133"/>
      <c r="F820" s="608"/>
      <c r="G820" s="384"/>
      <c r="H820" s="384"/>
      <c r="I820" s="493"/>
    </row>
    <row r="821" spans="1:9" hidden="1" x14ac:dyDescent="0.3">
      <c r="A821" s="600"/>
      <c r="B821" s="385"/>
      <c r="C821" s="382"/>
      <c r="D821" s="200" t="str">
        <f>B821&amp;" "&amp;C821&amp;" "&amp;"("&amp;$B$68&amp;")"</f>
        <v xml:space="preserve">  (Cotraitant 1)</v>
      </c>
      <c r="E821" s="133"/>
      <c r="F821" s="608"/>
      <c r="G821" s="384"/>
      <c r="H821" s="384"/>
      <c r="I821" s="493"/>
    </row>
    <row r="822" spans="1:9" hidden="1" x14ac:dyDescent="0.3">
      <c r="A822" s="600"/>
      <c r="B822" s="385"/>
      <c r="C822" s="382"/>
      <c r="D822" s="200" t="str">
        <f>B822&amp;" "&amp;C822&amp;" "&amp;"("&amp;$B$68&amp;")"</f>
        <v xml:space="preserve">  (Cotraitant 1)</v>
      </c>
      <c r="E822" s="133"/>
      <c r="F822" s="608"/>
      <c r="G822" s="384"/>
      <c r="H822" s="384"/>
      <c r="I822" s="493"/>
    </row>
    <row r="823" spans="1:9" hidden="1" x14ac:dyDescent="0.3">
      <c r="A823" s="600"/>
      <c r="B823" s="385"/>
      <c r="C823" s="382"/>
      <c r="D823" s="200" t="str">
        <f>B823&amp;" "&amp;C823&amp;" "&amp;"("&amp;$B$68&amp;")"</f>
        <v xml:space="preserve">  (Cotraitant 1)</v>
      </c>
      <c r="E823" s="133"/>
      <c r="F823" s="608"/>
      <c r="G823" s="384"/>
      <c r="H823" s="384"/>
      <c r="I823" s="493"/>
    </row>
    <row r="824" spans="1:9" ht="19.5" hidden="1" thickBot="1" x14ac:dyDescent="0.35">
      <c r="A824" s="601"/>
      <c r="B824" s="385"/>
      <c r="C824" s="382"/>
      <c r="D824" s="200" t="str">
        <f>B824&amp;" "&amp;C824&amp;" "&amp;"("&amp;$B$68&amp;")"</f>
        <v xml:space="preserve">  (Cotraitant 1)</v>
      </c>
      <c r="E824" s="134"/>
      <c r="F824" s="609"/>
      <c r="G824" s="384"/>
      <c r="H824" s="384"/>
      <c r="I824" s="493"/>
    </row>
    <row r="825" spans="1:9" ht="18.75" hidden="1" customHeight="1" x14ac:dyDescent="0.3">
      <c r="A825" s="599" t="str">
        <f t="shared" ref="A825" si="90">$A$772</f>
        <v>Tranche OPTIONNELLE 6</v>
      </c>
      <c r="B825" s="602" t="s">
        <v>34</v>
      </c>
      <c r="C825" s="603" t="s">
        <v>35</v>
      </c>
      <c r="D825" s="197"/>
      <c r="E825" s="514" t="s">
        <v>242</v>
      </c>
      <c r="F825" s="515" t="str">
        <f>E825</f>
        <v>Montant intial TVA</v>
      </c>
      <c r="G825" s="180" t="s">
        <v>220</v>
      </c>
      <c r="H825" s="181" t="s">
        <v>220</v>
      </c>
      <c r="I825" s="604" t="s">
        <v>420</v>
      </c>
    </row>
    <row r="826" spans="1:9" hidden="1" x14ac:dyDescent="0.3">
      <c r="A826" s="600"/>
      <c r="B826" s="602"/>
      <c r="C826" s="603"/>
      <c r="D826" s="198"/>
      <c r="E826" s="512">
        <f>$C$24</f>
        <v>0.2</v>
      </c>
      <c r="F826" s="513">
        <f>$E$24</f>
        <v>0.1</v>
      </c>
      <c r="G826" s="182" t="str">
        <f>"TVA"&amp;" "&amp;$C$24*100&amp;"%"</f>
        <v>TVA 20%</v>
      </c>
      <c r="H826" s="182" t="str">
        <f>"TVA"&amp;" "&amp;$E$24*100&amp;"%"</f>
        <v>TVA 10%</v>
      </c>
      <c r="I826" s="605"/>
    </row>
    <row r="827" spans="1:9" ht="19.5" hidden="1" thickBot="1" x14ac:dyDescent="0.35">
      <c r="A827" s="600"/>
      <c r="B827" s="186" t="str">
        <f>$B$9</f>
        <v>Cotraitant 4</v>
      </c>
      <c r="C827" s="520">
        <f>$C$9</f>
        <v>0</v>
      </c>
      <c r="D827" s="179"/>
      <c r="E827" s="430"/>
      <c r="F827" s="430"/>
      <c r="G827" s="183">
        <f>E827-SUM(G828:G837)</f>
        <v>0</v>
      </c>
      <c r="H827" s="184">
        <f>F827-SUM(H828:H837)</f>
        <v>0</v>
      </c>
      <c r="I827" s="606"/>
    </row>
    <row r="828" spans="1:9" hidden="1" x14ac:dyDescent="0.3">
      <c r="A828" s="600"/>
      <c r="B828" s="385"/>
      <c r="C828" s="382"/>
      <c r="D828" s="200" t="str">
        <f>B828&amp;" "&amp;C828&amp;" "&amp;"("&amp;$B$68&amp;")"</f>
        <v xml:space="preserve">  (Cotraitant 1)</v>
      </c>
      <c r="E828" s="132"/>
      <c r="F828" s="607" t="s">
        <v>243</v>
      </c>
      <c r="G828" s="383"/>
      <c r="H828" s="383"/>
      <c r="I828" s="493"/>
    </row>
    <row r="829" spans="1:9" hidden="1" x14ac:dyDescent="0.3">
      <c r="A829" s="600"/>
      <c r="B829" s="385"/>
      <c r="C829" s="382"/>
      <c r="D829" s="200" t="str">
        <f>B829&amp;" "&amp;C829&amp;" "&amp;"("&amp;$B$68&amp;")"</f>
        <v xml:space="preserve">  (Cotraitant 1)</v>
      </c>
      <c r="E829" s="133"/>
      <c r="F829" s="608"/>
      <c r="G829" s="384"/>
      <c r="H829" s="384"/>
      <c r="I829" s="493"/>
    </row>
    <row r="830" spans="1:9" hidden="1" x14ac:dyDescent="0.3">
      <c r="A830" s="600"/>
      <c r="B830" s="385"/>
      <c r="C830" s="382"/>
      <c r="D830" s="558"/>
      <c r="E830" s="133"/>
      <c r="F830" s="608"/>
      <c r="G830" s="384"/>
      <c r="H830" s="384"/>
      <c r="I830" s="493"/>
    </row>
    <row r="831" spans="1:9" hidden="1" x14ac:dyDescent="0.3">
      <c r="A831" s="600"/>
      <c r="B831" s="385"/>
      <c r="C831" s="382"/>
      <c r="D831" s="558"/>
      <c r="E831" s="133"/>
      <c r="F831" s="608"/>
      <c r="G831" s="384"/>
      <c r="H831" s="384"/>
      <c r="I831" s="493"/>
    </row>
    <row r="832" spans="1:9" hidden="1" x14ac:dyDescent="0.3">
      <c r="A832" s="600"/>
      <c r="B832" s="385"/>
      <c r="C832" s="382"/>
      <c r="D832" s="558"/>
      <c r="E832" s="133"/>
      <c r="F832" s="608"/>
      <c r="G832" s="384"/>
      <c r="H832" s="384"/>
      <c r="I832" s="493"/>
    </row>
    <row r="833" spans="1:9" hidden="1" x14ac:dyDescent="0.3">
      <c r="A833" s="600"/>
      <c r="B833" s="385"/>
      <c r="C833" s="382"/>
      <c r="D833" s="558"/>
      <c r="E833" s="133"/>
      <c r="F833" s="608"/>
      <c r="G833" s="384"/>
      <c r="H833" s="384"/>
      <c r="I833" s="493"/>
    </row>
    <row r="834" spans="1:9" hidden="1" x14ac:dyDescent="0.3">
      <c r="A834" s="600"/>
      <c r="B834" s="385"/>
      <c r="C834" s="382"/>
      <c r="D834" s="200" t="str">
        <f>B834&amp;" "&amp;C834&amp;" "&amp;"("&amp;$B$68&amp;")"</f>
        <v xml:space="preserve">  (Cotraitant 1)</v>
      </c>
      <c r="E834" s="133"/>
      <c r="F834" s="608"/>
      <c r="G834" s="384"/>
      <c r="H834" s="384"/>
      <c r="I834" s="493"/>
    </row>
    <row r="835" spans="1:9" hidden="1" x14ac:dyDescent="0.3">
      <c r="A835" s="600"/>
      <c r="B835" s="385"/>
      <c r="C835" s="382"/>
      <c r="D835" s="200" t="str">
        <f>B835&amp;" "&amp;C835&amp;" "&amp;"("&amp;$B$68&amp;")"</f>
        <v xml:space="preserve">  (Cotraitant 1)</v>
      </c>
      <c r="E835" s="133"/>
      <c r="F835" s="608"/>
      <c r="G835" s="384"/>
      <c r="H835" s="384"/>
      <c r="I835" s="493"/>
    </row>
    <row r="836" spans="1:9" hidden="1" x14ac:dyDescent="0.3">
      <c r="A836" s="600"/>
      <c r="B836" s="385"/>
      <c r="C836" s="382"/>
      <c r="D836" s="200" t="str">
        <f>B836&amp;" "&amp;C836&amp;" "&amp;"("&amp;$B$68&amp;")"</f>
        <v xml:space="preserve">  (Cotraitant 1)</v>
      </c>
      <c r="E836" s="133"/>
      <c r="F836" s="608"/>
      <c r="G836" s="384"/>
      <c r="H836" s="384"/>
      <c r="I836" s="493"/>
    </row>
    <row r="837" spans="1:9" ht="19.5" hidden="1" thickBot="1" x14ac:dyDescent="0.35">
      <c r="A837" s="601"/>
      <c r="B837" s="385"/>
      <c r="C837" s="382"/>
      <c r="D837" s="200" t="str">
        <f>B837&amp;" "&amp;C837&amp;" "&amp;"("&amp;$B$68&amp;")"</f>
        <v xml:space="preserve">  (Cotraitant 1)</v>
      </c>
      <c r="E837" s="134"/>
      <c r="F837" s="609"/>
      <c r="G837" s="384"/>
      <c r="H837" s="384"/>
      <c r="I837" s="493"/>
    </row>
    <row r="838" spans="1:9" ht="18.75" hidden="1" customHeight="1" x14ac:dyDescent="0.3">
      <c r="A838" s="599" t="str">
        <f t="shared" ref="A838" si="91">$A$772</f>
        <v>Tranche OPTIONNELLE 6</v>
      </c>
      <c r="B838" s="602" t="s">
        <v>34</v>
      </c>
      <c r="C838" s="603" t="s">
        <v>35</v>
      </c>
      <c r="D838" s="197"/>
      <c r="E838" s="514" t="s">
        <v>242</v>
      </c>
      <c r="F838" s="515" t="str">
        <f>E838</f>
        <v>Montant intial TVA</v>
      </c>
      <c r="G838" s="180" t="s">
        <v>220</v>
      </c>
      <c r="H838" s="181" t="s">
        <v>220</v>
      </c>
      <c r="I838" s="604" t="s">
        <v>420</v>
      </c>
    </row>
    <row r="839" spans="1:9" hidden="1" x14ac:dyDescent="0.3">
      <c r="A839" s="600"/>
      <c r="B839" s="602"/>
      <c r="C839" s="603"/>
      <c r="D839" s="198"/>
      <c r="E839" s="512">
        <f>$C$24</f>
        <v>0.2</v>
      </c>
      <c r="F839" s="513">
        <f>$E$24</f>
        <v>0.1</v>
      </c>
      <c r="G839" s="182" t="str">
        <f>"TVA"&amp;" "&amp;$C$24*100&amp;"%"</f>
        <v>TVA 20%</v>
      </c>
      <c r="H839" s="182" t="str">
        <f>"TVA"&amp;" "&amp;$E$24*100&amp;"%"</f>
        <v>TVA 10%</v>
      </c>
      <c r="I839" s="605"/>
    </row>
    <row r="840" spans="1:9" ht="19.5" hidden="1" thickBot="1" x14ac:dyDescent="0.35">
      <c r="A840" s="600"/>
      <c r="B840" s="186" t="str">
        <f>$B$10</f>
        <v>Cotraitant 5</v>
      </c>
      <c r="C840" s="520">
        <f>$C$10</f>
        <v>0</v>
      </c>
      <c r="D840" s="179"/>
      <c r="E840" s="430"/>
      <c r="F840" s="430"/>
      <c r="G840" s="183">
        <f>E840-SUM(G841:G850)</f>
        <v>0</v>
      </c>
      <c r="H840" s="184">
        <f>F840-SUM(H841:H850)</f>
        <v>0</v>
      </c>
      <c r="I840" s="606"/>
    </row>
    <row r="841" spans="1:9" hidden="1" x14ac:dyDescent="0.3">
      <c r="A841" s="600"/>
      <c r="B841" s="385"/>
      <c r="C841" s="382"/>
      <c r="D841" s="200" t="str">
        <f>B841&amp;" "&amp;C841&amp;" "&amp;"("&amp;$B$68&amp;")"</f>
        <v xml:space="preserve">  (Cotraitant 1)</v>
      </c>
      <c r="E841" s="132"/>
      <c r="F841" s="607" t="s">
        <v>243</v>
      </c>
      <c r="G841" s="383"/>
      <c r="H841" s="383"/>
      <c r="I841" s="493"/>
    </row>
    <row r="842" spans="1:9" hidden="1" x14ac:dyDescent="0.3">
      <c r="A842" s="600"/>
      <c r="B842" s="385"/>
      <c r="C842" s="382"/>
      <c r="D842" s="558"/>
      <c r="E842" s="133"/>
      <c r="F842" s="608"/>
      <c r="G842" s="383"/>
      <c r="H842" s="383"/>
      <c r="I842" s="493"/>
    </row>
    <row r="843" spans="1:9" hidden="1" x14ac:dyDescent="0.3">
      <c r="A843" s="600"/>
      <c r="B843" s="385"/>
      <c r="C843" s="382"/>
      <c r="D843" s="558"/>
      <c r="E843" s="133"/>
      <c r="F843" s="608"/>
      <c r="G843" s="383"/>
      <c r="H843" s="383"/>
      <c r="I843" s="493"/>
    </row>
    <row r="844" spans="1:9" hidden="1" x14ac:dyDescent="0.3">
      <c r="A844" s="600"/>
      <c r="B844" s="385"/>
      <c r="C844" s="382"/>
      <c r="D844" s="558"/>
      <c r="E844" s="133"/>
      <c r="F844" s="608"/>
      <c r="G844" s="383"/>
      <c r="H844" s="383"/>
      <c r="I844" s="493"/>
    </row>
    <row r="845" spans="1:9" hidden="1" x14ac:dyDescent="0.3">
      <c r="A845" s="600"/>
      <c r="B845" s="385"/>
      <c r="C845" s="382"/>
      <c r="D845" s="558"/>
      <c r="E845" s="133"/>
      <c r="F845" s="608"/>
      <c r="G845" s="383"/>
      <c r="H845" s="383"/>
      <c r="I845" s="493"/>
    </row>
    <row r="846" spans="1:9" hidden="1" x14ac:dyDescent="0.3">
      <c r="A846" s="600"/>
      <c r="B846" s="385"/>
      <c r="C846" s="382"/>
      <c r="D846" s="200" t="str">
        <f>B846&amp;" "&amp;C846&amp;" "&amp;"("&amp;$B$68&amp;")"</f>
        <v xml:space="preserve">  (Cotraitant 1)</v>
      </c>
      <c r="E846" s="133"/>
      <c r="F846" s="608"/>
      <c r="G846" s="384"/>
      <c r="H846" s="384"/>
      <c r="I846" s="493"/>
    </row>
    <row r="847" spans="1:9" hidden="1" x14ac:dyDescent="0.3">
      <c r="A847" s="600"/>
      <c r="B847" s="385"/>
      <c r="C847" s="382"/>
      <c r="D847" s="200" t="str">
        <f>B847&amp;" "&amp;C847&amp;" "&amp;"("&amp;$B$68&amp;")"</f>
        <v xml:space="preserve">  (Cotraitant 1)</v>
      </c>
      <c r="E847" s="133"/>
      <c r="F847" s="608"/>
      <c r="G847" s="384"/>
      <c r="H847" s="384"/>
      <c r="I847" s="493"/>
    </row>
    <row r="848" spans="1:9" hidden="1" x14ac:dyDescent="0.3">
      <c r="A848" s="600"/>
      <c r="B848" s="385"/>
      <c r="C848" s="382"/>
      <c r="D848" s="200" t="str">
        <f>B848&amp;" "&amp;C848&amp;" "&amp;"("&amp;$B$68&amp;")"</f>
        <v xml:space="preserve">  (Cotraitant 1)</v>
      </c>
      <c r="E848" s="133"/>
      <c r="F848" s="608"/>
      <c r="G848" s="384"/>
      <c r="H848" s="384"/>
      <c r="I848" s="493"/>
    </row>
    <row r="849" spans="1:9" hidden="1" x14ac:dyDescent="0.3">
      <c r="A849" s="600"/>
      <c r="B849" s="385"/>
      <c r="C849" s="382"/>
      <c r="D849" s="200" t="str">
        <f>B849&amp;" "&amp;C849&amp;" "&amp;"("&amp;$B$68&amp;")"</f>
        <v xml:space="preserve">  (Cotraitant 1)</v>
      </c>
      <c r="E849" s="133"/>
      <c r="F849" s="608"/>
      <c r="G849" s="384"/>
      <c r="H849" s="384"/>
      <c r="I849" s="493"/>
    </row>
    <row r="850" spans="1:9" ht="19.5" hidden="1" thickBot="1" x14ac:dyDescent="0.35">
      <c r="A850" s="601"/>
      <c r="B850" s="385"/>
      <c r="C850" s="382"/>
      <c r="D850" s="200" t="str">
        <f>B850&amp;" "&amp;C850&amp;" "&amp;"("&amp;$B$68&amp;")"</f>
        <v xml:space="preserve">  (Cotraitant 1)</v>
      </c>
      <c r="E850" s="134"/>
      <c r="F850" s="609"/>
      <c r="G850" s="384"/>
      <c r="H850" s="384"/>
      <c r="I850" s="493"/>
    </row>
    <row r="851" spans="1:9" ht="18.75" hidden="1" customHeight="1" x14ac:dyDescent="0.3">
      <c r="A851" s="599" t="str">
        <f t="shared" ref="A851" si="92">$A$772</f>
        <v>Tranche OPTIONNELLE 6</v>
      </c>
      <c r="B851" s="602" t="s">
        <v>34</v>
      </c>
      <c r="C851" s="603" t="s">
        <v>35</v>
      </c>
      <c r="D851" s="197"/>
      <c r="E851" s="514" t="s">
        <v>242</v>
      </c>
      <c r="F851" s="515" t="str">
        <f>E851</f>
        <v>Montant intial TVA</v>
      </c>
      <c r="G851" s="180" t="s">
        <v>220</v>
      </c>
      <c r="H851" s="181" t="s">
        <v>220</v>
      </c>
      <c r="I851" s="604" t="s">
        <v>420</v>
      </c>
    </row>
    <row r="852" spans="1:9" hidden="1" x14ac:dyDescent="0.3">
      <c r="A852" s="600"/>
      <c r="B852" s="602"/>
      <c r="C852" s="603"/>
      <c r="D852" s="198"/>
      <c r="E852" s="512">
        <f>$C$24</f>
        <v>0.2</v>
      </c>
      <c r="F852" s="513">
        <f>$E$24</f>
        <v>0.1</v>
      </c>
      <c r="G852" s="182" t="str">
        <f>"TVA"&amp;" "&amp;$C$24*100&amp;"%"</f>
        <v>TVA 20%</v>
      </c>
      <c r="H852" s="182" t="str">
        <f>"TVA"&amp;" "&amp;$E$24*100&amp;"%"</f>
        <v>TVA 10%</v>
      </c>
      <c r="I852" s="605"/>
    </row>
    <row r="853" spans="1:9" ht="19.5" hidden="1" thickBot="1" x14ac:dyDescent="0.35">
      <c r="A853" s="600"/>
      <c r="B853" s="186" t="str">
        <f>$B$11</f>
        <v>Cotraitant 6</v>
      </c>
      <c r="C853" s="520">
        <f>$C$11</f>
        <v>0</v>
      </c>
      <c r="D853" s="179"/>
      <c r="E853" s="430"/>
      <c r="F853" s="430"/>
      <c r="G853" s="183">
        <f>E853-SUM(G854:G863)</f>
        <v>0</v>
      </c>
      <c r="H853" s="184">
        <f>F853-SUM(H854:H863)</f>
        <v>0</v>
      </c>
      <c r="I853" s="606"/>
    </row>
    <row r="854" spans="1:9" hidden="1" x14ac:dyDescent="0.3">
      <c r="A854" s="600"/>
      <c r="B854" s="385"/>
      <c r="C854" s="382"/>
      <c r="D854" s="200" t="str">
        <f>B854&amp;" "&amp;C854&amp;" "&amp;"("&amp;$B$68&amp;")"</f>
        <v xml:space="preserve">  (Cotraitant 1)</v>
      </c>
      <c r="E854" s="132"/>
      <c r="F854" s="607" t="s">
        <v>243</v>
      </c>
      <c r="G854" s="383"/>
      <c r="H854" s="383"/>
      <c r="I854" s="493"/>
    </row>
    <row r="855" spans="1:9" hidden="1" x14ac:dyDescent="0.3">
      <c r="A855" s="600"/>
      <c r="B855" s="385"/>
      <c r="C855" s="382"/>
      <c r="D855" s="558"/>
      <c r="E855" s="133"/>
      <c r="F855" s="608"/>
      <c r="G855" s="383"/>
      <c r="H855" s="383"/>
      <c r="I855" s="493"/>
    </row>
    <row r="856" spans="1:9" hidden="1" x14ac:dyDescent="0.3">
      <c r="A856" s="600"/>
      <c r="B856" s="385"/>
      <c r="C856" s="382"/>
      <c r="D856" s="558"/>
      <c r="E856" s="133"/>
      <c r="F856" s="608"/>
      <c r="G856" s="383"/>
      <c r="H856" s="383"/>
      <c r="I856" s="493"/>
    </row>
    <row r="857" spans="1:9" hidden="1" x14ac:dyDescent="0.3">
      <c r="A857" s="600"/>
      <c r="B857" s="385"/>
      <c r="C857" s="382"/>
      <c r="D857" s="558"/>
      <c r="E857" s="133"/>
      <c r="F857" s="608"/>
      <c r="G857" s="383"/>
      <c r="H857" s="383"/>
      <c r="I857" s="493"/>
    </row>
    <row r="858" spans="1:9" hidden="1" x14ac:dyDescent="0.3">
      <c r="A858" s="600"/>
      <c r="B858" s="385"/>
      <c r="C858" s="382"/>
      <c r="D858" s="558"/>
      <c r="E858" s="133"/>
      <c r="F858" s="608"/>
      <c r="G858" s="383"/>
      <c r="H858" s="383"/>
      <c r="I858" s="493"/>
    </row>
    <row r="859" spans="1:9" hidden="1" x14ac:dyDescent="0.3">
      <c r="A859" s="600"/>
      <c r="B859" s="385"/>
      <c r="C859" s="382"/>
      <c r="D859" s="200" t="str">
        <f>B859&amp;" "&amp;C859&amp;" "&amp;"("&amp;$B$68&amp;")"</f>
        <v xml:space="preserve">  (Cotraitant 1)</v>
      </c>
      <c r="E859" s="133"/>
      <c r="F859" s="608"/>
      <c r="G859" s="384"/>
      <c r="H859" s="384"/>
      <c r="I859" s="493"/>
    </row>
    <row r="860" spans="1:9" hidden="1" x14ac:dyDescent="0.3">
      <c r="A860" s="600"/>
      <c r="B860" s="385"/>
      <c r="C860" s="382"/>
      <c r="D860" s="200" t="str">
        <f>B860&amp;" "&amp;C860&amp;" "&amp;"("&amp;$B$68&amp;")"</f>
        <v xml:space="preserve">  (Cotraitant 1)</v>
      </c>
      <c r="E860" s="133"/>
      <c r="F860" s="608"/>
      <c r="G860" s="384"/>
      <c r="H860" s="384"/>
      <c r="I860" s="493"/>
    </row>
    <row r="861" spans="1:9" hidden="1" x14ac:dyDescent="0.3">
      <c r="A861" s="600"/>
      <c r="B861" s="385"/>
      <c r="C861" s="382"/>
      <c r="D861" s="200" t="str">
        <f>B861&amp;" "&amp;C861&amp;" "&amp;"("&amp;$B$68&amp;")"</f>
        <v xml:space="preserve">  (Cotraitant 1)</v>
      </c>
      <c r="E861" s="133"/>
      <c r="F861" s="608"/>
      <c r="G861" s="384"/>
      <c r="H861" s="384"/>
      <c r="I861" s="493"/>
    </row>
    <row r="862" spans="1:9" hidden="1" x14ac:dyDescent="0.3">
      <c r="A862" s="600"/>
      <c r="B862" s="385"/>
      <c r="C862" s="382"/>
      <c r="D862" s="200" t="str">
        <f>B862&amp;" "&amp;C862&amp;" "&amp;"("&amp;$B$68&amp;")"</f>
        <v xml:space="preserve">  (Cotraitant 1)</v>
      </c>
      <c r="E862" s="133"/>
      <c r="F862" s="608"/>
      <c r="G862" s="384"/>
      <c r="H862" s="384"/>
      <c r="I862" s="493"/>
    </row>
    <row r="863" spans="1:9" ht="19.5" hidden="1" thickBot="1" x14ac:dyDescent="0.35">
      <c r="A863" s="601"/>
      <c r="B863" s="385"/>
      <c r="C863" s="382"/>
      <c r="D863" s="200" t="str">
        <f>B863&amp;" "&amp;C863&amp;" "&amp;"("&amp;$B$68&amp;")"</f>
        <v xml:space="preserve">  (Cotraitant 1)</v>
      </c>
      <c r="E863" s="134"/>
      <c r="F863" s="609"/>
      <c r="G863" s="384"/>
      <c r="H863" s="384"/>
      <c r="I863" s="493"/>
    </row>
    <row r="864" spans="1:9" ht="18.75" hidden="1" customHeight="1" x14ac:dyDescent="0.3">
      <c r="A864" s="599" t="str">
        <f t="shared" ref="A864" si="93">$A$772</f>
        <v>Tranche OPTIONNELLE 6</v>
      </c>
      <c r="B864" s="602" t="s">
        <v>34</v>
      </c>
      <c r="C864" s="603" t="s">
        <v>35</v>
      </c>
      <c r="D864" s="197"/>
      <c r="E864" s="514" t="s">
        <v>242</v>
      </c>
      <c r="F864" s="515" t="str">
        <f>E864</f>
        <v>Montant intial TVA</v>
      </c>
      <c r="G864" s="180" t="s">
        <v>220</v>
      </c>
      <c r="H864" s="181" t="s">
        <v>220</v>
      </c>
      <c r="I864" s="604" t="s">
        <v>420</v>
      </c>
    </row>
    <row r="865" spans="1:9" hidden="1" x14ac:dyDescent="0.3">
      <c r="A865" s="600"/>
      <c r="B865" s="602"/>
      <c r="C865" s="603"/>
      <c r="D865" s="198"/>
      <c r="E865" s="512">
        <f>$C$24</f>
        <v>0.2</v>
      </c>
      <c r="F865" s="513">
        <f>$E$24</f>
        <v>0.1</v>
      </c>
      <c r="G865" s="182" t="str">
        <f>"TVA"&amp;" "&amp;$C$24*100&amp;"%"</f>
        <v>TVA 20%</v>
      </c>
      <c r="H865" s="182" t="str">
        <f>"TVA"&amp;" "&amp;$E$24*100&amp;"%"</f>
        <v>TVA 10%</v>
      </c>
      <c r="I865" s="605"/>
    </row>
    <row r="866" spans="1:9" ht="19.5" hidden="1" thickBot="1" x14ac:dyDescent="0.35">
      <c r="A866" s="600"/>
      <c r="B866" s="186" t="str">
        <f>$B$12</f>
        <v>Cotraitant 7</v>
      </c>
      <c r="C866" s="520">
        <f>$C$12</f>
        <v>0</v>
      </c>
      <c r="D866" s="179"/>
      <c r="E866" s="430"/>
      <c r="F866" s="430"/>
      <c r="G866" s="183">
        <f>E866-SUM(G867:G876)</f>
        <v>0</v>
      </c>
      <c r="H866" s="184">
        <f>F866-SUM(H867:H876)</f>
        <v>0</v>
      </c>
      <c r="I866" s="606"/>
    </row>
    <row r="867" spans="1:9" hidden="1" x14ac:dyDescent="0.3">
      <c r="A867" s="600"/>
      <c r="B867" s="385"/>
      <c r="C867" s="382"/>
      <c r="D867" s="200" t="str">
        <f>B867&amp;" "&amp;C867&amp;" "&amp;"("&amp;$B$68&amp;")"</f>
        <v xml:space="preserve">  (Cotraitant 1)</v>
      </c>
      <c r="E867" s="132"/>
      <c r="F867" s="607" t="s">
        <v>243</v>
      </c>
      <c r="G867" s="383"/>
      <c r="H867" s="383"/>
      <c r="I867" s="493"/>
    </row>
    <row r="868" spans="1:9" hidden="1" x14ac:dyDescent="0.3">
      <c r="A868" s="600"/>
      <c r="B868" s="385"/>
      <c r="C868" s="382"/>
      <c r="D868" s="558"/>
      <c r="E868" s="133"/>
      <c r="F868" s="608"/>
      <c r="G868" s="383"/>
      <c r="H868" s="383"/>
      <c r="I868" s="493"/>
    </row>
    <row r="869" spans="1:9" hidden="1" x14ac:dyDescent="0.3">
      <c r="A869" s="600"/>
      <c r="B869" s="385"/>
      <c r="C869" s="382"/>
      <c r="D869" s="558"/>
      <c r="E869" s="133"/>
      <c r="F869" s="608"/>
      <c r="G869" s="383"/>
      <c r="H869" s="383"/>
      <c r="I869" s="493"/>
    </row>
    <row r="870" spans="1:9" hidden="1" x14ac:dyDescent="0.3">
      <c r="A870" s="600"/>
      <c r="B870" s="385"/>
      <c r="C870" s="382"/>
      <c r="D870" s="558"/>
      <c r="E870" s="133"/>
      <c r="F870" s="608"/>
      <c r="G870" s="383"/>
      <c r="H870" s="383"/>
      <c r="I870" s="493"/>
    </row>
    <row r="871" spans="1:9" hidden="1" x14ac:dyDescent="0.3">
      <c r="A871" s="600"/>
      <c r="B871" s="385"/>
      <c r="C871" s="382"/>
      <c r="D871" s="558"/>
      <c r="E871" s="133"/>
      <c r="F871" s="608"/>
      <c r="G871" s="383"/>
      <c r="H871" s="383"/>
      <c r="I871" s="493"/>
    </row>
    <row r="872" spans="1:9" hidden="1" x14ac:dyDescent="0.3">
      <c r="A872" s="600"/>
      <c r="B872" s="385"/>
      <c r="C872" s="382"/>
      <c r="D872" s="200" t="str">
        <f>B872&amp;" "&amp;C872&amp;" "&amp;"("&amp;$B$68&amp;")"</f>
        <v xml:space="preserve">  (Cotraitant 1)</v>
      </c>
      <c r="E872" s="133"/>
      <c r="F872" s="608"/>
      <c r="G872" s="384"/>
      <c r="H872" s="384"/>
      <c r="I872" s="493"/>
    </row>
    <row r="873" spans="1:9" hidden="1" x14ac:dyDescent="0.3">
      <c r="A873" s="600"/>
      <c r="B873" s="385"/>
      <c r="C873" s="382"/>
      <c r="D873" s="200" t="str">
        <f>B873&amp;" "&amp;C873&amp;" "&amp;"("&amp;$B$68&amp;")"</f>
        <v xml:space="preserve">  (Cotraitant 1)</v>
      </c>
      <c r="E873" s="133"/>
      <c r="F873" s="608"/>
      <c r="G873" s="384"/>
      <c r="H873" s="384"/>
      <c r="I873" s="493"/>
    </row>
    <row r="874" spans="1:9" hidden="1" x14ac:dyDescent="0.3">
      <c r="A874" s="600"/>
      <c r="B874" s="385"/>
      <c r="C874" s="382"/>
      <c r="D874" s="200" t="str">
        <f>B874&amp;" "&amp;C874&amp;" "&amp;"("&amp;$B$68&amp;")"</f>
        <v xml:space="preserve">  (Cotraitant 1)</v>
      </c>
      <c r="E874" s="133"/>
      <c r="F874" s="608"/>
      <c r="G874" s="384"/>
      <c r="H874" s="384"/>
      <c r="I874" s="493"/>
    </row>
    <row r="875" spans="1:9" hidden="1" x14ac:dyDescent="0.3">
      <c r="A875" s="600"/>
      <c r="B875" s="385"/>
      <c r="C875" s="382"/>
      <c r="D875" s="200" t="str">
        <f>B875&amp;" "&amp;C875&amp;" "&amp;"("&amp;$B$68&amp;")"</f>
        <v xml:space="preserve">  (Cotraitant 1)</v>
      </c>
      <c r="E875" s="133"/>
      <c r="F875" s="608"/>
      <c r="G875" s="384"/>
      <c r="H875" s="384"/>
      <c r="I875" s="493"/>
    </row>
    <row r="876" spans="1:9" ht="19.5" hidden="1" thickBot="1" x14ac:dyDescent="0.35">
      <c r="A876" s="601"/>
      <c r="B876" s="385"/>
      <c r="C876" s="382"/>
      <c r="D876" s="200" t="str">
        <f>B876&amp;" "&amp;C876&amp;" "&amp;"("&amp;$B$68&amp;")"</f>
        <v xml:space="preserve">  (Cotraitant 1)</v>
      </c>
      <c r="E876" s="134"/>
      <c r="F876" s="609"/>
      <c r="G876" s="384"/>
      <c r="H876" s="384"/>
      <c r="I876" s="493"/>
    </row>
    <row r="877" spans="1:9" ht="18.75" hidden="1" customHeight="1" x14ac:dyDescent="0.3">
      <c r="A877" s="599" t="str">
        <f t="shared" ref="A877" si="94">$A$772</f>
        <v>Tranche OPTIONNELLE 6</v>
      </c>
      <c r="B877" s="602" t="s">
        <v>34</v>
      </c>
      <c r="C877" s="603" t="s">
        <v>35</v>
      </c>
      <c r="D877" s="197"/>
      <c r="E877" s="514" t="s">
        <v>242</v>
      </c>
      <c r="F877" s="515" t="str">
        <f>E877</f>
        <v>Montant intial TVA</v>
      </c>
      <c r="G877" s="180" t="s">
        <v>220</v>
      </c>
      <c r="H877" s="181" t="s">
        <v>220</v>
      </c>
      <c r="I877" s="604" t="s">
        <v>420</v>
      </c>
    </row>
    <row r="878" spans="1:9" hidden="1" x14ac:dyDescent="0.3">
      <c r="A878" s="600"/>
      <c r="B878" s="602"/>
      <c r="C878" s="603"/>
      <c r="D878" s="198"/>
      <c r="E878" s="512">
        <f>$C$24</f>
        <v>0.2</v>
      </c>
      <c r="F878" s="513">
        <f>$E$24</f>
        <v>0.1</v>
      </c>
      <c r="G878" s="182" t="str">
        <f>"TVA"&amp;" "&amp;$C$24*100&amp;"%"</f>
        <v>TVA 20%</v>
      </c>
      <c r="H878" s="182" t="str">
        <f>"TVA"&amp;" "&amp;$E$24*100&amp;"%"</f>
        <v>TVA 10%</v>
      </c>
      <c r="I878" s="605"/>
    </row>
    <row r="879" spans="1:9" ht="19.5" hidden="1" thickBot="1" x14ac:dyDescent="0.35">
      <c r="A879" s="600"/>
      <c r="B879" s="186" t="str">
        <f>$B$13</f>
        <v>Cotraitant 8</v>
      </c>
      <c r="C879" s="520">
        <f>$C$13</f>
        <v>0</v>
      </c>
      <c r="D879" s="179"/>
      <c r="E879" s="430"/>
      <c r="F879" s="430"/>
      <c r="G879" s="183">
        <f>E879-SUM(G880:G889)</f>
        <v>0</v>
      </c>
      <c r="H879" s="184">
        <f>F879-SUM(H880:H889)</f>
        <v>0</v>
      </c>
      <c r="I879" s="606"/>
    </row>
    <row r="880" spans="1:9" hidden="1" x14ac:dyDescent="0.3">
      <c r="A880" s="600"/>
      <c r="B880" s="385"/>
      <c r="C880" s="382"/>
      <c r="D880" s="200" t="str">
        <f>B880&amp;" "&amp;C880&amp;" "&amp;"("&amp;$B$68&amp;")"</f>
        <v xml:space="preserve">  (Cotraitant 1)</v>
      </c>
      <c r="E880" s="132"/>
      <c r="F880" s="607" t="s">
        <v>243</v>
      </c>
      <c r="G880" s="383"/>
      <c r="H880" s="383"/>
      <c r="I880" s="493"/>
    </row>
    <row r="881" spans="1:10" hidden="1" x14ac:dyDescent="0.3">
      <c r="A881" s="600"/>
      <c r="B881" s="385"/>
      <c r="C881" s="382"/>
      <c r="D881" s="558"/>
      <c r="E881" s="133"/>
      <c r="F881" s="608"/>
      <c r="G881" s="383"/>
      <c r="H881" s="383"/>
      <c r="I881" s="493"/>
    </row>
    <row r="882" spans="1:10" hidden="1" x14ac:dyDescent="0.3">
      <c r="A882" s="600"/>
      <c r="B882" s="385"/>
      <c r="C882" s="382"/>
      <c r="D882" s="558"/>
      <c r="E882" s="133"/>
      <c r="F882" s="608"/>
      <c r="G882" s="383"/>
      <c r="H882" s="383"/>
      <c r="I882" s="493"/>
    </row>
    <row r="883" spans="1:10" hidden="1" x14ac:dyDescent="0.3">
      <c r="A883" s="600"/>
      <c r="B883" s="385"/>
      <c r="C883" s="382"/>
      <c r="D883" s="558"/>
      <c r="E883" s="133"/>
      <c r="F883" s="608"/>
      <c r="G883" s="383"/>
      <c r="H883" s="383"/>
      <c r="I883" s="493"/>
    </row>
    <row r="884" spans="1:10" hidden="1" x14ac:dyDescent="0.3">
      <c r="A884" s="600"/>
      <c r="B884" s="385"/>
      <c r="C884" s="382"/>
      <c r="D884" s="558"/>
      <c r="E884" s="133"/>
      <c r="F884" s="608"/>
      <c r="G884" s="383"/>
      <c r="H884" s="383"/>
      <c r="I884" s="493"/>
    </row>
    <row r="885" spans="1:10" hidden="1" x14ac:dyDescent="0.3">
      <c r="A885" s="600"/>
      <c r="B885" s="385"/>
      <c r="C885" s="382"/>
      <c r="D885" s="200" t="str">
        <f>B885&amp;" "&amp;C885&amp;" "&amp;"("&amp;$B$68&amp;")"</f>
        <v xml:space="preserve">  (Cotraitant 1)</v>
      </c>
      <c r="E885" s="133"/>
      <c r="F885" s="608"/>
      <c r="G885" s="384"/>
      <c r="H885" s="384"/>
      <c r="I885" s="493"/>
    </row>
    <row r="886" spans="1:10" hidden="1" x14ac:dyDescent="0.3">
      <c r="A886" s="600"/>
      <c r="B886" s="385"/>
      <c r="C886" s="382"/>
      <c r="D886" s="200" t="str">
        <f>B886&amp;" "&amp;C886&amp;" "&amp;"("&amp;$B$68&amp;")"</f>
        <v xml:space="preserve">  (Cotraitant 1)</v>
      </c>
      <c r="E886" s="133"/>
      <c r="F886" s="608"/>
      <c r="G886" s="384"/>
      <c r="H886" s="384"/>
      <c r="I886" s="493"/>
    </row>
    <row r="887" spans="1:10" hidden="1" x14ac:dyDescent="0.3">
      <c r="A887" s="600"/>
      <c r="B887" s="385"/>
      <c r="C887" s="382"/>
      <c r="D887" s="200" t="str">
        <f>B887&amp;" "&amp;C887&amp;" "&amp;"("&amp;$B$68&amp;")"</f>
        <v xml:space="preserve">  (Cotraitant 1)</v>
      </c>
      <c r="E887" s="133"/>
      <c r="F887" s="608"/>
      <c r="G887" s="384"/>
      <c r="H887" s="384"/>
      <c r="I887" s="493"/>
    </row>
    <row r="888" spans="1:10" hidden="1" x14ac:dyDescent="0.3">
      <c r="A888" s="600"/>
      <c r="B888" s="385"/>
      <c r="C888" s="382"/>
      <c r="D888" s="200" t="str">
        <f>B888&amp;" "&amp;C888&amp;" "&amp;"("&amp;$B$68&amp;")"</f>
        <v xml:space="preserve">  (Cotraitant 1)</v>
      </c>
      <c r="E888" s="133"/>
      <c r="F888" s="608"/>
      <c r="G888" s="384"/>
      <c r="H888" s="384"/>
      <c r="I888" s="493"/>
    </row>
    <row r="889" spans="1:10" ht="19.5" hidden="1" thickBot="1" x14ac:dyDescent="0.35">
      <c r="A889" s="601"/>
      <c r="B889" s="385"/>
      <c r="C889" s="382"/>
      <c r="D889" s="200" t="str">
        <f>B889&amp;" "&amp;C889&amp;" "&amp;"("&amp;$B$68&amp;")"</f>
        <v xml:space="preserve">  (Cotraitant 1)</v>
      </c>
      <c r="E889" s="134"/>
      <c r="F889" s="609"/>
      <c r="G889" s="384"/>
      <c r="H889" s="384"/>
      <c r="I889" s="493"/>
    </row>
    <row r="890" spans="1:10" ht="18.75" customHeight="1" x14ac:dyDescent="0.3"/>
    <row r="891" spans="1:10" hidden="1" x14ac:dyDescent="0.3">
      <c r="A891" s="130"/>
      <c r="B891" s="185" t="s">
        <v>33</v>
      </c>
      <c r="C891" s="17" t="s">
        <v>270</v>
      </c>
      <c r="D891" s="203"/>
      <c r="E891" s="594"/>
      <c r="F891" s="610" t="s">
        <v>494</v>
      </c>
      <c r="G891" s="610"/>
      <c r="H891" s="610"/>
      <c r="I891" s="610"/>
      <c r="J891" s="531"/>
    </row>
    <row r="892" spans="1:10" ht="19.5" hidden="1" thickBot="1" x14ac:dyDescent="0.35">
      <c r="A892" s="611" t="s">
        <v>484</v>
      </c>
      <c r="B892" s="611"/>
      <c r="C892" s="38">
        <f>F32</f>
        <v>0</v>
      </c>
      <c r="D892" s="62"/>
      <c r="E892" s="595"/>
      <c r="F892" s="612"/>
      <c r="G892" s="612"/>
      <c r="H892" s="612"/>
      <c r="I892" s="612"/>
    </row>
    <row r="893" spans="1:10" ht="18.75" hidden="1" customHeight="1" x14ac:dyDescent="0.3">
      <c r="A893" s="592" t="str">
        <f>$A$892</f>
        <v>Avenants et OS</v>
      </c>
      <c r="B893" s="594"/>
      <c r="C893" s="594"/>
      <c r="D893" s="197"/>
      <c r="E893" s="514" t="s">
        <v>242</v>
      </c>
      <c r="F893" s="514" t="str">
        <f>E893</f>
        <v>Montant intial TVA</v>
      </c>
      <c r="G893" s="573"/>
      <c r="H893" s="559"/>
      <c r="I893" s="574"/>
    </row>
    <row r="894" spans="1:10" hidden="1" x14ac:dyDescent="0.3">
      <c r="A894" s="593"/>
      <c r="B894" s="595"/>
      <c r="C894" s="595"/>
      <c r="D894" s="198"/>
      <c r="E894" s="512">
        <f>$C$24</f>
        <v>0.2</v>
      </c>
      <c r="F894" s="530">
        <f>$E$24</f>
        <v>0.1</v>
      </c>
      <c r="G894" s="573"/>
      <c r="H894" s="559"/>
      <c r="I894" s="573"/>
    </row>
    <row r="895" spans="1:10" ht="24.75" hidden="1" customHeight="1" x14ac:dyDescent="0.3">
      <c r="A895" s="593"/>
      <c r="B895" s="560" t="s">
        <v>1</v>
      </c>
      <c r="C895" s="575" t="str">
        <f>$C$5</f>
        <v>yy</v>
      </c>
      <c r="D895" s="199"/>
      <c r="E895" s="576">
        <f>C32-E908-E921-E934-E947-E960-E973-E986-E999</f>
        <v>0</v>
      </c>
      <c r="F895" s="576">
        <f>E32-F908-F921-F934-F947-F960-F973-F986-F999</f>
        <v>0</v>
      </c>
      <c r="G895" s="573"/>
      <c r="H895" s="573"/>
      <c r="I895" s="573"/>
    </row>
    <row r="896" spans="1:10" ht="24.75" hidden="1" customHeight="1" x14ac:dyDescent="0.3">
      <c r="A896" s="593"/>
      <c r="B896" s="597"/>
      <c r="C896" s="598"/>
      <c r="D896" s="199"/>
      <c r="E896" s="131"/>
      <c r="F896" s="131"/>
      <c r="G896" s="584" t="str">
        <f>$B$895&amp;" "&amp;B896</f>
        <v xml:space="preserve">Titulaire </v>
      </c>
      <c r="H896" s="559"/>
      <c r="I896" s="559"/>
    </row>
    <row r="897" spans="1:9" ht="24.75" hidden="1" customHeight="1" x14ac:dyDescent="0.3">
      <c r="A897" s="593"/>
      <c r="B897" s="597"/>
      <c r="C897" s="598"/>
      <c r="D897" s="199"/>
      <c r="E897" s="131"/>
      <c r="F897" s="131"/>
      <c r="G897" s="584" t="str">
        <f t="shared" ref="G897:G905" si="95">$B$895&amp;" "&amp;B897</f>
        <v xml:space="preserve">Titulaire </v>
      </c>
      <c r="H897" s="559"/>
      <c r="I897" s="559"/>
    </row>
    <row r="898" spans="1:9" ht="24.75" hidden="1" customHeight="1" x14ac:dyDescent="0.3">
      <c r="A898" s="593"/>
      <c r="B898" s="597"/>
      <c r="C898" s="598"/>
      <c r="D898" s="199"/>
      <c r="E898" s="131"/>
      <c r="F898" s="131"/>
      <c r="G898" s="584" t="str">
        <f t="shared" si="95"/>
        <v xml:space="preserve">Titulaire </v>
      </c>
      <c r="H898" s="559"/>
      <c r="I898" s="559"/>
    </row>
    <row r="899" spans="1:9" ht="24.75" hidden="1" customHeight="1" x14ac:dyDescent="0.3">
      <c r="A899" s="593"/>
      <c r="B899" s="597"/>
      <c r="C899" s="598"/>
      <c r="D899" s="199"/>
      <c r="E899" s="131"/>
      <c r="F899" s="131"/>
      <c r="G899" s="584" t="str">
        <f t="shared" si="95"/>
        <v xml:space="preserve">Titulaire </v>
      </c>
      <c r="H899" s="559"/>
      <c r="I899" s="559"/>
    </row>
    <row r="900" spans="1:9" ht="24.75" hidden="1" customHeight="1" x14ac:dyDescent="0.3">
      <c r="A900" s="593"/>
      <c r="B900" s="597"/>
      <c r="C900" s="598"/>
      <c r="D900" s="199"/>
      <c r="E900" s="131"/>
      <c r="F900" s="131"/>
      <c r="G900" s="584" t="str">
        <f t="shared" si="95"/>
        <v xml:space="preserve">Titulaire </v>
      </c>
      <c r="H900" s="559"/>
      <c r="I900" s="559"/>
    </row>
    <row r="901" spans="1:9" ht="24.75" hidden="1" customHeight="1" x14ac:dyDescent="0.3">
      <c r="A901" s="593"/>
      <c r="B901" s="597"/>
      <c r="C901" s="598"/>
      <c r="D901" s="199"/>
      <c r="E901" s="131"/>
      <c r="F901" s="131"/>
      <c r="G901" s="584" t="str">
        <f t="shared" si="95"/>
        <v xml:space="preserve">Titulaire </v>
      </c>
      <c r="H901" s="559"/>
      <c r="I901" s="559"/>
    </row>
    <row r="902" spans="1:9" ht="24.75" hidden="1" customHeight="1" x14ac:dyDescent="0.3">
      <c r="A902" s="593"/>
      <c r="B902" s="597"/>
      <c r="C902" s="598"/>
      <c r="D902" s="199"/>
      <c r="E902" s="131"/>
      <c r="F902" s="131"/>
      <c r="G902" s="584" t="str">
        <f t="shared" si="95"/>
        <v xml:space="preserve">Titulaire </v>
      </c>
      <c r="H902" s="559"/>
      <c r="I902" s="559"/>
    </row>
    <row r="903" spans="1:9" ht="24.75" hidden="1" customHeight="1" x14ac:dyDescent="0.3">
      <c r="A903" s="593"/>
      <c r="B903" s="597"/>
      <c r="C903" s="598"/>
      <c r="D903" s="199"/>
      <c r="E903" s="131"/>
      <c r="F903" s="131"/>
      <c r="G903" s="584" t="str">
        <f t="shared" si="95"/>
        <v xml:space="preserve">Titulaire </v>
      </c>
      <c r="H903" s="559"/>
      <c r="I903" s="559"/>
    </row>
    <row r="904" spans="1:9" ht="24.75" hidden="1" customHeight="1" x14ac:dyDescent="0.3">
      <c r="A904" s="593"/>
      <c r="B904" s="597"/>
      <c r="C904" s="598"/>
      <c r="D904" s="199"/>
      <c r="E904" s="131"/>
      <c r="F904" s="131"/>
      <c r="G904" s="584" t="str">
        <f t="shared" si="95"/>
        <v xml:space="preserve">Titulaire </v>
      </c>
      <c r="H904" s="559"/>
      <c r="I904" s="559"/>
    </row>
    <row r="905" spans="1:9" ht="24.75" hidden="1" customHeight="1" thickBot="1" x14ac:dyDescent="0.35">
      <c r="A905" s="596"/>
      <c r="B905" s="597"/>
      <c r="C905" s="598"/>
      <c r="D905" s="199"/>
      <c r="E905" s="131"/>
      <c r="F905" s="131"/>
      <c r="G905" s="584" t="str">
        <f t="shared" si="95"/>
        <v xml:space="preserve">Titulaire </v>
      </c>
      <c r="H905" s="559"/>
      <c r="I905" s="559"/>
    </row>
    <row r="906" spans="1:9" ht="18.75" hidden="1" customHeight="1" x14ac:dyDescent="0.3">
      <c r="A906" s="592" t="str">
        <f t="shared" ref="A906" si="96">$A$892</f>
        <v>Avenants et OS</v>
      </c>
      <c r="B906" s="594"/>
      <c r="C906" s="594"/>
      <c r="D906" s="197"/>
      <c r="E906" s="514" t="s">
        <v>242</v>
      </c>
      <c r="F906" s="514" t="str">
        <f>E906</f>
        <v>Montant intial TVA</v>
      </c>
      <c r="G906" s="584"/>
      <c r="H906" s="573"/>
      <c r="I906" s="573"/>
    </row>
    <row r="907" spans="1:9" hidden="1" x14ac:dyDescent="0.3">
      <c r="A907" s="593"/>
      <c r="B907" s="595"/>
      <c r="C907" s="595"/>
      <c r="D907" s="198"/>
      <c r="E907" s="512">
        <f>$C$24</f>
        <v>0.2</v>
      </c>
      <c r="F907" s="530">
        <f>$E$24</f>
        <v>0.1</v>
      </c>
      <c r="G907" s="584"/>
      <c r="H907" s="573"/>
      <c r="I907" s="573"/>
    </row>
    <row r="908" spans="1:9" ht="25.5" hidden="1" customHeight="1" x14ac:dyDescent="0.3">
      <c r="A908" s="593"/>
      <c r="B908" s="560" t="str">
        <f>$B$6</f>
        <v>Cotraitant 1</v>
      </c>
      <c r="C908" s="224">
        <f>$C$6</f>
        <v>0</v>
      </c>
      <c r="D908" s="577"/>
      <c r="E908" s="583">
        <f>SUM(E909:E918)</f>
        <v>0</v>
      </c>
      <c r="F908" s="583">
        <f>SUM(F909:F918)</f>
        <v>0</v>
      </c>
      <c r="G908" s="584"/>
      <c r="H908" s="573"/>
      <c r="I908" s="573"/>
    </row>
    <row r="909" spans="1:9" ht="22.5" hidden="1" customHeight="1" x14ac:dyDescent="0.3">
      <c r="A909" s="593"/>
      <c r="B909" s="597"/>
      <c r="C909" s="598"/>
      <c r="D909" s="199"/>
      <c r="E909" s="131"/>
      <c r="F909" s="131"/>
      <c r="G909" s="584" t="str">
        <f>$B$908&amp;" "&amp;B909</f>
        <v xml:space="preserve">Cotraitant 1 </v>
      </c>
      <c r="H909" s="573"/>
      <c r="I909" s="573"/>
    </row>
    <row r="910" spans="1:9" ht="22.5" hidden="1" customHeight="1" x14ac:dyDescent="0.3">
      <c r="A910" s="593"/>
      <c r="B910" s="597"/>
      <c r="C910" s="598"/>
      <c r="D910" s="199"/>
      <c r="E910" s="131"/>
      <c r="F910" s="131"/>
      <c r="G910" s="584" t="str">
        <f t="shared" ref="G910:G918" si="97">$B$908&amp;" "&amp;B910</f>
        <v xml:space="preserve">Cotraitant 1 </v>
      </c>
      <c r="H910" s="573"/>
      <c r="I910" s="573"/>
    </row>
    <row r="911" spans="1:9" ht="22.5" hidden="1" customHeight="1" x14ac:dyDescent="0.3">
      <c r="A911" s="593"/>
      <c r="B911" s="597"/>
      <c r="C911" s="598"/>
      <c r="D911" s="199"/>
      <c r="E911" s="131"/>
      <c r="F911" s="131"/>
      <c r="G911" s="584" t="str">
        <f t="shared" si="97"/>
        <v xml:space="preserve">Cotraitant 1 </v>
      </c>
      <c r="H911" s="573"/>
      <c r="I911" s="573"/>
    </row>
    <row r="912" spans="1:9" ht="22.5" hidden="1" customHeight="1" x14ac:dyDescent="0.3">
      <c r="A912" s="593"/>
      <c r="B912" s="597"/>
      <c r="C912" s="598"/>
      <c r="D912" s="199"/>
      <c r="E912" s="131"/>
      <c r="F912" s="131"/>
      <c r="G912" s="584" t="str">
        <f t="shared" si="97"/>
        <v xml:space="preserve">Cotraitant 1 </v>
      </c>
      <c r="H912" s="573"/>
      <c r="I912" s="573"/>
    </row>
    <row r="913" spans="1:10" ht="22.5" hidden="1" customHeight="1" x14ac:dyDescent="0.3">
      <c r="A913" s="593"/>
      <c r="B913" s="597"/>
      <c r="C913" s="598"/>
      <c r="D913" s="199"/>
      <c r="E913" s="131"/>
      <c r="F913" s="131"/>
      <c r="G913" s="584" t="str">
        <f t="shared" si="97"/>
        <v xml:space="preserve">Cotraitant 1 </v>
      </c>
      <c r="H913" s="573"/>
      <c r="I913" s="573"/>
    </row>
    <row r="914" spans="1:10" ht="22.5" hidden="1" customHeight="1" x14ac:dyDescent="0.3">
      <c r="A914" s="593"/>
      <c r="B914" s="597"/>
      <c r="C914" s="598"/>
      <c r="D914" s="199"/>
      <c r="E914" s="131"/>
      <c r="F914" s="131"/>
      <c r="G914" s="584" t="str">
        <f t="shared" si="97"/>
        <v xml:space="preserve">Cotraitant 1 </v>
      </c>
      <c r="H914" s="573"/>
      <c r="I914" s="573"/>
    </row>
    <row r="915" spans="1:10" ht="22.5" hidden="1" customHeight="1" x14ac:dyDescent="0.3">
      <c r="A915" s="593"/>
      <c r="B915" s="597"/>
      <c r="C915" s="598"/>
      <c r="D915" s="199"/>
      <c r="E915" s="131"/>
      <c r="F915" s="131"/>
      <c r="G915" s="584" t="str">
        <f t="shared" si="97"/>
        <v xml:space="preserve">Cotraitant 1 </v>
      </c>
      <c r="H915" s="573"/>
      <c r="I915" s="573"/>
    </row>
    <row r="916" spans="1:10" ht="22.5" hidden="1" customHeight="1" x14ac:dyDescent="0.3">
      <c r="A916" s="593"/>
      <c r="B916" s="597"/>
      <c r="C916" s="598"/>
      <c r="D916" s="199"/>
      <c r="E916" s="131"/>
      <c r="F916" s="131"/>
      <c r="G916" s="584" t="str">
        <f t="shared" si="97"/>
        <v xml:space="preserve">Cotraitant 1 </v>
      </c>
      <c r="H916" s="573"/>
      <c r="I916" s="573"/>
    </row>
    <row r="917" spans="1:10" ht="22.5" hidden="1" customHeight="1" x14ac:dyDescent="0.3">
      <c r="A917" s="593"/>
      <c r="B917" s="597"/>
      <c r="C917" s="598"/>
      <c r="D917" s="199"/>
      <c r="E917" s="131"/>
      <c r="F917" s="131"/>
      <c r="G917" s="584" t="str">
        <f t="shared" si="97"/>
        <v xml:space="preserve">Cotraitant 1 </v>
      </c>
      <c r="H917" s="573"/>
      <c r="I917" s="573"/>
    </row>
    <row r="918" spans="1:10" ht="22.5" hidden="1" customHeight="1" thickBot="1" x14ac:dyDescent="0.35">
      <c r="A918" s="593"/>
      <c r="B918" s="597"/>
      <c r="C918" s="598"/>
      <c r="D918" s="199"/>
      <c r="E918" s="131"/>
      <c r="F918" s="131"/>
      <c r="G918" s="584" t="str">
        <f t="shared" si="97"/>
        <v xml:space="preserve">Cotraitant 1 </v>
      </c>
      <c r="H918" s="573"/>
      <c r="I918" s="573"/>
    </row>
    <row r="919" spans="1:10" ht="18.75" hidden="1" customHeight="1" x14ac:dyDescent="0.3">
      <c r="A919" s="592" t="str">
        <f t="shared" ref="A919" si="98">$A$892</f>
        <v>Avenants et OS</v>
      </c>
      <c r="B919" s="594"/>
      <c r="C919" s="594"/>
      <c r="D919" s="197"/>
      <c r="E919" s="514" t="s">
        <v>242</v>
      </c>
      <c r="F919" s="514" t="str">
        <f>E919</f>
        <v>Montant intial TVA</v>
      </c>
      <c r="G919" s="584"/>
      <c r="H919" s="573"/>
      <c r="I919" s="573"/>
    </row>
    <row r="920" spans="1:10" hidden="1" x14ac:dyDescent="0.3">
      <c r="A920" s="593"/>
      <c r="B920" s="595"/>
      <c r="C920" s="595"/>
      <c r="D920" s="198"/>
      <c r="E920" s="512">
        <f>$C$24</f>
        <v>0.2</v>
      </c>
      <c r="F920" s="530">
        <f>$E$24</f>
        <v>0.1</v>
      </c>
      <c r="G920" s="584"/>
      <c r="H920" s="573"/>
      <c r="I920" s="573"/>
      <c r="J920" s="518"/>
    </row>
    <row r="921" spans="1:10" ht="26.25" hidden="1" customHeight="1" x14ac:dyDescent="0.3">
      <c r="A921" s="593"/>
      <c r="B921" s="560" t="str">
        <f>$B$7</f>
        <v>Cotraitant 2</v>
      </c>
      <c r="C921" s="224">
        <f>$C$7</f>
        <v>0</v>
      </c>
      <c r="D921" s="577"/>
      <c r="E921" s="583">
        <f>SUM(E922:E931)</f>
        <v>0</v>
      </c>
      <c r="F921" s="583">
        <f>SUM(F922:F931)</f>
        <v>0</v>
      </c>
      <c r="G921" s="584"/>
      <c r="H921" s="573"/>
      <c r="I921" s="573"/>
      <c r="J921" s="549"/>
    </row>
    <row r="922" spans="1:10" ht="24.75" hidden="1" customHeight="1" x14ac:dyDescent="0.3">
      <c r="A922" s="593"/>
      <c r="B922" s="597"/>
      <c r="C922" s="598"/>
      <c r="D922" s="199"/>
      <c r="E922" s="131"/>
      <c r="F922" s="131"/>
      <c r="G922" s="584" t="str">
        <f>$B$921&amp;" "&amp;B922</f>
        <v xml:space="preserve">Cotraitant 2 </v>
      </c>
      <c r="H922" s="573"/>
      <c r="I922" s="573"/>
      <c r="J922" s="549"/>
    </row>
    <row r="923" spans="1:10" ht="24.75" hidden="1" customHeight="1" x14ac:dyDescent="0.3">
      <c r="A923" s="593"/>
      <c r="B923" s="597"/>
      <c r="C923" s="598"/>
      <c r="D923" s="199"/>
      <c r="E923" s="131"/>
      <c r="F923" s="131"/>
      <c r="G923" s="584" t="str">
        <f t="shared" ref="G923:G931" si="99">$B$921&amp;" "&amp;B923</f>
        <v xml:space="preserve">Cotraitant 2 </v>
      </c>
      <c r="H923" s="573"/>
      <c r="I923" s="573"/>
      <c r="J923" s="549"/>
    </row>
    <row r="924" spans="1:10" ht="24.75" hidden="1" customHeight="1" x14ac:dyDescent="0.3">
      <c r="A924" s="593"/>
      <c r="B924" s="597"/>
      <c r="C924" s="598"/>
      <c r="D924" s="199"/>
      <c r="E924" s="131"/>
      <c r="F924" s="131"/>
      <c r="G924" s="584" t="str">
        <f t="shared" si="99"/>
        <v xml:space="preserve">Cotraitant 2 </v>
      </c>
      <c r="H924" s="573"/>
      <c r="I924" s="573"/>
      <c r="J924" s="549"/>
    </row>
    <row r="925" spans="1:10" ht="24.75" hidden="1" customHeight="1" x14ac:dyDescent="0.3">
      <c r="A925" s="593"/>
      <c r="B925" s="597"/>
      <c r="C925" s="598"/>
      <c r="D925" s="199"/>
      <c r="E925" s="131"/>
      <c r="F925" s="131"/>
      <c r="G925" s="584" t="str">
        <f t="shared" si="99"/>
        <v xml:space="preserve">Cotraitant 2 </v>
      </c>
      <c r="H925" s="573"/>
      <c r="I925" s="573"/>
      <c r="J925" s="549"/>
    </row>
    <row r="926" spans="1:10" ht="24.75" hidden="1" customHeight="1" x14ac:dyDescent="0.3">
      <c r="A926" s="593"/>
      <c r="B926" s="597"/>
      <c r="C926" s="598"/>
      <c r="D926" s="199"/>
      <c r="E926" s="131"/>
      <c r="F926" s="131"/>
      <c r="G926" s="584" t="str">
        <f t="shared" si="99"/>
        <v xml:space="preserve">Cotraitant 2 </v>
      </c>
      <c r="H926" s="573"/>
      <c r="I926" s="573"/>
      <c r="J926" s="549"/>
    </row>
    <row r="927" spans="1:10" ht="24.75" hidden="1" customHeight="1" x14ac:dyDescent="0.3">
      <c r="A927" s="593"/>
      <c r="B927" s="597"/>
      <c r="C927" s="598"/>
      <c r="D927" s="199"/>
      <c r="E927" s="131"/>
      <c r="F927" s="131"/>
      <c r="G927" s="584" t="str">
        <f t="shared" si="99"/>
        <v xml:space="preserve">Cotraitant 2 </v>
      </c>
      <c r="H927" s="573"/>
      <c r="I927" s="573"/>
      <c r="J927" s="549"/>
    </row>
    <row r="928" spans="1:10" ht="24.75" hidden="1" customHeight="1" x14ac:dyDescent="0.3">
      <c r="A928" s="593"/>
      <c r="B928" s="597"/>
      <c r="C928" s="598"/>
      <c r="D928" s="199"/>
      <c r="E928" s="131"/>
      <c r="F928" s="131"/>
      <c r="G928" s="584" t="str">
        <f t="shared" si="99"/>
        <v xml:space="preserve">Cotraitant 2 </v>
      </c>
      <c r="H928" s="573"/>
      <c r="I928" s="573"/>
      <c r="J928" s="549"/>
    </row>
    <row r="929" spans="1:10" ht="24.75" hidden="1" customHeight="1" x14ac:dyDescent="0.3">
      <c r="A929" s="593"/>
      <c r="B929" s="597"/>
      <c r="C929" s="598"/>
      <c r="D929" s="199"/>
      <c r="E929" s="131"/>
      <c r="F929" s="131"/>
      <c r="G929" s="584" t="str">
        <f t="shared" si="99"/>
        <v xml:space="preserve">Cotraitant 2 </v>
      </c>
      <c r="H929" s="573"/>
      <c r="I929" s="573"/>
      <c r="J929" s="549"/>
    </row>
    <row r="930" spans="1:10" ht="24.75" hidden="1" customHeight="1" x14ac:dyDescent="0.3">
      <c r="A930" s="593"/>
      <c r="B930" s="597"/>
      <c r="C930" s="598"/>
      <c r="D930" s="199"/>
      <c r="E930" s="131"/>
      <c r="F930" s="131"/>
      <c r="G930" s="584" t="str">
        <f t="shared" si="99"/>
        <v xml:space="preserve">Cotraitant 2 </v>
      </c>
      <c r="H930" s="573"/>
      <c r="I930" s="573"/>
      <c r="J930" s="549"/>
    </row>
    <row r="931" spans="1:10" ht="24.75" hidden="1" customHeight="1" thickBot="1" x14ac:dyDescent="0.35">
      <c r="A931" s="593"/>
      <c r="B931" s="597"/>
      <c r="C931" s="598"/>
      <c r="D931" s="199"/>
      <c r="E931" s="131"/>
      <c r="F931" s="131"/>
      <c r="G931" s="584" t="str">
        <f t="shared" si="99"/>
        <v xml:space="preserve">Cotraitant 2 </v>
      </c>
      <c r="H931" s="573"/>
      <c r="I931" s="573"/>
      <c r="J931" s="528"/>
    </row>
    <row r="932" spans="1:10" ht="18.75" hidden="1" customHeight="1" x14ac:dyDescent="0.3">
      <c r="A932" s="592" t="str">
        <f t="shared" ref="A932" si="100">$A$892</f>
        <v>Avenants et OS</v>
      </c>
      <c r="B932" s="594"/>
      <c r="C932" s="594"/>
      <c r="D932" s="197"/>
      <c r="E932" s="514" t="s">
        <v>242</v>
      </c>
      <c r="F932" s="514" t="str">
        <f>E932</f>
        <v>Montant intial TVA</v>
      </c>
      <c r="G932" s="584"/>
      <c r="H932" s="573"/>
      <c r="I932" s="573"/>
    </row>
    <row r="933" spans="1:10" hidden="1" x14ac:dyDescent="0.3">
      <c r="A933" s="593"/>
      <c r="B933" s="595"/>
      <c r="C933" s="595"/>
      <c r="D933" s="198"/>
      <c r="E933" s="512">
        <f>$C$24</f>
        <v>0.2</v>
      </c>
      <c r="F933" s="530">
        <f>$E$24</f>
        <v>0.1</v>
      </c>
      <c r="G933" s="584"/>
      <c r="H933" s="573"/>
      <c r="I933" s="573"/>
    </row>
    <row r="934" spans="1:10" hidden="1" x14ac:dyDescent="0.3">
      <c r="A934" s="593"/>
      <c r="B934" s="560" t="str">
        <f>$B$8</f>
        <v>Cotraitant 3</v>
      </c>
      <c r="C934" s="520">
        <f>$C$8</f>
        <v>0</v>
      </c>
      <c r="D934" s="577"/>
      <c r="E934" s="583">
        <f>SUM(E935:E944)</f>
        <v>0</v>
      </c>
      <c r="F934" s="583">
        <f>SUM(F935:F944)</f>
        <v>0</v>
      </c>
      <c r="G934" s="584"/>
      <c r="H934" s="573"/>
      <c r="I934" s="573"/>
    </row>
    <row r="935" spans="1:10" ht="25.5" hidden="1" customHeight="1" x14ac:dyDescent="0.3">
      <c r="A935" s="593"/>
      <c r="B935" s="597"/>
      <c r="C935" s="598"/>
      <c r="D935" s="199"/>
      <c r="E935" s="131"/>
      <c r="F935" s="131"/>
      <c r="G935" s="584" t="str">
        <f>$B$934&amp;" "&amp;B935</f>
        <v xml:space="preserve">Cotraitant 3 </v>
      </c>
      <c r="H935" s="573"/>
      <c r="I935" s="573"/>
    </row>
    <row r="936" spans="1:10" ht="25.5" hidden="1" customHeight="1" x14ac:dyDescent="0.3">
      <c r="A936" s="593"/>
      <c r="B936" s="597"/>
      <c r="C936" s="598"/>
      <c r="D936" s="199"/>
      <c r="E936" s="131"/>
      <c r="F936" s="131"/>
      <c r="G936" s="584" t="str">
        <f t="shared" ref="G936:G944" si="101">$B$934&amp;" "&amp;B936</f>
        <v xml:space="preserve">Cotraitant 3 </v>
      </c>
      <c r="H936" s="573"/>
      <c r="I936" s="573"/>
    </row>
    <row r="937" spans="1:10" ht="25.5" hidden="1" customHeight="1" x14ac:dyDescent="0.3">
      <c r="A937" s="593"/>
      <c r="B937" s="597"/>
      <c r="C937" s="598"/>
      <c r="D937" s="199"/>
      <c r="E937" s="131"/>
      <c r="F937" s="131"/>
      <c r="G937" s="584" t="str">
        <f t="shared" si="101"/>
        <v xml:space="preserve">Cotraitant 3 </v>
      </c>
      <c r="H937" s="573"/>
      <c r="I937" s="573"/>
    </row>
    <row r="938" spans="1:10" ht="25.5" hidden="1" customHeight="1" x14ac:dyDescent="0.3">
      <c r="A938" s="593"/>
      <c r="B938" s="597"/>
      <c r="C938" s="598"/>
      <c r="D938" s="199"/>
      <c r="E938" s="131"/>
      <c r="F938" s="131"/>
      <c r="G938" s="584" t="str">
        <f t="shared" si="101"/>
        <v xml:space="preserve">Cotraitant 3 </v>
      </c>
      <c r="H938" s="573"/>
      <c r="I938" s="573"/>
    </row>
    <row r="939" spans="1:10" ht="25.5" hidden="1" customHeight="1" x14ac:dyDescent="0.3">
      <c r="A939" s="593"/>
      <c r="B939" s="597"/>
      <c r="C939" s="598"/>
      <c r="D939" s="199"/>
      <c r="E939" s="131"/>
      <c r="F939" s="131"/>
      <c r="G939" s="584" t="str">
        <f t="shared" si="101"/>
        <v xml:space="preserve">Cotraitant 3 </v>
      </c>
      <c r="H939" s="573"/>
      <c r="I939" s="573"/>
    </row>
    <row r="940" spans="1:10" ht="25.5" hidden="1" customHeight="1" x14ac:dyDescent="0.3">
      <c r="A940" s="593"/>
      <c r="B940" s="597"/>
      <c r="C940" s="598"/>
      <c r="D940" s="199"/>
      <c r="E940" s="131"/>
      <c r="F940" s="131"/>
      <c r="G940" s="584" t="str">
        <f t="shared" si="101"/>
        <v xml:space="preserve">Cotraitant 3 </v>
      </c>
      <c r="H940" s="573"/>
      <c r="I940" s="573"/>
    </row>
    <row r="941" spans="1:10" ht="25.5" hidden="1" customHeight="1" x14ac:dyDescent="0.3">
      <c r="A941" s="593"/>
      <c r="B941" s="597"/>
      <c r="C941" s="598"/>
      <c r="D941" s="199"/>
      <c r="E941" s="131"/>
      <c r="F941" s="131"/>
      <c r="G941" s="584" t="str">
        <f t="shared" si="101"/>
        <v xml:space="preserve">Cotraitant 3 </v>
      </c>
      <c r="H941" s="573"/>
      <c r="I941" s="573"/>
    </row>
    <row r="942" spans="1:10" ht="25.5" hidden="1" customHeight="1" x14ac:dyDescent="0.3">
      <c r="A942" s="593"/>
      <c r="B942" s="597"/>
      <c r="C942" s="598"/>
      <c r="D942" s="199"/>
      <c r="E942" s="131"/>
      <c r="F942" s="131"/>
      <c r="G942" s="584" t="str">
        <f t="shared" si="101"/>
        <v xml:space="preserve">Cotraitant 3 </v>
      </c>
      <c r="H942" s="573"/>
      <c r="I942" s="573"/>
    </row>
    <row r="943" spans="1:10" ht="25.5" hidden="1" customHeight="1" x14ac:dyDescent="0.3">
      <c r="A943" s="593"/>
      <c r="B943" s="597"/>
      <c r="C943" s="598"/>
      <c r="D943" s="199"/>
      <c r="E943" s="131"/>
      <c r="F943" s="131"/>
      <c r="G943" s="584" t="str">
        <f t="shared" si="101"/>
        <v xml:space="preserve">Cotraitant 3 </v>
      </c>
      <c r="H943" s="573"/>
      <c r="I943" s="573"/>
    </row>
    <row r="944" spans="1:10" ht="25.5" hidden="1" customHeight="1" thickBot="1" x14ac:dyDescent="0.35">
      <c r="A944" s="593"/>
      <c r="B944" s="597"/>
      <c r="C944" s="598"/>
      <c r="D944" s="199"/>
      <c r="E944" s="131"/>
      <c r="F944" s="131"/>
      <c r="G944" s="584" t="str">
        <f t="shared" si="101"/>
        <v xml:space="preserve">Cotraitant 3 </v>
      </c>
      <c r="H944" s="573"/>
      <c r="I944" s="573"/>
    </row>
    <row r="945" spans="1:9" ht="18.75" hidden="1" customHeight="1" x14ac:dyDescent="0.3">
      <c r="A945" s="592" t="str">
        <f t="shared" ref="A945" si="102">$A$892</f>
        <v>Avenants et OS</v>
      </c>
      <c r="B945" s="594"/>
      <c r="C945" s="594"/>
      <c r="D945" s="197"/>
      <c r="E945" s="514" t="s">
        <v>242</v>
      </c>
      <c r="F945" s="514" t="str">
        <f>E945</f>
        <v>Montant intial TVA</v>
      </c>
      <c r="G945" s="584"/>
      <c r="H945" s="573"/>
      <c r="I945" s="573"/>
    </row>
    <row r="946" spans="1:9" hidden="1" x14ac:dyDescent="0.3">
      <c r="A946" s="593"/>
      <c r="B946" s="595"/>
      <c r="C946" s="595"/>
      <c r="D946" s="198"/>
      <c r="E946" s="512">
        <f>$C$24</f>
        <v>0.2</v>
      </c>
      <c r="F946" s="530">
        <f>$E$24</f>
        <v>0.1</v>
      </c>
      <c r="G946" s="584"/>
      <c r="H946" s="573"/>
      <c r="I946" s="573"/>
    </row>
    <row r="947" spans="1:9" hidden="1" x14ac:dyDescent="0.3">
      <c r="A947" s="593"/>
      <c r="B947" s="560" t="str">
        <f>$B$9</f>
        <v>Cotraitant 4</v>
      </c>
      <c r="C947" s="520">
        <f>$C$9</f>
        <v>0</v>
      </c>
      <c r="D947" s="577"/>
      <c r="E947" s="583">
        <f>SUM(E948:E957)</f>
        <v>0</v>
      </c>
      <c r="F947" s="583">
        <f>SUM(F948:F957)</f>
        <v>0</v>
      </c>
      <c r="G947" s="584"/>
      <c r="H947" s="573"/>
      <c r="I947" s="573"/>
    </row>
    <row r="948" spans="1:9" ht="23.25" hidden="1" customHeight="1" x14ac:dyDescent="0.3">
      <c r="A948" s="593"/>
      <c r="B948" s="597"/>
      <c r="C948" s="598"/>
      <c r="D948" s="199"/>
      <c r="E948" s="131"/>
      <c r="F948" s="131"/>
      <c r="G948" s="584" t="str">
        <f>$B$947&amp;" "&amp;B948</f>
        <v xml:space="preserve">Cotraitant 4 </v>
      </c>
      <c r="H948" s="573"/>
      <c r="I948" s="573"/>
    </row>
    <row r="949" spans="1:9" ht="23.25" hidden="1" customHeight="1" x14ac:dyDescent="0.3">
      <c r="A949" s="593"/>
      <c r="B949" s="597"/>
      <c r="C949" s="598"/>
      <c r="D949" s="199"/>
      <c r="E949" s="131"/>
      <c r="F949" s="131"/>
      <c r="G949" s="584" t="str">
        <f t="shared" ref="G949:G957" si="103">$B$947&amp;" "&amp;B949</f>
        <v xml:space="preserve">Cotraitant 4 </v>
      </c>
      <c r="H949" s="573"/>
      <c r="I949" s="573"/>
    </row>
    <row r="950" spans="1:9" ht="23.25" hidden="1" customHeight="1" x14ac:dyDescent="0.3">
      <c r="A950" s="593"/>
      <c r="B950" s="597"/>
      <c r="C950" s="598"/>
      <c r="D950" s="199"/>
      <c r="E950" s="131"/>
      <c r="F950" s="131"/>
      <c r="G950" s="584" t="str">
        <f t="shared" si="103"/>
        <v xml:space="preserve">Cotraitant 4 </v>
      </c>
      <c r="H950" s="573"/>
      <c r="I950" s="573"/>
    </row>
    <row r="951" spans="1:9" ht="23.25" hidden="1" customHeight="1" x14ac:dyDescent="0.3">
      <c r="A951" s="593"/>
      <c r="B951" s="597"/>
      <c r="C951" s="598"/>
      <c r="D951" s="199"/>
      <c r="E951" s="131"/>
      <c r="F951" s="131"/>
      <c r="G951" s="584" t="str">
        <f t="shared" si="103"/>
        <v xml:space="preserve">Cotraitant 4 </v>
      </c>
      <c r="H951" s="573"/>
      <c r="I951" s="573"/>
    </row>
    <row r="952" spans="1:9" ht="23.25" hidden="1" customHeight="1" x14ac:dyDescent="0.3">
      <c r="A952" s="593"/>
      <c r="B952" s="597"/>
      <c r="C952" s="598"/>
      <c r="D952" s="199"/>
      <c r="E952" s="131"/>
      <c r="F952" s="131"/>
      <c r="G952" s="584" t="str">
        <f t="shared" si="103"/>
        <v xml:space="preserve">Cotraitant 4 </v>
      </c>
      <c r="H952" s="573"/>
      <c r="I952" s="573"/>
    </row>
    <row r="953" spans="1:9" ht="23.25" hidden="1" customHeight="1" x14ac:dyDescent="0.3">
      <c r="A953" s="593"/>
      <c r="B953" s="597"/>
      <c r="C953" s="598"/>
      <c r="D953" s="199"/>
      <c r="E953" s="131"/>
      <c r="F953" s="131"/>
      <c r="G953" s="584" t="str">
        <f t="shared" si="103"/>
        <v xml:space="preserve">Cotraitant 4 </v>
      </c>
      <c r="H953" s="573"/>
      <c r="I953" s="573"/>
    </row>
    <row r="954" spans="1:9" ht="23.25" hidden="1" customHeight="1" x14ac:dyDescent="0.3">
      <c r="A954" s="593"/>
      <c r="B954" s="597"/>
      <c r="C954" s="598"/>
      <c r="D954" s="199"/>
      <c r="E954" s="131"/>
      <c r="F954" s="131"/>
      <c r="G954" s="584" t="str">
        <f t="shared" si="103"/>
        <v xml:space="preserve">Cotraitant 4 </v>
      </c>
      <c r="H954" s="573"/>
      <c r="I954" s="573"/>
    </row>
    <row r="955" spans="1:9" ht="23.25" hidden="1" customHeight="1" x14ac:dyDescent="0.3">
      <c r="A955" s="593"/>
      <c r="B955" s="597"/>
      <c r="C955" s="598"/>
      <c r="D955" s="199"/>
      <c r="E955" s="131"/>
      <c r="F955" s="131"/>
      <c r="G955" s="584" t="str">
        <f t="shared" si="103"/>
        <v xml:space="preserve">Cotraitant 4 </v>
      </c>
      <c r="H955" s="573"/>
      <c r="I955" s="573"/>
    </row>
    <row r="956" spans="1:9" ht="23.25" hidden="1" customHeight="1" x14ac:dyDescent="0.3">
      <c r="A956" s="593"/>
      <c r="B956" s="597"/>
      <c r="C956" s="598"/>
      <c r="D956" s="199"/>
      <c r="E956" s="131"/>
      <c r="F956" s="131"/>
      <c r="G956" s="584" t="str">
        <f t="shared" si="103"/>
        <v xml:space="preserve">Cotraitant 4 </v>
      </c>
      <c r="H956" s="573"/>
      <c r="I956" s="573"/>
    </row>
    <row r="957" spans="1:9" ht="23.25" hidden="1" customHeight="1" thickBot="1" x14ac:dyDescent="0.35">
      <c r="A957" s="593"/>
      <c r="B957" s="597"/>
      <c r="C957" s="598"/>
      <c r="D957" s="199"/>
      <c r="E957" s="131"/>
      <c r="F957" s="131"/>
      <c r="G957" s="584" t="str">
        <f t="shared" si="103"/>
        <v xml:space="preserve">Cotraitant 4 </v>
      </c>
      <c r="H957" s="573"/>
      <c r="I957" s="573"/>
    </row>
    <row r="958" spans="1:9" ht="18.75" hidden="1" customHeight="1" x14ac:dyDescent="0.3">
      <c r="A958" s="592" t="str">
        <f t="shared" ref="A958" si="104">$A$892</f>
        <v>Avenants et OS</v>
      </c>
      <c r="B958" s="594"/>
      <c r="C958" s="594"/>
      <c r="D958" s="197"/>
      <c r="E958" s="514" t="s">
        <v>242</v>
      </c>
      <c r="F958" s="514" t="str">
        <f>E958</f>
        <v>Montant intial TVA</v>
      </c>
      <c r="G958" s="584"/>
      <c r="H958" s="573"/>
      <c r="I958" s="573"/>
    </row>
    <row r="959" spans="1:9" hidden="1" x14ac:dyDescent="0.3">
      <c r="A959" s="593"/>
      <c r="B959" s="595"/>
      <c r="C959" s="595"/>
      <c r="D959" s="198"/>
      <c r="E959" s="512">
        <f>$C$24</f>
        <v>0.2</v>
      </c>
      <c r="F959" s="530">
        <f>$E$24</f>
        <v>0.1</v>
      </c>
      <c r="G959" s="584"/>
      <c r="H959" s="573"/>
      <c r="I959" s="573"/>
    </row>
    <row r="960" spans="1:9" hidden="1" x14ac:dyDescent="0.3">
      <c r="A960" s="593"/>
      <c r="B960" s="560" t="str">
        <f>$B$10</f>
        <v>Cotraitant 5</v>
      </c>
      <c r="C960" s="520">
        <f>$C$10</f>
        <v>0</v>
      </c>
      <c r="D960" s="577"/>
      <c r="E960" s="583">
        <f>SUM(E961:E970)</f>
        <v>0</v>
      </c>
      <c r="F960" s="583">
        <f>SUM(F961:F970)</f>
        <v>0</v>
      </c>
      <c r="G960" s="584"/>
      <c r="H960" s="573"/>
      <c r="I960" s="573"/>
    </row>
    <row r="961" spans="1:9" ht="28.5" hidden="1" customHeight="1" x14ac:dyDescent="0.3">
      <c r="A961" s="593"/>
      <c r="B961" s="597"/>
      <c r="C961" s="598"/>
      <c r="D961" s="199"/>
      <c r="E961" s="131"/>
      <c r="F961" s="131"/>
      <c r="G961" s="584" t="str">
        <f>$B$960&amp;" "&amp;B961</f>
        <v xml:space="preserve">Cotraitant 5 </v>
      </c>
      <c r="H961" s="573"/>
      <c r="I961" s="573"/>
    </row>
    <row r="962" spans="1:9" ht="28.5" hidden="1" customHeight="1" x14ac:dyDescent="0.3">
      <c r="A962" s="593"/>
      <c r="B962" s="597"/>
      <c r="C962" s="598"/>
      <c r="D962" s="199"/>
      <c r="E962" s="131"/>
      <c r="F962" s="131"/>
      <c r="G962" s="584" t="str">
        <f t="shared" ref="G962:G970" si="105">$B$960&amp;" "&amp;B962</f>
        <v xml:space="preserve">Cotraitant 5 </v>
      </c>
      <c r="H962" s="573"/>
      <c r="I962" s="573"/>
    </row>
    <row r="963" spans="1:9" ht="28.5" hidden="1" customHeight="1" x14ac:dyDescent="0.3">
      <c r="A963" s="593"/>
      <c r="B963" s="597"/>
      <c r="C963" s="598"/>
      <c r="D963" s="199"/>
      <c r="E963" s="131"/>
      <c r="F963" s="131"/>
      <c r="G963" s="584" t="str">
        <f t="shared" si="105"/>
        <v xml:space="preserve">Cotraitant 5 </v>
      </c>
      <c r="H963" s="573"/>
      <c r="I963" s="573"/>
    </row>
    <row r="964" spans="1:9" ht="28.5" hidden="1" customHeight="1" x14ac:dyDescent="0.3">
      <c r="A964" s="593"/>
      <c r="B964" s="597"/>
      <c r="C964" s="598"/>
      <c r="D964" s="199"/>
      <c r="E964" s="131"/>
      <c r="F964" s="131"/>
      <c r="G964" s="584" t="str">
        <f t="shared" si="105"/>
        <v xml:space="preserve">Cotraitant 5 </v>
      </c>
      <c r="H964" s="573"/>
      <c r="I964" s="573"/>
    </row>
    <row r="965" spans="1:9" ht="28.5" hidden="1" customHeight="1" x14ac:dyDescent="0.3">
      <c r="A965" s="593"/>
      <c r="B965" s="597"/>
      <c r="C965" s="598"/>
      <c r="D965" s="199"/>
      <c r="E965" s="131"/>
      <c r="F965" s="131"/>
      <c r="G965" s="584" t="str">
        <f t="shared" si="105"/>
        <v xml:space="preserve">Cotraitant 5 </v>
      </c>
      <c r="H965" s="573"/>
      <c r="I965" s="573"/>
    </row>
    <row r="966" spans="1:9" ht="28.5" hidden="1" customHeight="1" x14ac:dyDescent="0.3">
      <c r="A966" s="593"/>
      <c r="B966" s="597"/>
      <c r="C966" s="598"/>
      <c r="D966" s="199"/>
      <c r="E966" s="131"/>
      <c r="F966" s="131"/>
      <c r="G966" s="584" t="str">
        <f t="shared" si="105"/>
        <v xml:space="preserve">Cotraitant 5 </v>
      </c>
      <c r="H966" s="573"/>
      <c r="I966" s="573"/>
    </row>
    <row r="967" spans="1:9" ht="28.5" hidden="1" customHeight="1" x14ac:dyDescent="0.3">
      <c r="A967" s="593"/>
      <c r="B967" s="597"/>
      <c r="C967" s="598"/>
      <c r="D967" s="199"/>
      <c r="E967" s="131"/>
      <c r="F967" s="131"/>
      <c r="G967" s="584" t="str">
        <f t="shared" si="105"/>
        <v xml:space="preserve">Cotraitant 5 </v>
      </c>
      <c r="H967" s="573"/>
      <c r="I967" s="573"/>
    </row>
    <row r="968" spans="1:9" ht="28.5" hidden="1" customHeight="1" x14ac:dyDescent="0.3">
      <c r="A968" s="593"/>
      <c r="B968" s="597"/>
      <c r="C968" s="598"/>
      <c r="D968" s="199"/>
      <c r="E968" s="131"/>
      <c r="F968" s="131"/>
      <c r="G968" s="584" t="str">
        <f t="shared" si="105"/>
        <v xml:space="preserve">Cotraitant 5 </v>
      </c>
      <c r="H968" s="573"/>
      <c r="I968" s="573"/>
    </row>
    <row r="969" spans="1:9" ht="28.5" hidden="1" customHeight="1" x14ac:dyDescent="0.3">
      <c r="A969" s="593"/>
      <c r="B969" s="597"/>
      <c r="C969" s="598"/>
      <c r="D969" s="199"/>
      <c r="E969" s="131"/>
      <c r="F969" s="131"/>
      <c r="G969" s="584" t="str">
        <f t="shared" si="105"/>
        <v xml:space="preserve">Cotraitant 5 </v>
      </c>
      <c r="H969" s="573"/>
      <c r="I969" s="573"/>
    </row>
    <row r="970" spans="1:9" ht="28.5" hidden="1" customHeight="1" thickBot="1" x14ac:dyDescent="0.35">
      <c r="A970" s="593"/>
      <c r="B970" s="597"/>
      <c r="C970" s="598"/>
      <c r="D970" s="199"/>
      <c r="E970" s="131"/>
      <c r="F970" s="131"/>
      <c r="G970" s="584" t="str">
        <f t="shared" si="105"/>
        <v xml:space="preserve">Cotraitant 5 </v>
      </c>
      <c r="H970" s="573"/>
      <c r="I970" s="573"/>
    </row>
    <row r="971" spans="1:9" ht="18.75" hidden="1" customHeight="1" x14ac:dyDescent="0.3">
      <c r="A971" s="592" t="str">
        <f t="shared" ref="A971" si="106">$A$892</f>
        <v>Avenants et OS</v>
      </c>
      <c r="B971" s="594"/>
      <c r="C971" s="594"/>
      <c r="D971" s="197"/>
      <c r="E971" s="514" t="s">
        <v>242</v>
      </c>
      <c r="F971" s="514" t="str">
        <f>E971</f>
        <v>Montant intial TVA</v>
      </c>
      <c r="G971" s="584"/>
      <c r="H971" s="573"/>
      <c r="I971" s="573"/>
    </row>
    <row r="972" spans="1:9" hidden="1" x14ac:dyDescent="0.3">
      <c r="A972" s="593"/>
      <c r="B972" s="595"/>
      <c r="C972" s="595"/>
      <c r="D972" s="198"/>
      <c r="E972" s="512">
        <f>$C$24</f>
        <v>0.2</v>
      </c>
      <c r="F972" s="530">
        <f>$E$24</f>
        <v>0.1</v>
      </c>
      <c r="G972" s="584"/>
      <c r="H972" s="573"/>
      <c r="I972" s="573"/>
    </row>
    <row r="973" spans="1:9" hidden="1" x14ac:dyDescent="0.3">
      <c r="A973" s="593"/>
      <c r="B973" s="560" t="str">
        <f>$B$11</f>
        <v>Cotraitant 6</v>
      </c>
      <c r="C973" s="520">
        <f>$C$11</f>
        <v>0</v>
      </c>
      <c r="D973" s="577"/>
      <c r="E973" s="583">
        <f>SUM(E974:E983)</f>
        <v>0</v>
      </c>
      <c r="F973" s="583">
        <f>SUM(F974:F983)</f>
        <v>0</v>
      </c>
      <c r="G973" s="584"/>
      <c r="H973" s="573"/>
      <c r="I973" s="573"/>
    </row>
    <row r="974" spans="1:9" ht="25.5" hidden="1" customHeight="1" x14ac:dyDescent="0.3">
      <c r="A974" s="593"/>
      <c r="B974" s="597"/>
      <c r="C974" s="598"/>
      <c r="D974" s="199"/>
      <c r="E974" s="131"/>
      <c r="F974" s="131"/>
      <c r="G974" s="584" t="str">
        <f>$B$973&amp;" "&amp;B974</f>
        <v xml:space="preserve">Cotraitant 6 </v>
      </c>
      <c r="H974" s="573"/>
      <c r="I974" s="573"/>
    </row>
    <row r="975" spans="1:9" ht="25.5" hidden="1" customHeight="1" x14ac:dyDescent="0.3">
      <c r="A975" s="593"/>
      <c r="B975" s="597"/>
      <c r="C975" s="598"/>
      <c r="D975" s="199"/>
      <c r="E975" s="131"/>
      <c r="F975" s="131"/>
      <c r="G975" s="584" t="str">
        <f t="shared" ref="G975:G983" si="107">$B$973&amp;" "&amp;B975</f>
        <v xml:space="preserve">Cotraitant 6 </v>
      </c>
      <c r="H975" s="573"/>
      <c r="I975" s="573"/>
    </row>
    <row r="976" spans="1:9" ht="25.5" hidden="1" customHeight="1" x14ac:dyDescent="0.3">
      <c r="A976" s="593"/>
      <c r="B976" s="597"/>
      <c r="C976" s="598"/>
      <c r="D976" s="199"/>
      <c r="E976" s="131"/>
      <c r="F976" s="131"/>
      <c r="G976" s="584" t="str">
        <f t="shared" si="107"/>
        <v xml:space="preserve">Cotraitant 6 </v>
      </c>
      <c r="H976" s="573"/>
      <c r="I976" s="573"/>
    </row>
    <row r="977" spans="1:9" ht="25.5" hidden="1" customHeight="1" x14ac:dyDescent="0.3">
      <c r="A977" s="593"/>
      <c r="B977" s="597"/>
      <c r="C977" s="598"/>
      <c r="D977" s="199"/>
      <c r="E977" s="131"/>
      <c r="F977" s="131"/>
      <c r="G977" s="584" t="str">
        <f t="shared" si="107"/>
        <v xml:space="preserve">Cotraitant 6 </v>
      </c>
      <c r="H977" s="573"/>
      <c r="I977" s="573"/>
    </row>
    <row r="978" spans="1:9" ht="25.5" hidden="1" customHeight="1" x14ac:dyDescent="0.3">
      <c r="A978" s="593"/>
      <c r="B978" s="597"/>
      <c r="C978" s="598"/>
      <c r="D978" s="199"/>
      <c r="E978" s="131"/>
      <c r="F978" s="131"/>
      <c r="G978" s="584" t="str">
        <f t="shared" si="107"/>
        <v xml:space="preserve">Cotraitant 6 </v>
      </c>
      <c r="H978" s="573"/>
      <c r="I978" s="573"/>
    </row>
    <row r="979" spans="1:9" ht="25.5" hidden="1" customHeight="1" x14ac:dyDescent="0.3">
      <c r="A979" s="593"/>
      <c r="B979" s="597"/>
      <c r="C979" s="598"/>
      <c r="D979" s="199"/>
      <c r="E979" s="131"/>
      <c r="F979" s="131"/>
      <c r="G979" s="584" t="str">
        <f t="shared" si="107"/>
        <v xml:space="preserve">Cotraitant 6 </v>
      </c>
      <c r="H979" s="573"/>
      <c r="I979" s="573"/>
    </row>
    <row r="980" spans="1:9" ht="25.5" hidden="1" customHeight="1" x14ac:dyDescent="0.3">
      <c r="A980" s="593"/>
      <c r="B980" s="597"/>
      <c r="C980" s="598"/>
      <c r="D980" s="199"/>
      <c r="E980" s="131"/>
      <c r="F980" s="131"/>
      <c r="G980" s="584" t="str">
        <f t="shared" si="107"/>
        <v xml:space="preserve">Cotraitant 6 </v>
      </c>
      <c r="H980" s="573"/>
      <c r="I980" s="573"/>
    </row>
    <row r="981" spans="1:9" ht="25.5" hidden="1" customHeight="1" x14ac:dyDescent="0.3">
      <c r="A981" s="593"/>
      <c r="B981" s="597"/>
      <c r="C981" s="598"/>
      <c r="D981" s="199"/>
      <c r="E981" s="131"/>
      <c r="F981" s="131"/>
      <c r="G981" s="584" t="str">
        <f t="shared" si="107"/>
        <v xml:space="preserve">Cotraitant 6 </v>
      </c>
      <c r="H981" s="573"/>
      <c r="I981" s="573"/>
    </row>
    <row r="982" spans="1:9" ht="25.5" hidden="1" customHeight="1" x14ac:dyDescent="0.3">
      <c r="A982" s="593"/>
      <c r="B982" s="597"/>
      <c r="C982" s="598"/>
      <c r="D982" s="199"/>
      <c r="E982" s="131"/>
      <c r="F982" s="131"/>
      <c r="G982" s="584" t="str">
        <f t="shared" si="107"/>
        <v xml:space="preserve">Cotraitant 6 </v>
      </c>
      <c r="H982" s="573"/>
      <c r="I982" s="573"/>
    </row>
    <row r="983" spans="1:9" ht="25.5" hidden="1" customHeight="1" thickBot="1" x14ac:dyDescent="0.35">
      <c r="A983" s="593"/>
      <c r="B983" s="597"/>
      <c r="C983" s="598"/>
      <c r="D983" s="199"/>
      <c r="E983" s="131"/>
      <c r="F983" s="131"/>
      <c r="G983" s="584" t="str">
        <f t="shared" si="107"/>
        <v xml:space="preserve">Cotraitant 6 </v>
      </c>
      <c r="H983" s="573"/>
      <c r="I983" s="573"/>
    </row>
    <row r="984" spans="1:9" ht="18.75" hidden="1" customHeight="1" x14ac:dyDescent="0.3">
      <c r="A984" s="592" t="str">
        <f t="shared" ref="A984" si="108">$A$892</f>
        <v>Avenants et OS</v>
      </c>
      <c r="B984" s="594"/>
      <c r="C984" s="594"/>
      <c r="D984" s="197"/>
      <c r="E984" s="514" t="s">
        <v>242</v>
      </c>
      <c r="F984" s="514" t="str">
        <f>E984</f>
        <v>Montant intial TVA</v>
      </c>
      <c r="G984" s="584"/>
      <c r="H984" s="573"/>
      <c r="I984" s="573"/>
    </row>
    <row r="985" spans="1:9" hidden="1" x14ac:dyDescent="0.3">
      <c r="A985" s="593"/>
      <c r="B985" s="595"/>
      <c r="C985" s="595"/>
      <c r="D985" s="198"/>
      <c r="E985" s="512">
        <f>$C$24</f>
        <v>0.2</v>
      </c>
      <c r="F985" s="530">
        <f>$E$24</f>
        <v>0.1</v>
      </c>
      <c r="G985" s="584"/>
      <c r="H985" s="573"/>
      <c r="I985" s="573"/>
    </row>
    <row r="986" spans="1:9" hidden="1" x14ac:dyDescent="0.3">
      <c r="A986" s="593"/>
      <c r="B986" s="560" t="str">
        <f>$B$12</f>
        <v>Cotraitant 7</v>
      </c>
      <c r="C986" s="520">
        <f>$C$12</f>
        <v>0</v>
      </c>
      <c r="D986" s="577"/>
      <c r="E986" s="583">
        <f>SUM(E987:E996)</f>
        <v>0</v>
      </c>
      <c r="F986" s="583">
        <f>SUM(F987:F996)</f>
        <v>0</v>
      </c>
      <c r="G986" s="584"/>
      <c r="H986" s="573"/>
      <c r="I986" s="573"/>
    </row>
    <row r="987" spans="1:9" ht="25.5" hidden="1" customHeight="1" x14ac:dyDescent="0.3">
      <c r="A987" s="593"/>
      <c r="B987" s="597"/>
      <c r="C987" s="598"/>
      <c r="D987" s="199"/>
      <c r="E987" s="131"/>
      <c r="F987" s="131"/>
      <c r="G987" s="584" t="str">
        <f>$B$986&amp;" "&amp;B987</f>
        <v xml:space="preserve">Cotraitant 7 </v>
      </c>
      <c r="H987" s="573"/>
      <c r="I987" s="573"/>
    </row>
    <row r="988" spans="1:9" ht="25.5" hidden="1" customHeight="1" x14ac:dyDescent="0.3">
      <c r="A988" s="593"/>
      <c r="B988" s="597"/>
      <c r="C988" s="598"/>
      <c r="D988" s="199"/>
      <c r="E988" s="131"/>
      <c r="F988" s="131"/>
      <c r="G988" s="584" t="str">
        <f t="shared" ref="G988:G996" si="109">$B$986&amp;" "&amp;B988</f>
        <v xml:space="preserve">Cotraitant 7 </v>
      </c>
      <c r="H988" s="573"/>
      <c r="I988" s="573"/>
    </row>
    <row r="989" spans="1:9" ht="25.5" hidden="1" customHeight="1" x14ac:dyDescent="0.3">
      <c r="A989" s="593"/>
      <c r="B989" s="597"/>
      <c r="C989" s="598"/>
      <c r="D989" s="199"/>
      <c r="E989" s="131"/>
      <c r="F989" s="131"/>
      <c r="G989" s="584" t="str">
        <f t="shared" si="109"/>
        <v xml:space="preserve">Cotraitant 7 </v>
      </c>
      <c r="H989" s="573"/>
      <c r="I989" s="573"/>
    </row>
    <row r="990" spans="1:9" ht="25.5" hidden="1" customHeight="1" x14ac:dyDescent="0.3">
      <c r="A990" s="593"/>
      <c r="B990" s="597"/>
      <c r="C990" s="598"/>
      <c r="D990" s="199"/>
      <c r="E990" s="131"/>
      <c r="F990" s="131"/>
      <c r="G990" s="584" t="str">
        <f t="shared" si="109"/>
        <v xml:space="preserve">Cotraitant 7 </v>
      </c>
      <c r="H990" s="573"/>
      <c r="I990" s="573"/>
    </row>
    <row r="991" spans="1:9" ht="25.5" hidden="1" customHeight="1" x14ac:dyDescent="0.3">
      <c r="A991" s="593"/>
      <c r="B991" s="597"/>
      <c r="C991" s="598"/>
      <c r="D991" s="199"/>
      <c r="E991" s="131"/>
      <c r="F991" s="131"/>
      <c r="G991" s="584" t="str">
        <f t="shared" si="109"/>
        <v xml:space="preserve">Cotraitant 7 </v>
      </c>
      <c r="H991" s="573"/>
      <c r="I991" s="573"/>
    </row>
    <row r="992" spans="1:9" ht="25.5" hidden="1" customHeight="1" x14ac:dyDescent="0.3">
      <c r="A992" s="593"/>
      <c r="B992" s="597"/>
      <c r="C992" s="598"/>
      <c r="D992" s="199"/>
      <c r="E992" s="131"/>
      <c r="F992" s="131"/>
      <c r="G992" s="584" t="str">
        <f t="shared" si="109"/>
        <v xml:space="preserve">Cotraitant 7 </v>
      </c>
      <c r="H992" s="573"/>
      <c r="I992" s="573"/>
    </row>
    <row r="993" spans="1:9" ht="25.5" hidden="1" customHeight="1" x14ac:dyDescent="0.3">
      <c r="A993" s="593"/>
      <c r="B993" s="597"/>
      <c r="C993" s="598"/>
      <c r="D993" s="199"/>
      <c r="E993" s="131"/>
      <c r="F993" s="131"/>
      <c r="G993" s="584" t="str">
        <f t="shared" si="109"/>
        <v xml:space="preserve">Cotraitant 7 </v>
      </c>
      <c r="H993" s="573"/>
      <c r="I993" s="573"/>
    </row>
    <row r="994" spans="1:9" ht="25.5" hidden="1" customHeight="1" x14ac:dyDescent="0.3">
      <c r="A994" s="593"/>
      <c r="B994" s="597"/>
      <c r="C994" s="598"/>
      <c r="D994" s="199"/>
      <c r="E994" s="131"/>
      <c r="F994" s="131"/>
      <c r="G994" s="584" t="str">
        <f t="shared" si="109"/>
        <v xml:space="preserve">Cotraitant 7 </v>
      </c>
      <c r="H994" s="573"/>
      <c r="I994" s="573"/>
    </row>
    <row r="995" spans="1:9" ht="25.5" hidden="1" customHeight="1" x14ac:dyDescent="0.3">
      <c r="A995" s="593"/>
      <c r="B995" s="597"/>
      <c r="C995" s="598"/>
      <c r="D995" s="199"/>
      <c r="E995" s="131"/>
      <c r="F995" s="131"/>
      <c r="G995" s="584" t="str">
        <f t="shared" si="109"/>
        <v xml:space="preserve">Cotraitant 7 </v>
      </c>
      <c r="H995" s="573"/>
      <c r="I995" s="573"/>
    </row>
    <row r="996" spans="1:9" ht="25.5" hidden="1" customHeight="1" thickBot="1" x14ac:dyDescent="0.35">
      <c r="A996" s="593"/>
      <c r="B996" s="597"/>
      <c r="C996" s="598"/>
      <c r="D996" s="199"/>
      <c r="E996" s="131"/>
      <c r="F996" s="131"/>
      <c r="G996" s="584" t="str">
        <f t="shared" si="109"/>
        <v xml:space="preserve">Cotraitant 7 </v>
      </c>
      <c r="H996" s="573"/>
      <c r="I996" s="573"/>
    </row>
    <row r="997" spans="1:9" ht="18.75" hidden="1" customHeight="1" x14ac:dyDescent="0.3">
      <c r="A997" s="592" t="str">
        <f t="shared" ref="A997" si="110">$A$892</f>
        <v>Avenants et OS</v>
      </c>
      <c r="B997" s="594"/>
      <c r="C997" s="594"/>
      <c r="D997" s="197"/>
      <c r="E997" s="514" t="s">
        <v>242</v>
      </c>
      <c r="F997" s="514" t="str">
        <f>E997</f>
        <v>Montant intial TVA</v>
      </c>
      <c r="G997" s="584"/>
      <c r="H997" s="573"/>
      <c r="I997" s="573"/>
    </row>
    <row r="998" spans="1:9" hidden="1" x14ac:dyDescent="0.3">
      <c r="A998" s="593"/>
      <c r="B998" s="595"/>
      <c r="C998" s="595"/>
      <c r="D998" s="198"/>
      <c r="E998" s="512">
        <f>$C$24</f>
        <v>0.2</v>
      </c>
      <c r="F998" s="530">
        <f>$E$24</f>
        <v>0.1</v>
      </c>
      <c r="G998" s="584"/>
      <c r="H998" s="573"/>
      <c r="I998" s="573"/>
    </row>
    <row r="999" spans="1:9" hidden="1" x14ac:dyDescent="0.3">
      <c r="A999" s="593"/>
      <c r="B999" s="560" t="str">
        <f>$B$13</f>
        <v>Cotraitant 8</v>
      </c>
      <c r="C999" s="520">
        <f>$C$13</f>
        <v>0</v>
      </c>
      <c r="D999" s="179"/>
      <c r="E999" s="583">
        <f>SUM(E1000:E1009)</f>
        <v>0</v>
      </c>
      <c r="F999" s="583">
        <f>SUM(F1000:F1009)</f>
        <v>0</v>
      </c>
      <c r="G999" s="584"/>
      <c r="H999" s="573"/>
      <c r="I999" s="573"/>
    </row>
    <row r="1000" spans="1:9" ht="25.5" hidden="1" customHeight="1" x14ac:dyDescent="0.3">
      <c r="A1000" s="593"/>
      <c r="B1000" s="597"/>
      <c r="C1000" s="598"/>
      <c r="D1000" s="199"/>
      <c r="E1000" s="131"/>
      <c r="F1000" s="131"/>
      <c r="G1000" s="584" t="str">
        <f>$B$999&amp;" "&amp;B1000</f>
        <v xml:space="preserve">Cotraitant 8 </v>
      </c>
      <c r="H1000" s="573"/>
      <c r="I1000" s="573"/>
    </row>
    <row r="1001" spans="1:9" ht="25.5" hidden="1" customHeight="1" x14ac:dyDescent="0.3">
      <c r="A1001" s="593"/>
      <c r="B1001" s="597"/>
      <c r="C1001" s="598"/>
      <c r="D1001" s="199"/>
      <c r="E1001" s="131"/>
      <c r="F1001" s="131"/>
      <c r="G1001" s="584" t="str">
        <f t="shared" ref="G1001:G1009" si="111">$B$999&amp;" "&amp;B1001</f>
        <v xml:space="preserve">Cotraitant 8 </v>
      </c>
      <c r="H1001" s="573"/>
      <c r="I1001" s="573"/>
    </row>
    <row r="1002" spans="1:9" ht="25.5" hidden="1" customHeight="1" x14ac:dyDescent="0.3">
      <c r="A1002" s="593"/>
      <c r="B1002" s="597"/>
      <c r="C1002" s="598"/>
      <c r="D1002" s="199"/>
      <c r="E1002" s="131"/>
      <c r="F1002" s="131"/>
      <c r="G1002" s="584" t="str">
        <f t="shared" si="111"/>
        <v xml:space="preserve">Cotraitant 8 </v>
      </c>
      <c r="H1002" s="573"/>
      <c r="I1002" s="573"/>
    </row>
    <row r="1003" spans="1:9" ht="25.5" hidden="1" customHeight="1" x14ac:dyDescent="0.3">
      <c r="A1003" s="593"/>
      <c r="B1003" s="597"/>
      <c r="C1003" s="598"/>
      <c r="D1003" s="199"/>
      <c r="E1003" s="131"/>
      <c r="F1003" s="131"/>
      <c r="G1003" s="584" t="str">
        <f t="shared" si="111"/>
        <v xml:space="preserve">Cotraitant 8 </v>
      </c>
      <c r="H1003" s="573"/>
      <c r="I1003" s="573"/>
    </row>
    <row r="1004" spans="1:9" ht="25.5" hidden="1" customHeight="1" x14ac:dyDescent="0.3">
      <c r="A1004" s="593"/>
      <c r="B1004" s="597"/>
      <c r="C1004" s="598"/>
      <c r="D1004" s="199"/>
      <c r="E1004" s="131"/>
      <c r="F1004" s="131"/>
      <c r="G1004" s="584" t="str">
        <f t="shared" si="111"/>
        <v xml:space="preserve">Cotraitant 8 </v>
      </c>
      <c r="H1004" s="573"/>
      <c r="I1004" s="573"/>
    </row>
    <row r="1005" spans="1:9" ht="25.5" hidden="1" customHeight="1" x14ac:dyDescent="0.3">
      <c r="A1005" s="593"/>
      <c r="B1005" s="597"/>
      <c r="C1005" s="598"/>
      <c r="D1005" s="199"/>
      <c r="E1005" s="131"/>
      <c r="F1005" s="131"/>
      <c r="G1005" s="584" t="str">
        <f t="shared" si="111"/>
        <v xml:space="preserve">Cotraitant 8 </v>
      </c>
      <c r="H1005" s="573"/>
      <c r="I1005" s="573"/>
    </row>
    <row r="1006" spans="1:9" ht="25.5" hidden="1" customHeight="1" x14ac:dyDescent="0.3">
      <c r="A1006" s="593"/>
      <c r="B1006" s="597"/>
      <c r="C1006" s="598"/>
      <c r="D1006" s="199"/>
      <c r="E1006" s="131"/>
      <c r="F1006" s="131"/>
      <c r="G1006" s="584" t="str">
        <f t="shared" si="111"/>
        <v xml:space="preserve">Cotraitant 8 </v>
      </c>
      <c r="H1006" s="573"/>
      <c r="I1006" s="573"/>
    </row>
    <row r="1007" spans="1:9" ht="25.5" hidden="1" customHeight="1" x14ac:dyDescent="0.3">
      <c r="A1007" s="593"/>
      <c r="B1007" s="597"/>
      <c r="C1007" s="598"/>
      <c r="D1007" s="199"/>
      <c r="E1007" s="131"/>
      <c r="F1007" s="131"/>
      <c r="G1007" s="584" t="str">
        <f t="shared" si="111"/>
        <v xml:space="preserve">Cotraitant 8 </v>
      </c>
      <c r="H1007" s="573"/>
      <c r="I1007" s="573"/>
    </row>
    <row r="1008" spans="1:9" ht="25.5" hidden="1" customHeight="1" x14ac:dyDescent="0.3">
      <c r="A1008" s="593"/>
      <c r="B1008" s="597"/>
      <c r="C1008" s="598"/>
      <c r="D1008" s="199"/>
      <c r="E1008" s="131"/>
      <c r="F1008" s="131"/>
      <c r="G1008" s="584" t="str">
        <f t="shared" si="111"/>
        <v xml:space="preserve">Cotraitant 8 </v>
      </c>
      <c r="H1008" s="573"/>
      <c r="I1008" s="573"/>
    </row>
    <row r="1009" spans="1:9" ht="25.5" hidden="1" customHeight="1" thickBot="1" x14ac:dyDescent="0.35">
      <c r="A1009" s="642"/>
      <c r="B1009" s="597"/>
      <c r="C1009" s="598"/>
      <c r="D1009" s="550"/>
      <c r="E1009" s="33"/>
      <c r="F1009" s="33"/>
      <c r="G1009" s="584" t="str">
        <f t="shared" si="111"/>
        <v xml:space="preserve">Cotraitant 8 </v>
      </c>
      <c r="H1009" s="573"/>
      <c r="I1009" s="573"/>
    </row>
  </sheetData>
  <sheetProtection autoFilter="0"/>
  <mergeCells count="534">
    <mergeCell ref="B1008:C1008"/>
    <mergeCell ref="B1009:C1009"/>
    <mergeCell ref="A997:A1009"/>
    <mergeCell ref="E891:E892"/>
    <mergeCell ref="L22:N23"/>
    <mergeCell ref="AC54:AC62"/>
    <mergeCell ref="AC63:AC71"/>
    <mergeCell ref="AC72:AC80"/>
    <mergeCell ref="AC81:AC89"/>
    <mergeCell ref="AC90:AC98"/>
    <mergeCell ref="AC99:AC107"/>
    <mergeCell ref="AC108:AC116"/>
    <mergeCell ref="AC48:AF52"/>
    <mergeCell ref="B996:C996"/>
    <mergeCell ref="B1000:C1000"/>
    <mergeCell ref="B1001:C1001"/>
    <mergeCell ref="B1002:C1002"/>
    <mergeCell ref="B1003:C1003"/>
    <mergeCell ref="B1004:C1004"/>
    <mergeCell ref="B1005:C1005"/>
    <mergeCell ref="B1006:C1006"/>
    <mergeCell ref="B1007:C1007"/>
    <mergeCell ref="B987:C987"/>
    <mergeCell ref="B988:C988"/>
    <mergeCell ref="B974:C974"/>
    <mergeCell ref="B989:C989"/>
    <mergeCell ref="B990:C990"/>
    <mergeCell ref="B991:C991"/>
    <mergeCell ref="B992:C992"/>
    <mergeCell ref="B993:C993"/>
    <mergeCell ref="B994:C994"/>
    <mergeCell ref="B995:C995"/>
    <mergeCell ref="B975:C975"/>
    <mergeCell ref="B976:C976"/>
    <mergeCell ref="B977:C977"/>
    <mergeCell ref="B978:C978"/>
    <mergeCell ref="B979:C979"/>
    <mergeCell ref="B980:C980"/>
    <mergeCell ref="B981:C981"/>
    <mergeCell ref="B982:C982"/>
    <mergeCell ref="B983:C983"/>
    <mergeCell ref="B962:C962"/>
    <mergeCell ref="B963:C963"/>
    <mergeCell ref="B964:C964"/>
    <mergeCell ref="B965:C965"/>
    <mergeCell ref="B966:C966"/>
    <mergeCell ref="B967:C967"/>
    <mergeCell ref="B968:C968"/>
    <mergeCell ref="B969:C969"/>
    <mergeCell ref="B970:C970"/>
    <mergeCell ref="B950:C950"/>
    <mergeCell ref="B951:C951"/>
    <mergeCell ref="B952:C952"/>
    <mergeCell ref="B953:C953"/>
    <mergeCell ref="B954:C954"/>
    <mergeCell ref="B955:C955"/>
    <mergeCell ref="B956:C956"/>
    <mergeCell ref="B957:C957"/>
    <mergeCell ref="B961:C961"/>
    <mergeCell ref="B938:C938"/>
    <mergeCell ref="B939:C939"/>
    <mergeCell ref="B940:C940"/>
    <mergeCell ref="B941:C941"/>
    <mergeCell ref="B942:C942"/>
    <mergeCell ref="B943:C943"/>
    <mergeCell ref="B944:C944"/>
    <mergeCell ref="B948:C948"/>
    <mergeCell ref="B949:C949"/>
    <mergeCell ref="B926:C926"/>
    <mergeCell ref="B927:C927"/>
    <mergeCell ref="B928:C928"/>
    <mergeCell ref="B929:C929"/>
    <mergeCell ref="B930:C930"/>
    <mergeCell ref="B931:C931"/>
    <mergeCell ref="B935:C935"/>
    <mergeCell ref="B936:C936"/>
    <mergeCell ref="B937:C937"/>
    <mergeCell ref="Y108:Y116"/>
    <mergeCell ref="Y117:Y125"/>
    <mergeCell ref="Y126:Y134"/>
    <mergeCell ref="Y54:Y62"/>
    <mergeCell ref="Y63:Y71"/>
    <mergeCell ref="B903:C903"/>
    <mergeCell ref="B904:C904"/>
    <mergeCell ref="B905:C905"/>
    <mergeCell ref="B909:C909"/>
    <mergeCell ref="Y48:AB52"/>
    <mergeCell ref="U54:U62"/>
    <mergeCell ref="U63:U71"/>
    <mergeCell ref="U72:U80"/>
    <mergeCell ref="U81:U89"/>
    <mergeCell ref="U90:U98"/>
    <mergeCell ref="U99:U107"/>
    <mergeCell ref="I92:I94"/>
    <mergeCell ref="I171:J171"/>
    <mergeCell ref="L49:N52"/>
    <mergeCell ref="P54:P62"/>
    <mergeCell ref="P63:P71"/>
    <mergeCell ref="P72:P80"/>
    <mergeCell ref="P81:P89"/>
    <mergeCell ref="P90:P98"/>
    <mergeCell ref="P99:P107"/>
    <mergeCell ref="P108:P116"/>
    <mergeCell ref="P48:T52"/>
    <mergeCell ref="U48:X52"/>
    <mergeCell ref="Y99:Y107"/>
    <mergeCell ref="Y90:Y98"/>
    <mergeCell ref="Y81:Y89"/>
    <mergeCell ref="Y72:Y80"/>
    <mergeCell ref="U108:U116"/>
    <mergeCell ref="G51:H51"/>
    <mergeCell ref="G52:H52"/>
    <mergeCell ref="I51:J51"/>
    <mergeCell ref="I52:J52"/>
    <mergeCell ref="I53:I55"/>
    <mergeCell ref="I251:I253"/>
    <mergeCell ref="I66:I68"/>
    <mergeCell ref="I173:I175"/>
    <mergeCell ref="I79:I81"/>
    <mergeCell ref="F69:F78"/>
    <mergeCell ref="B23:F23"/>
    <mergeCell ref="C37:E37"/>
    <mergeCell ref="F56:F65"/>
    <mergeCell ref="C41:E41"/>
    <mergeCell ref="C42:E42"/>
    <mergeCell ref="B66:B67"/>
    <mergeCell ref="C39:E40"/>
    <mergeCell ref="C66:C67"/>
    <mergeCell ref="B39:B40"/>
    <mergeCell ref="C43:E43"/>
    <mergeCell ref="C44:E44"/>
    <mergeCell ref="C45:E45"/>
    <mergeCell ref="C46:E46"/>
    <mergeCell ref="C47:E47"/>
    <mergeCell ref="C48:E48"/>
    <mergeCell ref="A52:B52"/>
    <mergeCell ref="B53:B54"/>
    <mergeCell ref="C53:C54"/>
    <mergeCell ref="A53:A65"/>
    <mergeCell ref="C2:G2"/>
    <mergeCell ref="C3:G3"/>
    <mergeCell ref="C5:G5"/>
    <mergeCell ref="C14:G14"/>
    <mergeCell ref="C15:G15"/>
    <mergeCell ref="C6:G6"/>
    <mergeCell ref="C4:G4"/>
    <mergeCell ref="C7:G7"/>
    <mergeCell ref="C8:G8"/>
    <mergeCell ref="C9:G9"/>
    <mergeCell ref="C10:G10"/>
    <mergeCell ref="C11:G11"/>
    <mergeCell ref="C12:G12"/>
    <mergeCell ref="C13:G13"/>
    <mergeCell ref="A892:B892"/>
    <mergeCell ref="F891:I891"/>
    <mergeCell ref="F892:I892"/>
    <mergeCell ref="F82:F91"/>
    <mergeCell ref="C49:E49"/>
    <mergeCell ref="A66:A78"/>
    <mergeCell ref="A173:A185"/>
    <mergeCell ref="B173:B174"/>
    <mergeCell ref="C173:C174"/>
    <mergeCell ref="A92:A104"/>
    <mergeCell ref="B92:B93"/>
    <mergeCell ref="C92:C93"/>
    <mergeCell ref="A118:A130"/>
    <mergeCell ref="F176:F185"/>
    <mergeCell ref="A199:A211"/>
    <mergeCell ref="B199:B200"/>
    <mergeCell ref="C199:C200"/>
    <mergeCell ref="A225:A237"/>
    <mergeCell ref="B225:B226"/>
    <mergeCell ref="C225:C226"/>
    <mergeCell ref="A251:A263"/>
    <mergeCell ref="B251:B252"/>
    <mergeCell ref="C251:C252"/>
    <mergeCell ref="F254:F263"/>
    <mergeCell ref="F95:F104"/>
    <mergeCell ref="A105:A117"/>
    <mergeCell ref="B105:B106"/>
    <mergeCell ref="C105:C106"/>
    <mergeCell ref="I105:I107"/>
    <mergeCell ref="F108:F117"/>
    <mergeCell ref="A79:A91"/>
    <mergeCell ref="B79:B80"/>
    <mergeCell ref="C79:C80"/>
    <mergeCell ref="A144:A156"/>
    <mergeCell ref="B144:B145"/>
    <mergeCell ref="C144:C145"/>
    <mergeCell ref="I144:I146"/>
    <mergeCell ref="F147:F156"/>
    <mergeCell ref="B118:B119"/>
    <mergeCell ref="C118:C119"/>
    <mergeCell ref="I118:I120"/>
    <mergeCell ref="F121:F130"/>
    <mergeCell ref="A131:A143"/>
    <mergeCell ref="B131:B132"/>
    <mergeCell ref="C131:C132"/>
    <mergeCell ref="I131:I133"/>
    <mergeCell ref="F134:F143"/>
    <mergeCell ref="A172:B172"/>
    <mergeCell ref="I172:J172"/>
    <mergeCell ref="A186:A198"/>
    <mergeCell ref="B186:B187"/>
    <mergeCell ref="C186:C187"/>
    <mergeCell ref="I186:I188"/>
    <mergeCell ref="F189:F198"/>
    <mergeCell ref="A157:A169"/>
    <mergeCell ref="B157:B158"/>
    <mergeCell ref="C157:C158"/>
    <mergeCell ref="I157:I159"/>
    <mergeCell ref="F160:F169"/>
    <mergeCell ref="G171:H171"/>
    <mergeCell ref="G172:H172"/>
    <mergeCell ref="F228:F237"/>
    <mergeCell ref="A238:A250"/>
    <mergeCell ref="B238:B239"/>
    <mergeCell ref="C238:C239"/>
    <mergeCell ref="I238:I240"/>
    <mergeCell ref="F241:F250"/>
    <mergeCell ref="I199:I201"/>
    <mergeCell ref="F202:F211"/>
    <mergeCell ref="A212:A224"/>
    <mergeCell ref="B212:B213"/>
    <mergeCell ref="C212:C213"/>
    <mergeCell ref="I212:I214"/>
    <mergeCell ref="F215:F224"/>
    <mergeCell ref="I225:I227"/>
    <mergeCell ref="A277:A289"/>
    <mergeCell ref="B277:B278"/>
    <mergeCell ref="C277:C278"/>
    <mergeCell ref="I277:I279"/>
    <mergeCell ref="F280:F289"/>
    <mergeCell ref="A264:A276"/>
    <mergeCell ref="B264:B265"/>
    <mergeCell ref="C264:C265"/>
    <mergeCell ref="I264:I266"/>
    <mergeCell ref="F267:F276"/>
    <mergeCell ref="A293:A305"/>
    <mergeCell ref="B293:B294"/>
    <mergeCell ref="C293:C294"/>
    <mergeCell ref="I293:I295"/>
    <mergeCell ref="F296:F305"/>
    <mergeCell ref="G291:H291"/>
    <mergeCell ref="I291:J291"/>
    <mergeCell ref="A292:B292"/>
    <mergeCell ref="G292:H292"/>
    <mergeCell ref="I292:J292"/>
    <mergeCell ref="A319:A331"/>
    <mergeCell ref="B319:B320"/>
    <mergeCell ref="C319:C320"/>
    <mergeCell ref="I319:I321"/>
    <mergeCell ref="F322:F331"/>
    <mergeCell ref="A306:A318"/>
    <mergeCell ref="B306:B307"/>
    <mergeCell ref="C306:C307"/>
    <mergeCell ref="I306:I308"/>
    <mergeCell ref="F309:F318"/>
    <mergeCell ref="A345:A357"/>
    <mergeCell ref="B345:B346"/>
    <mergeCell ref="C345:C346"/>
    <mergeCell ref="I345:I347"/>
    <mergeCell ref="F348:F357"/>
    <mergeCell ref="A332:A344"/>
    <mergeCell ref="B332:B333"/>
    <mergeCell ref="C332:C333"/>
    <mergeCell ref="I332:I334"/>
    <mergeCell ref="F335:F344"/>
    <mergeCell ref="A371:A383"/>
    <mergeCell ref="B371:B372"/>
    <mergeCell ref="C371:C372"/>
    <mergeCell ref="I371:I373"/>
    <mergeCell ref="F374:F383"/>
    <mergeCell ref="A358:A370"/>
    <mergeCell ref="B358:B359"/>
    <mergeCell ref="C358:C359"/>
    <mergeCell ref="I358:I360"/>
    <mergeCell ref="F361:F370"/>
    <mergeCell ref="A397:A409"/>
    <mergeCell ref="B397:B398"/>
    <mergeCell ref="C397:C398"/>
    <mergeCell ref="I397:I399"/>
    <mergeCell ref="F400:F409"/>
    <mergeCell ref="A384:A396"/>
    <mergeCell ref="B384:B385"/>
    <mergeCell ref="C384:C385"/>
    <mergeCell ref="I384:I386"/>
    <mergeCell ref="F387:F396"/>
    <mergeCell ref="A413:A425"/>
    <mergeCell ref="B413:B414"/>
    <mergeCell ref="C413:C414"/>
    <mergeCell ref="I413:I415"/>
    <mergeCell ref="F416:F425"/>
    <mergeCell ref="G411:H411"/>
    <mergeCell ref="I411:J411"/>
    <mergeCell ref="A412:B412"/>
    <mergeCell ref="G412:H412"/>
    <mergeCell ref="I412:J412"/>
    <mergeCell ref="A439:A451"/>
    <mergeCell ref="B439:B440"/>
    <mergeCell ref="C439:C440"/>
    <mergeCell ref="I439:I441"/>
    <mergeCell ref="F442:F451"/>
    <mergeCell ref="A426:A438"/>
    <mergeCell ref="B426:B427"/>
    <mergeCell ref="C426:C427"/>
    <mergeCell ref="I426:I428"/>
    <mergeCell ref="F429:F438"/>
    <mergeCell ref="A465:A477"/>
    <mergeCell ref="B465:B466"/>
    <mergeCell ref="C465:C466"/>
    <mergeCell ref="I465:I467"/>
    <mergeCell ref="F468:F477"/>
    <mergeCell ref="A452:A464"/>
    <mergeCell ref="B452:B453"/>
    <mergeCell ref="C452:C453"/>
    <mergeCell ref="I452:I454"/>
    <mergeCell ref="F455:F464"/>
    <mergeCell ref="A491:A503"/>
    <mergeCell ref="B491:B492"/>
    <mergeCell ref="C491:C492"/>
    <mergeCell ref="I491:I493"/>
    <mergeCell ref="F494:F503"/>
    <mergeCell ref="A478:A490"/>
    <mergeCell ref="B478:B479"/>
    <mergeCell ref="C478:C479"/>
    <mergeCell ref="I478:I480"/>
    <mergeCell ref="F481:F490"/>
    <mergeCell ref="A517:A529"/>
    <mergeCell ref="B517:B518"/>
    <mergeCell ref="C517:C518"/>
    <mergeCell ref="I517:I519"/>
    <mergeCell ref="F520:F529"/>
    <mergeCell ref="A504:A516"/>
    <mergeCell ref="B504:B505"/>
    <mergeCell ref="C504:C505"/>
    <mergeCell ref="I504:I506"/>
    <mergeCell ref="F507:F516"/>
    <mergeCell ref="A533:A545"/>
    <mergeCell ref="B533:B534"/>
    <mergeCell ref="C533:C534"/>
    <mergeCell ref="I533:I535"/>
    <mergeCell ref="F536:F545"/>
    <mergeCell ref="G531:H531"/>
    <mergeCell ref="I531:J531"/>
    <mergeCell ref="A532:B532"/>
    <mergeCell ref="G532:H532"/>
    <mergeCell ref="I532:J532"/>
    <mergeCell ref="A559:A571"/>
    <mergeCell ref="B559:B560"/>
    <mergeCell ref="C559:C560"/>
    <mergeCell ref="I559:I561"/>
    <mergeCell ref="F562:F571"/>
    <mergeCell ref="A546:A558"/>
    <mergeCell ref="B546:B547"/>
    <mergeCell ref="C546:C547"/>
    <mergeCell ref="I546:I548"/>
    <mergeCell ref="F549:F558"/>
    <mergeCell ref="A585:A597"/>
    <mergeCell ref="B585:B586"/>
    <mergeCell ref="C585:C586"/>
    <mergeCell ref="I585:I587"/>
    <mergeCell ref="F588:F597"/>
    <mergeCell ref="A572:A584"/>
    <mergeCell ref="B572:B573"/>
    <mergeCell ref="C572:C573"/>
    <mergeCell ref="I572:I574"/>
    <mergeCell ref="F575:F584"/>
    <mergeCell ref="A611:A623"/>
    <mergeCell ref="B611:B612"/>
    <mergeCell ref="C611:C612"/>
    <mergeCell ref="I611:I613"/>
    <mergeCell ref="F614:F623"/>
    <mergeCell ref="A598:A610"/>
    <mergeCell ref="B598:B599"/>
    <mergeCell ref="C598:C599"/>
    <mergeCell ref="I598:I600"/>
    <mergeCell ref="F601:F610"/>
    <mergeCell ref="A637:A649"/>
    <mergeCell ref="B637:B638"/>
    <mergeCell ref="C637:C638"/>
    <mergeCell ref="I637:I639"/>
    <mergeCell ref="F640:F649"/>
    <mergeCell ref="A624:A636"/>
    <mergeCell ref="B624:B625"/>
    <mergeCell ref="C624:C625"/>
    <mergeCell ref="I624:I626"/>
    <mergeCell ref="F627:F636"/>
    <mergeCell ref="A653:A665"/>
    <mergeCell ref="B653:B654"/>
    <mergeCell ref="C653:C654"/>
    <mergeCell ref="I653:I655"/>
    <mergeCell ref="F656:F665"/>
    <mergeCell ref="G651:H651"/>
    <mergeCell ref="I651:J651"/>
    <mergeCell ref="A652:B652"/>
    <mergeCell ref="G652:H652"/>
    <mergeCell ref="I652:J652"/>
    <mergeCell ref="A679:A691"/>
    <mergeCell ref="B679:B680"/>
    <mergeCell ref="C679:C680"/>
    <mergeCell ref="I679:I681"/>
    <mergeCell ref="F682:F691"/>
    <mergeCell ref="A666:A678"/>
    <mergeCell ref="B666:B667"/>
    <mergeCell ref="C666:C667"/>
    <mergeCell ref="I666:I668"/>
    <mergeCell ref="F669:F678"/>
    <mergeCell ref="A705:A717"/>
    <mergeCell ref="B705:B706"/>
    <mergeCell ref="C705:C706"/>
    <mergeCell ref="I705:I707"/>
    <mergeCell ref="F708:F717"/>
    <mergeCell ref="A692:A704"/>
    <mergeCell ref="B692:B693"/>
    <mergeCell ref="C692:C693"/>
    <mergeCell ref="I692:I694"/>
    <mergeCell ref="F695:F704"/>
    <mergeCell ref="A731:A743"/>
    <mergeCell ref="B731:B732"/>
    <mergeCell ref="C731:C732"/>
    <mergeCell ref="I731:I733"/>
    <mergeCell ref="F734:F743"/>
    <mergeCell ref="A718:A730"/>
    <mergeCell ref="B718:B719"/>
    <mergeCell ref="C718:C719"/>
    <mergeCell ref="I718:I720"/>
    <mergeCell ref="F721:F730"/>
    <mergeCell ref="A757:A769"/>
    <mergeCell ref="B757:B758"/>
    <mergeCell ref="C757:C758"/>
    <mergeCell ref="I757:I759"/>
    <mergeCell ref="F760:F769"/>
    <mergeCell ref="A744:A756"/>
    <mergeCell ref="B744:B745"/>
    <mergeCell ref="C744:C745"/>
    <mergeCell ref="I744:I746"/>
    <mergeCell ref="F747:F756"/>
    <mergeCell ref="A773:A785"/>
    <mergeCell ref="B773:B774"/>
    <mergeCell ref="C773:C774"/>
    <mergeCell ref="I773:I775"/>
    <mergeCell ref="F776:F785"/>
    <mergeCell ref="G771:H771"/>
    <mergeCell ref="I771:J771"/>
    <mergeCell ref="A772:B772"/>
    <mergeCell ref="G772:H772"/>
    <mergeCell ref="I772:J772"/>
    <mergeCell ref="A799:A811"/>
    <mergeCell ref="B799:B800"/>
    <mergeCell ref="C799:C800"/>
    <mergeCell ref="I799:I801"/>
    <mergeCell ref="F802:F811"/>
    <mergeCell ref="A786:A798"/>
    <mergeCell ref="B786:B787"/>
    <mergeCell ref="C786:C787"/>
    <mergeCell ref="I786:I788"/>
    <mergeCell ref="F789:F798"/>
    <mergeCell ref="A825:A837"/>
    <mergeCell ref="B825:B826"/>
    <mergeCell ref="C825:C826"/>
    <mergeCell ref="I825:I827"/>
    <mergeCell ref="F828:F837"/>
    <mergeCell ref="A812:A824"/>
    <mergeCell ref="B812:B813"/>
    <mergeCell ref="C812:C813"/>
    <mergeCell ref="I812:I814"/>
    <mergeCell ref="F815:F824"/>
    <mergeCell ref="A851:A863"/>
    <mergeCell ref="B851:B852"/>
    <mergeCell ref="C851:C852"/>
    <mergeCell ref="I851:I853"/>
    <mergeCell ref="F854:F863"/>
    <mergeCell ref="A838:A850"/>
    <mergeCell ref="B838:B839"/>
    <mergeCell ref="C838:C839"/>
    <mergeCell ref="I838:I840"/>
    <mergeCell ref="F841:F850"/>
    <mergeCell ref="A877:A889"/>
    <mergeCell ref="B877:B878"/>
    <mergeCell ref="C877:C878"/>
    <mergeCell ref="I877:I879"/>
    <mergeCell ref="F880:F889"/>
    <mergeCell ref="A864:A876"/>
    <mergeCell ref="B864:B865"/>
    <mergeCell ref="C864:C865"/>
    <mergeCell ref="I864:I866"/>
    <mergeCell ref="F867:F876"/>
    <mergeCell ref="A906:A918"/>
    <mergeCell ref="B906:B907"/>
    <mergeCell ref="C906:C907"/>
    <mergeCell ref="B893:B894"/>
    <mergeCell ref="C893:C894"/>
    <mergeCell ref="A893:A905"/>
    <mergeCell ref="B896:C896"/>
    <mergeCell ref="B897:C897"/>
    <mergeCell ref="B898:C898"/>
    <mergeCell ref="B899:C899"/>
    <mergeCell ref="B900:C900"/>
    <mergeCell ref="B901:C901"/>
    <mergeCell ref="B902:C902"/>
    <mergeCell ref="B910:C910"/>
    <mergeCell ref="B911:C911"/>
    <mergeCell ref="B912:C912"/>
    <mergeCell ref="B913:C913"/>
    <mergeCell ref="B914:C914"/>
    <mergeCell ref="B915:C915"/>
    <mergeCell ref="B916:C916"/>
    <mergeCell ref="B917:C917"/>
    <mergeCell ref="B918:C918"/>
    <mergeCell ref="A945:A957"/>
    <mergeCell ref="B945:B946"/>
    <mergeCell ref="A932:A944"/>
    <mergeCell ref="B932:B933"/>
    <mergeCell ref="C932:C933"/>
    <mergeCell ref="A919:A931"/>
    <mergeCell ref="B919:B920"/>
    <mergeCell ref="C919:C920"/>
    <mergeCell ref="B997:B998"/>
    <mergeCell ref="C997:C998"/>
    <mergeCell ref="A984:A996"/>
    <mergeCell ref="B984:B985"/>
    <mergeCell ref="C984:C985"/>
    <mergeCell ref="A971:A983"/>
    <mergeCell ref="B971:B972"/>
    <mergeCell ref="C971:C972"/>
    <mergeCell ref="C945:C946"/>
    <mergeCell ref="A958:A970"/>
    <mergeCell ref="B958:B959"/>
    <mergeCell ref="C958:C959"/>
    <mergeCell ref="B922:C922"/>
    <mergeCell ref="B923:C923"/>
    <mergeCell ref="B924:C924"/>
    <mergeCell ref="B925:C925"/>
  </mergeCells>
  <dataValidations count="3">
    <dataValidation type="decimal" operator="greaterThanOrEqual" allowBlank="1" showInputMessage="1" showErrorMessage="1" sqref="G56:H65 G69:H78 G82:H91 G95:H104 G108:H117 G121:H130 G134:H143 G147:H156 G160:H169 G176:H185 G189:H198 G202:H211 G228:H237 G241:H250 G254:H263 G267:H276 G280:H289 G296:H305 G309:H318 G322:H331 G335:H344 G348:H357 G361:H370 G374:H383 G387:H396 G400:H409 G416:H425 G429:H438 G442:H451 G455:H464 G468:H477 G481:H490 G494:H503 G507:H516 G520:H529 G536:H545 G549:H558 G562:H571 G575:H584 G588:H597 G601:H610 G614:H623 G627:H636 G640:H649 G656:H665 G669:H678 G682:H691 G695:H704 G708:H717 G721:H730 G734:H743 G747:H756 G760:H769 G776:H785 G789:H798 G802:H811 G815:H824 G828:H837 G841:H850 G854:H863 G867:H876 G880:H889 G215:H224">
      <formula1>0</formula1>
    </dataValidation>
    <dataValidation type="list" allowBlank="1" showInputMessage="1" showErrorMessage="1" sqref="C2:D2">
      <formula1>INDIRECT(C1)</formula1>
    </dataValidation>
    <dataValidation type="decimal" allowBlank="1" showErrorMessage="1" errorTitle="Erreur de saisie" error="le montant renseigné est erronné._x000a_Saisissez les montants de la manière suivante 200 ou 200,00" sqref="C25:E33">
      <formula1>0.01</formula1>
      <formula2>9.99999999999999E+48</formula2>
    </dataValidation>
  </dataValidations>
  <pageMargins left="0.7" right="0.7" top="0.75" bottom="0.75" header="0.3" footer="0.3"/>
  <pageSetup paperSize="9" scale="44" orientation="portrait" r:id="rId1"/>
  <drawing r:id="rId2"/>
  <legacyDrawing r:id="rId3"/>
  <extLst>
    <ext xmlns:x14="http://schemas.microsoft.com/office/spreadsheetml/2009/9/main" uri="{CCE6A557-97BC-4b89-ADB6-D9C93CAAB3DF}">
      <x14:dataValidations xmlns:xm="http://schemas.microsoft.com/office/excel/2006/main" count="30">
        <x14:dataValidation type="list" allowBlank="1" showInputMessage="1" showErrorMessage="1">
          <x14:formula1>
            <xm:f>LISTES!$H$1:$H$2</xm:f>
          </x14:formula1>
          <xm:sqref>F52 D18:D20 C18 F172 F292 F412 F532 F652 F772</xm:sqref>
        </x14:dataValidation>
        <x14:dataValidation type="list" allowBlank="1" showInputMessage="1" showErrorMessage="1">
          <x14:formula1>
            <xm:f>LISTES!$A$1:$A$6</xm:f>
          </x14:formula1>
          <xm:sqref>C24:E24</xm:sqref>
        </x14:dataValidation>
        <x14:dataValidation type="list" allowBlank="1" showInputMessage="1" showErrorMessage="1">
          <x14:formula1>
            <xm:f>LISTES!$C$3:$C$5</xm:f>
          </x14:formula1>
          <xm:sqref>B56:B65 B69:B78 B82:B91 B95:B104 B108:B117 B121:B130 B134:B143 B147:B156 B160:B169 B176:B185 B189:B198 B202:B211 B228:B237 B241:B250 B254:B263 B267:B276 B280:B289 B296:B305 B309:B318 B322:B331 B335:B344 B348:B357 B361:B370 B374:B383 B387:B396 B400:B409 B416:B425 B429:B438 B442:B451 B455:B464 B468:B477 B481:B490 B494:B503 B507:B516 B520:B529 B536:B545 B549:B558 B562:B571 B575:B584 B588:B597 B601:B610 B614:B623 B627:B636 B640:B649 B656:B665 B669:B678 B682:B691 B695:B704 B708:B717 B721:B730 B734:B743 B747:B756 B760:B769 B776:B785 B789:B798 B802:B811 B815:B824 B828:B837 B841:B850 B854:B863 B867:B876 B880:B889 B215:B224</xm:sqref>
        </x14:dataValidation>
        <x14:dataValidation type="list" allowBlank="1" showInputMessage="1" showErrorMessage="1">
          <x14:formula1>
            <xm:f>LISTES!$P$1:$P$7</xm:f>
          </x14:formula1>
          <xm:sqref>C1</xm:sqref>
        </x14:dataValidation>
        <x14:dataValidation type="list" allowBlank="1" showInputMessage="1" showErrorMessage="1">
          <x14:formula1>
            <xm:f>LISTES!$P$1:$P$6</xm:f>
          </x14:formula1>
          <xm:sqref>D1</xm:sqref>
        </x14:dataValidation>
        <x14:dataValidation type="list" allowBlank="1" showInputMessage="1" showErrorMessage="1">
          <x14:formula1>
            <xm:f>LISTES!$A$8:$A$12</xm:f>
          </x14:formula1>
          <xm:sqref>C21:D21</xm:sqref>
        </x14:dataValidation>
        <x14:dataValidation type="list" allowBlank="1" showInputMessage="1" showErrorMessage="1">
          <x14:formula1>
            <xm:f>LISTES!$A$9:$A$10</xm:f>
          </x14:formula1>
          <xm:sqref>G52:H52</xm:sqref>
        </x14:dataValidation>
        <x14:dataValidation type="list" allowBlank="1" showInputMessage="1" showErrorMessage="1">
          <x14:formula1>
            <xm:f>LISTES!$A$20:$A$20</xm:f>
          </x14:formula1>
          <xm:sqref>I52:J52</xm:sqref>
        </x14:dataValidation>
        <x14:dataValidation type="list" allowBlank="1" showInputMessage="1" showErrorMessage="1">
          <x14:formula1>
            <xm:f>LISTES!$H$1:$H$1</xm:f>
          </x14:formula1>
          <xm:sqref>I56:I65 I69:I78 I82:I91 I95:I104 I108:I117 I121:I130 I134:I143 I147:I156 I160:I169 I176:I185 I189:I198 I202:I211 I228:I237 I241:I250 I254:I263 I267:I276 I280:I289 I296:I305 I309:I318 I322:I331 I335:I344 I348:I357 I361:I370 I374:I383 I387:I396 I400:I409 I416:I425 I429:I438 I442:I451 I455:I464 I468:I477 I481:I490 I494:I503 I507:I516 I520:I529 I536:I545 I549:I558 I562:I571 I575:I584 I588:I597 I601:I610 I614:I623 I627:I636 I640:I649 I656:I665 I669:I678 I682:I691 I695:I704 I708:I717 I721:I730 I734:I743 I747:I756 I760:I769 I776:I785 I789:I798 I802:I811 I815:I824 I828:I837 I841:I850 I854:I863 I867:I876 I880:I889 I215:I224</xm:sqref>
        </x14:dataValidation>
        <x14:dataValidation type="list" allowBlank="1" showInputMessage="1" showErrorMessage="1">
          <x14:formula1>
            <xm:f>LISTES!$P$9:$P$10</xm:f>
          </x14:formula1>
          <xm:sqref>C19</xm:sqref>
        </x14:dataValidation>
        <x14:dataValidation type="list" allowBlank="1" showInputMessage="1" showErrorMessage="1">
          <x14:formula1>
            <xm:f>LISTES!$A$27</xm:f>
          </x14:formula1>
          <xm:sqref>J81 J201 J321 J441 J561 J681 J801 J931 I172:J172</xm:sqref>
        </x14:dataValidation>
        <x14:dataValidation type="list" allowBlank="1" showInputMessage="1" showErrorMessage="1">
          <x14:formula1>
            <xm:f>LISTES!$A$24:$A$25</xm:f>
          </x14:formula1>
          <xm:sqref>G172:H172</xm:sqref>
        </x14:dataValidation>
        <x14:dataValidation type="list" allowBlank="1" showInputMessage="1" showErrorMessage="1">
          <x14:formula1>
            <xm:f>LISTES!$A$30:$A$31</xm:f>
          </x14:formula1>
          <xm:sqref>G292:H292</xm:sqref>
        </x14:dataValidation>
        <x14:dataValidation type="list" allowBlank="1" showInputMessage="1" showErrorMessage="1">
          <x14:formula1>
            <xm:f>LISTES!$A$33</xm:f>
          </x14:formula1>
          <xm:sqref>I292:J292</xm:sqref>
        </x14:dataValidation>
        <x14:dataValidation type="list" allowBlank="1" showInputMessage="1" showErrorMessage="1">
          <x14:formula1>
            <xm:f>LISTES!$A$36:$A$37</xm:f>
          </x14:formula1>
          <xm:sqref>G412:H412</xm:sqref>
        </x14:dataValidation>
        <x14:dataValidation type="list" allowBlank="1" showInputMessage="1" showErrorMessage="1">
          <x14:formula1>
            <xm:f>LISTES!$A$39</xm:f>
          </x14:formula1>
          <xm:sqref>I412:J412</xm:sqref>
        </x14:dataValidation>
        <x14:dataValidation type="list" allowBlank="1" showInputMessage="1" showErrorMessage="1">
          <x14:formula1>
            <xm:f>LISTES!$A$41:$A$42</xm:f>
          </x14:formula1>
          <xm:sqref>G532:H532</xm:sqref>
        </x14:dataValidation>
        <x14:dataValidation type="list" allowBlank="1" showInputMessage="1" showErrorMessage="1">
          <x14:formula1>
            <xm:f>LISTES!$A$44</xm:f>
          </x14:formula1>
          <xm:sqref>I532:J532</xm:sqref>
        </x14:dataValidation>
        <x14:dataValidation type="list" allowBlank="1" showInputMessage="1" showErrorMessage="1">
          <x14:formula1>
            <xm:f>LISTES!$A$46:$A$47</xm:f>
          </x14:formula1>
          <xm:sqref>G652:H652</xm:sqref>
        </x14:dataValidation>
        <x14:dataValidation type="list" allowBlank="1" showInputMessage="1" showErrorMessage="1">
          <x14:formula1>
            <xm:f>LISTES!$A$49</xm:f>
          </x14:formula1>
          <xm:sqref>I652:J652</xm:sqref>
        </x14:dataValidation>
        <x14:dataValidation type="list" allowBlank="1" showInputMessage="1" showErrorMessage="1">
          <x14:formula1>
            <xm:f>LISTES!$A$51:$A$52</xm:f>
          </x14:formula1>
          <xm:sqref>G772:H772</xm:sqref>
        </x14:dataValidation>
        <x14:dataValidation type="list" allowBlank="1" showInputMessage="1" showErrorMessage="1">
          <x14:formula1>
            <xm:f>LISTES!$A$54</xm:f>
          </x14:formula1>
          <xm:sqref>I772:J772</xm:sqref>
        </x14:dataValidation>
        <x14:dataValidation type="list" allowBlank="1" showInputMessage="1" showErrorMessage="1">
          <x14:formula1>
            <xm:f>LISTES!$A$56:$A$57</xm:f>
          </x14:formula1>
          <xm:sqref>F892</xm:sqref>
        </x14:dataValidation>
        <x14:dataValidation type="list" allowBlank="1" showInputMessage="1" showErrorMessage="1">
          <x14:formula1>
            <xm:f>LISTES!$U$2:$U$7</xm:f>
          </x14:formula1>
          <xm:sqref>I14</xm:sqref>
        </x14:dataValidation>
        <x14:dataValidation type="list" allowBlank="1" showInputMessage="1" showErrorMessage="1">
          <x14:formula1>
            <xm:f>LISTES!$U$2:$U$9</xm:f>
          </x14:formula1>
          <xm:sqref>I5</xm:sqref>
        </x14:dataValidation>
        <x14:dataValidation type="list" allowBlank="1" showInputMessage="1" showErrorMessage="1">
          <x14:formula1>
            <xm:f>LISTES!$S$1:$S$7</xm:f>
          </x14:formula1>
          <xm:sqref>B896:B905 B909:B918 B922:B931 B935:B944 B948:B957 B961:B970 B974:B983 B987:B996 B1000:B1009</xm:sqref>
        </x14:dataValidation>
        <x14:dataValidation type="list" allowBlank="1" showInputMessage="1" showErrorMessage="1">
          <x14:formula1>
            <xm:f>LISTES!$U$2:$U$47</xm:f>
          </x14:formula1>
          <xm:sqref>C17</xm:sqref>
        </x14:dataValidation>
        <x14:dataValidation type="list" allowBlank="1" showInputMessage="1" showErrorMessage="1">
          <x14:formula1>
            <xm:f>LISTES!$U$1:$U$11</xm:f>
          </x14:formula1>
          <xm:sqref>E52</xm:sqref>
        </x14:dataValidation>
        <x14:dataValidation type="list" allowBlank="1" showInputMessage="1" showErrorMessage="1">
          <x14:formula1>
            <xm:f>LISTES!$Q$2:$Q$6</xm:f>
          </x14:formula1>
          <xm:sqref>F18</xm:sqref>
        </x14:dataValidation>
        <x14:dataValidation type="list" allowBlank="1" showInputMessage="1" showErrorMessage="1">
          <x14:formula1>
            <xm:f>LISTES!$Q$1:$Q$6</xm:f>
          </x14:formula1>
          <xm:sqref>E18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7030A0"/>
  </sheetPr>
  <dimension ref="A1:Y66"/>
  <sheetViews>
    <sheetView topLeftCell="A4" zoomScaleNormal="100" workbookViewId="0">
      <selection activeCell="D58" sqref="D58"/>
    </sheetView>
  </sheetViews>
  <sheetFormatPr baseColWidth="10" defaultRowHeight="18.75" x14ac:dyDescent="0.3"/>
  <cols>
    <col min="1" max="1" width="38.42578125" style="378" customWidth="1"/>
    <col min="2" max="2" width="16.42578125" style="378" customWidth="1"/>
    <col min="3" max="3" width="19.85546875" style="378" bestFit="1" customWidth="1"/>
    <col min="4" max="4" width="29.7109375" style="378" customWidth="1"/>
    <col min="5" max="5" width="20" style="378" customWidth="1"/>
    <col min="6" max="6" width="16.42578125" style="390" bestFit="1" customWidth="1"/>
    <col min="7" max="25" width="11.42578125" style="390"/>
    <col min="26" max="16384" width="11.42578125" style="378"/>
  </cols>
  <sheetData>
    <row r="1" spans="1:5" ht="97.5" customHeight="1" x14ac:dyDescent="0.3">
      <c r="A1" s="390"/>
      <c r="B1" s="390"/>
      <c r="C1" s="390"/>
      <c r="D1" s="390"/>
      <c r="E1" s="390"/>
    </row>
    <row r="2" spans="1:5" x14ac:dyDescent="0.3">
      <c r="A2" s="390"/>
      <c r="B2" s="390"/>
      <c r="C2" s="390"/>
      <c r="D2" s="390"/>
      <c r="E2" s="390"/>
    </row>
    <row r="3" spans="1:5" x14ac:dyDescent="0.3">
      <c r="A3" s="654" t="s">
        <v>210</v>
      </c>
      <c r="B3" s="654"/>
      <c r="C3" s="654"/>
      <c r="D3" s="654"/>
      <c r="E3" s="654"/>
    </row>
    <row r="4" spans="1:5" x14ac:dyDescent="0.3">
      <c r="A4" s="654" t="str">
        <f>DONNEES!B5</f>
        <v>Titulaire :</v>
      </c>
      <c r="B4" s="654"/>
      <c r="C4" s="654"/>
      <c r="D4" s="654"/>
      <c r="E4" s="654"/>
    </row>
    <row r="5" spans="1:5" x14ac:dyDescent="0.3">
      <c r="A5" s="390"/>
      <c r="B5" s="390"/>
      <c r="C5" s="390"/>
      <c r="D5" s="390"/>
      <c r="E5" s="390"/>
    </row>
    <row r="6" spans="1:5" ht="43.5" customHeight="1" x14ac:dyDescent="0.3">
      <c r="A6" s="390" t="str">
        <f>"Vu le marché"&amp;" "&amp;DONNEES!C14&amp;" "&amp;"dont l'objet est"&amp;" "&amp;DONNEES!C4&amp;" "&amp;DONNEES!C2</f>
        <v xml:space="preserve">Vu le marché  dont l'objet est  </v>
      </c>
      <c r="B6" s="390"/>
      <c r="C6" s="390"/>
      <c r="D6" s="390"/>
      <c r="E6" s="390"/>
    </row>
    <row r="7" spans="1:5" x14ac:dyDescent="0.3">
      <c r="A7" s="390"/>
      <c r="B7" s="390"/>
      <c r="C7" s="390"/>
      <c r="D7" s="390"/>
      <c r="E7" s="390"/>
    </row>
    <row r="8" spans="1:5" x14ac:dyDescent="0.3">
      <c r="A8" s="390" t="str">
        <f>"Vu"&amp;" "&amp;DONNEES!E18&amp;" "&amp;"de l'acte d'engagement"</f>
        <v>Vu  de l'acte d'engagement</v>
      </c>
      <c r="B8" s="390"/>
      <c r="C8" s="390"/>
      <c r="D8" s="390"/>
      <c r="E8" s="390"/>
    </row>
    <row r="9" spans="1:5" x14ac:dyDescent="0.3">
      <c r="A9" s="390"/>
      <c r="B9" s="390"/>
      <c r="C9" s="390"/>
      <c r="D9" s="390"/>
      <c r="E9" s="390"/>
    </row>
    <row r="10" spans="1:5" x14ac:dyDescent="0.3">
      <c r="A10" s="390" t="s">
        <v>343</v>
      </c>
      <c r="B10" s="458">
        <f>DONNEES!C17</f>
        <v>0</v>
      </c>
      <c r="C10" s="390" t="s">
        <v>344</v>
      </c>
      <c r="D10" s="390"/>
      <c r="E10" s="390"/>
    </row>
    <row r="11" spans="1:5" x14ac:dyDescent="0.3">
      <c r="A11" s="390"/>
      <c r="B11" s="390"/>
      <c r="C11" s="390"/>
      <c r="D11" s="390"/>
      <c r="E11" s="390"/>
    </row>
    <row r="12" spans="1:5" x14ac:dyDescent="0.3">
      <c r="A12" s="390" t="str">
        <f>"Vu"&amp;" "&amp;DONNEES!F18&amp;" "&amp;"du cahier des charges prévoyant les taux d'avance"</f>
        <v>Vu  du cahier des charges prévoyant les taux d'avance</v>
      </c>
      <c r="B12" s="390"/>
      <c r="C12" s="390"/>
      <c r="D12" s="390"/>
      <c r="E12" s="390"/>
    </row>
    <row r="13" spans="1:5" x14ac:dyDescent="0.3">
      <c r="A13" s="390"/>
      <c r="B13" s="390"/>
      <c r="C13" s="390"/>
      <c r="D13" s="390"/>
      <c r="E13" s="390"/>
    </row>
    <row r="14" spans="1:5" x14ac:dyDescent="0.3">
      <c r="A14" s="390" t="str">
        <f>"Vu le(s) taux de TVA applicable(s) dans le marché :"</f>
        <v>Vu le(s) taux de TVA applicable(s) dans le marché :</v>
      </c>
      <c r="B14" s="390"/>
      <c r="C14" s="390"/>
      <c r="D14" s="390"/>
      <c r="E14" s="390"/>
    </row>
    <row r="15" spans="1:5" x14ac:dyDescent="0.3">
      <c r="A15" s="390"/>
      <c r="B15" s="390"/>
      <c r="C15" s="390"/>
      <c r="D15" s="390"/>
      <c r="E15" s="390"/>
    </row>
    <row r="16" spans="1:5" x14ac:dyDescent="0.3">
      <c r="A16" s="390"/>
      <c r="B16" s="390"/>
      <c r="C16" s="390"/>
      <c r="D16" s="390"/>
      <c r="E16" s="390"/>
    </row>
    <row r="17" spans="1:25" x14ac:dyDescent="0.3">
      <c r="A17" s="390" t="s">
        <v>261</v>
      </c>
      <c r="B17" s="390"/>
      <c r="C17" s="390"/>
      <c r="D17" s="390"/>
      <c r="E17" s="390"/>
    </row>
    <row r="18" spans="1:25" x14ac:dyDescent="0.3">
      <c r="A18" s="390"/>
      <c r="B18" s="390"/>
      <c r="C18" s="390"/>
      <c r="D18" s="390"/>
      <c r="E18" s="390"/>
    </row>
    <row r="19" spans="1:25" x14ac:dyDescent="0.3">
      <c r="A19" s="390"/>
      <c r="B19" s="390"/>
      <c r="C19" s="390"/>
      <c r="D19" s="390"/>
      <c r="E19" s="390"/>
    </row>
    <row r="20" spans="1:25" x14ac:dyDescent="0.3">
      <c r="A20" s="654" t="s">
        <v>262</v>
      </c>
      <c r="B20" s="654"/>
      <c r="C20" s="654"/>
      <c r="D20" s="654"/>
      <c r="E20" s="654"/>
    </row>
    <row r="21" spans="1:25" x14ac:dyDescent="0.3">
      <c r="A21" s="390"/>
      <c r="B21" s="390"/>
      <c r="C21" s="390"/>
      <c r="D21" s="390"/>
      <c r="E21" s="390"/>
    </row>
    <row r="22" spans="1:25" s="391" customFormat="1" ht="61.5" customHeight="1" x14ac:dyDescent="0.3">
      <c r="A22" s="655" t="s">
        <v>527</v>
      </c>
      <c r="B22" s="655"/>
      <c r="C22" s="655"/>
      <c r="D22" s="660">
        <f>IF(AND(DONNEES!T54&gt;25000,DONNEES!F52="OUI"),(DONNEES!T54),"")</f>
        <v>260000</v>
      </c>
      <c r="E22" s="660"/>
      <c r="F22" s="390"/>
      <c r="G22" s="390"/>
      <c r="H22" s="390"/>
      <c r="I22" s="390"/>
      <c r="J22" s="390"/>
      <c r="K22" s="390"/>
      <c r="L22" s="390"/>
      <c r="M22" s="390"/>
      <c r="N22" s="390"/>
      <c r="O22" s="390"/>
      <c r="P22" s="390"/>
      <c r="Q22" s="390"/>
      <c r="R22" s="390"/>
      <c r="S22" s="390"/>
      <c r="T22" s="390"/>
      <c r="U22" s="390"/>
      <c r="V22" s="390"/>
      <c r="W22" s="390"/>
      <c r="X22" s="390"/>
      <c r="Y22" s="390"/>
    </row>
    <row r="23" spans="1:25" s="545" customFormat="1" ht="63" hidden="1" customHeight="1" x14ac:dyDescent="0.25">
      <c r="A23" s="659" t="s">
        <v>528</v>
      </c>
      <c r="B23" s="659"/>
      <c r="C23" s="659"/>
      <c r="D23" s="653" t="str">
        <f>IF(AND(DONNEES!T63&gt;25000,DONNEES!F172="OUI"),(DONNEES!T63),"")</f>
        <v/>
      </c>
      <c r="E23" s="653"/>
      <c r="F23" s="544"/>
      <c r="G23" s="544"/>
      <c r="H23" s="544"/>
      <c r="I23" s="544"/>
      <c r="J23" s="544"/>
      <c r="K23" s="544"/>
      <c r="L23" s="544"/>
      <c r="M23" s="544"/>
      <c r="N23" s="544"/>
      <c r="O23" s="544"/>
      <c r="P23" s="544"/>
      <c r="Q23" s="544"/>
      <c r="R23" s="544"/>
      <c r="S23" s="544"/>
      <c r="T23" s="544"/>
      <c r="U23" s="544"/>
      <c r="V23" s="544"/>
      <c r="W23" s="544"/>
      <c r="X23" s="544"/>
      <c r="Y23" s="544"/>
    </row>
    <row r="24" spans="1:25" s="545" customFormat="1" ht="63" hidden="1" customHeight="1" x14ac:dyDescent="0.25">
      <c r="A24" s="659" t="s">
        <v>529</v>
      </c>
      <c r="B24" s="659"/>
      <c r="C24" s="659"/>
      <c r="D24" s="653" t="str">
        <f>IF(AND(DONNEES!T72&gt;25000,DONNEES!F292="OUI"),(DONNEES!T72),"")</f>
        <v/>
      </c>
      <c r="E24" s="653"/>
      <c r="F24" s="544"/>
      <c r="G24" s="544"/>
      <c r="H24" s="544"/>
      <c r="I24" s="544"/>
      <c r="J24" s="544"/>
      <c r="K24" s="544"/>
      <c r="L24" s="544"/>
      <c r="M24" s="544"/>
      <c r="N24" s="544"/>
      <c r="O24" s="544"/>
      <c r="P24" s="544"/>
      <c r="Q24" s="544"/>
      <c r="R24" s="544"/>
      <c r="S24" s="544"/>
      <c r="T24" s="544"/>
      <c r="U24" s="544"/>
      <c r="V24" s="544"/>
      <c r="W24" s="544"/>
      <c r="X24" s="544"/>
      <c r="Y24" s="544"/>
    </row>
    <row r="25" spans="1:25" s="545" customFormat="1" ht="63" hidden="1" customHeight="1" x14ac:dyDescent="0.25">
      <c r="A25" s="659" t="s">
        <v>530</v>
      </c>
      <c r="B25" s="659"/>
      <c r="C25" s="659"/>
      <c r="D25" s="653" t="str">
        <f>IF(AND(DONNEES!T81&gt;25000,DONNEES!F412="OUI"),(DONNEES!T81),"")</f>
        <v/>
      </c>
      <c r="E25" s="653"/>
      <c r="F25" s="544"/>
      <c r="G25" s="544"/>
      <c r="H25" s="544"/>
      <c r="I25" s="544"/>
      <c r="J25" s="544"/>
      <c r="K25" s="544"/>
      <c r="L25" s="544"/>
      <c r="M25" s="544"/>
      <c r="N25" s="544"/>
      <c r="O25" s="544"/>
      <c r="P25" s="544"/>
      <c r="Q25" s="544"/>
      <c r="R25" s="544"/>
      <c r="S25" s="544"/>
      <c r="T25" s="544"/>
      <c r="U25" s="544"/>
      <c r="V25" s="544"/>
      <c r="W25" s="544"/>
      <c r="X25" s="544"/>
      <c r="Y25" s="544"/>
    </row>
    <row r="26" spans="1:25" s="545" customFormat="1" ht="63" hidden="1" customHeight="1" x14ac:dyDescent="0.25">
      <c r="A26" s="659" t="s">
        <v>531</v>
      </c>
      <c r="B26" s="659"/>
      <c r="C26" s="659"/>
      <c r="D26" s="653" t="str">
        <f>IF(AND(DONNEES!T90&gt;25000,DONNEES!F1666="OUI"),(DONNEES!T90),"")</f>
        <v/>
      </c>
      <c r="E26" s="653"/>
      <c r="F26" s="544"/>
      <c r="G26" s="544"/>
      <c r="H26" s="544"/>
      <c r="I26" s="544"/>
      <c r="J26" s="544"/>
      <c r="K26" s="544"/>
      <c r="L26" s="544"/>
      <c r="M26" s="544"/>
      <c r="N26" s="544"/>
      <c r="O26" s="544"/>
      <c r="P26" s="544"/>
      <c r="Q26" s="544"/>
      <c r="R26" s="544"/>
      <c r="S26" s="544"/>
      <c r="T26" s="544"/>
      <c r="U26" s="544"/>
      <c r="V26" s="544"/>
      <c r="W26" s="544"/>
      <c r="X26" s="544"/>
      <c r="Y26" s="544"/>
    </row>
    <row r="27" spans="1:25" s="545" customFormat="1" ht="63" hidden="1" customHeight="1" x14ac:dyDescent="0.25">
      <c r="A27" s="659" t="s">
        <v>532</v>
      </c>
      <c r="B27" s="659"/>
      <c r="C27" s="659"/>
      <c r="D27" s="653" t="str">
        <f>IF(AND(DONNEES!T99&gt;25000,DONNEES!F652="OUI"),(DONNEES!T88),"")</f>
        <v/>
      </c>
      <c r="E27" s="653"/>
      <c r="F27" s="544"/>
      <c r="G27" s="544"/>
      <c r="H27" s="544"/>
      <c r="I27" s="544"/>
      <c r="J27" s="544"/>
      <c r="K27" s="544"/>
      <c r="L27" s="544"/>
      <c r="M27" s="544"/>
      <c r="N27" s="544"/>
      <c r="O27" s="544"/>
      <c r="P27" s="544"/>
      <c r="Q27" s="544"/>
      <c r="R27" s="544"/>
      <c r="S27" s="544"/>
      <c r="T27" s="544"/>
      <c r="U27" s="544"/>
      <c r="V27" s="544"/>
      <c r="W27" s="544"/>
      <c r="X27" s="544"/>
      <c r="Y27" s="544"/>
    </row>
    <row r="28" spans="1:25" s="545" customFormat="1" ht="63" hidden="1" customHeight="1" x14ac:dyDescent="0.25">
      <c r="A28" s="659" t="s">
        <v>533</v>
      </c>
      <c r="B28" s="659"/>
      <c r="C28" s="659"/>
      <c r="D28" s="653" t="str">
        <f>IF(AND(DONNEES!T108&gt;25000,DONNEES!F772="OUI"),(DONNEES!T108),"")</f>
        <v/>
      </c>
      <c r="E28" s="653"/>
      <c r="F28" s="544"/>
      <c r="G28" s="544"/>
      <c r="H28" s="544"/>
      <c r="I28" s="544"/>
      <c r="J28" s="544"/>
      <c r="K28" s="544"/>
      <c r="L28" s="544"/>
      <c r="M28" s="544"/>
      <c r="N28" s="544"/>
      <c r="O28" s="544"/>
      <c r="P28" s="544"/>
      <c r="Q28" s="544"/>
      <c r="R28" s="544"/>
      <c r="S28" s="544"/>
      <c r="T28" s="544"/>
      <c r="U28" s="544"/>
      <c r="V28" s="544"/>
      <c r="W28" s="544"/>
      <c r="X28" s="544"/>
      <c r="Y28" s="544"/>
    </row>
    <row r="29" spans="1:25" x14ac:dyDescent="0.3">
      <c r="A29" s="390" t="s">
        <v>340</v>
      </c>
      <c r="B29" s="390"/>
      <c r="C29" s="390"/>
      <c r="D29" s="462">
        <f>IFERROR(E42+E52,0)</f>
        <v>0</v>
      </c>
      <c r="E29" s="390"/>
    </row>
    <row r="30" spans="1:25" x14ac:dyDescent="0.3">
      <c r="A30" s="390" t="s">
        <v>263</v>
      </c>
      <c r="B30" s="390"/>
      <c r="C30" s="390"/>
      <c r="D30" s="393" t="str">
        <f>IFERROR(DONNEES!C5,0)</f>
        <v>yy</v>
      </c>
      <c r="E30" s="390"/>
    </row>
    <row r="31" spans="1:25" x14ac:dyDescent="0.3">
      <c r="A31" s="390" t="s">
        <v>321</v>
      </c>
      <c r="B31" s="390"/>
      <c r="C31" s="390"/>
      <c r="D31" s="394">
        <f>IFERROR(E53+E43-D29,0)</f>
        <v>78000</v>
      </c>
      <c r="E31" s="390"/>
    </row>
    <row r="32" spans="1:25" x14ac:dyDescent="0.3">
      <c r="A32" s="390"/>
      <c r="B32" s="390"/>
      <c r="C32" s="390"/>
      <c r="D32" s="392"/>
      <c r="E32" s="390"/>
    </row>
    <row r="33" spans="1:5" x14ac:dyDescent="0.3">
      <c r="A33" s="392"/>
      <c r="B33" s="395" t="s">
        <v>235</v>
      </c>
      <c r="C33" s="395" t="s">
        <v>36</v>
      </c>
      <c r="D33" s="395" t="s">
        <v>272</v>
      </c>
      <c r="E33" s="395" t="s">
        <v>291</v>
      </c>
    </row>
    <row r="34" spans="1:5" x14ac:dyDescent="0.3">
      <c r="A34" s="396" t="str">
        <f>DONNEES!B25</f>
        <v>Tranche ferme HT</v>
      </c>
      <c r="B34" s="397">
        <f>IF(AND(DONNEES!F25&gt;25000,E34&gt;0),DONNEES!$C$24,"")</f>
        <v>0.2</v>
      </c>
      <c r="C34" s="398">
        <f>IF(AND(DONNEES!$F$52="OUI",DONNEES!F25&gt;25000),DONNEES!R54,"")</f>
        <v>260000</v>
      </c>
      <c r="D34" s="397" t="str">
        <f>IF(AND($D$22&gt;=25000,$D$22&lt;=149999),"30%",IF(AND($D$22&gt;149999,$D$22&lt;=999999),"25%",IF($D$22&gt;999999,"20"%," ")))</f>
        <v>25%</v>
      </c>
      <c r="E34" s="399">
        <f>IFERROR(IF($B$10&lt;=12,(C34*D34),C34*D34*(12/$B$10)),0)</f>
        <v>65000</v>
      </c>
    </row>
    <row r="35" spans="1:5" hidden="1" x14ac:dyDescent="0.3">
      <c r="A35" s="396" t="str">
        <f>DONNEES!B26</f>
        <v>Tranche optionnelle 1 HT</v>
      </c>
      <c r="B35" s="397" t="str">
        <f>IF(AND(DONNEES!F26&gt;25000,E35&gt;0),DONNEES!$C$24,"")</f>
        <v/>
      </c>
      <c r="C35" s="398" t="str">
        <f>IF(AND(DONNEES!$F$172="OUI",DONNEES!F26&gt;25000),DONNEES!R63,"")</f>
        <v/>
      </c>
      <c r="D35" s="397" t="str">
        <f t="shared" ref="D35:D40" si="0">IF(AND($D$22&gt;=25000,$D$22&lt;=149999),"30%",IF(AND($D$22&gt;149999,$D$22&lt;=999999),"25%",IF($D$22&gt;999999,"20"%," ")))</f>
        <v>25%</v>
      </c>
      <c r="E35" s="399">
        <f t="shared" ref="E35:E40" si="1">IFERROR(IF($B$10&lt;=12,(C35*D35),C35*D35*(12/$B$10)),0)</f>
        <v>0</v>
      </c>
    </row>
    <row r="36" spans="1:5" hidden="1" x14ac:dyDescent="0.3">
      <c r="A36" s="396" t="str">
        <f>DONNEES!B27</f>
        <v>Tranche optionnelle 2 HT</v>
      </c>
      <c r="B36" s="397" t="str">
        <f>IF(AND(DONNEES!F27&gt;25000,E36&gt;0),DONNEES!$C$24,"")</f>
        <v/>
      </c>
      <c r="C36" s="398" t="str">
        <f>IF(AND(DONNEES!$F$292="OUI",DONNEES!F27&gt;25000),DONNEES!R72,"")</f>
        <v/>
      </c>
      <c r="D36" s="397" t="str">
        <f t="shared" si="0"/>
        <v>25%</v>
      </c>
      <c r="E36" s="399">
        <f t="shared" si="1"/>
        <v>0</v>
      </c>
    </row>
    <row r="37" spans="1:5" hidden="1" x14ac:dyDescent="0.3">
      <c r="A37" s="396" t="str">
        <f>DONNEES!B28</f>
        <v>Tranche optionnelle 3 HT</v>
      </c>
      <c r="B37" s="397" t="str">
        <f>IF(AND(DONNEES!F28&gt;25000,E37&gt;0),DONNEES!$C$24,"")</f>
        <v/>
      </c>
      <c r="C37" s="398" t="str">
        <f>IF(AND(DONNEES!$F$412="OUI",DONNEES!F28&gt;25000),DONNEES!R81,"")</f>
        <v/>
      </c>
      <c r="D37" s="397" t="str">
        <f t="shared" si="0"/>
        <v>25%</v>
      </c>
      <c r="E37" s="399">
        <f t="shared" si="1"/>
        <v>0</v>
      </c>
    </row>
    <row r="38" spans="1:5" hidden="1" x14ac:dyDescent="0.3">
      <c r="A38" s="396" t="str">
        <f>DONNEES!B29</f>
        <v>Tranche optionnelle 4 HT</v>
      </c>
      <c r="B38" s="397" t="str">
        <f>IF(AND(DONNEES!F29&gt;25000,E38&gt;0),DONNEES!$C$24,"")</f>
        <v/>
      </c>
      <c r="C38" s="398" t="str">
        <f>IF(AND(DONNEES!$F$532="OUI",DONNEES!F29&gt;25000),DONNEES!R90,"")</f>
        <v/>
      </c>
      <c r="D38" s="397" t="str">
        <f t="shared" si="0"/>
        <v>25%</v>
      </c>
      <c r="E38" s="399">
        <f t="shared" si="1"/>
        <v>0</v>
      </c>
    </row>
    <row r="39" spans="1:5" hidden="1" x14ac:dyDescent="0.3">
      <c r="A39" s="396" t="str">
        <f>DONNEES!B30</f>
        <v>Tranche optionnelle 5 HT</v>
      </c>
      <c r="B39" s="397" t="str">
        <f>IF(AND(DONNEES!F30&gt;25000,E39&gt;0),DONNEES!$C$24,"")</f>
        <v/>
      </c>
      <c r="C39" s="398" t="str">
        <f>IF(AND(DONNEES!$F$652="OUI",DONNEES!F30&gt;25000),DONNEES!R99,"")</f>
        <v/>
      </c>
      <c r="D39" s="397" t="str">
        <f t="shared" si="0"/>
        <v>25%</v>
      </c>
      <c r="E39" s="399">
        <f t="shared" si="1"/>
        <v>0</v>
      </c>
    </row>
    <row r="40" spans="1:5" hidden="1" x14ac:dyDescent="0.3">
      <c r="A40" s="396" t="str">
        <f>DONNEES!B31</f>
        <v>Tranche optionnelle 6 HT</v>
      </c>
      <c r="B40" s="397" t="str">
        <f>IF(AND(DONNEES!F31&gt;25000,E40&gt;0),DONNEES!$C$24,"")</f>
        <v/>
      </c>
      <c r="C40" s="398" t="str">
        <f>IF(AND(DONNEES!$F$772="OUI",DONNEES!F31&gt;25000),DONNEES!R108,"")</f>
        <v/>
      </c>
      <c r="D40" s="397" t="str">
        <f t="shared" si="0"/>
        <v>25%</v>
      </c>
      <c r="E40" s="399">
        <f t="shared" si="1"/>
        <v>0</v>
      </c>
    </row>
    <row r="41" spans="1:5" hidden="1" x14ac:dyDescent="0.3">
      <c r="A41" s="396" t="s">
        <v>319</v>
      </c>
      <c r="B41" s="400"/>
      <c r="C41" s="401"/>
      <c r="D41" s="402"/>
      <c r="E41" s="399">
        <f>IFERROR(SUM(E34:E40)*B34,0)</f>
        <v>13000</v>
      </c>
    </row>
    <row r="42" spans="1:5" hidden="1" x14ac:dyDescent="0.3">
      <c r="A42" s="396" t="s">
        <v>337</v>
      </c>
      <c r="B42" s="656"/>
      <c r="C42" s="657"/>
      <c r="D42" s="658"/>
      <c r="E42" s="380">
        <v>0</v>
      </c>
    </row>
    <row r="43" spans="1:5" hidden="1" x14ac:dyDescent="0.3">
      <c r="A43" s="403" t="s">
        <v>320</v>
      </c>
      <c r="B43" s="404"/>
      <c r="C43" s="405"/>
      <c r="D43" s="402"/>
      <c r="E43" s="406">
        <f>IFERROR(SUM(E34:E40)+E41-E42,0)</f>
        <v>78000</v>
      </c>
    </row>
    <row r="44" spans="1:5" hidden="1" x14ac:dyDescent="0.3">
      <c r="A44" s="396" t="str">
        <f>DONNEES!B25</f>
        <v>Tranche ferme HT</v>
      </c>
      <c r="B44" s="397" t="str">
        <f>IF(AND(DONNEES!F25&gt;25000,E44&gt;0),DONNEES!$E$24,"")</f>
        <v/>
      </c>
      <c r="C44" s="398">
        <f>IF(AND(DONNEES!$F$52="OUI",DONNEES!F25&gt;25000),DONNEES!S54,"")</f>
        <v>0</v>
      </c>
      <c r="D44" s="397" t="str">
        <f t="shared" ref="D44:D50" si="2">IF(AND($D$22&gt;=25000,$D$22&lt;=149999),"30%",IF(AND($D$22&gt;149999,$D$22&lt;=999999),"25%",IF($D$22&gt;999999,"20"%," ")))</f>
        <v>25%</v>
      </c>
      <c r="E44" s="399">
        <f t="shared" ref="E44:E50" si="3">IFERROR(IF($B$10&lt;=12,(C44*D44),C44*D44*(12/$B$10)),0)</f>
        <v>0</v>
      </c>
    </row>
    <row r="45" spans="1:5" hidden="1" x14ac:dyDescent="0.3">
      <c r="A45" s="396" t="str">
        <f>DONNEES!B26</f>
        <v>Tranche optionnelle 1 HT</v>
      </c>
      <c r="B45" s="397" t="str">
        <f>IF(AND(DONNEES!F26&gt;25000,E45&gt;0),DONNEES!$E$24,"")</f>
        <v/>
      </c>
      <c r="C45" s="398" t="str">
        <f>IF(AND(DONNEES!$F$172="OUI",DONNEES!F26&gt;25000),DONNEES!S63,"")</f>
        <v/>
      </c>
      <c r="D45" s="397" t="str">
        <f t="shared" si="2"/>
        <v>25%</v>
      </c>
      <c r="E45" s="399">
        <f t="shared" si="3"/>
        <v>0</v>
      </c>
    </row>
    <row r="46" spans="1:5" hidden="1" x14ac:dyDescent="0.3">
      <c r="A46" s="396" t="str">
        <f>DONNEES!B27</f>
        <v>Tranche optionnelle 2 HT</v>
      </c>
      <c r="B46" s="397" t="str">
        <f>IF(AND(DONNEES!F27&gt;25000,E46&gt;0),DONNEES!$E$24,"")</f>
        <v/>
      </c>
      <c r="C46" s="398" t="str">
        <f>IF(AND(DONNEES!$F$292="OUI",DONNEES!F27&gt;25000),DONNEES!S72,"")</f>
        <v/>
      </c>
      <c r="D46" s="397" t="str">
        <f t="shared" si="2"/>
        <v>25%</v>
      </c>
      <c r="E46" s="399">
        <f t="shared" si="3"/>
        <v>0</v>
      </c>
    </row>
    <row r="47" spans="1:5" hidden="1" x14ac:dyDescent="0.3">
      <c r="A47" s="396" t="str">
        <f>DONNEES!B28</f>
        <v>Tranche optionnelle 3 HT</v>
      </c>
      <c r="B47" s="397" t="str">
        <f>IF(AND(DONNEES!F28&gt;25000,E47&gt;0),DONNEES!$E$24,"")</f>
        <v/>
      </c>
      <c r="C47" s="398" t="str">
        <f>IF(AND(DONNEES!$F$412="OUI",DONNEES!F28&gt;25000),DONNEES!S90,"")</f>
        <v/>
      </c>
      <c r="D47" s="397" t="str">
        <f t="shared" si="2"/>
        <v>25%</v>
      </c>
      <c r="E47" s="399">
        <f t="shared" si="3"/>
        <v>0</v>
      </c>
    </row>
    <row r="48" spans="1:5" hidden="1" x14ac:dyDescent="0.3">
      <c r="A48" s="396" t="str">
        <f>DONNEES!B29</f>
        <v>Tranche optionnelle 4 HT</v>
      </c>
      <c r="B48" s="397" t="str">
        <f>IF(AND(DONNEES!F29&gt;25000,E48&gt;0),DONNEES!$E$24,"")</f>
        <v/>
      </c>
      <c r="C48" s="398" t="str">
        <f>IF(AND(DONNEES!$F$532="OUI",DONNEES!F30&gt;25000),DONNEES!S99,"")</f>
        <v/>
      </c>
      <c r="D48" s="397" t="str">
        <f t="shared" si="2"/>
        <v>25%</v>
      </c>
      <c r="E48" s="399">
        <f t="shared" si="3"/>
        <v>0</v>
      </c>
    </row>
    <row r="49" spans="1:5" hidden="1" x14ac:dyDescent="0.3">
      <c r="A49" s="396" t="str">
        <f>DONNEES!B30</f>
        <v>Tranche optionnelle 5 HT</v>
      </c>
      <c r="B49" s="397" t="str">
        <f>IF(AND(DONNEES!F30&gt;25000,E49&gt;0),DONNEES!$E$24,"")</f>
        <v/>
      </c>
      <c r="C49" s="398" t="str">
        <f>IF(AND(DONNEES!$F$652="OUI",DONNEES!F31&gt;25000),DONNEES!S108,"")</f>
        <v/>
      </c>
      <c r="D49" s="397" t="str">
        <f t="shared" si="2"/>
        <v>25%</v>
      </c>
      <c r="E49" s="399">
        <f t="shared" si="3"/>
        <v>0</v>
      </c>
    </row>
    <row r="50" spans="1:5" hidden="1" x14ac:dyDescent="0.3">
      <c r="A50" s="396" t="str">
        <f>DONNEES!B31</f>
        <v>Tranche optionnelle 6 HT</v>
      </c>
      <c r="B50" s="397" t="str">
        <f>IF(AND(DONNEES!F31&gt;25000,E50&gt;0),DONNEES!$E$24,"")</f>
        <v/>
      </c>
      <c r="C50" s="398" t="str">
        <f>IF(AND(DONNEES!$F$772="OUI",DONNEES!F32&gt;25000),DONNEES!R146,"")</f>
        <v/>
      </c>
      <c r="D50" s="397" t="str">
        <f t="shared" si="2"/>
        <v>25%</v>
      </c>
      <c r="E50" s="399">
        <f t="shared" si="3"/>
        <v>0</v>
      </c>
    </row>
    <row r="51" spans="1:5" hidden="1" x14ac:dyDescent="0.3">
      <c r="A51" s="396" t="s">
        <v>319</v>
      </c>
      <c r="B51" s="400"/>
      <c r="C51" s="401"/>
      <c r="D51" s="400"/>
      <c r="E51" s="399">
        <f>IFERROR(SUM(E44:E50)*B44,0)</f>
        <v>0</v>
      </c>
    </row>
    <row r="52" spans="1:5" hidden="1" x14ac:dyDescent="0.3">
      <c r="A52" s="396" t="s">
        <v>337</v>
      </c>
      <c r="B52" s="400"/>
      <c r="C52" s="401"/>
      <c r="D52" s="400"/>
      <c r="E52" s="444">
        <v>0</v>
      </c>
    </row>
    <row r="53" spans="1:5" hidden="1" x14ac:dyDescent="0.3">
      <c r="A53" s="403" t="s">
        <v>320</v>
      </c>
      <c r="B53" s="404"/>
      <c r="C53" s="405"/>
      <c r="D53" s="404"/>
      <c r="E53" s="406">
        <f>IFERROR(SUM(E44:E50)+E51-E52,0)</f>
        <v>0</v>
      </c>
    </row>
    <row r="54" spans="1:5" collapsed="1" x14ac:dyDescent="0.3">
      <c r="A54" s="390"/>
      <c r="B54" s="390"/>
      <c r="C54" s="390"/>
      <c r="D54" s="390"/>
      <c r="E54" s="390"/>
    </row>
    <row r="55" spans="1:5" x14ac:dyDescent="0.3">
      <c r="A55" s="654"/>
      <c r="B55" s="654"/>
      <c r="C55" s="654"/>
      <c r="D55" s="654"/>
      <c r="E55" s="654"/>
    </row>
    <row r="56" spans="1:5" x14ac:dyDescent="0.3">
      <c r="A56" s="654"/>
      <c r="B56" s="654"/>
      <c r="C56" s="654"/>
      <c r="D56" s="654"/>
      <c r="E56" s="654"/>
    </row>
    <row r="57" spans="1:5" x14ac:dyDescent="0.3">
      <c r="A57" s="390"/>
      <c r="B57" s="390"/>
      <c r="C57" s="390"/>
      <c r="D57" s="390"/>
      <c r="E57" s="390"/>
    </row>
    <row r="58" spans="1:5" ht="43.5" customHeight="1" x14ac:dyDescent="0.3">
      <c r="A58" s="390"/>
      <c r="B58" s="390"/>
      <c r="C58" s="390"/>
      <c r="D58" s="390"/>
      <c r="E58" s="390"/>
    </row>
    <row r="59" spans="1:5" x14ac:dyDescent="0.3">
      <c r="A59" s="390"/>
      <c r="B59" s="390"/>
      <c r="C59" s="390"/>
      <c r="D59" s="390"/>
      <c r="E59" s="390"/>
    </row>
    <row r="60" spans="1:5" x14ac:dyDescent="0.3">
      <c r="A60" s="390"/>
      <c r="B60" s="390"/>
      <c r="C60" s="390"/>
      <c r="D60" s="390"/>
      <c r="E60" s="390"/>
    </row>
    <row r="61" spans="1:5" x14ac:dyDescent="0.3">
      <c r="A61" s="390"/>
      <c r="B61" s="390"/>
      <c r="C61" s="390"/>
      <c r="D61" s="390"/>
      <c r="E61" s="390"/>
    </row>
    <row r="62" spans="1:5" x14ac:dyDescent="0.3">
      <c r="A62" s="390"/>
      <c r="B62" s="458"/>
      <c r="C62" s="390"/>
      <c r="D62" s="390"/>
      <c r="E62" s="390"/>
    </row>
    <row r="63" spans="1:5" x14ac:dyDescent="0.3">
      <c r="A63" s="390"/>
      <c r="B63" s="390"/>
      <c r="C63" s="390"/>
      <c r="D63" s="390"/>
      <c r="E63" s="390"/>
    </row>
    <row r="64" spans="1:5" x14ac:dyDescent="0.3">
      <c r="A64" s="390"/>
      <c r="B64" s="390"/>
      <c r="C64" s="390"/>
      <c r="D64" s="390"/>
      <c r="E64" s="390"/>
    </row>
    <row r="65" spans="1:5" x14ac:dyDescent="0.3">
      <c r="A65" s="390"/>
      <c r="B65" s="390"/>
      <c r="C65" s="390"/>
      <c r="D65" s="390"/>
      <c r="E65" s="390"/>
    </row>
    <row r="66" spans="1:5" x14ac:dyDescent="0.3">
      <c r="A66" s="390"/>
      <c r="B66" s="390"/>
      <c r="C66" s="390"/>
      <c r="D66" s="390"/>
      <c r="E66" s="390"/>
    </row>
  </sheetData>
  <sheetProtection algorithmName="SHA-512" hashValue="84LsnLMV7LfC/YdA9Q0dabfFCARatP2kxTIohdP39CkYgPVHukWsXHW9VrNvOtbDO4zLbcGjShs6hNaAsRO58w==" saltValue="hRv9o1zAnvbv9Cjsvah8PQ==" spinCount="100000" sheet="1" objects="1" scenarios="1" autoFilter="0"/>
  <mergeCells count="20">
    <mergeCell ref="D23:E23"/>
    <mergeCell ref="D24:E24"/>
    <mergeCell ref="D25:E25"/>
    <mergeCell ref="D26:E26"/>
    <mergeCell ref="D27:E27"/>
    <mergeCell ref="D28:E28"/>
    <mergeCell ref="A55:E55"/>
    <mergeCell ref="A56:E56"/>
    <mergeCell ref="A3:E3"/>
    <mergeCell ref="A20:E20"/>
    <mergeCell ref="A22:C22"/>
    <mergeCell ref="B42:D42"/>
    <mergeCell ref="A4:E4"/>
    <mergeCell ref="A23:C23"/>
    <mergeCell ref="A24:C24"/>
    <mergeCell ref="A25:C25"/>
    <mergeCell ref="A26:C26"/>
    <mergeCell ref="A27:C27"/>
    <mergeCell ref="A28:C28"/>
    <mergeCell ref="D22:E22"/>
  </mergeCells>
  <pageMargins left="0.7" right="0.7" top="0.75" bottom="0.75" header="0.3" footer="0.3"/>
  <pageSetup paperSize="9" scale="69"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7030A0"/>
  </sheetPr>
  <dimension ref="A1:BD374"/>
  <sheetViews>
    <sheetView zoomScaleNormal="100" workbookViewId="0">
      <selection activeCell="E20" sqref="E20"/>
    </sheetView>
  </sheetViews>
  <sheetFormatPr baseColWidth="10" defaultRowHeight="18.75" outlineLevelRow="1" outlineLevelCol="1" x14ac:dyDescent="0.3"/>
  <cols>
    <col min="1" max="1" width="32.7109375" customWidth="1"/>
    <col min="2" max="2" width="16.42578125" customWidth="1" outlineLevel="1"/>
    <col min="3" max="3" width="19.85546875" bestFit="1" customWidth="1"/>
    <col min="4" max="4" width="29.7109375" customWidth="1"/>
    <col min="5" max="5" width="29" bestFit="1" customWidth="1"/>
    <col min="6" max="6" width="16.42578125" bestFit="1" customWidth="1"/>
    <col min="7" max="7" width="11.85546875" style="130" bestFit="1" customWidth="1"/>
    <col min="8" max="56" width="11.42578125" style="130"/>
  </cols>
  <sheetData>
    <row r="1" spans="1:6" x14ac:dyDescent="0.3">
      <c r="A1" s="130"/>
      <c r="B1" s="130"/>
      <c r="C1" s="130"/>
      <c r="D1" s="130"/>
      <c r="E1" s="130"/>
      <c r="F1" s="130"/>
    </row>
    <row r="2" spans="1:6" x14ac:dyDescent="0.3">
      <c r="A2" s="130"/>
      <c r="B2" s="130"/>
      <c r="C2" s="130"/>
      <c r="D2" s="130"/>
      <c r="E2" s="130"/>
      <c r="F2" s="130"/>
    </row>
    <row r="3" spans="1:6" x14ac:dyDescent="0.3">
      <c r="A3" s="130"/>
      <c r="B3" s="130"/>
      <c r="C3" s="130"/>
      <c r="D3" s="130"/>
      <c r="E3" s="130"/>
      <c r="F3" s="130"/>
    </row>
    <row r="4" spans="1:6" x14ac:dyDescent="0.3">
      <c r="A4" s="130"/>
      <c r="B4" s="130"/>
      <c r="C4" s="130"/>
      <c r="D4" s="130"/>
      <c r="E4" s="130"/>
      <c r="F4" s="130"/>
    </row>
    <row r="5" spans="1:6" x14ac:dyDescent="0.3">
      <c r="A5" s="130"/>
      <c r="B5" s="130"/>
      <c r="C5" s="130"/>
      <c r="D5" s="130"/>
      <c r="E5" s="130"/>
      <c r="F5" s="130"/>
    </row>
    <row r="6" spans="1:6" x14ac:dyDescent="0.3">
      <c r="A6" s="130"/>
      <c r="B6" s="130"/>
      <c r="C6" s="130"/>
      <c r="D6" s="130"/>
      <c r="E6" s="130"/>
      <c r="F6" s="130"/>
    </row>
    <row r="7" spans="1:6" x14ac:dyDescent="0.3">
      <c r="A7" s="130"/>
      <c r="B7" s="130"/>
      <c r="C7" s="130"/>
      <c r="D7" s="130"/>
      <c r="E7" s="130"/>
      <c r="F7" s="130"/>
    </row>
    <row r="8" spans="1:6" x14ac:dyDescent="0.3">
      <c r="A8" s="662" t="s">
        <v>210</v>
      </c>
      <c r="B8" s="662"/>
      <c r="C8" s="662"/>
      <c r="D8" s="662"/>
      <c r="E8" s="662"/>
      <c r="F8" s="130"/>
    </row>
    <row r="9" spans="1:6" x14ac:dyDescent="0.3">
      <c r="A9" s="661" t="str">
        <f>DONNEES!B6</f>
        <v>Cotraitant 1</v>
      </c>
      <c r="B9" s="661"/>
      <c r="C9" s="661"/>
      <c r="D9" s="661"/>
      <c r="E9" s="661"/>
      <c r="F9" s="130"/>
    </row>
    <row r="10" spans="1:6" x14ac:dyDescent="0.3">
      <c r="A10" s="130"/>
      <c r="B10" s="130"/>
      <c r="C10" s="130"/>
      <c r="D10" s="130"/>
      <c r="E10" s="130"/>
      <c r="F10" s="130"/>
    </row>
    <row r="11" spans="1:6" ht="43.5" customHeight="1" x14ac:dyDescent="0.3">
      <c r="A11" s="130" t="str">
        <f>"Vu le marché"&amp;" "&amp;DONNEES!C14&amp;" "&amp;"dont l'objet est"&amp;" "&amp;DONNEES!C4&amp;" "&amp;DONNEES!C2</f>
        <v xml:space="preserve">Vu le marché  dont l'objet est  </v>
      </c>
      <c r="B11" s="130"/>
      <c r="C11" s="130"/>
      <c r="D11" s="130"/>
      <c r="E11" s="130"/>
      <c r="F11" s="130"/>
    </row>
    <row r="12" spans="1:6" x14ac:dyDescent="0.3">
      <c r="A12" s="130"/>
      <c r="B12" s="130"/>
      <c r="C12" s="130"/>
      <c r="D12" s="130"/>
      <c r="E12" s="130"/>
      <c r="F12" s="130"/>
    </row>
    <row r="13" spans="1:6" x14ac:dyDescent="0.3">
      <c r="A13" s="130" t="str">
        <f>"Vu"&amp;" "&amp;DONNEES!E18&amp;" "&amp;"de l'acte d'engagement"</f>
        <v>Vu  de l'acte d'engagement</v>
      </c>
      <c r="B13" s="130"/>
      <c r="C13" s="130"/>
      <c r="D13" s="130"/>
      <c r="E13" s="130"/>
      <c r="F13" s="130"/>
    </row>
    <row r="14" spans="1:6" x14ac:dyDescent="0.3">
      <c r="A14" s="130"/>
      <c r="B14" s="130"/>
      <c r="C14" s="130"/>
      <c r="D14" s="130"/>
      <c r="E14" s="130"/>
      <c r="F14" s="130"/>
    </row>
    <row r="15" spans="1:6" x14ac:dyDescent="0.3">
      <c r="A15" s="130" t="s">
        <v>343</v>
      </c>
      <c r="B15" s="459">
        <f>DONNEES!C17</f>
        <v>0</v>
      </c>
      <c r="C15" s="130" t="s">
        <v>344</v>
      </c>
      <c r="D15" s="130"/>
      <c r="E15" s="130"/>
      <c r="F15" s="130"/>
    </row>
    <row r="16" spans="1:6" x14ac:dyDescent="0.3">
      <c r="A16" s="130"/>
      <c r="B16" s="130"/>
      <c r="C16" s="130"/>
      <c r="D16" s="130"/>
      <c r="E16" s="130"/>
      <c r="F16" s="130"/>
    </row>
    <row r="17" spans="1:56" x14ac:dyDescent="0.3">
      <c r="A17" s="130" t="str">
        <f>"Vu"&amp;" "&amp;DONNEES!F18&amp;" "&amp;"du cahier des charges prévoyant les taux d'avance"</f>
        <v>Vu  du cahier des charges prévoyant les taux d'avance</v>
      </c>
      <c r="B17" s="130"/>
      <c r="C17" s="130"/>
      <c r="D17" s="130"/>
      <c r="E17" s="130"/>
      <c r="F17" s="130"/>
    </row>
    <row r="18" spans="1:56" x14ac:dyDescent="0.3">
      <c r="A18" s="130"/>
      <c r="B18" s="130"/>
      <c r="C18" s="130"/>
      <c r="D18" s="130"/>
      <c r="E18" s="130"/>
      <c r="F18" s="130"/>
    </row>
    <row r="19" spans="1:56" x14ac:dyDescent="0.3">
      <c r="A19" s="130" t="str">
        <f>"Vu le(s) taux de TVA applicable(s) dans le marché :"</f>
        <v>Vu le(s) taux de TVA applicable(s) dans le marché :</v>
      </c>
      <c r="B19" s="130"/>
      <c r="C19" s="130"/>
      <c r="D19" s="130"/>
      <c r="E19" s="130"/>
      <c r="F19" s="130"/>
    </row>
    <row r="20" spans="1:56" x14ac:dyDescent="0.3">
      <c r="A20" s="130"/>
      <c r="B20" s="130"/>
      <c r="C20" s="130"/>
      <c r="D20" s="130"/>
      <c r="E20" s="130"/>
      <c r="F20" s="130"/>
    </row>
    <row r="21" spans="1:56" x14ac:dyDescent="0.3">
      <c r="A21" s="130"/>
      <c r="B21" s="130"/>
      <c r="C21" s="130"/>
      <c r="D21" s="130"/>
      <c r="E21" s="130"/>
      <c r="F21" s="130"/>
    </row>
    <row r="22" spans="1:56" x14ac:dyDescent="0.3">
      <c r="A22" s="130" t="s">
        <v>261</v>
      </c>
      <c r="B22" s="130"/>
      <c r="C22" s="130"/>
      <c r="D22" s="130"/>
      <c r="E22" s="130"/>
      <c r="F22" s="130"/>
    </row>
    <row r="23" spans="1:56" x14ac:dyDescent="0.3">
      <c r="A23" s="130"/>
      <c r="B23" s="130"/>
      <c r="C23" s="130"/>
      <c r="D23" s="130"/>
      <c r="E23" s="130"/>
      <c r="F23" s="130"/>
    </row>
    <row r="24" spans="1:56" x14ac:dyDescent="0.3">
      <c r="A24" s="130"/>
      <c r="B24" s="130"/>
      <c r="C24" s="130"/>
      <c r="D24" s="130"/>
      <c r="E24" s="130"/>
      <c r="F24" s="130"/>
    </row>
    <row r="25" spans="1:56" x14ac:dyDescent="0.3">
      <c r="A25" s="662" t="s">
        <v>262</v>
      </c>
      <c r="B25" s="662"/>
      <c r="C25" s="662"/>
      <c r="D25" s="662"/>
      <c r="E25" s="662"/>
      <c r="F25" s="130"/>
    </row>
    <row r="26" spans="1:56" x14ac:dyDescent="0.3">
      <c r="A26" s="130"/>
      <c r="B26" s="130"/>
      <c r="C26" s="130"/>
      <c r="D26" s="130"/>
      <c r="E26" s="130"/>
      <c r="F26" s="130"/>
    </row>
    <row r="27" spans="1:56" s="322" customFormat="1" x14ac:dyDescent="0.3">
      <c r="A27" s="130" t="s">
        <v>318</v>
      </c>
      <c r="B27" s="130"/>
      <c r="C27" s="130"/>
      <c r="D27" s="325">
        <f>IFERROR(DONNEES!R55+DONNEES!R64+DONNEES!R73+DONNEES!R82+DONNEES!R91+DONNEES!R100+DONNEES!R109+DONNEES!S55+DONNEES!S64+DONNEES!S73+DONNEES!S82+DONNEES!S91+DONNEES!S100+DONNEES!S109,0)</f>
        <v>0</v>
      </c>
      <c r="E27" s="130"/>
      <c r="F27" s="321"/>
      <c r="G27" s="130"/>
      <c r="H27" s="130"/>
      <c r="I27" s="130"/>
      <c r="J27" s="130"/>
      <c r="K27" s="130"/>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0"/>
      <c r="BA27" s="130"/>
      <c r="BB27" s="130"/>
      <c r="BC27" s="130"/>
      <c r="BD27" s="130"/>
    </row>
    <row r="28" spans="1:56" x14ac:dyDescent="0.3">
      <c r="A28" s="130" t="s">
        <v>341</v>
      </c>
      <c r="B28" s="130"/>
      <c r="C28" s="130"/>
      <c r="D28" s="463">
        <f>IFERROR(E41+E51,0)</f>
        <v>0</v>
      </c>
      <c r="E28" s="130"/>
      <c r="F28" s="10"/>
    </row>
    <row r="29" spans="1:56" x14ac:dyDescent="0.3">
      <c r="A29" s="130" t="s">
        <v>263</v>
      </c>
      <c r="B29" s="130"/>
      <c r="C29" s="130"/>
      <c r="D29" s="326">
        <f>DONNEES!C6</f>
        <v>0</v>
      </c>
      <c r="E29" s="130"/>
      <c r="F29" s="192"/>
    </row>
    <row r="30" spans="1:56" x14ac:dyDescent="0.3">
      <c r="A30" s="130" t="s">
        <v>321</v>
      </c>
      <c r="B30" s="130"/>
      <c r="C30" s="130"/>
      <c r="D30" s="331">
        <f>IFERROR(E52+E42-D28,0)</f>
        <v>0</v>
      </c>
      <c r="E30" s="130"/>
      <c r="F30" s="10"/>
    </row>
    <row r="31" spans="1:56" x14ac:dyDescent="0.3">
      <c r="A31" s="130"/>
      <c r="B31" s="130"/>
      <c r="C31" s="130"/>
      <c r="D31" s="10"/>
      <c r="E31" s="130"/>
      <c r="F31" s="10"/>
    </row>
    <row r="32" spans="1:56" x14ac:dyDescent="0.3">
      <c r="A32" s="10"/>
      <c r="B32" s="238" t="s">
        <v>235</v>
      </c>
      <c r="C32" s="238" t="s">
        <v>36</v>
      </c>
      <c r="D32" s="238" t="s">
        <v>272</v>
      </c>
      <c r="E32" s="238" t="s">
        <v>291</v>
      </c>
      <c r="F32" s="10"/>
    </row>
    <row r="33" spans="1:6" x14ac:dyDescent="0.3">
      <c r="A33" s="11" t="str">
        <f>DONNEES!B25</f>
        <v>Tranche ferme HT</v>
      </c>
      <c r="B33" s="323">
        <f>IF(DONNEES!C25&gt;=25000,DONNEES!$C$24,"")</f>
        <v>0.2</v>
      </c>
      <c r="C33" s="239">
        <f>IF(DONNEES!$F$52="OUI",DONNEES!R55,"")</f>
        <v>0</v>
      </c>
      <c r="D33" s="323" t="str">
        <f>IF(AND($D$27&gt;=25000,$D$27&lt;=149999),"30%",IF(AND($D$27&gt;149999,$D$27&lt;=999999),"25%",IF($D$27&gt;999999,"20"%," ")))</f>
        <v xml:space="preserve"> </v>
      </c>
      <c r="E33" s="38">
        <f>IFERROR(IF($B$15&lt;=12,(C33*D33),C33*D33*(12/$B$15)),0)</f>
        <v>0</v>
      </c>
    </row>
    <row r="34" spans="1:6" x14ac:dyDescent="0.3">
      <c r="A34" s="11" t="str">
        <f>DONNEES!B26</f>
        <v>Tranche optionnelle 1 HT</v>
      </c>
      <c r="B34" s="323" t="str">
        <f>IF(DONNEES!C26&gt;=25000,DONNEES!$C$24,"")</f>
        <v/>
      </c>
      <c r="C34" s="525" t="str">
        <f>IF(DONNEES!$F$172="OUI",DONNEES!R64,"")</f>
        <v/>
      </c>
      <c r="D34" s="323" t="str">
        <f t="shared" ref="D34:D39" si="0">IF(AND($D$27&gt;=25000,$D$27&lt;=149999),"30%",IF(AND($D$27&gt;149999,$D$27&lt;=999999),"25%",IF($D$27&gt;999999,"20"%," ")))</f>
        <v xml:space="preserve"> </v>
      </c>
      <c r="E34" s="38">
        <f t="shared" ref="E34:E39" si="1">IFERROR(IF($B$15&lt;=12,(C34*D34),C34*D34*(12/$B$15)),0)</f>
        <v>0</v>
      </c>
    </row>
    <row r="35" spans="1:6" x14ac:dyDescent="0.3">
      <c r="A35" s="11" t="str">
        <f>DONNEES!B27</f>
        <v>Tranche optionnelle 2 HT</v>
      </c>
      <c r="B35" s="323" t="str">
        <f>IF(DONNEES!C27&gt;=25000,DONNEES!$C$24,"")</f>
        <v/>
      </c>
      <c r="C35" s="525" t="str">
        <f>IF(DONNEES!$F$292="OUI",DONNEES!R73,"")</f>
        <v/>
      </c>
      <c r="D35" s="323" t="str">
        <f t="shared" si="0"/>
        <v xml:space="preserve"> </v>
      </c>
      <c r="E35" s="38">
        <f t="shared" si="1"/>
        <v>0</v>
      </c>
    </row>
    <row r="36" spans="1:6" x14ac:dyDescent="0.3">
      <c r="A36" s="11" t="str">
        <f>DONNEES!B28</f>
        <v>Tranche optionnelle 3 HT</v>
      </c>
      <c r="B36" s="323" t="str">
        <f>IF(DONNEES!C28&gt;=25000,DONNEES!$C$24,"")</f>
        <v/>
      </c>
      <c r="C36" s="525" t="str">
        <f>IF(DONNEES!$F$412="OUI",DONNEES!R82,"")</f>
        <v/>
      </c>
      <c r="D36" s="323" t="str">
        <f t="shared" si="0"/>
        <v xml:space="preserve"> </v>
      </c>
      <c r="E36" s="38">
        <f t="shared" si="1"/>
        <v>0</v>
      </c>
    </row>
    <row r="37" spans="1:6" x14ac:dyDescent="0.3">
      <c r="A37" s="11" t="str">
        <f>DONNEES!B29</f>
        <v>Tranche optionnelle 4 HT</v>
      </c>
      <c r="B37" s="323" t="str">
        <f>IF(DONNEES!C29&gt;=25000,DONNEES!$C$24,"")</f>
        <v/>
      </c>
      <c r="C37" s="525" t="str">
        <f>IF(DONNEES!$F$532="OUI",DONNEES!R91,"")</f>
        <v/>
      </c>
      <c r="D37" s="323" t="str">
        <f t="shared" si="0"/>
        <v xml:space="preserve"> </v>
      </c>
      <c r="E37" s="38">
        <f t="shared" si="1"/>
        <v>0</v>
      </c>
    </row>
    <row r="38" spans="1:6" x14ac:dyDescent="0.3">
      <c r="A38" s="11" t="str">
        <f>DONNEES!B30</f>
        <v>Tranche optionnelle 5 HT</v>
      </c>
      <c r="B38" s="323" t="str">
        <f>IF(DONNEES!C30&gt;=25000,DONNEES!$C$24,"")</f>
        <v/>
      </c>
      <c r="C38" s="525" t="str">
        <f>IF(DONNEES!$F$652="OUI",DONNEES!R100,"")</f>
        <v/>
      </c>
      <c r="D38" s="323" t="str">
        <f t="shared" si="0"/>
        <v xml:space="preserve"> </v>
      </c>
      <c r="E38" s="38">
        <f t="shared" si="1"/>
        <v>0</v>
      </c>
    </row>
    <row r="39" spans="1:6" x14ac:dyDescent="0.3">
      <c r="A39" s="11" t="str">
        <f>DONNEES!B31</f>
        <v>Tranche optionnelle 6 HT</v>
      </c>
      <c r="B39" s="323" t="str">
        <f>IF(DONNEES!C31&gt;=25000,DONNEES!$C$24,"")</f>
        <v/>
      </c>
      <c r="C39" s="525" t="str">
        <f>IF(DONNEES!$F$772="OUI",DONNEES!R109,"")</f>
        <v/>
      </c>
      <c r="D39" s="323" t="str">
        <f t="shared" si="0"/>
        <v xml:space="preserve"> </v>
      </c>
      <c r="E39" s="38">
        <f t="shared" si="1"/>
        <v>0</v>
      </c>
    </row>
    <row r="40" spans="1:6" x14ac:dyDescent="0.3">
      <c r="A40" s="11" t="s">
        <v>319</v>
      </c>
      <c r="B40" s="191"/>
      <c r="C40" s="204"/>
      <c r="D40" s="204"/>
      <c r="E40" s="38">
        <f>IFERROR(SUM(E33:E39)*B33,0)</f>
        <v>0</v>
      </c>
    </row>
    <row r="41" spans="1:6" x14ac:dyDescent="0.3">
      <c r="A41" s="11" t="s">
        <v>337</v>
      </c>
      <c r="B41" s="191"/>
      <c r="C41" s="204"/>
      <c r="D41" s="204"/>
      <c r="E41" s="444">
        <v>0</v>
      </c>
    </row>
    <row r="42" spans="1:6" x14ac:dyDescent="0.3">
      <c r="A42" s="327" t="s">
        <v>320</v>
      </c>
      <c r="B42" s="328"/>
      <c r="C42" s="329"/>
      <c r="D42" s="329"/>
      <c r="E42" s="330">
        <f>IFERROR(SUM(E33:E39)+E40-E41,0)</f>
        <v>0</v>
      </c>
    </row>
    <row r="43" spans="1:6" outlineLevel="1" x14ac:dyDescent="0.3">
      <c r="A43" s="11" t="str">
        <f>DONNEES!B25</f>
        <v>Tranche ferme HT</v>
      </c>
      <c r="B43" s="324" t="str">
        <f>IF(DONNEES!E25&gt;=25000,DONNEES!$E$24,"")</f>
        <v/>
      </c>
      <c r="C43" s="525">
        <f>IF(DONNEES!$F$52="OUI",DONNEES!S55,"")</f>
        <v>0</v>
      </c>
      <c r="D43" s="323" t="str">
        <f t="shared" ref="D43:D46" si="2">IF(AND($D$27&gt;=25000,$D$27&lt;=149999),"30%",IF(AND($D$27&gt;149999,$D$27&lt;=999999),"25%",IF($D$27&gt;999999,"20"%," ")))</f>
        <v xml:space="preserve"> </v>
      </c>
      <c r="E43" s="38">
        <f t="shared" ref="E43:E49" si="3">IFERROR(IF($B$15&lt;=12,(C43*D43),C43*D43*(12/$B$15)),0)</f>
        <v>0</v>
      </c>
      <c r="F43" s="10"/>
    </row>
    <row r="44" spans="1:6" outlineLevel="1" x14ac:dyDescent="0.3">
      <c r="A44" s="11" t="str">
        <f>DONNEES!B26</f>
        <v>Tranche optionnelle 1 HT</v>
      </c>
      <c r="B44" s="324" t="str">
        <f>IF(DONNEES!E26&gt;=25000,DONNEES!$E$24,"")</f>
        <v/>
      </c>
      <c r="C44" s="525" t="str">
        <f>IF(DONNEES!$F$172="OUI",DONNEES!S64,"")</f>
        <v/>
      </c>
      <c r="D44" s="323" t="str">
        <f t="shared" si="2"/>
        <v xml:space="preserve"> </v>
      </c>
      <c r="E44" s="38">
        <f t="shared" si="3"/>
        <v>0</v>
      </c>
      <c r="F44" s="10"/>
    </row>
    <row r="45" spans="1:6" outlineLevel="1" x14ac:dyDescent="0.3">
      <c r="A45" s="11" t="str">
        <f>DONNEES!B27</f>
        <v>Tranche optionnelle 2 HT</v>
      </c>
      <c r="B45" s="324" t="str">
        <f>IF(DONNEES!E27&gt;=25000,DONNEES!$E$24,"")</f>
        <v/>
      </c>
      <c r="C45" s="525" t="str">
        <f>IF(DONNEES!$F$292="OUI",DONNEES!S73,"")</f>
        <v/>
      </c>
      <c r="D45" s="323" t="str">
        <f t="shared" si="2"/>
        <v xml:space="preserve"> </v>
      </c>
      <c r="E45" s="38">
        <f t="shared" si="3"/>
        <v>0</v>
      </c>
      <c r="F45" s="10"/>
    </row>
    <row r="46" spans="1:6" outlineLevel="1" x14ac:dyDescent="0.3">
      <c r="A46" s="11" t="str">
        <f>DONNEES!B28</f>
        <v>Tranche optionnelle 3 HT</v>
      </c>
      <c r="B46" s="324" t="str">
        <f>IF(DONNEES!E28&gt;=25000,DONNEES!$E$24,"")</f>
        <v/>
      </c>
      <c r="C46" s="525" t="str">
        <f>IF(DONNEES!$F$412="OUI",DONNEES!S82,"")</f>
        <v/>
      </c>
      <c r="D46" s="323" t="str">
        <f t="shared" si="2"/>
        <v xml:space="preserve"> </v>
      </c>
      <c r="E46" s="38">
        <f t="shared" si="3"/>
        <v>0</v>
      </c>
      <c r="F46" s="47"/>
    </row>
    <row r="47" spans="1:6" outlineLevel="1" x14ac:dyDescent="0.3">
      <c r="A47" s="11" t="str">
        <f>DONNEES!B29</f>
        <v>Tranche optionnelle 4 HT</v>
      </c>
      <c r="B47" s="324"/>
      <c r="C47" s="525" t="str">
        <f>IF(DONNEES!$F$532="OUI",DONNEES!S91,"")</f>
        <v/>
      </c>
      <c r="D47" s="323"/>
      <c r="E47" s="38">
        <f t="shared" si="3"/>
        <v>0</v>
      </c>
      <c r="F47" s="47"/>
    </row>
    <row r="48" spans="1:6" outlineLevel="1" x14ac:dyDescent="0.3">
      <c r="A48" s="11" t="str">
        <f>DONNEES!B30</f>
        <v>Tranche optionnelle 5 HT</v>
      </c>
      <c r="B48" s="324"/>
      <c r="C48" s="525" t="str">
        <f>IF(DONNEES!$F$652="OUI",DONNEES!QR120,"")</f>
        <v/>
      </c>
      <c r="D48" s="323"/>
      <c r="E48" s="38">
        <f t="shared" si="3"/>
        <v>0</v>
      </c>
      <c r="F48" s="47"/>
    </row>
    <row r="49" spans="1:6" outlineLevel="1" x14ac:dyDescent="0.3">
      <c r="A49" s="11" t="str">
        <f>DONNEES!B31</f>
        <v>Tranche optionnelle 6 HT</v>
      </c>
      <c r="B49" s="324"/>
      <c r="C49" s="525" t="str">
        <f>IF(DONNEES!$F$772="OUI",DONNEES!S109,"")</f>
        <v/>
      </c>
      <c r="D49" s="323"/>
      <c r="E49" s="38">
        <f t="shared" si="3"/>
        <v>0</v>
      </c>
      <c r="F49" s="47"/>
    </row>
    <row r="50" spans="1:6" outlineLevel="1" x14ac:dyDescent="0.3">
      <c r="A50" s="11" t="s">
        <v>319</v>
      </c>
      <c r="B50" s="191"/>
      <c r="C50" s="204"/>
      <c r="D50" s="191"/>
      <c r="E50" s="38">
        <f>IFERROR(SUM(E43:E49)*B43,0)</f>
        <v>0</v>
      </c>
      <c r="F50" s="10"/>
    </row>
    <row r="51" spans="1:6" outlineLevel="1" x14ac:dyDescent="0.3">
      <c r="A51" s="11" t="s">
        <v>337</v>
      </c>
      <c r="B51" s="191"/>
      <c r="C51" s="204"/>
      <c r="D51" s="191"/>
      <c r="E51" s="444">
        <v>0</v>
      </c>
      <c r="F51" s="10"/>
    </row>
    <row r="52" spans="1:6" outlineLevel="1" x14ac:dyDescent="0.3">
      <c r="A52" s="327" t="s">
        <v>320</v>
      </c>
      <c r="B52" s="328"/>
      <c r="C52" s="329"/>
      <c r="D52" s="328"/>
      <c r="E52" s="330">
        <f>IFERROR(SUM(E43:E49)+E50-E51,0)</f>
        <v>0</v>
      </c>
      <c r="F52" s="10"/>
    </row>
    <row r="53" spans="1:6" x14ac:dyDescent="0.3">
      <c r="A53" s="130"/>
      <c r="B53" s="130"/>
      <c r="C53" s="130"/>
      <c r="D53" s="130"/>
      <c r="E53" s="130"/>
    </row>
    <row r="54" spans="1:6" x14ac:dyDescent="0.3">
      <c r="A54" s="662" t="s">
        <v>210</v>
      </c>
      <c r="B54" s="662"/>
      <c r="C54" s="662"/>
      <c r="D54" s="662"/>
      <c r="E54" s="662"/>
    </row>
    <row r="55" spans="1:6" x14ac:dyDescent="0.3">
      <c r="A55" s="661" t="str">
        <f>DONNEES!B7</f>
        <v>Cotraitant 2</v>
      </c>
      <c r="B55" s="661"/>
      <c r="C55" s="661"/>
      <c r="D55" s="661"/>
      <c r="E55" s="661"/>
    </row>
    <row r="56" spans="1:6" x14ac:dyDescent="0.3">
      <c r="A56" s="130"/>
      <c r="B56" s="130"/>
      <c r="C56" s="130"/>
      <c r="D56" s="130"/>
      <c r="E56" s="130"/>
    </row>
    <row r="57" spans="1:6" x14ac:dyDescent="0.3">
      <c r="A57" s="130" t="str">
        <f>"Vu le marché"&amp;" "&amp;DONNEES!C14&amp;" "&amp;"dont l'objet est"&amp;" "&amp;DONNEES!C4&amp;" "&amp;DONNEES!C2</f>
        <v xml:space="preserve">Vu le marché  dont l'objet est  </v>
      </c>
      <c r="B57" s="130"/>
      <c r="C57" s="130"/>
      <c r="D57" s="130"/>
      <c r="E57" s="130"/>
    </row>
    <row r="58" spans="1:6" x14ac:dyDescent="0.3">
      <c r="A58" s="130"/>
      <c r="B58" s="130"/>
      <c r="C58" s="130"/>
      <c r="D58" s="130"/>
      <c r="E58" s="130"/>
    </row>
    <row r="59" spans="1:6" x14ac:dyDescent="0.3">
      <c r="A59" s="130" t="str">
        <f>"Vu"&amp;" "&amp;DONNEES!E18&amp;" "&amp;"de l'acte d'engagement"</f>
        <v>Vu  de l'acte d'engagement</v>
      </c>
      <c r="B59" s="130"/>
      <c r="C59" s="130"/>
      <c r="D59" s="130"/>
      <c r="E59" s="130"/>
    </row>
    <row r="60" spans="1:6" x14ac:dyDescent="0.3">
      <c r="A60" s="130"/>
      <c r="B60" s="130"/>
      <c r="C60" s="130"/>
      <c r="D60" s="130"/>
      <c r="E60" s="130"/>
    </row>
    <row r="61" spans="1:6" x14ac:dyDescent="0.3">
      <c r="A61" s="130" t="s">
        <v>343</v>
      </c>
      <c r="B61" s="459">
        <f>DONNEES!C17</f>
        <v>0</v>
      </c>
      <c r="C61" s="130" t="s">
        <v>344</v>
      </c>
      <c r="D61" s="130"/>
      <c r="E61" s="130"/>
    </row>
    <row r="62" spans="1:6" x14ac:dyDescent="0.3">
      <c r="A62" s="130"/>
      <c r="B62" s="130"/>
      <c r="C62" s="130"/>
      <c r="D62" s="130"/>
      <c r="E62" s="130"/>
    </row>
    <row r="63" spans="1:6" x14ac:dyDescent="0.3">
      <c r="A63" s="130" t="str">
        <f>"Vu"&amp;" "&amp;DONNEES!F18&amp;" "&amp;"du cahier des charges prévoyant les taux d'avance"</f>
        <v>Vu  du cahier des charges prévoyant les taux d'avance</v>
      </c>
      <c r="B63" s="130"/>
      <c r="C63" s="130"/>
      <c r="D63" s="130"/>
      <c r="E63" s="130"/>
    </row>
    <row r="64" spans="1:6" x14ac:dyDescent="0.3">
      <c r="A64" s="130"/>
      <c r="B64" s="130"/>
      <c r="C64" s="130"/>
      <c r="D64" s="130"/>
      <c r="E64" s="130"/>
    </row>
    <row r="65" spans="1:5" x14ac:dyDescent="0.3">
      <c r="A65" s="130" t="str">
        <f>"Vu le(s) taux de TVA applicable(s) dans le marché :"</f>
        <v>Vu le(s) taux de TVA applicable(s) dans le marché :</v>
      </c>
      <c r="B65" s="130"/>
      <c r="C65" s="130"/>
      <c r="D65" s="130"/>
      <c r="E65" s="130"/>
    </row>
    <row r="66" spans="1:5" x14ac:dyDescent="0.3">
      <c r="A66" s="130"/>
      <c r="B66" s="130"/>
      <c r="C66" s="130"/>
      <c r="D66" s="130"/>
      <c r="E66" s="130"/>
    </row>
    <row r="67" spans="1:5" x14ac:dyDescent="0.3">
      <c r="A67" s="130"/>
      <c r="B67" s="130"/>
      <c r="C67" s="130"/>
      <c r="D67" s="130"/>
      <c r="E67" s="130"/>
    </row>
    <row r="68" spans="1:5" x14ac:dyDescent="0.3">
      <c r="A68" s="130" t="s">
        <v>261</v>
      </c>
      <c r="B68" s="130"/>
      <c r="C68" s="130"/>
      <c r="D68" s="130"/>
      <c r="E68" s="130"/>
    </row>
    <row r="69" spans="1:5" x14ac:dyDescent="0.3">
      <c r="A69" s="130"/>
      <c r="B69" s="130"/>
      <c r="C69" s="130"/>
      <c r="D69" s="130"/>
      <c r="E69" s="130"/>
    </row>
    <row r="70" spans="1:5" x14ac:dyDescent="0.3">
      <c r="A70" s="130"/>
      <c r="B70" s="130"/>
      <c r="C70" s="130"/>
      <c r="D70" s="130"/>
      <c r="E70" s="130"/>
    </row>
    <row r="71" spans="1:5" x14ac:dyDescent="0.3">
      <c r="A71" s="662" t="s">
        <v>262</v>
      </c>
      <c r="B71" s="662"/>
      <c r="C71" s="662"/>
      <c r="D71" s="662"/>
      <c r="E71" s="662"/>
    </row>
    <row r="72" spans="1:5" x14ac:dyDescent="0.3">
      <c r="A72" s="130"/>
      <c r="B72" s="130"/>
      <c r="C72" s="130"/>
      <c r="D72" s="130"/>
      <c r="E72" s="130"/>
    </row>
    <row r="73" spans="1:5" x14ac:dyDescent="0.3">
      <c r="A73" s="130" t="s">
        <v>318</v>
      </c>
      <c r="B73" s="130"/>
      <c r="C73" s="130"/>
      <c r="D73" s="325">
        <f>IFERROR(DONNEES!R56+DONNEES!R65+DONNEES!R74+DONNEES!R83+DONNEES!R92+DONNEES!R101+DONNEES!R110+DONNEES!S56+DONNEES!S65+DONNEES!S74+DONNEES!S83+DONNEES!S92+DONNEES!S101+DONNEES!S110,0)</f>
        <v>0</v>
      </c>
      <c r="E73" s="130"/>
    </row>
    <row r="74" spans="1:5" x14ac:dyDescent="0.3">
      <c r="A74" s="130" t="s">
        <v>341</v>
      </c>
      <c r="B74" s="130"/>
      <c r="C74" s="130"/>
      <c r="D74" s="463">
        <f>IFERROR(E87+E97,0)</f>
        <v>0</v>
      </c>
      <c r="E74" s="130"/>
    </row>
    <row r="75" spans="1:5" x14ac:dyDescent="0.3">
      <c r="A75" s="130" t="s">
        <v>263</v>
      </c>
      <c r="B75" s="130"/>
      <c r="C75" s="130"/>
      <c r="D75" s="326">
        <f>DONNEES!C7</f>
        <v>0</v>
      </c>
      <c r="E75" s="130"/>
    </row>
    <row r="76" spans="1:5" x14ac:dyDescent="0.3">
      <c r="A76" s="130" t="s">
        <v>321</v>
      </c>
      <c r="B76" s="130"/>
      <c r="C76" s="130"/>
      <c r="D76" s="331">
        <f>IFERROR(E98+E88-D74,0)</f>
        <v>0</v>
      </c>
      <c r="E76" s="130"/>
    </row>
    <row r="77" spans="1:5" x14ac:dyDescent="0.3">
      <c r="A77" s="130"/>
      <c r="B77" s="130"/>
      <c r="C77" s="130"/>
      <c r="D77" s="10"/>
      <c r="E77" s="130"/>
    </row>
    <row r="78" spans="1:5" x14ac:dyDescent="0.3">
      <c r="A78" s="10"/>
      <c r="B78" s="338" t="s">
        <v>235</v>
      </c>
      <c r="C78" s="338" t="s">
        <v>36</v>
      </c>
      <c r="D78" s="338" t="s">
        <v>272</v>
      </c>
      <c r="E78" s="338" t="s">
        <v>291</v>
      </c>
    </row>
    <row r="79" spans="1:5" x14ac:dyDescent="0.3">
      <c r="A79" s="11" t="s">
        <v>9</v>
      </c>
      <c r="B79" s="323">
        <f>IF(DONNEES!C25&gt;=25000,DONNEES!$C$24,"")</f>
        <v>0.2</v>
      </c>
      <c r="C79" s="525">
        <f>IF(DONNEES!$F$52="OUI",DONNEES!R56,"")</f>
        <v>0</v>
      </c>
      <c r="D79" s="323" t="str">
        <f>IF(AND($D$27&gt;=25000,$D$27&lt;=149999),"30%",IF(AND($D$27&gt;149999,$D$27&lt;=999999),"25%",IF($D$27&gt;999999,"20"%," ")))</f>
        <v xml:space="preserve"> </v>
      </c>
      <c r="E79" s="38">
        <f>IFERROR(IF($B$15&lt;=12,(C79*D79),C79*D79*(12/$B$15)),0)</f>
        <v>0</v>
      </c>
    </row>
    <row r="80" spans="1:5" x14ac:dyDescent="0.3">
      <c r="A80" s="11" t="s">
        <v>10</v>
      </c>
      <c r="B80" s="323" t="str">
        <f>IF(DONNEES!C26&gt;=25000,DONNEES!$C$24,"")</f>
        <v/>
      </c>
      <c r="C80" s="525" t="str">
        <f>IF(DONNEES!$F$172="OUI",DONNEES!R65,"")</f>
        <v/>
      </c>
      <c r="D80" s="323" t="str">
        <f t="shared" ref="D80:D85" si="4">IF(AND($D$27&gt;=25000,$D$27&lt;=149999),"30%",IF(AND($D$27&gt;149999,$D$27&lt;=999999),"25%",IF($D$27&gt;999999,"20"%," ")))</f>
        <v xml:space="preserve"> </v>
      </c>
      <c r="E80" s="38">
        <f t="shared" ref="E80:E85" si="5">IFERROR(IF($B$15&lt;=12,(C80*D80),C80*D80*(12/$B$15)),0)</f>
        <v>0</v>
      </c>
    </row>
    <row r="81" spans="1:5" x14ac:dyDescent="0.3">
      <c r="A81" s="11" t="s">
        <v>11</v>
      </c>
      <c r="B81" s="323" t="str">
        <f>IF(DONNEES!C27&gt;=25000,DONNEES!$C$24,"")</f>
        <v/>
      </c>
      <c r="C81" s="525" t="str">
        <f>IF(DONNEES!$F$292="OUI",DONNEES!R74,"")</f>
        <v/>
      </c>
      <c r="D81" s="323" t="str">
        <f t="shared" si="4"/>
        <v xml:space="preserve"> </v>
      </c>
      <c r="E81" s="38">
        <f t="shared" si="5"/>
        <v>0</v>
      </c>
    </row>
    <row r="82" spans="1:5" x14ac:dyDescent="0.3">
      <c r="A82" s="11" t="s">
        <v>12</v>
      </c>
      <c r="B82" s="323" t="str">
        <f>IF(DONNEES!C28&gt;=25000,DONNEES!$C$24,"")</f>
        <v/>
      </c>
      <c r="C82" s="525" t="str">
        <f>IF(DONNEES!$F$412="OUI",DONNEES!R83,"")</f>
        <v/>
      </c>
      <c r="D82" s="323" t="str">
        <f t="shared" si="4"/>
        <v xml:space="preserve"> </v>
      </c>
      <c r="E82" s="38">
        <f t="shared" si="5"/>
        <v>0</v>
      </c>
    </row>
    <row r="83" spans="1:5" x14ac:dyDescent="0.3">
      <c r="A83" s="11" t="s">
        <v>478</v>
      </c>
      <c r="B83" s="323" t="str">
        <f>IF(DONNEES!C29&gt;=25000,DONNEES!$C$24,"")</f>
        <v/>
      </c>
      <c r="C83" s="525" t="str">
        <f>IF(DONNEES!$F$532="OUI",DONNEES!R92,"")</f>
        <v/>
      </c>
      <c r="D83" s="323" t="str">
        <f t="shared" si="4"/>
        <v xml:space="preserve"> </v>
      </c>
      <c r="E83" s="38">
        <f t="shared" si="5"/>
        <v>0</v>
      </c>
    </row>
    <row r="84" spans="1:5" x14ac:dyDescent="0.3">
      <c r="A84" s="11" t="s">
        <v>479</v>
      </c>
      <c r="B84" s="323" t="str">
        <f>IF(DONNEES!C30&gt;=25000,DONNEES!$C$24,"")</f>
        <v/>
      </c>
      <c r="C84" s="525" t="str">
        <f>IF(DONNEES!$F$652="OUI",DONNEES!R101,"")</f>
        <v/>
      </c>
      <c r="D84" s="323" t="str">
        <f t="shared" si="4"/>
        <v xml:space="preserve"> </v>
      </c>
      <c r="E84" s="38">
        <f t="shared" si="5"/>
        <v>0</v>
      </c>
    </row>
    <row r="85" spans="1:5" x14ac:dyDescent="0.3">
      <c r="A85" s="11" t="s">
        <v>480</v>
      </c>
      <c r="B85" s="323" t="str">
        <f>IF(DONNEES!C31&gt;=25000,DONNEES!$C$24,"")</f>
        <v/>
      </c>
      <c r="C85" s="525" t="str">
        <f>IF(DONNEES!$F$772="OUI",DONNEES!R110,"")</f>
        <v/>
      </c>
      <c r="D85" s="323" t="str">
        <f t="shared" si="4"/>
        <v xml:space="preserve"> </v>
      </c>
      <c r="E85" s="38">
        <f t="shared" si="5"/>
        <v>0</v>
      </c>
    </row>
    <row r="86" spans="1:5" x14ac:dyDescent="0.3">
      <c r="A86" s="11" t="s">
        <v>319</v>
      </c>
      <c r="B86" s="191"/>
      <c r="C86" s="204"/>
      <c r="D86" s="204"/>
      <c r="E86" s="38">
        <f>IFERROR(SUM(E79:E85)*B79,0)</f>
        <v>0</v>
      </c>
    </row>
    <row r="87" spans="1:5" x14ac:dyDescent="0.3">
      <c r="A87" s="11" t="s">
        <v>337</v>
      </c>
      <c r="B87" s="191"/>
      <c r="C87" s="204"/>
      <c r="D87" s="204"/>
      <c r="E87" s="444">
        <v>0</v>
      </c>
    </row>
    <row r="88" spans="1:5" x14ac:dyDescent="0.3">
      <c r="A88" s="327" t="s">
        <v>320</v>
      </c>
      <c r="B88" s="328"/>
      <c r="C88" s="329"/>
      <c r="D88" s="329"/>
      <c r="E88" s="330">
        <f>IFERROR(SUM(E79:E85)+E86-E87,0)</f>
        <v>0</v>
      </c>
    </row>
    <row r="89" spans="1:5" x14ac:dyDescent="0.3">
      <c r="A89" s="11" t="s">
        <v>9</v>
      </c>
      <c r="B89" s="324" t="str">
        <f>IF(DONNEES!E25&gt;=25000,DONNEES!$E$24,"")</f>
        <v/>
      </c>
      <c r="C89" s="525">
        <f>IF(DONNEES!$F$52="OUI",DONNEES!S56,"")</f>
        <v>0</v>
      </c>
      <c r="D89" s="323" t="str">
        <f t="shared" ref="D89:D95" si="6">IF(AND($D$27&gt;=25000,$D$27&lt;=149999),"30%",IF(AND($D$27&gt;149999,$D$27&lt;=999999),"25%",IF($D$27&gt;999999,"20"%," ")))</f>
        <v xml:space="preserve"> </v>
      </c>
      <c r="E89" s="38">
        <f t="shared" ref="E89:E95" si="7">IFERROR(IF($B$15&lt;=12,(C89*D89),C89*D89*(12/$B$15)),0)</f>
        <v>0</v>
      </c>
    </row>
    <row r="90" spans="1:5" x14ac:dyDescent="0.3">
      <c r="A90" s="11" t="s">
        <v>10</v>
      </c>
      <c r="B90" s="324" t="str">
        <f>IF(DONNEES!E26&gt;=25000,DONNEES!$E$24,"")</f>
        <v/>
      </c>
      <c r="C90" s="525" t="str">
        <f>IF(DONNEES!$F$172="OUI",DONNEES!S65,"")</f>
        <v/>
      </c>
      <c r="D90" s="323" t="str">
        <f t="shared" si="6"/>
        <v xml:space="preserve"> </v>
      </c>
      <c r="E90" s="38">
        <f t="shared" si="7"/>
        <v>0</v>
      </c>
    </row>
    <row r="91" spans="1:5" x14ac:dyDescent="0.3">
      <c r="A91" s="11" t="s">
        <v>11</v>
      </c>
      <c r="B91" s="324" t="str">
        <f>IF(DONNEES!E27&gt;=25000,DONNEES!$E$24,"")</f>
        <v/>
      </c>
      <c r="C91" s="525" t="str">
        <f>IF(DONNEES!$F$292="OUI",DONNEES!S74,"")</f>
        <v/>
      </c>
      <c r="D91" s="323" t="str">
        <f t="shared" si="6"/>
        <v xml:space="preserve"> </v>
      </c>
      <c r="E91" s="38">
        <f t="shared" si="7"/>
        <v>0</v>
      </c>
    </row>
    <row r="92" spans="1:5" x14ac:dyDescent="0.3">
      <c r="A92" s="11" t="s">
        <v>12</v>
      </c>
      <c r="B92" s="324" t="str">
        <f>IF(DONNEES!E28&gt;=25000,DONNEES!$E$24,"")</f>
        <v/>
      </c>
      <c r="C92" s="525" t="str">
        <f>IF(DONNEES!$F$412="OUI",DONNEES!S83,"")</f>
        <v/>
      </c>
      <c r="D92" s="323" t="str">
        <f t="shared" si="6"/>
        <v xml:space="preserve"> </v>
      </c>
      <c r="E92" s="38">
        <f t="shared" si="7"/>
        <v>0</v>
      </c>
    </row>
    <row r="93" spans="1:5" x14ac:dyDescent="0.3">
      <c r="A93" s="11" t="s">
        <v>478</v>
      </c>
      <c r="B93" s="324" t="str">
        <f>IF(DONNEES!E29&gt;=25000,DONNEES!$E$24,"")</f>
        <v/>
      </c>
      <c r="C93" s="525" t="str">
        <f>IF(DONNEES!$F$532="OUI",DONNEES!S92,"")</f>
        <v/>
      </c>
      <c r="D93" s="323" t="str">
        <f t="shared" si="6"/>
        <v xml:space="preserve"> </v>
      </c>
      <c r="E93" s="38">
        <f t="shared" si="7"/>
        <v>0</v>
      </c>
    </row>
    <row r="94" spans="1:5" x14ac:dyDescent="0.3">
      <c r="A94" s="11" t="s">
        <v>479</v>
      </c>
      <c r="B94" s="324" t="str">
        <f>IF(DONNEES!E30&gt;=25000,DONNEES!$E$24,"")</f>
        <v/>
      </c>
      <c r="C94" s="525" t="str">
        <f>IF(DONNEES!$F$652="OUI",DONNEES!S101,"")</f>
        <v/>
      </c>
      <c r="D94" s="323" t="str">
        <f t="shared" si="6"/>
        <v xml:space="preserve"> </v>
      </c>
      <c r="E94" s="38">
        <f t="shared" si="7"/>
        <v>0</v>
      </c>
    </row>
    <row r="95" spans="1:5" x14ac:dyDescent="0.3">
      <c r="A95" s="11" t="s">
        <v>480</v>
      </c>
      <c r="B95" s="324" t="str">
        <f>IF(DONNEES!E31&gt;=25000,DONNEES!$E$24,"")</f>
        <v/>
      </c>
      <c r="C95" s="525" t="str">
        <f>IF(DONNEES!$F$772="OUI",DONNEES!S110,"")</f>
        <v/>
      </c>
      <c r="D95" s="323" t="str">
        <f t="shared" si="6"/>
        <v xml:space="preserve"> </v>
      </c>
      <c r="E95" s="38">
        <f t="shared" si="7"/>
        <v>0</v>
      </c>
    </row>
    <row r="96" spans="1:5" x14ac:dyDescent="0.3">
      <c r="A96" s="11" t="s">
        <v>319</v>
      </c>
      <c r="B96" s="191"/>
      <c r="C96" s="204"/>
      <c r="D96" s="191"/>
      <c r="E96" s="38">
        <f>IFERROR(SUM(E89:E95)*B89,0)</f>
        <v>0</v>
      </c>
    </row>
    <row r="97" spans="1:5" x14ac:dyDescent="0.3">
      <c r="A97" s="11" t="s">
        <v>337</v>
      </c>
      <c r="B97" s="191"/>
      <c r="C97" s="204"/>
      <c r="D97" s="191"/>
      <c r="E97" s="444">
        <v>0</v>
      </c>
    </row>
    <row r="98" spans="1:5" x14ac:dyDescent="0.3">
      <c r="A98" s="327" t="s">
        <v>320</v>
      </c>
      <c r="B98" s="328"/>
      <c r="C98" s="329"/>
      <c r="D98" s="328"/>
      <c r="E98" s="330">
        <f>IFERROR(SUM(E89:E95)+E96-E97,0)</f>
        <v>0</v>
      </c>
    </row>
    <row r="99" spans="1:5" x14ac:dyDescent="0.3">
      <c r="A99" s="130"/>
      <c r="B99" s="130"/>
      <c r="C99" s="130"/>
      <c r="D99" s="130"/>
      <c r="E99" s="130"/>
    </row>
    <row r="100" spans="1:5" ht="18.75" customHeight="1" x14ac:dyDescent="0.3">
      <c r="A100" s="662" t="s">
        <v>210</v>
      </c>
      <c r="B100" s="662"/>
      <c r="C100" s="662"/>
      <c r="D100" s="662"/>
      <c r="E100" s="662"/>
    </row>
    <row r="101" spans="1:5" x14ac:dyDescent="0.3">
      <c r="A101" s="661" t="str">
        <f>DONNEES!B8</f>
        <v>Cotraitant 3</v>
      </c>
      <c r="B101" s="661"/>
      <c r="C101" s="661"/>
      <c r="D101" s="661"/>
      <c r="E101" s="661"/>
    </row>
    <row r="102" spans="1:5" x14ac:dyDescent="0.3">
      <c r="A102" s="130"/>
      <c r="B102" s="130"/>
      <c r="C102" s="130"/>
      <c r="D102" s="130"/>
      <c r="E102" s="130"/>
    </row>
    <row r="103" spans="1:5" x14ac:dyDescent="0.3">
      <c r="A103" s="130" t="str">
        <f>"Vu le marché"&amp;" "&amp;DONNEES!C14&amp;" "&amp;"dont l'objet est"&amp;" "&amp;DONNEES!C4&amp;" "&amp;DONNEES!C2</f>
        <v xml:space="preserve">Vu le marché  dont l'objet est  </v>
      </c>
      <c r="B103" s="130"/>
      <c r="C103" s="130"/>
      <c r="D103" s="130"/>
      <c r="E103" s="130"/>
    </row>
    <row r="104" spans="1:5" x14ac:dyDescent="0.3">
      <c r="A104" s="130"/>
      <c r="B104" s="130"/>
      <c r="C104" s="130"/>
      <c r="D104" s="130"/>
      <c r="E104" s="130"/>
    </row>
    <row r="105" spans="1:5" x14ac:dyDescent="0.3">
      <c r="A105" s="130" t="str">
        <f>"Vu"&amp;" "&amp;DONNEES!E18&amp;" "&amp;"de l'acte d'engagement"</f>
        <v>Vu  de l'acte d'engagement</v>
      </c>
      <c r="B105" s="130"/>
      <c r="C105" s="130"/>
      <c r="D105" s="130"/>
      <c r="E105" s="130"/>
    </row>
    <row r="106" spans="1:5" x14ac:dyDescent="0.3">
      <c r="A106" s="130"/>
      <c r="B106" s="130"/>
      <c r="C106" s="130"/>
      <c r="D106" s="130"/>
      <c r="E106" s="130"/>
    </row>
    <row r="107" spans="1:5" x14ac:dyDescent="0.3">
      <c r="A107" s="130" t="s">
        <v>343</v>
      </c>
      <c r="B107" s="459">
        <f>DONNEES!C17</f>
        <v>0</v>
      </c>
      <c r="C107" s="130" t="s">
        <v>344</v>
      </c>
      <c r="D107" s="130"/>
      <c r="E107" s="130"/>
    </row>
    <row r="108" spans="1:5" x14ac:dyDescent="0.3">
      <c r="A108" s="130"/>
      <c r="B108" s="130"/>
      <c r="C108" s="130"/>
      <c r="D108" s="130"/>
      <c r="E108" s="130"/>
    </row>
    <row r="109" spans="1:5" x14ac:dyDescent="0.3">
      <c r="A109" s="130" t="str">
        <f>"Vu"&amp;" "&amp;DONNEES!F18&amp;" "&amp;"du cahier des charges prévoyant les taux d'avance"</f>
        <v>Vu  du cahier des charges prévoyant les taux d'avance</v>
      </c>
      <c r="B109" s="130"/>
      <c r="C109" s="130"/>
      <c r="D109" s="130"/>
      <c r="E109" s="130"/>
    </row>
    <row r="110" spans="1:5" x14ac:dyDescent="0.3">
      <c r="A110" s="130"/>
      <c r="B110" s="130"/>
      <c r="C110" s="130"/>
      <c r="D110" s="130"/>
      <c r="E110" s="130"/>
    </row>
    <row r="111" spans="1:5" x14ac:dyDescent="0.3">
      <c r="A111" s="130" t="str">
        <f>"Vu le(s) taux de TVA applicable(s) dans le marché :"</f>
        <v>Vu le(s) taux de TVA applicable(s) dans le marché :</v>
      </c>
      <c r="B111" s="130"/>
      <c r="C111" s="130"/>
      <c r="D111" s="130"/>
      <c r="E111" s="130"/>
    </row>
    <row r="112" spans="1:5" x14ac:dyDescent="0.3">
      <c r="A112" s="130"/>
      <c r="B112" s="130"/>
      <c r="C112" s="130"/>
      <c r="D112" s="130"/>
      <c r="E112" s="130"/>
    </row>
    <row r="113" spans="1:5" x14ac:dyDescent="0.3">
      <c r="A113" s="130"/>
      <c r="B113" s="130"/>
      <c r="C113" s="130"/>
      <c r="D113" s="130"/>
      <c r="E113" s="130"/>
    </row>
    <row r="114" spans="1:5" x14ac:dyDescent="0.3">
      <c r="A114" s="130" t="s">
        <v>261</v>
      </c>
      <c r="B114" s="130"/>
      <c r="C114" s="130"/>
      <c r="D114" s="130"/>
      <c r="E114" s="130"/>
    </row>
    <row r="115" spans="1:5" x14ac:dyDescent="0.3">
      <c r="A115" s="130"/>
      <c r="B115" s="130"/>
      <c r="C115" s="130"/>
      <c r="D115" s="130"/>
      <c r="E115" s="130"/>
    </row>
    <row r="116" spans="1:5" x14ac:dyDescent="0.3">
      <c r="A116" s="130"/>
      <c r="B116" s="130"/>
      <c r="C116" s="130"/>
      <c r="D116" s="130"/>
      <c r="E116" s="130"/>
    </row>
    <row r="117" spans="1:5" x14ac:dyDescent="0.3">
      <c r="A117" s="662" t="s">
        <v>262</v>
      </c>
      <c r="B117" s="662"/>
      <c r="C117" s="662"/>
      <c r="D117" s="662"/>
      <c r="E117" s="662"/>
    </row>
    <row r="118" spans="1:5" x14ac:dyDescent="0.3">
      <c r="A118" s="130"/>
      <c r="B118" s="130"/>
      <c r="C118" s="130"/>
      <c r="D118" s="130"/>
      <c r="E118" s="130"/>
    </row>
    <row r="119" spans="1:5" x14ac:dyDescent="0.3">
      <c r="A119" s="130" t="s">
        <v>318</v>
      </c>
      <c r="B119" s="130"/>
      <c r="C119" s="130"/>
      <c r="D119" s="325">
        <f>IFERROR(DONNEES!R57+DONNEES!R66+DONNEES!R75+DONNEES!R84+DONNEES!R93+DONNEES!R102+DONNEES!R111+DONNEES!S57+DONNEES!S66+DONNEES!S75+DONNEES!S84+DONNEES!S93+DONNEES!S102+DONNEES!S111,0)</f>
        <v>0</v>
      </c>
      <c r="E119" s="130"/>
    </row>
    <row r="120" spans="1:5" x14ac:dyDescent="0.3">
      <c r="A120" s="130" t="s">
        <v>341</v>
      </c>
      <c r="B120" s="130"/>
      <c r="C120" s="130"/>
      <c r="D120" s="463">
        <f>IFERROR(E133+E143,0)</f>
        <v>0</v>
      </c>
      <c r="E120" s="130"/>
    </row>
    <row r="121" spans="1:5" x14ac:dyDescent="0.3">
      <c r="A121" s="130" t="s">
        <v>263</v>
      </c>
      <c r="B121" s="130"/>
      <c r="C121" s="130"/>
      <c r="D121" s="326">
        <f>DONNEES!C8</f>
        <v>0</v>
      </c>
      <c r="E121" s="130"/>
    </row>
    <row r="122" spans="1:5" x14ac:dyDescent="0.3">
      <c r="A122" s="130" t="s">
        <v>321</v>
      </c>
      <c r="B122" s="130"/>
      <c r="C122" s="130"/>
      <c r="D122" s="331">
        <f>IFERROR(E144+E134-D120,0)</f>
        <v>0</v>
      </c>
      <c r="E122" s="130"/>
    </row>
    <row r="123" spans="1:5" x14ac:dyDescent="0.3">
      <c r="A123" s="130"/>
      <c r="B123" s="130"/>
      <c r="C123" s="130"/>
      <c r="D123" s="10"/>
      <c r="E123" s="130"/>
    </row>
    <row r="124" spans="1:5" x14ac:dyDescent="0.3">
      <c r="A124" s="10"/>
      <c r="B124" s="338" t="s">
        <v>235</v>
      </c>
      <c r="C124" s="338" t="s">
        <v>36</v>
      </c>
      <c r="D124" s="338" t="s">
        <v>272</v>
      </c>
      <c r="E124" s="338" t="s">
        <v>291</v>
      </c>
    </row>
    <row r="125" spans="1:5" x14ac:dyDescent="0.3">
      <c r="A125" s="11" t="s">
        <v>9</v>
      </c>
      <c r="B125" s="323">
        <f>IF(DONNEES!C25&gt;=25000,DONNEES!$C$24,"")</f>
        <v>0.2</v>
      </c>
      <c r="C125" s="525">
        <f>IF(DONNEES!$F$52="OUI",DONNEES!R57,"")</f>
        <v>0</v>
      </c>
      <c r="D125" s="323" t="str">
        <f>IF(AND($D$27&gt;=25000,$D$27&lt;=149999),"30%",IF(AND($D$27&gt;149999,$D$27&lt;=999999),"25%",IF($D$27&gt;999999,"20"%," ")))</f>
        <v xml:space="preserve"> </v>
      </c>
      <c r="E125" s="38">
        <f>IFERROR(IF($B$15&lt;=12,(C125*D125),C125*D125*(12/$B$15)),0)</f>
        <v>0</v>
      </c>
    </row>
    <row r="126" spans="1:5" x14ac:dyDescent="0.3">
      <c r="A126" s="11" t="s">
        <v>10</v>
      </c>
      <c r="B126" s="323" t="str">
        <f>IF(DONNEES!C26&gt;=25000,DONNEES!$C$24,"")</f>
        <v/>
      </c>
      <c r="C126" s="525" t="str">
        <f>IF(DONNEES!$F$172="OUI",DONNEES!R66,"")</f>
        <v/>
      </c>
      <c r="D126" s="323" t="str">
        <f t="shared" ref="D126:D131" si="8">IF(AND($D$27&gt;=25000,$D$27&lt;=149999),"30%",IF(AND($D$27&gt;149999,$D$27&lt;=999999),"25%",IF($D$27&gt;999999,"20"%," ")))</f>
        <v xml:space="preserve"> </v>
      </c>
      <c r="E126" s="38">
        <f t="shared" ref="E126:E131" si="9">IFERROR(IF($B$15&lt;=12,(C126*D126),C126*D126*(12/$B$15)),0)</f>
        <v>0</v>
      </c>
    </row>
    <row r="127" spans="1:5" x14ac:dyDescent="0.3">
      <c r="A127" s="11" t="s">
        <v>11</v>
      </c>
      <c r="B127" s="323" t="str">
        <f>IF(DONNEES!C27&gt;=25000,DONNEES!$C$24,"")</f>
        <v/>
      </c>
      <c r="C127" s="525" t="str">
        <f>IF(DONNEES!$F$292="OUI",DONNEES!R75,"")</f>
        <v/>
      </c>
      <c r="D127" s="323" t="str">
        <f t="shared" si="8"/>
        <v xml:space="preserve"> </v>
      </c>
      <c r="E127" s="38">
        <f t="shared" si="9"/>
        <v>0</v>
      </c>
    </row>
    <row r="128" spans="1:5" x14ac:dyDescent="0.3">
      <c r="A128" s="11" t="s">
        <v>12</v>
      </c>
      <c r="B128" s="323" t="str">
        <f>IF(DONNEES!C28&gt;=25000,DONNEES!$C$24,"")</f>
        <v/>
      </c>
      <c r="C128" s="525" t="str">
        <f>IF(DONNEES!$F$412="OUI",DONNEES!R84,"")</f>
        <v/>
      </c>
      <c r="D128" s="323" t="str">
        <f t="shared" si="8"/>
        <v xml:space="preserve"> </v>
      </c>
      <c r="E128" s="38">
        <f t="shared" si="9"/>
        <v>0</v>
      </c>
    </row>
    <row r="129" spans="1:5" x14ac:dyDescent="0.3">
      <c r="A129" s="11" t="s">
        <v>478</v>
      </c>
      <c r="B129" s="323" t="str">
        <f>IF(DONNEES!C29&gt;=25000,DONNEES!$C$24,"")</f>
        <v/>
      </c>
      <c r="C129" s="525" t="str">
        <f>IF(DONNEES!$F$532="OUI",DONNEES!R93,"")</f>
        <v/>
      </c>
      <c r="D129" s="323" t="str">
        <f t="shared" si="8"/>
        <v xml:space="preserve"> </v>
      </c>
      <c r="E129" s="38">
        <f t="shared" si="9"/>
        <v>0</v>
      </c>
    </row>
    <row r="130" spans="1:5" x14ac:dyDescent="0.3">
      <c r="A130" s="11" t="s">
        <v>479</v>
      </c>
      <c r="B130" s="323" t="str">
        <f>IF(DONNEES!C30&gt;=25000,DONNEES!$C$24,"")</f>
        <v/>
      </c>
      <c r="C130" s="525" t="str">
        <f>IF(DONNEES!$F$652="OUI",DONNEES!R102,"")</f>
        <v/>
      </c>
      <c r="D130" s="323" t="str">
        <f t="shared" si="8"/>
        <v xml:space="preserve"> </v>
      </c>
      <c r="E130" s="38">
        <f t="shared" si="9"/>
        <v>0</v>
      </c>
    </row>
    <row r="131" spans="1:5" x14ac:dyDescent="0.3">
      <c r="A131" s="11" t="s">
        <v>480</v>
      </c>
      <c r="B131" s="323" t="str">
        <f>IF(DONNEES!C31&gt;=25000,DONNEES!$C$24,"")</f>
        <v/>
      </c>
      <c r="C131" s="525" t="str">
        <f>IF(DONNEES!$F$772="OUI",DONNEES!R111,"")</f>
        <v/>
      </c>
      <c r="D131" s="323" t="str">
        <f t="shared" si="8"/>
        <v xml:space="preserve"> </v>
      </c>
      <c r="E131" s="38">
        <f t="shared" si="9"/>
        <v>0</v>
      </c>
    </row>
    <row r="132" spans="1:5" x14ac:dyDescent="0.3">
      <c r="A132" s="11" t="s">
        <v>319</v>
      </c>
      <c r="B132" s="191"/>
      <c r="C132" s="204"/>
      <c r="D132" s="204"/>
      <c r="E132" s="38">
        <f>IFERROR(SUM(E125:E131)*B125,0)</f>
        <v>0</v>
      </c>
    </row>
    <row r="133" spans="1:5" x14ac:dyDescent="0.3">
      <c r="A133" s="11" t="s">
        <v>337</v>
      </c>
      <c r="B133" s="191"/>
      <c r="C133" s="204"/>
      <c r="D133" s="204"/>
      <c r="E133" s="444">
        <v>0</v>
      </c>
    </row>
    <row r="134" spans="1:5" x14ac:dyDescent="0.3">
      <c r="A134" s="327" t="s">
        <v>320</v>
      </c>
      <c r="B134" s="328"/>
      <c r="C134" s="329"/>
      <c r="D134" s="329"/>
      <c r="E134" s="330">
        <f>IFERROR(SUM(E125:E131)+E132-E133,0)</f>
        <v>0</v>
      </c>
    </row>
    <row r="135" spans="1:5" x14ac:dyDescent="0.3">
      <c r="A135" s="11" t="s">
        <v>9</v>
      </c>
      <c r="B135" s="323" t="str">
        <f>IF(DONNEES!E25&gt;=25000,DONNEES!$C$24,"")</f>
        <v/>
      </c>
      <c r="C135" s="525">
        <f>IF(DONNEES!$F$52="OUI",DONNEES!S57,"")</f>
        <v>0</v>
      </c>
      <c r="D135" s="323" t="str">
        <f t="shared" ref="D135:D141" si="10">IF(AND($D$27&gt;=25000,$D$27&lt;=149999),"30%",IF(AND($D$27&gt;149999,$D$27&lt;=999999),"25%",IF($D$27&gt;999999,"20"%," ")))</f>
        <v xml:space="preserve"> </v>
      </c>
      <c r="E135" s="38">
        <f t="shared" ref="E135:E141" si="11">IFERROR(IF($B$15&lt;=12,(C135*D135),C135*D135*(12/$B$15)),0)</f>
        <v>0</v>
      </c>
    </row>
    <row r="136" spans="1:5" x14ac:dyDescent="0.3">
      <c r="A136" s="11" t="s">
        <v>10</v>
      </c>
      <c r="B136" s="323" t="str">
        <f>IF(DONNEES!E26&gt;=25000,DONNEES!$C$24,"")</f>
        <v/>
      </c>
      <c r="C136" s="525" t="str">
        <f>IF(DONNEES!$F$172="OUI",DONNEES!S66,"")</f>
        <v/>
      </c>
      <c r="D136" s="323" t="str">
        <f t="shared" si="10"/>
        <v xml:space="preserve"> </v>
      </c>
      <c r="E136" s="38">
        <f t="shared" si="11"/>
        <v>0</v>
      </c>
    </row>
    <row r="137" spans="1:5" x14ac:dyDescent="0.3">
      <c r="A137" s="11" t="s">
        <v>11</v>
      </c>
      <c r="B137" s="323" t="str">
        <f>IF(DONNEES!E27&gt;=25000,DONNEES!$C$24,"")</f>
        <v/>
      </c>
      <c r="C137" s="525" t="str">
        <f>IF(DONNEES!$F$292="OUI",DONNEES!S75,"")</f>
        <v/>
      </c>
      <c r="D137" s="323" t="str">
        <f t="shared" si="10"/>
        <v xml:space="preserve"> </v>
      </c>
      <c r="E137" s="38">
        <f t="shared" si="11"/>
        <v>0</v>
      </c>
    </row>
    <row r="138" spans="1:5" x14ac:dyDescent="0.3">
      <c r="A138" s="11" t="s">
        <v>12</v>
      </c>
      <c r="B138" s="323" t="str">
        <f>IF(DONNEES!E28&gt;=25000,DONNEES!$C$24,"")</f>
        <v/>
      </c>
      <c r="C138" s="525" t="str">
        <f>IF(DONNEES!$F$412="OUI",DONNEES!S84,"")</f>
        <v/>
      </c>
      <c r="D138" s="323" t="str">
        <f t="shared" si="10"/>
        <v xml:space="preserve"> </v>
      </c>
      <c r="E138" s="38">
        <f t="shared" si="11"/>
        <v>0</v>
      </c>
    </row>
    <row r="139" spans="1:5" x14ac:dyDescent="0.3">
      <c r="A139" s="11" t="s">
        <v>478</v>
      </c>
      <c r="B139" s="323" t="str">
        <f>IF(DONNEES!E29&gt;=25000,DONNEES!$C$24,"")</f>
        <v/>
      </c>
      <c r="C139" s="525" t="str">
        <f>IF(DONNEES!$F$532="OUI",DONNEES!S93,"")</f>
        <v/>
      </c>
      <c r="D139" s="323" t="str">
        <f t="shared" si="10"/>
        <v xml:space="preserve"> </v>
      </c>
      <c r="E139" s="38">
        <f t="shared" si="11"/>
        <v>0</v>
      </c>
    </row>
    <row r="140" spans="1:5" x14ac:dyDescent="0.3">
      <c r="A140" s="11" t="s">
        <v>479</v>
      </c>
      <c r="B140" s="323" t="str">
        <f>IF(DONNEES!E30&gt;=25000,DONNEES!$C$24,"")</f>
        <v/>
      </c>
      <c r="C140" s="525" t="str">
        <f>IF(DONNEES!$F$652="OUI",DONNEES!S2,"")</f>
        <v/>
      </c>
      <c r="D140" s="323" t="str">
        <f t="shared" si="10"/>
        <v xml:space="preserve"> </v>
      </c>
      <c r="E140" s="38">
        <f t="shared" si="11"/>
        <v>0</v>
      </c>
    </row>
    <row r="141" spans="1:5" x14ac:dyDescent="0.3">
      <c r="A141" s="11" t="s">
        <v>480</v>
      </c>
      <c r="B141" s="323" t="str">
        <f>IF(DONNEES!E31&gt;=25000,DONNEES!$C$24,"")</f>
        <v/>
      </c>
      <c r="C141" s="525" t="str">
        <f>IF(DONNEES!$F$772="OUI",DONNEES!S111,"")</f>
        <v/>
      </c>
      <c r="D141" s="323" t="str">
        <f t="shared" si="10"/>
        <v xml:space="preserve"> </v>
      </c>
      <c r="E141" s="38">
        <f t="shared" si="11"/>
        <v>0</v>
      </c>
    </row>
    <row r="142" spans="1:5" x14ac:dyDescent="0.3">
      <c r="A142" s="11" t="s">
        <v>319</v>
      </c>
      <c r="B142" s="191"/>
      <c r="C142" s="204"/>
      <c r="D142" s="191"/>
      <c r="E142" s="38">
        <f>IFERROR(SUM(E135:E141)*B135,0)</f>
        <v>0</v>
      </c>
    </row>
    <row r="143" spans="1:5" x14ac:dyDescent="0.3">
      <c r="A143" s="11" t="s">
        <v>337</v>
      </c>
      <c r="B143" s="191"/>
      <c r="C143" s="204"/>
      <c r="D143" s="191"/>
      <c r="E143" s="444">
        <v>0</v>
      </c>
    </row>
    <row r="144" spans="1:5" x14ac:dyDescent="0.3">
      <c r="A144" s="327" t="s">
        <v>320</v>
      </c>
      <c r="B144" s="328"/>
      <c r="C144" s="329"/>
      <c r="D144" s="328"/>
      <c r="E144" s="330">
        <f>IFERROR(SUM(E135:E141)+E142-E143,0)</f>
        <v>0</v>
      </c>
    </row>
    <row r="146" spans="1:5" x14ac:dyDescent="0.3">
      <c r="A146" s="662" t="s">
        <v>210</v>
      </c>
      <c r="B146" s="662"/>
      <c r="C146" s="662"/>
      <c r="D146" s="662"/>
      <c r="E146" s="662"/>
    </row>
    <row r="147" spans="1:5" x14ac:dyDescent="0.3">
      <c r="A147" s="661" t="str">
        <f>DONNEES!B9</f>
        <v>Cotraitant 4</v>
      </c>
      <c r="B147" s="661"/>
      <c r="C147" s="661"/>
      <c r="D147" s="661"/>
      <c r="E147" s="661"/>
    </row>
    <row r="148" spans="1:5" x14ac:dyDescent="0.3">
      <c r="A148" s="130"/>
      <c r="B148" s="130"/>
      <c r="C148" s="130"/>
      <c r="D148" s="130"/>
      <c r="E148" s="130"/>
    </row>
    <row r="149" spans="1:5" x14ac:dyDescent="0.3">
      <c r="A149" s="130" t="str">
        <f>"Vu le marché"&amp;" "&amp;DONNEES!C14&amp;" "&amp;"dont l'objet est"&amp;" "&amp;DONNEES!C4&amp;" "&amp;DONNEES!C2</f>
        <v xml:space="preserve">Vu le marché  dont l'objet est  </v>
      </c>
      <c r="B149" s="130"/>
      <c r="C149" s="130"/>
      <c r="D149" s="130"/>
      <c r="E149" s="130"/>
    </row>
    <row r="150" spans="1:5" x14ac:dyDescent="0.3">
      <c r="A150" s="130"/>
      <c r="B150" s="130"/>
      <c r="C150" s="130"/>
      <c r="D150" s="130"/>
      <c r="E150" s="130"/>
    </row>
    <row r="151" spans="1:5" x14ac:dyDescent="0.3">
      <c r="A151" s="130" t="str">
        <f>"Vu"&amp;" "&amp;DONNEES!E18&amp;" "&amp;"de l'acte d'engagement"</f>
        <v>Vu  de l'acte d'engagement</v>
      </c>
      <c r="B151" s="130"/>
      <c r="C151" s="130"/>
      <c r="D151" s="130"/>
      <c r="E151" s="130"/>
    </row>
    <row r="152" spans="1:5" x14ac:dyDescent="0.3">
      <c r="A152" s="130"/>
      <c r="B152" s="130"/>
      <c r="C152" s="130"/>
      <c r="D152" s="130"/>
      <c r="E152" s="130"/>
    </row>
    <row r="153" spans="1:5" x14ac:dyDescent="0.3">
      <c r="A153" s="130" t="s">
        <v>343</v>
      </c>
      <c r="B153" s="459">
        <f>DONNEES!C17</f>
        <v>0</v>
      </c>
      <c r="C153" s="130" t="s">
        <v>344</v>
      </c>
      <c r="D153" s="130"/>
      <c r="E153" s="130"/>
    </row>
    <row r="154" spans="1:5" x14ac:dyDescent="0.3">
      <c r="A154" s="130"/>
      <c r="B154" s="130"/>
      <c r="C154" s="130"/>
      <c r="D154" s="130"/>
      <c r="E154" s="130"/>
    </row>
    <row r="155" spans="1:5" x14ac:dyDescent="0.3">
      <c r="A155" s="130" t="str">
        <f>"Vu"&amp;" "&amp;DONNEES!F18&amp;" "&amp;"du cahier des charges prévoyant les taux d'avance"</f>
        <v>Vu  du cahier des charges prévoyant les taux d'avance</v>
      </c>
      <c r="B155" s="130"/>
      <c r="C155" s="130"/>
      <c r="D155" s="130"/>
      <c r="E155" s="130"/>
    </row>
    <row r="156" spans="1:5" x14ac:dyDescent="0.3">
      <c r="A156" s="130"/>
      <c r="B156" s="130"/>
      <c r="C156" s="130"/>
      <c r="D156" s="130"/>
      <c r="E156" s="130"/>
    </row>
    <row r="157" spans="1:5" x14ac:dyDescent="0.3">
      <c r="A157" s="130" t="str">
        <f>"Vu le(s) taux de TVA applicable(s) dans le marché :"</f>
        <v>Vu le(s) taux de TVA applicable(s) dans le marché :</v>
      </c>
      <c r="B157" s="130"/>
      <c r="C157" s="130"/>
      <c r="D157" s="130"/>
      <c r="E157" s="130"/>
    </row>
    <row r="158" spans="1:5" x14ac:dyDescent="0.3">
      <c r="A158" s="130"/>
      <c r="B158" s="130"/>
      <c r="C158" s="130"/>
      <c r="D158" s="130"/>
      <c r="E158" s="130"/>
    </row>
    <row r="159" spans="1:5" x14ac:dyDescent="0.3">
      <c r="A159" s="130"/>
      <c r="B159" s="130"/>
      <c r="C159" s="130"/>
      <c r="D159" s="130"/>
      <c r="E159" s="130"/>
    </row>
    <row r="160" spans="1:5" x14ac:dyDescent="0.3">
      <c r="A160" s="130" t="s">
        <v>261</v>
      </c>
      <c r="B160" s="130"/>
      <c r="C160" s="130"/>
      <c r="D160" s="130"/>
      <c r="E160" s="130"/>
    </row>
    <row r="161" spans="1:5" x14ac:dyDescent="0.3">
      <c r="A161" s="130"/>
      <c r="B161" s="130"/>
      <c r="C161" s="130"/>
      <c r="D161" s="130"/>
      <c r="E161" s="130"/>
    </row>
    <row r="162" spans="1:5" x14ac:dyDescent="0.3">
      <c r="A162" s="130"/>
      <c r="B162" s="130"/>
      <c r="C162" s="130"/>
      <c r="D162" s="130"/>
      <c r="E162" s="130"/>
    </row>
    <row r="163" spans="1:5" x14ac:dyDescent="0.3">
      <c r="A163" s="662" t="s">
        <v>262</v>
      </c>
      <c r="B163" s="662"/>
      <c r="C163" s="662"/>
      <c r="D163" s="662"/>
      <c r="E163" s="662"/>
    </row>
    <row r="164" spans="1:5" x14ac:dyDescent="0.3">
      <c r="A164" s="130"/>
      <c r="B164" s="130"/>
      <c r="C164" s="130"/>
      <c r="D164" s="130"/>
      <c r="E164" s="130"/>
    </row>
    <row r="165" spans="1:5" x14ac:dyDescent="0.3">
      <c r="A165" s="130" t="s">
        <v>318</v>
      </c>
      <c r="B165" s="130"/>
      <c r="C165" s="130"/>
      <c r="D165" s="325">
        <f>IFERROR(DONNEES!R103+DONNEES!R112+DONNEES!R153+DONNEES!R166+DONNEES!R175+DONNEES!R188+DONNEES!R201+DONNEES!S103+DONNEES!S112+DONNEES!S153+DONNEES!S166+DONNEES!S175+DONNEES!S188+DONNEES!S201,0)</f>
        <v>0</v>
      </c>
      <c r="E165" s="130"/>
    </row>
    <row r="166" spans="1:5" x14ac:dyDescent="0.3">
      <c r="A166" s="130" t="s">
        <v>341</v>
      </c>
      <c r="B166" s="130"/>
      <c r="C166" s="130"/>
      <c r="D166" s="463">
        <f>IFERROR(E179+E189,0)</f>
        <v>0</v>
      </c>
      <c r="E166" s="130"/>
    </row>
    <row r="167" spans="1:5" x14ac:dyDescent="0.3">
      <c r="A167" s="130" t="s">
        <v>263</v>
      </c>
      <c r="B167" s="130"/>
      <c r="C167" s="130"/>
      <c r="D167" s="326">
        <f>DONNEES!C9</f>
        <v>0</v>
      </c>
      <c r="E167" s="130"/>
    </row>
    <row r="168" spans="1:5" x14ac:dyDescent="0.3">
      <c r="A168" s="130" t="s">
        <v>321</v>
      </c>
      <c r="B168" s="130"/>
      <c r="C168" s="130"/>
      <c r="D168" s="331">
        <f>IFERROR(E190+E180-D166,0)</f>
        <v>0</v>
      </c>
      <c r="E168" s="130"/>
    </row>
    <row r="169" spans="1:5" x14ac:dyDescent="0.3">
      <c r="A169" s="130"/>
      <c r="B169" s="130"/>
      <c r="C169" s="130"/>
      <c r="D169" s="10"/>
      <c r="E169" s="130"/>
    </row>
    <row r="170" spans="1:5" x14ac:dyDescent="0.3">
      <c r="A170" s="10"/>
      <c r="B170" s="338" t="s">
        <v>235</v>
      </c>
      <c r="C170" s="338" t="s">
        <v>36</v>
      </c>
      <c r="D170" s="338" t="s">
        <v>272</v>
      </c>
      <c r="E170" s="338" t="s">
        <v>291</v>
      </c>
    </row>
    <row r="171" spans="1:5" x14ac:dyDescent="0.3">
      <c r="A171" s="11" t="s">
        <v>9</v>
      </c>
      <c r="B171" s="323">
        <f>IF(DONNEES!C25&gt;=25000,DONNEES!$C$24,"")</f>
        <v>0.2</v>
      </c>
      <c r="C171" s="525">
        <f>IF(DONNEES!$F$52="OUI",DONNEES!R58,"")</f>
        <v>0</v>
      </c>
      <c r="D171" s="323" t="str">
        <f>IF(AND($D$27&gt;=25000,$D$27&lt;=149999),"30%",IF(AND($D$27&gt;149999,$D$27&lt;=999999),"25%",IF($D$27&gt;999999,"20"%," ")))</f>
        <v xml:space="preserve"> </v>
      </c>
      <c r="E171" s="38">
        <f>IFERROR(IF($B$15&lt;=12,(C171*D171),C171*D171*(12/$B$15)),0)</f>
        <v>0</v>
      </c>
    </row>
    <row r="172" spans="1:5" x14ac:dyDescent="0.3">
      <c r="A172" s="11" t="s">
        <v>10</v>
      </c>
      <c r="B172" s="323" t="str">
        <f>IF(DONNEES!C26&gt;=25000,DONNEES!$C$24,"")</f>
        <v/>
      </c>
      <c r="C172" s="525" t="str">
        <f>IF(DONNEES!$F$172="OUI",DONNEES!R67,"")</f>
        <v/>
      </c>
      <c r="D172" s="323" t="str">
        <f t="shared" ref="D172:D177" si="12">IF(AND($D$27&gt;=25000,$D$27&lt;=149999),"30%",IF(AND($D$27&gt;149999,$D$27&lt;=999999),"25%",IF($D$27&gt;999999,"20"%," ")))</f>
        <v xml:space="preserve"> </v>
      </c>
      <c r="E172" s="38">
        <f t="shared" ref="E172:E177" si="13">IFERROR(IF($B$15&lt;=12,(C172*D172),C172*D172*(12/$B$15)),0)</f>
        <v>0</v>
      </c>
    </row>
    <row r="173" spans="1:5" x14ac:dyDescent="0.3">
      <c r="A173" s="11" t="s">
        <v>11</v>
      </c>
      <c r="B173" s="323" t="str">
        <f>IF(DONNEES!C27&gt;=25000,DONNEES!$C$24,"")</f>
        <v/>
      </c>
      <c r="C173" s="525" t="str">
        <f>IF(DONNEES!$F$292="OUI",DONNEES!R76,"")</f>
        <v/>
      </c>
      <c r="D173" s="323" t="str">
        <f t="shared" si="12"/>
        <v xml:space="preserve"> </v>
      </c>
      <c r="E173" s="38">
        <f t="shared" si="13"/>
        <v>0</v>
      </c>
    </row>
    <row r="174" spans="1:5" x14ac:dyDescent="0.3">
      <c r="A174" s="11" t="s">
        <v>12</v>
      </c>
      <c r="B174" s="323" t="str">
        <f>IF(DONNEES!C28&gt;=25000,DONNEES!$C$24,"")</f>
        <v/>
      </c>
      <c r="C174" s="525" t="str">
        <f>IF(DONNEES!$F$412="OUI",DONNEES!R85,"")</f>
        <v/>
      </c>
      <c r="D174" s="323" t="str">
        <f t="shared" si="12"/>
        <v xml:space="preserve"> </v>
      </c>
      <c r="E174" s="38">
        <f t="shared" si="13"/>
        <v>0</v>
      </c>
    </row>
    <row r="175" spans="1:5" x14ac:dyDescent="0.3">
      <c r="A175" s="11" t="s">
        <v>478</v>
      </c>
      <c r="B175" s="323" t="str">
        <f>IF(DONNEES!C29&gt;=25000,DONNEES!$C$24,"")</f>
        <v/>
      </c>
      <c r="C175" s="525" t="str">
        <f>IF(DONNEES!$F$532="OUI",DONNEES!R94,"")</f>
        <v/>
      </c>
      <c r="D175" s="323" t="str">
        <f t="shared" si="12"/>
        <v xml:space="preserve"> </v>
      </c>
      <c r="E175" s="38">
        <f t="shared" si="13"/>
        <v>0</v>
      </c>
    </row>
    <row r="176" spans="1:5" x14ac:dyDescent="0.3">
      <c r="A176" s="11" t="s">
        <v>479</v>
      </c>
      <c r="B176" s="323" t="str">
        <f>IF(DONNEES!C30&gt;=25000,DONNEES!$C$24,"")</f>
        <v/>
      </c>
      <c r="C176" s="525" t="str">
        <f>IF(DONNEES!$F$652="OUI",DONNEES!R103,"")</f>
        <v/>
      </c>
      <c r="D176" s="323" t="str">
        <f t="shared" si="12"/>
        <v xml:space="preserve"> </v>
      </c>
      <c r="E176" s="38">
        <f t="shared" si="13"/>
        <v>0</v>
      </c>
    </row>
    <row r="177" spans="1:5" x14ac:dyDescent="0.3">
      <c r="A177" s="11" t="s">
        <v>480</v>
      </c>
      <c r="B177" s="323" t="str">
        <f>IF(DONNEES!C31&gt;=25000,DONNEES!$C$24,"")</f>
        <v/>
      </c>
      <c r="C177" s="525" t="str">
        <f>IF(DONNEES!$F$772="OUI",DONNEES!R112,"")</f>
        <v/>
      </c>
      <c r="D177" s="323" t="str">
        <f t="shared" si="12"/>
        <v xml:space="preserve"> </v>
      </c>
      <c r="E177" s="38">
        <f t="shared" si="13"/>
        <v>0</v>
      </c>
    </row>
    <row r="178" spans="1:5" x14ac:dyDescent="0.3">
      <c r="A178" s="11" t="s">
        <v>319</v>
      </c>
      <c r="B178" s="191"/>
      <c r="C178" s="204"/>
      <c r="D178" s="204"/>
      <c r="E178" s="38">
        <f>IFERROR(SUM(E171:E177)*B171,0)</f>
        <v>0</v>
      </c>
    </row>
    <row r="179" spans="1:5" x14ac:dyDescent="0.3">
      <c r="A179" s="11" t="s">
        <v>337</v>
      </c>
      <c r="B179" s="191"/>
      <c r="C179" s="204"/>
      <c r="D179" s="204"/>
      <c r="E179" s="444">
        <v>0</v>
      </c>
    </row>
    <row r="180" spans="1:5" x14ac:dyDescent="0.3">
      <c r="A180" s="327" t="s">
        <v>320</v>
      </c>
      <c r="B180" s="328"/>
      <c r="C180" s="329"/>
      <c r="D180" s="329"/>
      <c r="E180" s="330">
        <f>IFERROR(SUM(E171:E177)+E178-E179,0)</f>
        <v>0</v>
      </c>
    </row>
    <row r="181" spans="1:5" x14ac:dyDescent="0.3">
      <c r="A181" s="11" t="s">
        <v>9</v>
      </c>
      <c r="B181" s="323" t="str">
        <f>IF(DONNEES!E25&gt;=25000,DONNEES!$C$24,"")</f>
        <v/>
      </c>
      <c r="C181" s="525">
        <f>IF(DONNEES!$F$52="OUI",DONNEES!S58,"")</f>
        <v>0</v>
      </c>
      <c r="D181" s="323" t="str">
        <f t="shared" ref="D181:D187" si="14">IF(AND($D$27&gt;=25000,$D$27&lt;=149999),"30%",IF(AND($D$27&gt;149999,$D$27&lt;=999999),"25%",IF($D$27&gt;999999,"20"%," ")))</f>
        <v xml:space="preserve"> </v>
      </c>
      <c r="E181" s="38">
        <f t="shared" ref="E181:E187" si="15">IFERROR(IF($B$15&lt;=12,(C181*D181),C181*D181*(12/$B$15)),0)</f>
        <v>0</v>
      </c>
    </row>
    <row r="182" spans="1:5" x14ac:dyDescent="0.3">
      <c r="A182" s="11" t="s">
        <v>10</v>
      </c>
      <c r="B182" s="323" t="str">
        <f>IF(DONNEES!E26&gt;=25000,DONNEES!$C$24,"")</f>
        <v/>
      </c>
      <c r="C182" s="525" t="str">
        <f>IF(DONNEES!$F$172="OUI",DONNEES!S67,"")</f>
        <v/>
      </c>
      <c r="D182" s="323" t="str">
        <f t="shared" si="14"/>
        <v xml:space="preserve"> </v>
      </c>
      <c r="E182" s="38">
        <f t="shared" si="15"/>
        <v>0</v>
      </c>
    </row>
    <row r="183" spans="1:5" x14ac:dyDescent="0.3">
      <c r="A183" s="11" t="s">
        <v>11</v>
      </c>
      <c r="B183" s="323" t="str">
        <f>IF(DONNEES!E27&gt;=25000,DONNEES!$C$24,"")</f>
        <v/>
      </c>
      <c r="C183" s="525" t="str">
        <f>IF(DONNEES!$F$292="OUI",DONNEES!S76,"")</f>
        <v/>
      </c>
      <c r="D183" s="323" t="str">
        <f t="shared" si="14"/>
        <v xml:space="preserve"> </v>
      </c>
      <c r="E183" s="38">
        <f t="shared" si="15"/>
        <v>0</v>
      </c>
    </row>
    <row r="184" spans="1:5" x14ac:dyDescent="0.3">
      <c r="A184" s="11" t="s">
        <v>12</v>
      </c>
      <c r="B184" s="323" t="str">
        <f>IF(DONNEES!E28&gt;=25000,DONNEES!$C$24,"")</f>
        <v/>
      </c>
      <c r="C184" s="525" t="str">
        <f>IF(DONNEES!$F$412="OUI",DONNEES!S85,"")</f>
        <v/>
      </c>
      <c r="D184" s="323" t="str">
        <f t="shared" si="14"/>
        <v xml:space="preserve"> </v>
      </c>
      <c r="E184" s="38">
        <f t="shared" si="15"/>
        <v>0</v>
      </c>
    </row>
    <row r="185" spans="1:5" x14ac:dyDescent="0.3">
      <c r="A185" s="11" t="s">
        <v>478</v>
      </c>
      <c r="B185" s="323" t="str">
        <f>IF(DONNEES!E29&gt;=25000,DONNEES!$C$24,"")</f>
        <v/>
      </c>
      <c r="C185" s="525" t="str">
        <f>IF(DONNEES!$F$532="OUI",DONNEES!S94,"")</f>
        <v/>
      </c>
      <c r="D185" s="323" t="str">
        <f t="shared" si="14"/>
        <v xml:space="preserve"> </v>
      </c>
      <c r="E185" s="38">
        <f t="shared" si="15"/>
        <v>0</v>
      </c>
    </row>
    <row r="186" spans="1:5" x14ac:dyDescent="0.3">
      <c r="A186" s="11" t="s">
        <v>479</v>
      </c>
      <c r="B186" s="323" t="str">
        <f>IF(DONNEES!E30&gt;=25000,DONNEES!$C$24,"")</f>
        <v/>
      </c>
      <c r="C186" s="525" t="str">
        <f>IF(DONNEES!$F$652="OUI",DONNEES!S103,"")</f>
        <v/>
      </c>
      <c r="D186" s="323" t="str">
        <f t="shared" si="14"/>
        <v xml:space="preserve"> </v>
      </c>
      <c r="E186" s="38">
        <f t="shared" si="15"/>
        <v>0</v>
      </c>
    </row>
    <row r="187" spans="1:5" x14ac:dyDescent="0.3">
      <c r="A187" s="11" t="s">
        <v>480</v>
      </c>
      <c r="B187" s="323" t="str">
        <f>IF(DONNEES!E31&gt;=25000,DONNEES!$C$24,"")</f>
        <v/>
      </c>
      <c r="C187" s="525" t="str">
        <f>IF(DONNEES!$F$772="OUI",DONNEES!S112,"")</f>
        <v/>
      </c>
      <c r="D187" s="323" t="str">
        <f t="shared" si="14"/>
        <v xml:space="preserve"> </v>
      </c>
      <c r="E187" s="38">
        <f t="shared" si="15"/>
        <v>0</v>
      </c>
    </row>
    <row r="188" spans="1:5" x14ac:dyDescent="0.3">
      <c r="A188" s="11" t="s">
        <v>319</v>
      </c>
      <c r="B188" s="191"/>
      <c r="C188" s="204"/>
      <c r="D188" s="191"/>
      <c r="E188" s="38">
        <f>IFERROR(SUM(E181:E187)*B181,0)</f>
        <v>0</v>
      </c>
    </row>
    <row r="189" spans="1:5" x14ac:dyDescent="0.3">
      <c r="A189" s="11" t="s">
        <v>337</v>
      </c>
      <c r="B189" s="191"/>
      <c r="C189" s="204"/>
      <c r="D189" s="191"/>
      <c r="E189" s="444">
        <v>0</v>
      </c>
    </row>
    <row r="190" spans="1:5" x14ac:dyDescent="0.3">
      <c r="A190" s="327" t="s">
        <v>320</v>
      </c>
      <c r="B190" s="328"/>
      <c r="C190" s="329"/>
      <c r="D190" s="328"/>
      <c r="E190" s="330">
        <f>IFERROR(SUM(E181:E187)+E188-E189,0)</f>
        <v>0</v>
      </c>
    </row>
    <row r="192" spans="1:5" x14ac:dyDescent="0.3">
      <c r="A192" s="662" t="s">
        <v>210</v>
      </c>
      <c r="B192" s="662"/>
      <c r="C192" s="662"/>
      <c r="D192" s="662"/>
      <c r="E192" s="662"/>
    </row>
    <row r="193" spans="1:5" x14ac:dyDescent="0.3">
      <c r="A193" s="661" t="str">
        <f>DONNEES!B10</f>
        <v>Cotraitant 5</v>
      </c>
      <c r="B193" s="661"/>
      <c r="C193" s="661"/>
      <c r="D193" s="661"/>
      <c r="E193" s="661"/>
    </row>
    <row r="194" spans="1:5" x14ac:dyDescent="0.3">
      <c r="A194" s="130"/>
      <c r="B194" s="130"/>
      <c r="C194" s="130"/>
      <c r="D194" s="130"/>
      <c r="E194" s="130"/>
    </row>
    <row r="195" spans="1:5" x14ac:dyDescent="0.3">
      <c r="A195" s="130" t="str">
        <f>"Vu le marché"&amp;" "&amp;DONNEES!C14&amp;" "&amp;"dont l'objet est"&amp;" "&amp;DONNEES!C4&amp;" "&amp;DONNEES!C2</f>
        <v xml:space="preserve">Vu le marché  dont l'objet est  </v>
      </c>
      <c r="B195" s="130"/>
      <c r="C195" s="130"/>
      <c r="D195" s="130"/>
      <c r="E195" s="130"/>
    </row>
    <row r="196" spans="1:5" x14ac:dyDescent="0.3">
      <c r="A196" s="130"/>
      <c r="B196" s="130"/>
      <c r="C196" s="130"/>
      <c r="D196" s="130"/>
      <c r="E196" s="130"/>
    </row>
    <row r="197" spans="1:5" x14ac:dyDescent="0.3">
      <c r="A197" s="130" t="str">
        <f>"Vu"&amp;" "&amp;DONNEES!E18&amp;" "&amp;"de l'acte d'engagement"</f>
        <v>Vu  de l'acte d'engagement</v>
      </c>
      <c r="B197" s="130"/>
      <c r="C197" s="130"/>
      <c r="D197" s="130"/>
      <c r="E197" s="130"/>
    </row>
    <row r="198" spans="1:5" x14ac:dyDescent="0.3">
      <c r="A198" s="130"/>
      <c r="B198" s="130"/>
      <c r="C198" s="130"/>
      <c r="D198" s="130"/>
      <c r="E198" s="130"/>
    </row>
    <row r="199" spans="1:5" x14ac:dyDescent="0.3">
      <c r="A199" s="130" t="s">
        <v>343</v>
      </c>
      <c r="B199" s="459">
        <f>DONNEES!C17</f>
        <v>0</v>
      </c>
      <c r="C199" s="130" t="s">
        <v>344</v>
      </c>
      <c r="D199" s="130"/>
      <c r="E199" s="130"/>
    </row>
    <row r="200" spans="1:5" x14ac:dyDescent="0.3">
      <c r="A200" s="130"/>
      <c r="B200" s="130"/>
      <c r="C200" s="130"/>
      <c r="D200" s="130"/>
      <c r="E200" s="130"/>
    </row>
    <row r="201" spans="1:5" x14ac:dyDescent="0.3">
      <c r="A201" s="130" t="str">
        <f>"Vu"&amp;" "&amp;DONNEES!F18&amp;" "&amp;"du cahier des charges prévoyant les taux d'avance"</f>
        <v>Vu  du cahier des charges prévoyant les taux d'avance</v>
      </c>
      <c r="B201" s="130"/>
      <c r="C201" s="130"/>
      <c r="D201" s="130"/>
      <c r="E201" s="130"/>
    </row>
    <row r="202" spans="1:5" x14ac:dyDescent="0.3">
      <c r="A202" s="130"/>
      <c r="B202" s="130"/>
      <c r="C202" s="130"/>
      <c r="D202" s="130"/>
      <c r="E202" s="130"/>
    </row>
    <row r="203" spans="1:5" x14ac:dyDescent="0.3">
      <c r="A203" s="130" t="str">
        <f>"Vu le(s) taux de TVA applicable(s) dans le marché :"</f>
        <v>Vu le(s) taux de TVA applicable(s) dans le marché :</v>
      </c>
      <c r="B203" s="130"/>
      <c r="C203" s="130"/>
      <c r="D203" s="130"/>
      <c r="E203" s="130"/>
    </row>
    <row r="204" spans="1:5" x14ac:dyDescent="0.3">
      <c r="A204" s="130"/>
      <c r="B204" s="130"/>
      <c r="C204" s="130"/>
      <c r="D204" s="130"/>
      <c r="E204" s="130"/>
    </row>
    <row r="205" spans="1:5" x14ac:dyDescent="0.3">
      <c r="A205" s="130"/>
      <c r="B205" s="130"/>
      <c r="C205" s="130"/>
      <c r="D205" s="130"/>
      <c r="E205" s="130"/>
    </row>
    <row r="206" spans="1:5" x14ac:dyDescent="0.3">
      <c r="A206" s="130" t="s">
        <v>261</v>
      </c>
      <c r="B206" s="130"/>
      <c r="C206" s="130"/>
      <c r="D206" s="130"/>
      <c r="E206" s="130"/>
    </row>
    <row r="207" spans="1:5" x14ac:dyDescent="0.3">
      <c r="A207" s="130"/>
      <c r="B207" s="130"/>
      <c r="C207" s="130"/>
      <c r="D207" s="130"/>
      <c r="E207" s="130"/>
    </row>
    <row r="208" spans="1:5" x14ac:dyDescent="0.3">
      <c r="A208" s="130"/>
      <c r="B208" s="130"/>
      <c r="C208" s="130"/>
      <c r="D208" s="130"/>
      <c r="E208" s="130"/>
    </row>
    <row r="209" spans="1:5" x14ac:dyDescent="0.3">
      <c r="A209" s="662" t="s">
        <v>262</v>
      </c>
      <c r="B209" s="662"/>
      <c r="C209" s="662"/>
      <c r="D209" s="662"/>
      <c r="E209" s="662"/>
    </row>
    <row r="210" spans="1:5" x14ac:dyDescent="0.3">
      <c r="A210" s="130"/>
      <c r="B210" s="130"/>
      <c r="C210" s="130"/>
      <c r="D210" s="130"/>
      <c r="E210" s="130"/>
    </row>
    <row r="211" spans="1:5" x14ac:dyDescent="0.3">
      <c r="A211" s="130" t="s">
        <v>318</v>
      </c>
      <c r="B211" s="130"/>
      <c r="C211" s="130"/>
      <c r="D211" s="325">
        <f>IFERROR(DONNEES!R59+DONNEES!R68+DONNEES!R77+DONNEES!R86+DONNEES!R95+DONNEES!R104+DONNEES!R113+DONNEES!S59+DONNEES!S68+DONNEES!S77+DONNEES!S86+DONNEES!S95+DONNEES!S104+DONNEES!S113,0)</f>
        <v>0</v>
      </c>
      <c r="E211" s="130"/>
    </row>
    <row r="212" spans="1:5" x14ac:dyDescent="0.3">
      <c r="A212" s="130" t="s">
        <v>341</v>
      </c>
      <c r="B212" s="130"/>
      <c r="C212" s="130"/>
      <c r="D212" s="463">
        <f>IFERROR(E225+E235,0)</f>
        <v>0</v>
      </c>
      <c r="E212" s="130"/>
    </row>
    <row r="213" spans="1:5" x14ac:dyDescent="0.3">
      <c r="A213" s="130" t="s">
        <v>263</v>
      </c>
      <c r="B213" s="130"/>
      <c r="C213" s="130"/>
      <c r="D213" s="326">
        <f>DONNEES!C10</f>
        <v>0</v>
      </c>
      <c r="E213" s="130"/>
    </row>
    <row r="214" spans="1:5" x14ac:dyDescent="0.3">
      <c r="A214" s="130" t="s">
        <v>321</v>
      </c>
      <c r="B214" s="130"/>
      <c r="C214" s="130"/>
      <c r="D214" s="331">
        <f>IFERROR(E236+E226-D212,0)</f>
        <v>0</v>
      </c>
      <c r="E214" s="130"/>
    </row>
    <row r="215" spans="1:5" x14ac:dyDescent="0.3">
      <c r="A215" s="130"/>
      <c r="B215" s="130"/>
      <c r="C215" s="130"/>
      <c r="D215" s="10"/>
      <c r="E215" s="130"/>
    </row>
    <row r="216" spans="1:5" x14ac:dyDescent="0.3">
      <c r="A216" s="10"/>
      <c r="B216" s="338" t="s">
        <v>235</v>
      </c>
      <c r="C216" s="338" t="s">
        <v>36</v>
      </c>
      <c r="D216" s="338" t="s">
        <v>272</v>
      </c>
      <c r="E216" s="338" t="s">
        <v>291</v>
      </c>
    </row>
    <row r="217" spans="1:5" x14ac:dyDescent="0.3">
      <c r="A217" s="11" t="s">
        <v>9</v>
      </c>
      <c r="B217" s="323">
        <f>IF(DONNEES!C25&gt;=25000,DONNEES!$C$24,"")</f>
        <v>0.2</v>
      </c>
      <c r="C217" s="525">
        <f>IF(DONNEES!$F$52="OUI",DONNEES!R59,"")</f>
        <v>0</v>
      </c>
      <c r="D217" s="323" t="str">
        <f>IF(AND($D$27&gt;=25000,$D$27&lt;=149999),"30%",IF(AND($D$27&gt;149999,$D$27&lt;=999999),"25%",IF($D$27&gt;999999,"20"%," ")))</f>
        <v xml:space="preserve"> </v>
      </c>
      <c r="E217" s="38">
        <f>IFERROR(IF($B$15&lt;=12,(C217*D217),C217*D217*(12/$B$15)),0)</f>
        <v>0</v>
      </c>
    </row>
    <row r="218" spans="1:5" x14ac:dyDescent="0.3">
      <c r="A218" s="11" t="s">
        <v>10</v>
      </c>
      <c r="B218" s="323" t="str">
        <f>IF(DONNEES!C26&gt;=25000,DONNEES!$C$24,"")</f>
        <v/>
      </c>
      <c r="C218" s="525" t="str">
        <f>IF(DONNEES!$F$172="OUI",DONNEES!R68,"")</f>
        <v/>
      </c>
      <c r="D218" s="323" t="str">
        <f t="shared" ref="D218:D223" si="16">IF(AND($D$27&gt;=25000,$D$27&lt;=149999),"30%",IF(AND($D$27&gt;149999,$D$27&lt;=999999),"25%",IF($D$27&gt;999999,"20"%," ")))</f>
        <v xml:space="preserve"> </v>
      </c>
      <c r="E218" s="38">
        <f t="shared" ref="E218:E223" si="17">IFERROR(IF($B$15&lt;=12,(C218*D218),C218*D218*(12/$B$15)),0)</f>
        <v>0</v>
      </c>
    </row>
    <row r="219" spans="1:5" x14ac:dyDescent="0.3">
      <c r="A219" s="11" t="s">
        <v>11</v>
      </c>
      <c r="B219" s="323" t="str">
        <f>IF(DONNEES!C27&gt;=25000,DONNEES!$C$24,"")</f>
        <v/>
      </c>
      <c r="C219" s="525" t="str">
        <f>IF(DONNEES!$F$292="OUI",DONNEES!R77,"")</f>
        <v/>
      </c>
      <c r="D219" s="323" t="str">
        <f t="shared" si="16"/>
        <v xml:space="preserve"> </v>
      </c>
      <c r="E219" s="38">
        <f t="shared" si="17"/>
        <v>0</v>
      </c>
    </row>
    <row r="220" spans="1:5" x14ac:dyDescent="0.3">
      <c r="A220" s="11" t="s">
        <v>12</v>
      </c>
      <c r="B220" s="323" t="str">
        <f>IF(DONNEES!C28&gt;=25000,DONNEES!$C$24,"")</f>
        <v/>
      </c>
      <c r="C220" s="525" t="str">
        <f>IF(DONNEES!$F$412="OUI",DONNEES!R86,"")</f>
        <v/>
      </c>
      <c r="D220" s="323" t="str">
        <f t="shared" si="16"/>
        <v xml:space="preserve"> </v>
      </c>
      <c r="E220" s="38">
        <f t="shared" si="17"/>
        <v>0</v>
      </c>
    </row>
    <row r="221" spans="1:5" x14ac:dyDescent="0.3">
      <c r="A221" s="11" t="s">
        <v>478</v>
      </c>
      <c r="B221" s="323" t="str">
        <f>IF(DONNEES!C29&gt;=25000,DONNEES!$C$24,"")</f>
        <v/>
      </c>
      <c r="C221" s="525" t="str">
        <f>IF(DONNEES!$F$532="OUI",DONNEES!R95,"")</f>
        <v/>
      </c>
      <c r="D221" s="323" t="str">
        <f t="shared" si="16"/>
        <v xml:space="preserve"> </v>
      </c>
      <c r="E221" s="38">
        <f t="shared" si="17"/>
        <v>0</v>
      </c>
    </row>
    <row r="222" spans="1:5" x14ac:dyDescent="0.3">
      <c r="A222" s="11" t="s">
        <v>479</v>
      </c>
      <c r="B222" s="323" t="str">
        <f>IF(DONNEES!C30&gt;=25000,DONNEES!$C$24,"")</f>
        <v/>
      </c>
      <c r="C222" s="525" t="str">
        <f>IF(DONNEES!$F$652="OUI",DONNEES!R104,"")</f>
        <v/>
      </c>
      <c r="D222" s="323" t="str">
        <f t="shared" si="16"/>
        <v xml:space="preserve"> </v>
      </c>
      <c r="E222" s="38">
        <f t="shared" si="17"/>
        <v>0</v>
      </c>
    </row>
    <row r="223" spans="1:5" x14ac:dyDescent="0.3">
      <c r="A223" s="11" t="s">
        <v>480</v>
      </c>
      <c r="B223" s="323" t="str">
        <f>IF(DONNEES!C31&gt;=25000,DONNEES!$C$24,"")</f>
        <v/>
      </c>
      <c r="C223" s="525" t="str">
        <f>IF(DONNEES!$F$772="OUI",DONNEES!R113,"")</f>
        <v/>
      </c>
      <c r="D223" s="323" t="str">
        <f t="shared" si="16"/>
        <v xml:space="preserve"> </v>
      </c>
      <c r="E223" s="38">
        <f t="shared" si="17"/>
        <v>0</v>
      </c>
    </row>
    <row r="224" spans="1:5" x14ac:dyDescent="0.3">
      <c r="A224" s="11" t="s">
        <v>319</v>
      </c>
      <c r="B224" s="191"/>
      <c r="C224" s="204"/>
      <c r="D224" s="204"/>
      <c r="E224" s="38">
        <f>IFERROR(SUM(E217:E223)*B217,0)</f>
        <v>0</v>
      </c>
    </row>
    <row r="225" spans="1:5" x14ac:dyDescent="0.3">
      <c r="A225" s="11" t="s">
        <v>337</v>
      </c>
      <c r="B225" s="191"/>
      <c r="C225" s="204"/>
      <c r="D225" s="204"/>
      <c r="E225" s="444">
        <v>0</v>
      </c>
    </row>
    <row r="226" spans="1:5" x14ac:dyDescent="0.3">
      <c r="A226" s="327" t="s">
        <v>320</v>
      </c>
      <c r="B226" s="328"/>
      <c r="C226" s="329"/>
      <c r="D226" s="329"/>
      <c r="E226" s="330">
        <f>IFERROR(SUM(E217:E223)+E224-E225,0)</f>
        <v>0</v>
      </c>
    </row>
    <row r="227" spans="1:5" x14ac:dyDescent="0.3">
      <c r="A227" s="11" t="s">
        <v>9</v>
      </c>
      <c r="B227" s="323" t="str">
        <f>IF(DONNEES!E25&gt;=25000,DONNEES!$C$24,"")</f>
        <v/>
      </c>
      <c r="C227" s="525">
        <f>IF(DONNEES!$F$52="OUI",DONNEES!S59,"")</f>
        <v>0</v>
      </c>
      <c r="D227" s="323" t="str">
        <f t="shared" ref="D227:D233" si="18">IF(AND($D$27&gt;=25000,$D$27&lt;=149999),"30%",IF(AND($D$27&gt;149999,$D$27&lt;=999999),"25%",IF($D$27&gt;999999,"20"%," ")))</f>
        <v xml:space="preserve"> </v>
      </c>
      <c r="E227" s="38">
        <f t="shared" ref="E227:E233" si="19">IFERROR(IF($B$15&lt;=12,(C227*D227),C227*D227*(12/$B$15)),0)</f>
        <v>0</v>
      </c>
    </row>
    <row r="228" spans="1:5" x14ac:dyDescent="0.3">
      <c r="A228" s="11" t="s">
        <v>10</v>
      </c>
      <c r="B228" s="323" t="str">
        <f>IF(DONNEES!E26&gt;=25000,DONNEES!$C$24,"")</f>
        <v/>
      </c>
      <c r="C228" s="525" t="str">
        <f>IF(DONNEES!$F$172="OUI",DONNEES!S68,"")</f>
        <v/>
      </c>
      <c r="D228" s="323" t="str">
        <f t="shared" si="18"/>
        <v xml:space="preserve"> </v>
      </c>
      <c r="E228" s="38">
        <f t="shared" si="19"/>
        <v>0</v>
      </c>
    </row>
    <row r="229" spans="1:5" x14ac:dyDescent="0.3">
      <c r="A229" s="11" t="s">
        <v>11</v>
      </c>
      <c r="B229" s="323" t="str">
        <f>IF(DONNEES!E27&gt;=25000,DONNEES!$C$24,"")</f>
        <v/>
      </c>
      <c r="C229" s="525" t="str">
        <f>IF(DONNEES!$F$292="OUI",DONNEES!S77,"")</f>
        <v/>
      </c>
      <c r="D229" s="323" t="str">
        <f t="shared" si="18"/>
        <v xml:space="preserve"> </v>
      </c>
      <c r="E229" s="38">
        <f t="shared" si="19"/>
        <v>0</v>
      </c>
    </row>
    <row r="230" spans="1:5" x14ac:dyDescent="0.3">
      <c r="A230" s="11" t="s">
        <v>12</v>
      </c>
      <c r="B230" s="323" t="str">
        <f>IF(DONNEES!E28&gt;=25000,DONNEES!$C$24,"")</f>
        <v/>
      </c>
      <c r="C230" s="525" t="str">
        <f>IF(DONNEES!$F$412="OUI",DONNEES!S86,"")</f>
        <v/>
      </c>
      <c r="D230" s="323" t="str">
        <f t="shared" si="18"/>
        <v xml:space="preserve"> </v>
      </c>
      <c r="E230" s="38">
        <f t="shared" si="19"/>
        <v>0</v>
      </c>
    </row>
    <row r="231" spans="1:5" x14ac:dyDescent="0.3">
      <c r="A231" s="11" t="s">
        <v>478</v>
      </c>
      <c r="B231" s="323" t="str">
        <f>IF(DONNEES!E29&gt;=25000,DONNEES!$C$24,"")</f>
        <v/>
      </c>
      <c r="C231" s="525" t="str">
        <f>IF(DONNEES!$F$532="OUI",DONNEES!S95,"")</f>
        <v/>
      </c>
      <c r="D231" s="323" t="str">
        <f t="shared" si="18"/>
        <v xml:space="preserve"> </v>
      </c>
      <c r="E231" s="38">
        <f t="shared" si="19"/>
        <v>0</v>
      </c>
    </row>
    <row r="232" spans="1:5" x14ac:dyDescent="0.3">
      <c r="A232" s="11" t="s">
        <v>479</v>
      </c>
      <c r="B232" s="323" t="str">
        <f>IF(DONNEES!E30&gt;=25000,DONNEES!$C$24,"")</f>
        <v/>
      </c>
      <c r="C232" s="525" t="str">
        <f>IF(DONNEES!$F$652="OUI",DONNEES!S104,"")</f>
        <v/>
      </c>
      <c r="D232" s="323" t="str">
        <f t="shared" si="18"/>
        <v xml:space="preserve"> </v>
      </c>
      <c r="E232" s="38">
        <f t="shared" si="19"/>
        <v>0</v>
      </c>
    </row>
    <row r="233" spans="1:5" x14ac:dyDescent="0.3">
      <c r="A233" s="11" t="s">
        <v>480</v>
      </c>
      <c r="B233" s="323" t="str">
        <f>IF(DONNEES!E31&gt;=25000,DONNEES!$C$24,"")</f>
        <v/>
      </c>
      <c r="C233" s="525" t="str">
        <f>IF(DONNEES!$F$772="OUI",DONNEES!S113,"")</f>
        <v/>
      </c>
      <c r="D233" s="323" t="str">
        <f t="shared" si="18"/>
        <v xml:space="preserve"> </v>
      </c>
      <c r="E233" s="38">
        <f t="shared" si="19"/>
        <v>0</v>
      </c>
    </row>
    <row r="234" spans="1:5" x14ac:dyDescent="0.3">
      <c r="A234" s="11" t="s">
        <v>319</v>
      </c>
      <c r="B234" s="191"/>
      <c r="C234" s="204"/>
      <c r="D234" s="191"/>
      <c r="E234" s="38">
        <f>IFERROR(SUM(E227:E233)*B227,0)</f>
        <v>0</v>
      </c>
    </row>
    <row r="235" spans="1:5" x14ac:dyDescent="0.3">
      <c r="A235" s="11" t="s">
        <v>337</v>
      </c>
      <c r="B235" s="191"/>
      <c r="C235" s="204"/>
      <c r="D235" s="191"/>
      <c r="E235" s="444">
        <v>0</v>
      </c>
    </row>
    <row r="236" spans="1:5" x14ac:dyDescent="0.3">
      <c r="A236" s="327" t="s">
        <v>320</v>
      </c>
      <c r="B236" s="328"/>
      <c r="C236" s="329"/>
      <c r="D236" s="328"/>
      <c r="E236" s="330">
        <f>IFERROR(SUM(E227:E233)+E234-E235,0)</f>
        <v>0</v>
      </c>
    </row>
    <row r="238" spans="1:5" x14ac:dyDescent="0.3">
      <c r="A238" s="662" t="s">
        <v>210</v>
      </c>
      <c r="B238" s="662"/>
      <c r="C238" s="662"/>
      <c r="D238" s="662"/>
      <c r="E238" s="662"/>
    </row>
    <row r="239" spans="1:5" x14ac:dyDescent="0.3">
      <c r="A239" s="661" t="str">
        <f>DONNEES!B11</f>
        <v>Cotraitant 6</v>
      </c>
      <c r="B239" s="661"/>
      <c r="C239" s="661"/>
      <c r="D239" s="661"/>
      <c r="E239" s="661"/>
    </row>
    <row r="240" spans="1:5" x14ac:dyDescent="0.3">
      <c r="A240" s="130"/>
      <c r="B240" s="130"/>
      <c r="C240" s="130"/>
      <c r="D240" s="130"/>
      <c r="E240" s="130"/>
    </row>
    <row r="241" spans="1:5" x14ac:dyDescent="0.3">
      <c r="A241" s="130" t="str">
        <f>"Vu le marché"&amp;" "&amp;DONNEES!C14&amp;" "&amp;"dont l'objet est"&amp;" "&amp;DONNEES!C4&amp;" "&amp;DONNEES!C2</f>
        <v xml:space="preserve">Vu le marché  dont l'objet est  </v>
      </c>
      <c r="B241" s="130"/>
      <c r="C241" s="130"/>
      <c r="D241" s="130"/>
      <c r="E241" s="130"/>
    </row>
    <row r="242" spans="1:5" x14ac:dyDescent="0.3">
      <c r="A242" s="130"/>
      <c r="B242" s="130"/>
      <c r="C242" s="130"/>
      <c r="D242" s="130"/>
      <c r="E242" s="130"/>
    </row>
    <row r="243" spans="1:5" x14ac:dyDescent="0.3">
      <c r="A243" s="130" t="str">
        <f>"Vu"&amp;" "&amp;DONNEES!E18&amp;" "&amp;"de l'acte d'engagement"</f>
        <v>Vu  de l'acte d'engagement</v>
      </c>
      <c r="B243" s="130"/>
      <c r="C243" s="130"/>
      <c r="D243" s="130"/>
      <c r="E243" s="130"/>
    </row>
    <row r="244" spans="1:5" x14ac:dyDescent="0.3">
      <c r="A244" s="130"/>
      <c r="B244" s="130"/>
      <c r="C244" s="130"/>
      <c r="D244" s="130"/>
      <c r="E244" s="130"/>
    </row>
    <row r="245" spans="1:5" x14ac:dyDescent="0.3">
      <c r="A245" s="130" t="s">
        <v>343</v>
      </c>
      <c r="B245" s="459">
        <f>DONNEES!C17</f>
        <v>0</v>
      </c>
      <c r="C245" s="130" t="s">
        <v>344</v>
      </c>
      <c r="D245" s="130"/>
      <c r="E245" s="130"/>
    </row>
    <row r="246" spans="1:5" x14ac:dyDescent="0.3">
      <c r="A246" s="130"/>
      <c r="B246" s="130"/>
      <c r="C246" s="130"/>
      <c r="D246" s="130"/>
      <c r="E246" s="130"/>
    </row>
    <row r="247" spans="1:5" x14ac:dyDescent="0.3">
      <c r="A247" s="130" t="str">
        <f>"Vu"&amp;" "&amp;DONNEES!F18&amp;" "&amp;"du cahier des charges prévoyant les taux d'avance"</f>
        <v>Vu  du cahier des charges prévoyant les taux d'avance</v>
      </c>
      <c r="B247" s="130"/>
      <c r="C247" s="130"/>
      <c r="D247" s="130"/>
      <c r="E247" s="130"/>
    </row>
    <row r="248" spans="1:5" x14ac:dyDescent="0.3">
      <c r="A248" s="130"/>
      <c r="B248" s="130"/>
      <c r="C248" s="130"/>
      <c r="D248" s="130"/>
      <c r="E248" s="130"/>
    </row>
    <row r="249" spans="1:5" x14ac:dyDescent="0.3">
      <c r="A249" s="130" t="str">
        <f>"Vu le(s) taux de TVA applicable(s) dans le marché :"</f>
        <v>Vu le(s) taux de TVA applicable(s) dans le marché :</v>
      </c>
      <c r="B249" s="130"/>
      <c r="C249" s="130"/>
      <c r="D249" s="130"/>
      <c r="E249" s="130"/>
    </row>
    <row r="250" spans="1:5" x14ac:dyDescent="0.3">
      <c r="A250" s="130"/>
      <c r="B250" s="130"/>
      <c r="C250" s="130"/>
      <c r="D250" s="130"/>
      <c r="E250" s="130"/>
    </row>
    <row r="251" spans="1:5" x14ac:dyDescent="0.3">
      <c r="A251" s="130"/>
      <c r="B251" s="130"/>
      <c r="C251" s="130"/>
      <c r="D251" s="130"/>
      <c r="E251" s="130"/>
    </row>
    <row r="252" spans="1:5" x14ac:dyDescent="0.3">
      <c r="A252" s="130" t="s">
        <v>261</v>
      </c>
      <c r="B252" s="130"/>
      <c r="C252" s="130"/>
      <c r="D252" s="130"/>
      <c r="E252" s="130"/>
    </row>
    <row r="253" spans="1:5" x14ac:dyDescent="0.3">
      <c r="A253" s="130"/>
      <c r="B253" s="130"/>
      <c r="C253" s="130"/>
      <c r="D253" s="130"/>
      <c r="E253" s="130"/>
    </row>
    <row r="254" spans="1:5" x14ac:dyDescent="0.3">
      <c r="A254" s="130"/>
      <c r="B254" s="130"/>
      <c r="C254" s="130"/>
      <c r="D254" s="130"/>
      <c r="E254" s="130"/>
    </row>
    <row r="255" spans="1:5" x14ac:dyDescent="0.3">
      <c r="A255" s="662" t="s">
        <v>262</v>
      </c>
      <c r="B255" s="662"/>
      <c r="C255" s="662"/>
      <c r="D255" s="662"/>
      <c r="E255" s="662"/>
    </row>
    <row r="256" spans="1:5" x14ac:dyDescent="0.3">
      <c r="A256" s="130"/>
      <c r="B256" s="130"/>
      <c r="C256" s="130"/>
      <c r="D256" s="130"/>
      <c r="E256" s="130"/>
    </row>
    <row r="257" spans="1:5" x14ac:dyDescent="0.3">
      <c r="A257" s="130" t="s">
        <v>318</v>
      </c>
      <c r="B257" s="130"/>
      <c r="C257" s="130"/>
      <c r="D257" s="325">
        <f>IFERROR(DONNEES!R60+DONNEES!R69+DONNEES!R78+DONNEES!R87+DONNEES!R96+DONNEES!R105+DONNEES!R114+DONNEES!S60+DONNEES!S69+DONNEES!S78+DONNEES!S87+DONNEES!S96+DONNEES!S105+DONNEES!S114,0)</f>
        <v>0</v>
      </c>
      <c r="E257" s="130"/>
    </row>
    <row r="258" spans="1:5" x14ac:dyDescent="0.3">
      <c r="A258" s="130" t="s">
        <v>341</v>
      </c>
      <c r="B258" s="130"/>
      <c r="C258" s="130"/>
      <c r="D258" s="463">
        <f>IFERROR(E271+E281,0)</f>
        <v>0</v>
      </c>
      <c r="E258" s="130"/>
    </row>
    <row r="259" spans="1:5" x14ac:dyDescent="0.3">
      <c r="A259" s="130" t="s">
        <v>263</v>
      </c>
      <c r="B259" s="130"/>
      <c r="C259" s="130"/>
      <c r="D259" s="326">
        <f>DONNEES!C11</f>
        <v>0</v>
      </c>
      <c r="E259" s="130"/>
    </row>
    <row r="260" spans="1:5" x14ac:dyDescent="0.3">
      <c r="A260" s="130" t="s">
        <v>321</v>
      </c>
      <c r="B260" s="130"/>
      <c r="C260" s="130"/>
      <c r="D260" s="331">
        <f>IFERROR(E282+E272-D258,0)</f>
        <v>0</v>
      </c>
      <c r="E260" s="130"/>
    </row>
    <row r="261" spans="1:5" x14ac:dyDescent="0.3">
      <c r="A261" s="130"/>
      <c r="B261" s="130"/>
      <c r="C261" s="130"/>
      <c r="D261" s="10"/>
      <c r="E261" s="130"/>
    </row>
    <row r="262" spans="1:5" x14ac:dyDescent="0.3">
      <c r="A262" s="10"/>
      <c r="B262" s="338" t="s">
        <v>235</v>
      </c>
      <c r="C262" s="338" t="s">
        <v>36</v>
      </c>
      <c r="D262" s="338" t="s">
        <v>272</v>
      </c>
      <c r="E262" s="338" t="s">
        <v>291</v>
      </c>
    </row>
    <row r="263" spans="1:5" x14ac:dyDescent="0.3">
      <c r="A263" s="11" t="s">
        <v>9</v>
      </c>
      <c r="B263" s="323">
        <f>IF(DONNEES!C25&gt;=25000,DONNEES!$C$24,"")</f>
        <v>0.2</v>
      </c>
      <c r="C263" s="525">
        <f>IF(DONNEES!$F$52="OUI",DONNEES!R60,"")</f>
        <v>0</v>
      </c>
      <c r="D263" s="323" t="str">
        <f>IF(AND($D$27&gt;=25000,$D$27&lt;=149999),"30%",IF(AND($D$27&gt;149999,$D$27&lt;=999999),"25%",IF($D$27&gt;999999,"20"%," ")))</f>
        <v xml:space="preserve"> </v>
      </c>
      <c r="E263" s="38">
        <f>IFERROR(IF($B$15&lt;=12,(C263*D263),C263*D263*(12/$B$15)),0)</f>
        <v>0</v>
      </c>
    </row>
    <row r="264" spans="1:5" x14ac:dyDescent="0.3">
      <c r="A264" s="11" t="s">
        <v>10</v>
      </c>
      <c r="B264" s="323" t="str">
        <f>IF(DONNEES!C26&gt;=25000,DONNEES!$C$24,"")</f>
        <v/>
      </c>
      <c r="C264" s="525" t="str">
        <f>IF(DONNEES!$F$172="OUI",DONNEES!R69,"")</f>
        <v/>
      </c>
      <c r="D264" s="323" t="str">
        <f t="shared" ref="D264:D269" si="20">IF(AND($D$27&gt;=25000,$D$27&lt;=149999),"30%",IF(AND($D$27&gt;149999,$D$27&lt;=999999),"25%",IF($D$27&gt;999999,"20"%," ")))</f>
        <v xml:space="preserve"> </v>
      </c>
      <c r="E264" s="38">
        <f t="shared" ref="E264:E269" si="21">IFERROR(IF($B$15&lt;=12,(C264*D264),C264*D264*(12/$B$15)),0)</f>
        <v>0</v>
      </c>
    </row>
    <row r="265" spans="1:5" x14ac:dyDescent="0.3">
      <c r="A265" s="11" t="s">
        <v>11</v>
      </c>
      <c r="B265" s="323" t="str">
        <f>IF(DONNEES!C27&gt;=25000,DONNEES!$C$24,"")</f>
        <v/>
      </c>
      <c r="C265" s="525" t="str">
        <f>IF(DONNEES!$F$292="OUI",DONNEES!R78,"")</f>
        <v/>
      </c>
      <c r="D265" s="323" t="str">
        <f t="shared" si="20"/>
        <v xml:space="preserve"> </v>
      </c>
      <c r="E265" s="38">
        <f t="shared" si="21"/>
        <v>0</v>
      </c>
    </row>
    <row r="266" spans="1:5" x14ac:dyDescent="0.3">
      <c r="A266" s="11" t="s">
        <v>12</v>
      </c>
      <c r="B266" s="323" t="str">
        <f>IF(DONNEES!C28&gt;=25000,DONNEES!$C$24,"")</f>
        <v/>
      </c>
      <c r="C266" s="525" t="str">
        <f>IF(DONNEES!$F$412="OUI",DONNEES!R87,"")</f>
        <v/>
      </c>
      <c r="D266" s="323" t="str">
        <f t="shared" si="20"/>
        <v xml:space="preserve"> </v>
      </c>
      <c r="E266" s="38">
        <f t="shared" si="21"/>
        <v>0</v>
      </c>
    </row>
    <row r="267" spans="1:5" x14ac:dyDescent="0.3">
      <c r="A267" s="11" t="s">
        <v>478</v>
      </c>
      <c r="B267" s="323" t="str">
        <f>IF(DONNEES!C29&gt;=25000,DONNEES!$C$24,"")</f>
        <v/>
      </c>
      <c r="C267" s="525" t="str">
        <f>IF(DONNEES!$F$532="OUI",DONNEES!R96,"")</f>
        <v/>
      </c>
      <c r="D267" s="323" t="str">
        <f t="shared" si="20"/>
        <v xml:space="preserve"> </v>
      </c>
      <c r="E267" s="38">
        <f t="shared" si="21"/>
        <v>0</v>
      </c>
    </row>
    <row r="268" spans="1:5" x14ac:dyDescent="0.3">
      <c r="A268" s="11" t="s">
        <v>479</v>
      </c>
      <c r="B268" s="323" t="str">
        <f>IF(DONNEES!C30&gt;=25000,DONNEES!$C$24,"")</f>
        <v/>
      </c>
      <c r="C268" s="525" t="str">
        <f>IF(DONNEES!$F$652="OUI",DONNEES!R105,"")</f>
        <v/>
      </c>
      <c r="D268" s="323" t="str">
        <f t="shared" si="20"/>
        <v xml:space="preserve"> </v>
      </c>
      <c r="E268" s="38">
        <f t="shared" si="21"/>
        <v>0</v>
      </c>
    </row>
    <row r="269" spans="1:5" x14ac:dyDescent="0.3">
      <c r="A269" s="11" t="s">
        <v>480</v>
      </c>
      <c r="B269" s="323" t="str">
        <f>IF(DONNEES!C31&gt;=25000,DONNEES!$C$24,"")</f>
        <v/>
      </c>
      <c r="C269" s="525" t="str">
        <f>IF(DONNEES!$F$772="OUI",DONNEES!R114,"")</f>
        <v/>
      </c>
      <c r="D269" s="323" t="str">
        <f t="shared" si="20"/>
        <v xml:space="preserve"> </v>
      </c>
      <c r="E269" s="38">
        <f t="shared" si="21"/>
        <v>0</v>
      </c>
    </row>
    <row r="270" spans="1:5" x14ac:dyDescent="0.3">
      <c r="A270" s="11" t="s">
        <v>319</v>
      </c>
      <c r="B270" s="191"/>
      <c r="C270" s="204"/>
      <c r="D270" s="204"/>
      <c r="E270" s="38">
        <f>IFERROR(SUM(E263:E269)*B263,0)</f>
        <v>0</v>
      </c>
    </row>
    <row r="271" spans="1:5" x14ac:dyDescent="0.3">
      <c r="A271" s="11" t="s">
        <v>337</v>
      </c>
      <c r="B271" s="191"/>
      <c r="C271" s="204"/>
      <c r="D271" s="204"/>
      <c r="E271" s="444">
        <v>0</v>
      </c>
    </row>
    <row r="272" spans="1:5" x14ac:dyDescent="0.3">
      <c r="A272" s="327" t="s">
        <v>320</v>
      </c>
      <c r="B272" s="328"/>
      <c r="C272" s="329"/>
      <c r="D272" s="329"/>
      <c r="E272" s="330">
        <f>IFERROR(SUM(E263:E269)+E270-E271,0)</f>
        <v>0</v>
      </c>
    </row>
    <row r="273" spans="1:5" x14ac:dyDescent="0.3">
      <c r="A273" s="11" t="s">
        <v>9</v>
      </c>
      <c r="B273" s="323" t="str">
        <f>IF(DONNEES!E25&gt;=25000,DONNEES!$C$24,"")</f>
        <v/>
      </c>
      <c r="C273" s="525">
        <f>IF(DONNEES!$F$52="OUI",DONNEES!S60,"")</f>
        <v>0</v>
      </c>
      <c r="D273" s="323" t="str">
        <f t="shared" ref="D273:D279" si="22">IF(AND($D$27&gt;=25000,$D$27&lt;=149999),"30%",IF(AND($D$27&gt;149999,$D$27&lt;=999999),"25%",IF($D$27&gt;999999,"20"%," ")))</f>
        <v xml:space="preserve"> </v>
      </c>
      <c r="E273" s="38">
        <f t="shared" ref="E273:E279" si="23">IFERROR(IF($B$15&lt;=12,(C273*D273),C273*D273*(12/$B$15)),0)</f>
        <v>0</v>
      </c>
    </row>
    <row r="274" spans="1:5" x14ac:dyDescent="0.3">
      <c r="A274" s="11" t="s">
        <v>10</v>
      </c>
      <c r="B274" s="323" t="str">
        <f>IF(DONNEES!E26&gt;=25000,DONNEES!$C$24,"")</f>
        <v/>
      </c>
      <c r="C274" s="525" t="str">
        <f>IF(DONNEES!$F$172="OUI",DONNEES!S69,"")</f>
        <v/>
      </c>
      <c r="D274" s="323" t="str">
        <f t="shared" si="22"/>
        <v xml:space="preserve"> </v>
      </c>
      <c r="E274" s="38">
        <f t="shared" si="23"/>
        <v>0</v>
      </c>
    </row>
    <row r="275" spans="1:5" x14ac:dyDescent="0.3">
      <c r="A275" s="11" t="s">
        <v>11</v>
      </c>
      <c r="B275" s="323" t="str">
        <f>IF(DONNEES!E27&gt;=25000,DONNEES!$C$24,"")</f>
        <v/>
      </c>
      <c r="C275" s="525" t="str">
        <f>IF(DONNEES!$F$292="OUI",DONNEES!S78,"")</f>
        <v/>
      </c>
      <c r="D275" s="323" t="str">
        <f t="shared" si="22"/>
        <v xml:space="preserve"> </v>
      </c>
      <c r="E275" s="38">
        <f t="shared" si="23"/>
        <v>0</v>
      </c>
    </row>
    <row r="276" spans="1:5" x14ac:dyDescent="0.3">
      <c r="A276" s="11" t="s">
        <v>12</v>
      </c>
      <c r="B276" s="323" t="str">
        <f>IF(DONNEES!E28&gt;=25000,DONNEES!$C$24,"")</f>
        <v/>
      </c>
      <c r="C276" s="525" t="str">
        <f>IF(DONNEES!$F$412="OUI",DONNEES!S87,"")</f>
        <v/>
      </c>
      <c r="D276" s="323" t="str">
        <f t="shared" si="22"/>
        <v xml:space="preserve"> </v>
      </c>
      <c r="E276" s="38">
        <f t="shared" si="23"/>
        <v>0</v>
      </c>
    </row>
    <row r="277" spans="1:5" x14ac:dyDescent="0.3">
      <c r="A277" s="11" t="s">
        <v>478</v>
      </c>
      <c r="B277" s="323" t="str">
        <f>IF(DONNEES!E29&gt;=25000,DONNEES!$C$24,"")</f>
        <v/>
      </c>
      <c r="C277" s="525" t="str">
        <f>IF(DONNEES!$F$532="OUI",DONNEES!S96,"")</f>
        <v/>
      </c>
      <c r="D277" s="323" t="str">
        <f t="shared" si="22"/>
        <v xml:space="preserve"> </v>
      </c>
      <c r="E277" s="38">
        <f t="shared" si="23"/>
        <v>0</v>
      </c>
    </row>
    <row r="278" spans="1:5" x14ac:dyDescent="0.3">
      <c r="A278" s="11" t="s">
        <v>479</v>
      </c>
      <c r="B278" s="323" t="str">
        <f>IF(DONNEES!E30&gt;=25000,DONNEES!$C$24,"")</f>
        <v/>
      </c>
      <c r="C278" s="525" t="str">
        <f>IF(DONNEES!$F$652="OUI",DONNEES!S105,"")</f>
        <v/>
      </c>
      <c r="D278" s="323" t="str">
        <f t="shared" si="22"/>
        <v xml:space="preserve"> </v>
      </c>
      <c r="E278" s="38">
        <f t="shared" si="23"/>
        <v>0</v>
      </c>
    </row>
    <row r="279" spans="1:5" x14ac:dyDescent="0.3">
      <c r="A279" s="11" t="s">
        <v>480</v>
      </c>
      <c r="B279" s="323" t="str">
        <f>IF(DONNEES!E31&gt;=25000,DONNEES!$C$24,"")</f>
        <v/>
      </c>
      <c r="C279" s="525" t="str">
        <f>IF(DONNEES!$F$772="OUI",DONNEES!S114,"")</f>
        <v/>
      </c>
      <c r="D279" s="323" t="str">
        <f t="shared" si="22"/>
        <v xml:space="preserve"> </v>
      </c>
      <c r="E279" s="38">
        <f t="shared" si="23"/>
        <v>0</v>
      </c>
    </row>
    <row r="280" spans="1:5" x14ac:dyDescent="0.3">
      <c r="A280" s="11" t="s">
        <v>319</v>
      </c>
      <c r="B280" s="191"/>
      <c r="C280" s="204"/>
      <c r="D280" s="191"/>
      <c r="E280" s="38">
        <f>IFERROR(SUM(E273:E279)*B273,0)</f>
        <v>0</v>
      </c>
    </row>
    <row r="281" spans="1:5" x14ac:dyDescent="0.3">
      <c r="A281" s="11" t="s">
        <v>337</v>
      </c>
      <c r="B281" s="191"/>
      <c r="C281" s="204"/>
      <c r="D281" s="191"/>
      <c r="E281" s="444">
        <v>0</v>
      </c>
    </row>
    <row r="282" spans="1:5" x14ac:dyDescent="0.3">
      <c r="A282" s="327" t="s">
        <v>320</v>
      </c>
      <c r="B282" s="328"/>
      <c r="C282" s="329"/>
      <c r="D282" s="328"/>
      <c r="E282" s="330">
        <f>IFERROR(SUM(E273:E279)+E280-E281,0)</f>
        <v>0</v>
      </c>
    </row>
    <row r="284" spans="1:5" x14ac:dyDescent="0.3">
      <c r="A284" s="662" t="s">
        <v>210</v>
      </c>
      <c r="B284" s="662"/>
      <c r="C284" s="662"/>
      <c r="D284" s="662"/>
      <c r="E284" s="662"/>
    </row>
    <row r="285" spans="1:5" x14ac:dyDescent="0.3">
      <c r="A285" s="661" t="str">
        <f>DONNEES!B12</f>
        <v>Cotraitant 7</v>
      </c>
      <c r="B285" s="661"/>
      <c r="C285" s="661"/>
      <c r="D285" s="661"/>
      <c r="E285" s="661"/>
    </row>
    <row r="286" spans="1:5" x14ac:dyDescent="0.3">
      <c r="A286" s="130"/>
      <c r="B286" s="130"/>
      <c r="C286" s="130"/>
      <c r="D286" s="130"/>
      <c r="E286" s="130"/>
    </row>
    <row r="287" spans="1:5" x14ac:dyDescent="0.3">
      <c r="A287" s="130" t="str">
        <f>"Vu le marché"&amp;" "&amp;DONNEES!C14&amp;" "&amp;"dont l'objet est"&amp;" "&amp;DONNEES!C12&amp;" "&amp;DONNEES!C2</f>
        <v xml:space="preserve">Vu le marché  dont l'objet est  </v>
      </c>
      <c r="B287" s="130"/>
      <c r="C287" s="130"/>
      <c r="D287" s="130"/>
      <c r="E287" s="130"/>
    </row>
    <row r="288" spans="1:5" x14ac:dyDescent="0.3">
      <c r="A288" s="130"/>
      <c r="B288" s="130"/>
      <c r="C288" s="130"/>
      <c r="D288" s="130"/>
      <c r="E288" s="130"/>
    </row>
    <row r="289" spans="1:5" x14ac:dyDescent="0.3">
      <c r="A289" s="130" t="str">
        <f>"Vu"&amp;" "&amp;DONNEES!E18&amp;" "&amp;"de l'acte d'engagement"</f>
        <v>Vu  de l'acte d'engagement</v>
      </c>
      <c r="B289" s="130"/>
      <c r="C289" s="130"/>
      <c r="D289" s="130"/>
      <c r="E289" s="130"/>
    </row>
    <row r="290" spans="1:5" x14ac:dyDescent="0.3">
      <c r="A290" s="130"/>
      <c r="B290" s="130"/>
      <c r="C290" s="130"/>
      <c r="D290" s="130"/>
      <c r="E290" s="130"/>
    </row>
    <row r="291" spans="1:5" x14ac:dyDescent="0.3">
      <c r="A291" s="130" t="s">
        <v>343</v>
      </c>
      <c r="B291" s="459">
        <f>DONNEES!C17</f>
        <v>0</v>
      </c>
      <c r="C291" s="130" t="s">
        <v>344</v>
      </c>
      <c r="D291" s="130"/>
      <c r="E291" s="130"/>
    </row>
    <row r="292" spans="1:5" x14ac:dyDescent="0.3">
      <c r="A292" s="130"/>
      <c r="B292" s="130"/>
      <c r="C292" s="130"/>
      <c r="D292" s="130"/>
      <c r="E292" s="130"/>
    </row>
    <row r="293" spans="1:5" x14ac:dyDescent="0.3">
      <c r="A293" s="130" t="str">
        <f>"Vu"&amp;" "&amp;DONNEES!F18&amp;" "&amp;"du cahier des charges prévoyant les taux d'avance"</f>
        <v>Vu  du cahier des charges prévoyant les taux d'avance</v>
      </c>
      <c r="B293" s="130"/>
      <c r="C293" s="130"/>
      <c r="D293" s="130"/>
      <c r="E293" s="130"/>
    </row>
    <row r="294" spans="1:5" x14ac:dyDescent="0.3">
      <c r="A294" s="130"/>
      <c r="B294" s="130"/>
      <c r="C294" s="130"/>
      <c r="D294" s="130"/>
      <c r="E294" s="130"/>
    </row>
    <row r="295" spans="1:5" x14ac:dyDescent="0.3">
      <c r="A295" s="130" t="str">
        <f>"Vu le(s) taux de TVA applicable(s) dans le marché :"</f>
        <v>Vu le(s) taux de TVA applicable(s) dans le marché :</v>
      </c>
      <c r="B295" s="130"/>
      <c r="C295" s="130"/>
      <c r="D295" s="130"/>
      <c r="E295" s="130"/>
    </row>
    <row r="296" spans="1:5" x14ac:dyDescent="0.3">
      <c r="A296" s="130"/>
      <c r="B296" s="130"/>
      <c r="C296" s="130"/>
      <c r="D296" s="130"/>
      <c r="E296" s="130"/>
    </row>
    <row r="297" spans="1:5" x14ac:dyDescent="0.3">
      <c r="A297" s="130"/>
      <c r="B297" s="130"/>
      <c r="C297" s="130"/>
      <c r="D297" s="130"/>
      <c r="E297" s="130"/>
    </row>
    <row r="298" spans="1:5" x14ac:dyDescent="0.3">
      <c r="A298" s="130" t="s">
        <v>261</v>
      </c>
      <c r="B298" s="130"/>
      <c r="C298" s="130"/>
      <c r="D298" s="130"/>
      <c r="E298" s="130"/>
    </row>
    <row r="299" spans="1:5" x14ac:dyDescent="0.3">
      <c r="A299" s="130"/>
      <c r="B299" s="130"/>
      <c r="C299" s="130"/>
      <c r="D299" s="130"/>
      <c r="E299" s="130"/>
    </row>
    <row r="300" spans="1:5" x14ac:dyDescent="0.3">
      <c r="A300" s="130"/>
      <c r="B300" s="130"/>
      <c r="C300" s="130"/>
      <c r="D300" s="130"/>
      <c r="E300" s="130"/>
    </row>
    <row r="301" spans="1:5" x14ac:dyDescent="0.3">
      <c r="A301" s="662" t="s">
        <v>262</v>
      </c>
      <c r="B301" s="662"/>
      <c r="C301" s="662"/>
      <c r="D301" s="662"/>
      <c r="E301" s="662"/>
    </row>
    <row r="302" spans="1:5" x14ac:dyDescent="0.3">
      <c r="A302" s="130"/>
      <c r="B302" s="130"/>
      <c r="C302" s="130"/>
      <c r="D302" s="130"/>
      <c r="E302" s="130"/>
    </row>
    <row r="303" spans="1:5" x14ac:dyDescent="0.3">
      <c r="A303" s="130" t="s">
        <v>318</v>
      </c>
      <c r="B303" s="130"/>
      <c r="C303" s="130"/>
      <c r="D303" s="325">
        <f>IFERROR(DONNEES!R61+DONNEES!R70+DONNEES!R79+DONNEES!R88+DONNEES!R97+DONNEES!R106+DONNEES!R115+DONNEES!S61+DONNEES!S70+DONNEES!S79+DONNEES!S88+DONNEES!S97+DONNEES!S106+DONNEES!S115,0)</f>
        <v>0</v>
      </c>
      <c r="E303" s="130"/>
    </row>
    <row r="304" spans="1:5" x14ac:dyDescent="0.3">
      <c r="A304" s="130" t="s">
        <v>341</v>
      </c>
      <c r="B304" s="130"/>
      <c r="C304" s="130"/>
      <c r="D304" s="463">
        <f>IFERROR(E317+E327,0)</f>
        <v>0</v>
      </c>
      <c r="E304" s="130"/>
    </row>
    <row r="305" spans="1:5" x14ac:dyDescent="0.3">
      <c r="A305" s="130" t="s">
        <v>263</v>
      </c>
      <c r="B305" s="130"/>
      <c r="C305" s="130"/>
      <c r="D305" s="326">
        <f>DONNEES!C12</f>
        <v>0</v>
      </c>
      <c r="E305" s="130"/>
    </row>
    <row r="306" spans="1:5" x14ac:dyDescent="0.3">
      <c r="A306" s="130" t="s">
        <v>321</v>
      </c>
      <c r="B306" s="130"/>
      <c r="C306" s="130"/>
      <c r="D306" s="331">
        <f>IFERROR(E328+E318-D304,0)</f>
        <v>0</v>
      </c>
      <c r="E306" s="130"/>
    </row>
    <row r="307" spans="1:5" x14ac:dyDescent="0.3">
      <c r="A307" s="130"/>
      <c r="B307" s="130"/>
      <c r="C307" s="130"/>
      <c r="D307" s="10"/>
      <c r="E307" s="130"/>
    </row>
    <row r="308" spans="1:5" x14ac:dyDescent="0.3">
      <c r="A308" s="10"/>
      <c r="B308" s="338" t="s">
        <v>235</v>
      </c>
      <c r="C308" s="338" t="s">
        <v>36</v>
      </c>
      <c r="D308" s="338" t="s">
        <v>272</v>
      </c>
      <c r="E308" s="338" t="s">
        <v>291</v>
      </c>
    </row>
    <row r="309" spans="1:5" x14ac:dyDescent="0.3">
      <c r="A309" s="11" t="s">
        <v>9</v>
      </c>
      <c r="B309" s="323">
        <f>IF(DONNEES!C25&gt;=25000,DONNEES!$C$24,"")</f>
        <v>0.2</v>
      </c>
      <c r="C309" s="525">
        <f>IF(DONNEES!$F$52="OUI",DONNEES!R61,"")</f>
        <v>0</v>
      </c>
      <c r="D309" s="323" t="str">
        <f>IF(AND($D$27&gt;=25000,$D$27&lt;=149999),"30%",IF(AND($D$27&gt;149999,$D$27&lt;=999999),"25%",IF($D$27&gt;999999,"20"%," ")))</f>
        <v xml:space="preserve"> </v>
      </c>
      <c r="E309" s="38">
        <f>IFERROR(IF($B$15&lt;=12,(C309*D309),C309*D309*(12/$B$15)),0)</f>
        <v>0</v>
      </c>
    </row>
    <row r="310" spans="1:5" x14ac:dyDescent="0.3">
      <c r="A310" s="11" t="s">
        <v>10</v>
      </c>
      <c r="B310" s="323" t="str">
        <f>IF(DONNEES!C26&gt;=25000,DONNEES!$C$24,"")</f>
        <v/>
      </c>
      <c r="C310" s="525" t="str">
        <f>IF(DONNEES!$F$172="OUI",DONNEES!R70,"")</f>
        <v/>
      </c>
      <c r="D310" s="323" t="str">
        <f t="shared" ref="D310:D315" si="24">IF(AND($D$27&gt;=25000,$D$27&lt;=149999),"30%",IF(AND($D$27&gt;149999,$D$27&lt;=999999),"25%",IF($D$27&gt;999999,"20"%," ")))</f>
        <v xml:space="preserve"> </v>
      </c>
      <c r="E310" s="38">
        <f t="shared" ref="E310:E315" si="25">IFERROR(IF($B$15&lt;=12,(C310*D310),C310*D310*(12/$B$15)),0)</f>
        <v>0</v>
      </c>
    </row>
    <row r="311" spans="1:5" x14ac:dyDescent="0.3">
      <c r="A311" s="11" t="s">
        <v>11</v>
      </c>
      <c r="B311" s="323" t="str">
        <f>IF(DONNEES!C27&gt;=25000,DONNEES!$C$24,"")</f>
        <v/>
      </c>
      <c r="C311" s="525" t="str">
        <f>IF(DONNEES!$F$292="OUI",DONNEES!R79,"")</f>
        <v/>
      </c>
      <c r="D311" s="323" t="str">
        <f t="shared" si="24"/>
        <v xml:space="preserve"> </v>
      </c>
      <c r="E311" s="38">
        <f t="shared" si="25"/>
        <v>0</v>
      </c>
    </row>
    <row r="312" spans="1:5" x14ac:dyDescent="0.3">
      <c r="A312" s="11" t="s">
        <v>12</v>
      </c>
      <c r="B312" s="323" t="str">
        <f>IF(DONNEES!C28&gt;=25000,DONNEES!$C$24,"")</f>
        <v/>
      </c>
      <c r="C312" s="525" t="str">
        <f>IF(DONNEES!$F$412="OUI",DONNEES!R88,"")</f>
        <v/>
      </c>
      <c r="D312" s="323" t="str">
        <f t="shared" si="24"/>
        <v xml:space="preserve"> </v>
      </c>
      <c r="E312" s="38">
        <f t="shared" si="25"/>
        <v>0</v>
      </c>
    </row>
    <row r="313" spans="1:5" x14ac:dyDescent="0.3">
      <c r="A313" s="11" t="s">
        <v>478</v>
      </c>
      <c r="B313" s="323" t="str">
        <f>IF(DONNEES!C29&gt;=25000,DONNEES!$C$24,"")</f>
        <v/>
      </c>
      <c r="C313" s="525" t="str">
        <f>IF(DONNEES!$F$532="OUI",DONNEES!R97,"")</f>
        <v/>
      </c>
      <c r="D313" s="323" t="str">
        <f t="shared" si="24"/>
        <v xml:space="preserve"> </v>
      </c>
      <c r="E313" s="38">
        <f t="shared" si="25"/>
        <v>0</v>
      </c>
    </row>
    <row r="314" spans="1:5" x14ac:dyDescent="0.3">
      <c r="A314" s="11" t="s">
        <v>479</v>
      </c>
      <c r="B314" s="323" t="str">
        <f>IF(DONNEES!C30&gt;=25000,DONNEES!$C$24,"")</f>
        <v/>
      </c>
      <c r="C314" s="525" t="str">
        <f>IF(DONNEES!$F$652="OUI",DONNEES!R106,"")</f>
        <v/>
      </c>
      <c r="D314" s="323" t="str">
        <f t="shared" si="24"/>
        <v xml:space="preserve"> </v>
      </c>
      <c r="E314" s="38">
        <f t="shared" si="25"/>
        <v>0</v>
      </c>
    </row>
    <row r="315" spans="1:5" x14ac:dyDescent="0.3">
      <c r="A315" s="11" t="s">
        <v>480</v>
      </c>
      <c r="B315" s="323" t="str">
        <f>IF(DONNEES!C31&gt;=25000,DONNEES!$C$24,"")</f>
        <v/>
      </c>
      <c r="C315" s="525" t="str">
        <f>IF(DONNEES!$F$772="OUI",DONNEES!R115,"")</f>
        <v/>
      </c>
      <c r="D315" s="323" t="str">
        <f t="shared" si="24"/>
        <v xml:space="preserve"> </v>
      </c>
      <c r="E315" s="38">
        <f t="shared" si="25"/>
        <v>0</v>
      </c>
    </row>
    <row r="316" spans="1:5" x14ac:dyDescent="0.3">
      <c r="A316" s="11" t="s">
        <v>319</v>
      </c>
      <c r="B316" s="191"/>
      <c r="C316" s="204"/>
      <c r="D316" s="204"/>
      <c r="E316" s="38">
        <f>IFERROR(SUM(E309:E315)*B309,0)</f>
        <v>0</v>
      </c>
    </row>
    <row r="317" spans="1:5" x14ac:dyDescent="0.3">
      <c r="A317" s="11" t="s">
        <v>337</v>
      </c>
      <c r="B317" s="191"/>
      <c r="C317" s="204"/>
      <c r="D317" s="204"/>
      <c r="E317" s="444">
        <v>0</v>
      </c>
    </row>
    <row r="318" spans="1:5" x14ac:dyDescent="0.3">
      <c r="A318" s="327" t="s">
        <v>320</v>
      </c>
      <c r="B318" s="328"/>
      <c r="C318" s="329"/>
      <c r="D318" s="329"/>
      <c r="E318" s="330">
        <f>IFERROR(SUM(E309:E315)+E316-E317,0)</f>
        <v>0</v>
      </c>
    </row>
    <row r="319" spans="1:5" x14ac:dyDescent="0.3">
      <c r="A319" s="11" t="s">
        <v>9</v>
      </c>
      <c r="B319" s="323" t="str">
        <f>IF(DONNEES!E25&gt;=25000,DONNEES!$C$24,"")</f>
        <v/>
      </c>
      <c r="C319" s="525">
        <f>IF(DONNEES!$F$52="OUI",DONNEES!S61,"")</f>
        <v>0</v>
      </c>
      <c r="D319" s="323" t="str">
        <f t="shared" ref="D319:D325" si="26">IF(AND($D$27&gt;=25000,$D$27&lt;=149999),"30%",IF(AND($D$27&gt;149999,$D$27&lt;=999999),"25%",IF($D$27&gt;999999,"20"%," ")))</f>
        <v xml:space="preserve"> </v>
      </c>
      <c r="E319" s="38">
        <f t="shared" ref="E319:E325" si="27">IFERROR(IF($B$15&lt;=12,(C319*D319),C319*D319*(12/$B$15)),0)</f>
        <v>0</v>
      </c>
    </row>
    <row r="320" spans="1:5" x14ac:dyDescent="0.3">
      <c r="A320" s="11" t="s">
        <v>10</v>
      </c>
      <c r="B320" s="323" t="str">
        <f>IF(DONNEES!E26&gt;=25000,DONNEES!$C$24,"")</f>
        <v/>
      </c>
      <c r="C320" s="525" t="str">
        <f>IF(DONNEES!$F$172="OUI",DONNEES!S70,"")</f>
        <v/>
      </c>
      <c r="D320" s="323" t="str">
        <f t="shared" si="26"/>
        <v xml:space="preserve"> </v>
      </c>
      <c r="E320" s="38">
        <f t="shared" si="27"/>
        <v>0</v>
      </c>
    </row>
    <row r="321" spans="1:5" x14ac:dyDescent="0.3">
      <c r="A321" s="11" t="s">
        <v>11</v>
      </c>
      <c r="B321" s="323" t="str">
        <f>IF(DONNEES!E27&gt;=25000,DONNEES!$C$24,"")</f>
        <v/>
      </c>
      <c r="C321" s="525" t="str">
        <f>IF(DONNEES!$F$292="OUI",DONNEES!S79,"")</f>
        <v/>
      </c>
      <c r="D321" s="323" t="str">
        <f t="shared" si="26"/>
        <v xml:space="preserve"> </v>
      </c>
      <c r="E321" s="38">
        <f t="shared" si="27"/>
        <v>0</v>
      </c>
    </row>
    <row r="322" spans="1:5" x14ac:dyDescent="0.3">
      <c r="A322" s="11" t="s">
        <v>12</v>
      </c>
      <c r="B322" s="323" t="str">
        <f>IF(DONNEES!E28&gt;=25000,DONNEES!$C$24,"")</f>
        <v/>
      </c>
      <c r="C322" s="525" t="str">
        <f>IF(DONNEES!$F$412="OUI",DONNEES!S88,"")</f>
        <v/>
      </c>
      <c r="D322" s="323" t="str">
        <f t="shared" si="26"/>
        <v xml:space="preserve"> </v>
      </c>
      <c r="E322" s="38">
        <f t="shared" si="27"/>
        <v>0</v>
      </c>
    </row>
    <row r="323" spans="1:5" x14ac:dyDescent="0.3">
      <c r="A323" s="11" t="s">
        <v>478</v>
      </c>
      <c r="B323" s="323" t="str">
        <f>IF(DONNEES!E29&gt;=25000,DONNEES!$C$24,"")</f>
        <v/>
      </c>
      <c r="C323" s="525" t="str">
        <f>IF(DONNEES!$F$532="OUI",DONNEES!S97,"")</f>
        <v/>
      </c>
      <c r="D323" s="323" t="str">
        <f t="shared" si="26"/>
        <v xml:space="preserve"> </v>
      </c>
      <c r="E323" s="38">
        <f t="shared" si="27"/>
        <v>0</v>
      </c>
    </row>
    <row r="324" spans="1:5" x14ac:dyDescent="0.3">
      <c r="A324" s="11" t="s">
        <v>479</v>
      </c>
      <c r="B324" s="323" t="str">
        <f>IF(DONNEES!E30&gt;=25000,DONNEES!$C$24,"")</f>
        <v/>
      </c>
      <c r="C324" s="525" t="str">
        <f>IF(DONNEES!$F$652="OUI",DONNEES!S106,"")</f>
        <v/>
      </c>
      <c r="D324" s="323" t="str">
        <f t="shared" si="26"/>
        <v xml:space="preserve"> </v>
      </c>
      <c r="E324" s="38">
        <f t="shared" si="27"/>
        <v>0</v>
      </c>
    </row>
    <row r="325" spans="1:5" x14ac:dyDescent="0.3">
      <c r="A325" s="11" t="s">
        <v>480</v>
      </c>
      <c r="B325" s="323" t="str">
        <f>IF(DONNEES!E31&gt;=25000,DONNEES!$C$24,"")</f>
        <v/>
      </c>
      <c r="C325" s="525" t="str">
        <f>IF(DONNEES!$F$772="OUI",DONNEES!S115,"")</f>
        <v/>
      </c>
      <c r="D325" s="323" t="str">
        <f t="shared" si="26"/>
        <v xml:space="preserve"> </v>
      </c>
      <c r="E325" s="38">
        <f t="shared" si="27"/>
        <v>0</v>
      </c>
    </row>
    <row r="326" spans="1:5" x14ac:dyDescent="0.3">
      <c r="A326" s="11" t="s">
        <v>319</v>
      </c>
      <c r="B326" s="191"/>
      <c r="C326" s="204"/>
      <c r="D326" s="191"/>
      <c r="E326" s="38">
        <f>IFERROR(SUM(E319:E325)*B319,0)</f>
        <v>0</v>
      </c>
    </row>
    <row r="327" spans="1:5" x14ac:dyDescent="0.3">
      <c r="A327" s="11" t="s">
        <v>337</v>
      </c>
      <c r="B327" s="191"/>
      <c r="C327" s="204"/>
      <c r="D327" s="191"/>
      <c r="E327" s="444">
        <v>0</v>
      </c>
    </row>
    <row r="328" spans="1:5" x14ac:dyDescent="0.3">
      <c r="A328" s="327" t="s">
        <v>320</v>
      </c>
      <c r="B328" s="328"/>
      <c r="C328" s="329"/>
      <c r="D328" s="328"/>
      <c r="E328" s="330">
        <f>IFERROR(SUM(E319:E325)+E326-E327,0)</f>
        <v>0</v>
      </c>
    </row>
    <row r="330" spans="1:5" x14ac:dyDescent="0.3">
      <c r="A330" s="662" t="s">
        <v>210</v>
      </c>
      <c r="B330" s="662"/>
      <c r="C330" s="662"/>
      <c r="D330" s="662"/>
      <c r="E330" s="662"/>
    </row>
    <row r="331" spans="1:5" x14ac:dyDescent="0.3">
      <c r="A331" s="661" t="str">
        <f>DONNEES!B13</f>
        <v>Cotraitant 8</v>
      </c>
      <c r="B331" s="661"/>
      <c r="C331" s="661"/>
      <c r="D331" s="661"/>
      <c r="E331" s="661"/>
    </row>
    <row r="332" spans="1:5" x14ac:dyDescent="0.3">
      <c r="A332" s="130"/>
      <c r="B332" s="130"/>
      <c r="C332" s="130"/>
      <c r="D332" s="130"/>
      <c r="E332" s="130"/>
    </row>
    <row r="333" spans="1:5" x14ac:dyDescent="0.3">
      <c r="A333" s="130" t="str">
        <f>"Vu le marché"&amp;" "&amp;DONNEES!C14&amp;" "&amp;"dont l'objet est"&amp;" "&amp;DONNEES!C4&amp;" "&amp;DONNEES!C2</f>
        <v xml:space="preserve">Vu le marché  dont l'objet est  </v>
      </c>
      <c r="B333" s="130"/>
      <c r="C333" s="130"/>
      <c r="D333" s="130"/>
      <c r="E333" s="130"/>
    </row>
    <row r="334" spans="1:5" x14ac:dyDescent="0.3">
      <c r="A334" s="130"/>
      <c r="B334" s="130"/>
      <c r="C334" s="130"/>
      <c r="D334" s="130"/>
      <c r="E334" s="130"/>
    </row>
    <row r="335" spans="1:5" x14ac:dyDescent="0.3">
      <c r="A335" s="130" t="str">
        <f>"Vu"&amp;" "&amp;DONNEES!E18&amp;" "&amp;"de l'acte d'engagement"</f>
        <v>Vu  de l'acte d'engagement</v>
      </c>
      <c r="B335" s="130"/>
      <c r="C335" s="130"/>
      <c r="D335" s="130"/>
      <c r="E335" s="130"/>
    </row>
    <row r="336" spans="1:5" x14ac:dyDescent="0.3">
      <c r="A336" s="130"/>
      <c r="B336" s="130"/>
      <c r="C336" s="130"/>
      <c r="D336" s="130"/>
      <c r="E336" s="130"/>
    </row>
    <row r="337" spans="1:5" x14ac:dyDescent="0.3">
      <c r="A337" s="130" t="s">
        <v>343</v>
      </c>
      <c r="B337" s="459">
        <f>DONNEES!C17</f>
        <v>0</v>
      </c>
      <c r="C337" s="130" t="s">
        <v>344</v>
      </c>
      <c r="D337" s="130"/>
      <c r="E337" s="130"/>
    </row>
    <row r="338" spans="1:5" x14ac:dyDescent="0.3">
      <c r="A338" s="130"/>
      <c r="B338" s="130"/>
      <c r="C338" s="130"/>
      <c r="D338" s="130"/>
      <c r="E338" s="130"/>
    </row>
    <row r="339" spans="1:5" x14ac:dyDescent="0.3">
      <c r="A339" s="130" t="str">
        <f>"Vu"&amp;" "&amp;DONNEES!F18&amp;" "&amp;"du cahier des charges prévoyant les taux d'avance"</f>
        <v>Vu  du cahier des charges prévoyant les taux d'avance</v>
      </c>
      <c r="B339" s="130"/>
      <c r="C339" s="130"/>
      <c r="D339" s="130"/>
      <c r="E339" s="130"/>
    </row>
    <row r="340" spans="1:5" x14ac:dyDescent="0.3">
      <c r="A340" s="130"/>
      <c r="B340" s="130"/>
      <c r="C340" s="130"/>
      <c r="D340" s="130"/>
      <c r="E340" s="130"/>
    </row>
    <row r="341" spans="1:5" x14ac:dyDescent="0.3">
      <c r="A341" s="130" t="str">
        <f>"Vu le(s) taux de TVA applicable(s) dans le marché :"</f>
        <v>Vu le(s) taux de TVA applicable(s) dans le marché :</v>
      </c>
      <c r="B341" s="130"/>
      <c r="C341" s="130"/>
      <c r="D341" s="130"/>
      <c r="E341" s="130"/>
    </row>
    <row r="342" spans="1:5" x14ac:dyDescent="0.3">
      <c r="A342" s="130"/>
      <c r="B342" s="130"/>
      <c r="C342" s="130"/>
      <c r="D342" s="130"/>
      <c r="E342" s="130"/>
    </row>
    <row r="343" spans="1:5" x14ac:dyDescent="0.3">
      <c r="A343" s="130"/>
      <c r="B343" s="130"/>
      <c r="C343" s="130"/>
      <c r="D343" s="130"/>
      <c r="E343" s="130"/>
    </row>
    <row r="344" spans="1:5" x14ac:dyDescent="0.3">
      <c r="A344" s="130" t="s">
        <v>261</v>
      </c>
      <c r="B344" s="130"/>
      <c r="C344" s="130"/>
      <c r="D344" s="130"/>
      <c r="E344" s="130"/>
    </row>
    <row r="345" spans="1:5" x14ac:dyDescent="0.3">
      <c r="A345" s="130"/>
      <c r="B345" s="130"/>
      <c r="C345" s="130"/>
      <c r="D345" s="130"/>
      <c r="E345" s="130"/>
    </row>
    <row r="346" spans="1:5" x14ac:dyDescent="0.3">
      <c r="A346" s="130"/>
      <c r="B346" s="130"/>
      <c r="C346" s="130"/>
      <c r="D346" s="130"/>
      <c r="E346" s="130"/>
    </row>
    <row r="347" spans="1:5" x14ac:dyDescent="0.3">
      <c r="A347" s="662" t="s">
        <v>262</v>
      </c>
      <c r="B347" s="662"/>
      <c r="C347" s="662"/>
      <c r="D347" s="662"/>
      <c r="E347" s="662"/>
    </row>
    <row r="348" spans="1:5" x14ac:dyDescent="0.3">
      <c r="A348" s="130"/>
      <c r="B348" s="130"/>
      <c r="C348" s="130"/>
      <c r="D348" s="130"/>
      <c r="E348" s="130"/>
    </row>
    <row r="349" spans="1:5" x14ac:dyDescent="0.3">
      <c r="A349" s="130" t="s">
        <v>318</v>
      </c>
      <c r="B349" s="130"/>
      <c r="C349" s="130"/>
      <c r="D349" s="325">
        <f>IFERROR(DONNEES!R62+DONNEES!R71+DONNEES!R80+DONNEES!R89+DONNEES!R98+DONNEES!R107+DONNEES!R116+DONNEES!S62+DONNEES!S71+DONNEES!S80+DONNEES!S89+DONNEES!S98+DONNEES!S107+DONNEES!S116,0)</f>
        <v>0</v>
      </c>
      <c r="E349" s="130"/>
    </row>
    <row r="350" spans="1:5" x14ac:dyDescent="0.3">
      <c r="A350" s="130" t="s">
        <v>341</v>
      </c>
      <c r="B350" s="130"/>
      <c r="C350" s="130"/>
      <c r="D350" s="463">
        <f>IFERROR(E363+E373,0)</f>
        <v>0</v>
      </c>
      <c r="E350" s="130"/>
    </row>
    <row r="351" spans="1:5" x14ac:dyDescent="0.3">
      <c r="A351" s="130" t="s">
        <v>263</v>
      </c>
      <c r="B351" s="130"/>
      <c r="C351" s="130"/>
      <c r="D351" s="326">
        <f>DONNEES!C13</f>
        <v>0</v>
      </c>
      <c r="E351" s="130"/>
    </row>
    <row r="352" spans="1:5" x14ac:dyDescent="0.3">
      <c r="A352" s="130" t="s">
        <v>321</v>
      </c>
      <c r="B352" s="130"/>
      <c r="C352" s="130"/>
      <c r="D352" s="331">
        <f>IFERROR(E374+E364-D350,0)</f>
        <v>0</v>
      </c>
      <c r="E352" s="130"/>
    </row>
    <row r="353" spans="1:5" x14ac:dyDescent="0.3">
      <c r="A353" s="130"/>
      <c r="B353" s="130"/>
      <c r="C353" s="130"/>
      <c r="D353" s="10"/>
      <c r="E353" s="130"/>
    </row>
    <row r="354" spans="1:5" x14ac:dyDescent="0.3">
      <c r="A354" s="10"/>
      <c r="B354" s="338" t="s">
        <v>235</v>
      </c>
      <c r="C354" s="338" t="s">
        <v>36</v>
      </c>
      <c r="D354" s="338" t="s">
        <v>272</v>
      </c>
      <c r="E354" s="338" t="s">
        <v>291</v>
      </c>
    </row>
    <row r="355" spans="1:5" x14ac:dyDescent="0.3">
      <c r="A355" s="11" t="s">
        <v>9</v>
      </c>
      <c r="B355" s="323">
        <f>IF(DONNEES!C25&gt;=25000,DONNEES!$C$24,"")</f>
        <v>0.2</v>
      </c>
      <c r="C355" s="525">
        <f>IF(DONNEES!$F$52="OUI",DONNEES!R62,"")</f>
        <v>0</v>
      </c>
      <c r="D355" s="323" t="str">
        <f>IF(AND($D$27&gt;=25000,$D$27&lt;=149999),"30%",IF(AND($D$27&gt;149999,$D$27&lt;=999999),"25%",IF($D$27&gt;999999,"20"%," ")))</f>
        <v xml:space="preserve"> </v>
      </c>
      <c r="E355" s="38">
        <f>IFERROR(IF($B$15&lt;=12,(C355*D355),C355*D355*(12/$B$15)),0)</f>
        <v>0</v>
      </c>
    </row>
    <row r="356" spans="1:5" x14ac:dyDescent="0.3">
      <c r="A356" s="11" t="s">
        <v>10</v>
      </c>
      <c r="B356" s="323" t="str">
        <f>IF(DONNEES!C26&gt;=25000,DONNEES!$C$24,"")</f>
        <v/>
      </c>
      <c r="C356" s="525" t="str">
        <f>IF(DONNEES!$F$172="OUI",DONNEES!R71,"")</f>
        <v/>
      </c>
      <c r="D356" s="323" t="str">
        <f t="shared" ref="D356:D361" si="28">IF(AND($D$27&gt;=25000,$D$27&lt;=149999),"30%",IF(AND($D$27&gt;149999,$D$27&lt;=999999),"25%",IF($D$27&gt;999999,"20"%," ")))</f>
        <v xml:space="preserve"> </v>
      </c>
      <c r="E356" s="38">
        <f t="shared" ref="E356:E361" si="29">IFERROR(IF($B$15&lt;=12,(C356*D356),C356*D356*(12/$B$15)),0)</f>
        <v>0</v>
      </c>
    </row>
    <row r="357" spans="1:5" x14ac:dyDescent="0.3">
      <c r="A357" s="11" t="s">
        <v>11</v>
      </c>
      <c r="B357" s="323" t="str">
        <f>IF(DONNEES!C27&gt;=25000,DONNEES!$C$24,"")</f>
        <v/>
      </c>
      <c r="C357" s="525" t="str">
        <f>IF(DONNEES!$F$292="OUI",DONNEES!R80,"")</f>
        <v/>
      </c>
      <c r="D357" s="323" t="str">
        <f t="shared" si="28"/>
        <v xml:space="preserve"> </v>
      </c>
      <c r="E357" s="38">
        <f t="shared" si="29"/>
        <v>0</v>
      </c>
    </row>
    <row r="358" spans="1:5" x14ac:dyDescent="0.3">
      <c r="A358" s="11" t="s">
        <v>12</v>
      </c>
      <c r="B358" s="323" t="str">
        <f>IF(DONNEES!C28&gt;=25000,DONNEES!$C$24,"")</f>
        <v/>
      </c>
      <c r="C358" s="525" t="str">
        <f>IF(DONNEES!$F$412="OUI",DONNEES!R89,"")</f>
        <v/>
      </c>
      <c r="D358" s="323" t="str">
        <f t="shared" si="28"/>
        <v xml:space="preserve"> </v>
      </c>
      <c r="E358" s="38">
        <f t="shared" si="29"/>
        <v>0</v>
      </c>
    </row>
    <row r="359" spans="1:5" x14ac:dyDescent="0.3">
      <c r="A359" s="11" t="s">
        <v>478</v>
      </c>
      <c r="B359" s="323" t="str">
        <f>IF(DONNEES!C29&gt;=25000,DONNEES!$C$24,"")</f>
        <v/>
      </c>
      <c r="C359" s="525" t="str">
        <f>IF(DONNEES!$F$532="OUI",DONNEES!R98,"")</f>
        <v/>
      </c>
      <c r="D359" s="323" t="str">
        <f t="shared" si="28"/>
        <v xml:space="preserve"> </v>
      </c>
      <c r="E359" s="38">
        <f t="shared" si="29"/>
        <v>0</v>
      </c>
    </row>
    <row r="360" spans="1:5" x14ac:dyDescent="0.3">
      <c r="A360" s="11" t="s">
        <v>479</v>
      </c>
      <c r="B360" s="323" t="str">
        <f>IF(DONNEES!C30&gt;=25000,DONNEES!$C$24,"")</f>
        <v/>
      </c>
      <c r="C360" s="525" t="str">
        <f>IF(DONNEES!$F$652="OUI",DONNEES!R107,"")</f>
        <v/>
      </c>
      <c r="D360" s="323" t="str">
        <f t="shared" si="28"/>
        <v xml:space="preserve"> </v>
      </c>
      <c r="E360" s="38">
        <f t="shared" si="29"/>
        <v>0</v>
      </c>
    </row>
    <row r="361" spans="1:5" x14ac:dyDescent="0.3">
      <c r="A361" s="11" t="s">
        <v>480</v>
      </c>
      <c r="B361" s="323" t="str">
        <f>IF(DONNEES!C31&gt;=25000,DONNEES!$C$24,"")</f>
        <v/>
      </c>
      <c r="C361" s="525" t="str">
        <f>IF(DONNEES!$F$772="OUI",DONNEES!R116,"")</f>
        <v/>
      </c>
      <c r="D361" s="323" t="str">
        <f t="shared" si="28"/>
        <v xml:space="preserve"> </v>
      </c>
      <c r="E361" s="38">
        <f t="shared" si="29"/>
        <v>0</v>
      </c>
    </row>
    <row r="362" spans="1:5" x14ac:dyDescent="0.3">
      <c r="A362" s="11" t="s">
        <v>319</v>
      </c>
      <c r="B362" s="191"/>
      <c r="C362" s="204"/>
      <c r="D362" s="204"/>
      <c r="E362" s="38">
        <f>IFERROR(SUM(E355:E361)*B355,0)</f>
        <v>0</v>
      </c>
    </row>
    <row r="363" spans="1:5" x14ac:dyDescent="0.3">
      <c r="A363" s="11" t="s">
        <v>337</v>
      </c>
      <c r="B363" s="191"/>
      <c r="C363" s="204"/>
      <c r="D363" s="204"/>
      <c r="E363" s="444">
        <v>0</v>
      </c>
    </row>
    <row r="364" spans="1:5" x14ac:dyDescent="0.3">
      <c r="A364" s="327" t="s">
        <v>320</v>
      </c>
      <c r="B364" s="328"/>
      <c r="C364" s="329"/>
      <c r="D364" s="329"/>
      <c r="E364" s="330">
        <f>IFERROR(SUM(E355:E361)+E362-E363,0)</f>
        <v>0</v>
      </c>
    </row>
    <row r="365" spans="1:5" x14ac:dyDescent="0.3">
      <c r="A365" s="11" t="s">
        <v>9</v>
      </c>
      <c r="B365" s="323" t="str">
        <f>IF(DONNEES!E25&gt;=25000,DONNEES!$C$24,"")</f>
        <v/>
      </c>
      <c r="C365" s="525">
        <f>IF(DONNEES!$F$52="OUI",DONNEES!S62,"")</f>
        <v>0</v>
      </c>
      <c r="D365" s="323" t="str">
        <f t="shared" ref="D365:D371" si="30">IF(AND($D$27&gt;=25000,$D$27&lt;=149999),"30%",IF(AND($D$27&gt;149999,$D$27&lt;=999999),"25%",IF($D$27&gt;999999,"20"%," ")))</f>
        <v xml:space="preserve"> </v>
      </c>
      <c r="E365" s="38">
        <f t="shared" ref="E365:E371" si="31">IFERROR(IF($B$15&lt;=12,(C365*D365),C365*D365*(12/$B$15)),0)</f>
        <v>0</v>
      </c>
    </row>
    <row r="366" spans="1:5" x14ac:dyDescent="0.3">
      <c r="A366" s="11" t="s">
        <v>10</v>
      </c>
      <c r="B366" s="323" t="str">
        <f>IF(DONNEES!E26&gt;=25000,DONNEES!$C$24,"")</f>
        <v/>
      </c>
      <c r="C366" s="525" t="str">
        <f>IF(DONNEES!$F$172="OUI",DONNEES!S71,"")</f>
        <v/>
      </c>
      <c r="D366" s="323" t="str">
        <f t="shared" si="30"/>
        <v xml:space="preserve"> </v>
      </c>
      <c r="E366" s="38">
        <f t="shared" si="31"/>
        <v>0</v>
      </c>
    </row>
    <row r="367" spans="1:5" x14ac:dyDescent="0.3">
      <c r="A367" s="11" t="s">
        <v>11</v>
      </c>
      <c r="B367" s="323" t="str">
        <f>IF(DONNEES!E27&gt;=25000,DONNEES!$C$24,"")</f>
        <v/>
      </c>
      <c r="C367" s="525" t="str">
        <f>IF(DONNEES!$F$292="OUI",DONNEES!S80,"")</f>
        <v/>
      </c>
      <c r="D367" s="323" t="str">
        <f t="shared" si="30"/>
        <v xml:space="preserve"> </v>
      </c>
      <c r="E367" s="38">
        <f t="shared" si="31"/>
        <v>0</v>
      </c>
    </row>
    <row r="368" spans="1:5" x14ac:dyDescent="0.3">
      <c r="A368" s="11" t="s">
        <v>12</v>
      </c>
      <c r="B368" s="323" t="str">
        <f>IF(DONNEES!E28&gt;=25000,DONNEES!$C$24,"")</f>
        <v/>
      </c>
      <c r="C368" s="525" t="str">
        <f>IF(DONNEES!$F$412="OUI",DONNEES!S89,"")</f>
        <v/>
      </c>
      <c r="D368" s="323" t="str">
        <f t="shared" si="30"/>
        <v xml:space="preserve"> </v>
      </c>
      <c r="E368" s="38">
        <f t="shared" si="31"/>
        <v>0</v>
      </c>
    </row>
    <row r="369" spans="1:5" x14ac:dyDescent="0.3">
      <c r="A369" s="11" t="s">
        <v>478</v>
      </c>
      <c r="B369" s="323" t="str">
        <f>IF(DONNEES!E29&gt;=25000,DONNEES!$C$24,"")</f>
        <v/>
      </c>
      <c r="C369" s="525" t="str">
        <f>IF(DONNEES!$F$532="OUI",DONNEES!S98,"")</f>
        <v/>
      </c>
      <c r="D369" s="323" t="str">
        <f t="shared" si="30"/>
        <v xml:space="preserve"> </v>
      </c>
      <c r="E369" s="38">
        <f t="shared" si="31"/>
        <v>0</v>
      </c>
    </row>
    <row r="370" spans="1:5" x14ac:dyDescent="0.3">
      <c r="A370" s="11" t="s">
        <v>479</v>
      </c>
      <c r="B370" s="323" t="str">
        <f>IF(DONNEES!E30&gt;=25000,DONNEES!$C$24,"")</f>
        <v/>
      </c>
      <c r="C370" s="525" t="str">
        <f>IF(DONNEES!$F$652="OUI",DONNEES!S107,"")</f>
        <v/>
      </c>
      <c r="D370" s="323" t="str">
        <f t="shared" si="30"/>
        <v xml:space="preserve"> </v>
      </c>
      <c r="E370" s="38">
        <f t="shared" si="31"/>
        <v>0</v>
      </c>
    </row>
    <row r="371" spans="1:5" x14ac:dyDescent="0.3">
      <c r="A371" s="11" t="s">
        <v>480</v>
      </c>
      <c r="B371" s="323" t="str">
        <f>IF(DONNEES!E31&gt;=25000,DONNEES!$C$24,"")</f>
        <v/>
      </c>
      <c r="C371" s="525" t="str">
        <f>IF(DONNEES!$F$772="OUI",DONNEES!S116,"")</f>
        <v/>
      </c>
      <c r="D371" s="323" t="str">
        <f t="shared" si="30"/>
        <v xml:space="preserve"> </v>
      </c>
      <c r="E371" s="38">
        <f t="shared" si="31"/>
        <v>0</v>
      </c>
    </row>
    <row r="372" spans="1:5" x14ac:dyDescent="0.3">
      <c r="A372" s="11" t="s">
        <v>319</v>
      </c>
      <c r="B372" s="191"/>
      <c r="C372" s="204"/>
      <c r="D372" s="191"/>
      <c r="E372" s="38">
        <f>IFERROR(SUM(E365:E371)*B365,0)</f>
        <v>0</v>
      </c>
    </row>
    <row r="373" spans="1:5" x14ac:dyDescent="0.3">
      <c r="A373" s="11" t="s">
        <v>337</v>
      </c>
      <c r="B373" s="191"/>
      <c r="C373" s="204"/>
      <c r="D373" s="191"/>
      <c r="E373" s="444">
        <v>0</v>
      </c>
    </row>
    <row r="374" spans="1:5" x14ac:dyDescent="0.3">
      <c r="A374" s="327" t="s">
        <v>320</v>
      </c>
      <c r="B374" s="328"/>
      <c r="C374" s="329"/>
      <c r="D374" s="328"/>
      <c r="E374" s="330">
        <f>IFERROR(SUM(E365:E371)+E372-E373,0)</f>
        <v>0</v>
      </c>
    </row>
  </sheetData>
  <sheetProtection algorithmName="SHA-512" hashValue="4vEQXMf3kFeSZTzuHim7MUC0D9pphnp0Wzf6sOc/NWTIotQ+c7lf6FeqNBIqYMKJySJV/oZ2qfd3Jz9AaCjqHA==" saltValue="L0JxS4hjQ+4eJF92vxe10A==" spinCount="100000" sheet="1" objects="1" scenarios="1" autoFilter="0"/>
  <mergeCells count="24">
    <mergeCell ref="A347:E347"/>
    <mergeCell ref="A284:E284"/>
    <mergeCell ref="A285:E285"/>
    <mergeCell ref="A301:E301"/>
    <mergeCell ref="A330:E330"/>
    <mergeCell ref="A331:E331"/>
    <mergeCell ref="A193:E193"/>
    <mergeCell ref="A209:E209"/>
    <mergeCell ref="A238:E238"/>
    <mergeCell ref="A239:E239"/>
    <mergeCell ref="A255:E255"/>
    <mergeCell ref="A117:E117"/>
    <mergeCell ref="A146:E146"/>
    <mergeCell ref="A147:E147"/>
    <mergeCell ref="A163:E163"/>
    <mergeCell ref="A192:E192"/>
    <mergeCell ref="A55:E55"/>
    <mergeCell ref="A71:E71"/>
    <mergeCell ref="A100:E100"/>
    <mergeCell ref="A101:E101"/>
    <mergeCell ref="A8:E8"/>
    <mergeCell ref="A25:E25"/>
    <mergeCell ref="A9:E9"/>
    <mergeCell ref="A54:E54"/>
  </mergeCells>
  <pageMargins left="0.7" right="0.7" top="0.75" bottom="0.75" header="0.3" footer="0.3"/>
  <pageSetup paperSize="9" scale="58" orientation="portrait" r:id="rId1"/>
  <rowBreaks count="7" manualBreakCount="7">
    <brk id="53" max="4" man="1"/>
    <brk id="99" max="4" man="1"/>
    <brk id="145" max="4" man="1"/>
    <brk id="191" max="4" man="1"/>
    <brk id="236" max="4" man="1"/>
    <brk id="283" max="4" man="1"/>
    <brk id="329" max="4"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7"/>
    <pageSetUpPr fitToPage="1"/>
  </sheetPr>
  <dimension ref="A1:AG230"/>
  <sheetViews>
    <sheetView topLeftCell="A73" zoomScale="80" zoomScaleNormal="80" zoomScaleSheetLayoutView="30" workbookViewId="0">
      <selection activeCell="J104" sqref="J104"/>
    </sheetView>
  </sheetViews>
  <sheetFormatPr baseColWidth="10" defaultRowHeight="18" customHeight="1" outlineLevelRow="1" x14ac:dyDescent="0.3"/>
  <cols>
    <col min="1" max="1" width="10.5703125" style="9" bestFit="1" customWidth="1"/>
    <col min="2" max="2" width="39.28515625" style="10" customWidth="1"/>
    <col min="3" max="3" width="17.42578125" style="10" customWidth="1"/>
    <col min="4" max="4" width="19.5703125" style="10" customWidth="1"/>
    <col min="5" max="5" width="17.5703125" style="10" customWidth="1"/>
    <col min="6" max="6" width="18.28515625" style="10" customWidth="1"/>
    <col min="7" max="7" width="17.7109375" style="10" customWidth="1"/>
    <col min="8" max="8" width="24.85546875" style="10" customWidth="1"/>
    <col min="9" max="9" width="17.85546875" style="10" bestFit="1" customWidth="1"/>
    <col min="10" max="10" width="17.85546875" style="10" customWidth="1"/>
    <col min="11" max="11" width="11.42578125" style="130"/>
    <col min="12" max="12" width="6.140625" style="130" customWidth="1"/>
    <col min="13" max="17" width="11.42578125" style="130"/>
    <col min="18" max="18" width="0" style="130" hidden="1" customWidth="1"/>
    <col min="19" max="33" width="11.42578125" style="130"/>
    <col min="34" max="16384" width="11.42578125" style="10"/>
  </cols>
  <sheetData>
    <row r="1" spans="1:10" ht="18" customHeight="1" x14ac:dyDescent="0.3">
      <c r="A1" s="130"/>
      <c r="B1" s="21"/>
      <c r="C1" s="11" t="s">
        <v>0</v>
      </c>
      <c r="D1" s="11"/>
      <c r="E1" s="668"/>
      <c r="F1" s="669"/>
      <c r="G1" s="130"/>
      <c r="H1" s="130"/>
      <c r="I1" s="130"/>
      <c r="J1" s="130"/>
    </row>
    <row r="2" spans="1:10" ht="18" customHeight="1" x14ac:dyDescent="0.3">
      <c r="A2" s="130"/>
      <c r="B2" s="21"/>
      <c r="C2" s="11" t="s">
        <v>72</v>
      </c>
      <c r="D2" s="667">
        <f>DONNEES!C2</f>
        <v>0</v>
      </c>
      <c r="E2" s="667"/>
      <c r="F2" s="667"/>
      <c r="G2" s="667"/>
      <c r="H2" s="667"/>
      <c r="I2" s="667"/>
    </row>
    <row r="3" spans="1:10" ht="18" customHeight="1" x14ac:dyDescent="0.3">
      <c r="A3" s="130"/>
      <c r="B3" s="21"/>
      <c r="C3" s="11" t="s">
        <v>2</v>
      </c>
      <c r="D3" s="667">
        <f>DONNEES!C3</f>
        <v>0</v>
      </c>
      <c r="E3" s="667"/>
      <c r="F3" s="667"/>
      <c r="G3" s="667"/>
      <c r="H3" s="667"/>
      <c r="I3" s="667"/>
      <c r="J3" s="130"/>
    </row>
    <row r="4" spans="1:10" ht="18" customHeight="1" x14ac:dyDescent="0.3">
      <c r="A4" s="130"/>
      <c r="B4" s="21"/>
      <c r="C4" s="11" t="s">
        <v>3</v>
      </c>
      <c r="D4" s="667" t="str">
        <f>DONNEES!C5</f>
        <v>yy</v>
      </c>
      <c r="E4" s="667"/>
      <c r="F4" s="667"/>
      <c r="G4" s="667"/>
      <c r="H4" s="667"/>
      <c r="I4" s="667"/>
      <c r="J4" s="130"/>
    </row>
    <row r="5" spans="1:10" ht="18" customHeight="1" x14ac:dyDescent="0.3">
      <c r="A5" s="130"/>
      <c r="B5" s="21"/>
      <c r="C5" s="11" t="s">
        <v>4</v>
      </c>
      <c r="D5" s="667">
        <f>DONNEES!C14</f>
        <v>0</v>
      </c>
      <c r="E5" s="667"/>
      <c r="F5" s="667"/>
      <c r="G5" s="667"/>
      <c r="H5" s="667"/>
      <c r="I5" s="667"/>
      <c r="J5" s="130"/>
    </row>
    <row r="6" spans="1:10" ht="18" customHeight="1" x14ac:dyDescent="0.3">
      <c r="A6" s="130"/>
      <c r="B6" s="21"/>
      <c r="C6" s="11" t="s">
        <v>5</v>
      </c>
      <c r="D6" s="667">
        <f>DONNEES!C15</f>
        <v>0</v>
      </c>
      <c r="E6" s="667"/>
      <c r="F6" s="667"/>
      <c r="G6" s="667"/>
      <c r="H6" s="667"/>
      <c r="I6" s="667"/>
      <c r="J6" s="130"/>
    </row>
    <row r="7" spans="1:10" ht="18" customHeight="1" x14ac:dyDescent="0.3">
      <c r="A7" s="130"/>
      <c r="B7" s="130"/>
      <c r="C7" s="11" t="s">
        <v>6</v>
      </c>
      <c r="D7" s="11"/>
      <c r="E7" s="388"/>
      <c r="F7" s="338" t="s">
        <v>49</v>
      </c>
      <c r="G7" s="388"/>
      <c r="I7" s="130"/>
      <c r="J7" s="130"/>
    </row>
    <row r="8" spans="1:10" ht="18" customHeight="1" x14ac:dyDescent="0.3">
      <c r="A8" s="130"/>
      <c r="B8" s="130"/>
      <c r="E8" s="14"/>
      <c r="F8" s="14"/>
      <c r="G8" s="15"/>
      <c r="H8" s="14"/>
      <c r="I8" s="130"/>
      <c r="J8" s="130"/>
    </row>
    <row r="9" spans="1:10" ht="18" customHeight="1" x14ac:dyDescent="0.3">
      <c r="A9" s="130"/>
      <c r="B9" s="665" t="s">
        <v>7</v>
      </c>
      <c r="C9" s="665"/>
      <c r="D9" s="665"/>
      <c r="F9" s="21"/>
      <c r="G9" s="130"/>
      <c r="H9" s="130"/>
      <c r="I9" s="130"/>
      <c r="J9" s="130"/>
    </row>
    <row r="10" spans="1:10" ht="18" customHeight="1" x14ac:dyDescent="0.3">
      <c r="A10" s="130"/>
      <c r="B10" s="11" t="s">
        <v>8</v>
      </c>
      <c r="C10" s="375">
        <f>DONNEES!C24</f>
        <v>0.2</v>
      </c>
      <c r="D10" s="375">
        <f>DONNEES!E24</f>
        <v>0.1</v>
      </c>
      <c r="E10" s="17" t="s">
        <v>65</v>
      </c>
      <c r="F10" s="21"/>
      <c r="G10" s="130"/>
      <c r="H10" s="130"/>
      <c r="I10" s="130"/>
      <c r="J10" s="130"/>
    </row>
    <row r="11" spans="1:10" ht="18" customHeight="1" x14ac:dyDescent="0.3">
      <c r="A11" s="130"/>
      <c r="B11" s="11" t="s">
        <v>9</v>
      </c>
      <c r="C11" s="334">
        <f>DONNEES!E55</f>
        <v>260000</v>
      </c>
      <c r="D11" s="334">
        <f>DONNEES!F55</f>
        <v>0</v>
      </c>
      <c r="E11" s="20">
        <f>C11+D11</f>
        <v>260000</v>
      </c>
      <c r="F11" s="21"/>
      <c r="G11" s="130"/>
      <c r="H11" s="130"/>
      <c r="I11" s="130"/>
      <c r="J11" s="130"/>
    </row>
    <row r="12" spans="1:10" ht="18" hidden="1" customHeight="1" x14ac:dyDescent="0.3">
      <c r="A12" s="130"/>
      <c r="B12" s="11" t="s">
        <v>10</v>
      </c>
      <c r="C12" s="334">
        <f>DONNEES!E175</f>
        <v>0</v>
      </c>
      <c r="D12" s="548">
        <f>DONNEES!F175</f>
        <v>0</v>
      </c>
      <c r="E12" s="20">
        <f t="shared" ref="E12:E19" si="0">C12+D12</f>
        <v>0</v>
      </c>
      <c r="F12" s="21"/>
      <c r="G12" s="130"/>
      <c r="H12" s="130"/>
      <c r="I12" s="130"/>
      <c r="J12" s="130"/>
    </row>
    <row r="13" spans="1:10" ht="18" hidden="1" customHeight="1" x14ac:dyDescent="0.3">
      <c r="A13" s="130"/>
      <c r="B13" s="11" t="s">
        <v>11</v>
      </c>
      <c r="C13" s="334">
        <f>DONNEES!E295</f>
        <v>0</v>
      </c>
      <c r="D13" s="548">
        <f>DONNEES!F295</f>
        <v>0</v>
      </c>
      <c r="E13" s="20">
        <f t="shared" si="0"/>
        <v>0</v>
      </c>
      <c r="F13" s="21"/>
      <c r="G13" s="130"/>
      <c r="H13" s="130"/>
      <c r="I13" s="130"/>
      <c r="J13" s="130"/>
    </row>
    <row r="14" spans="1:10" ht="18" hidden="1" customHeight="1" x14ac:dyDescent="0.3">
      <c r="A14" s="130"/>
      <c r="B14" s="11" t="s">
        <v>12</v>
      </c>
      <c r="C14" s="334">
        <f>DONNEES!E415</f>
        <v>0</v>
      </c>
      <c r="D14" s="548">
        <f>DONNEES!F415</f>
        <v>0</v>
      </c>
      <c r="E14" s="20">
        <f t="shared" si="0"/>
        <v>0</v>
      </c>
      <c r="F14" s="21"/>
      <c r="G14" s="130"/>
      <c r="H14" s="130"/>
      <c r="I14" s="130"/>
      <c r="J14" s="130"/>
    </row>
    <row r="15" spans="1:10" ht="18" hidden="1" customHeight="1" x14ac:dyDescent="0.3">
      <c r="A15" s="130"/>
      <c r="B15" s="11" t="s">
        <v>478</v>
      </c>
      <c r="C15" s="548">
        <f>DONNEES!E535</f>
        <v>0</v>
      </c>
      <c r="D15" s="548">
        <f>DONNEES!F535</f>
        <v>0</v>
      </c>
      <c r="E15" s="20">
        <f t="shared" si="0"/>
        <v>0</v>
      </c>
      <c r="F15" s="21"/>
      <c r="G15" s="130"/>
      <c r="H15" s="130"/>
      <c r="I15" s="130"/>
      <c r="J15" s="130"/>
    </row>
    <row r="16" spans="1:10" ht="18" hidden="1" customHeight="1" x14ac:dyDescent="0.3">
      <c r="A16" s="130"/>
      <c r="B16" s="11" t="s">
        <v>554</v>
      </c>
      <c r="C16" s="548">
        <f>DONNEES!E655</f>
        <v>0</v>
      </c>
      <c r="D16" s="548">
        <f>DONNEES!F655</f>
        <v>0</v>
      </c>
      <c r="E16" s="20">
        <f t="shared" si="0"/>
        <v>0</v>
      </c>
      <c r="F16" s="21"/>
      <c r="G16" s="130"/>
      <c r="H16" s="130"/>
      <c r="I16" s="130"/>
      <c r="J16" s="130"/>
    </row>
    <row r="17" spans="1:10" ht="18" hidden="1" customHeight="1" x14ac:dyDescent="0.3">
      <c r="A17" s="130"/>
      <c r="B17" s="11" t="s">
        <v>480</v>
      </c>
      <c r="C17" s="548">
        <f>DONNEES!E775</f>
        <v>0</v>
      </c>
      <c r="D17" s="548">
        <f>DONNEES!F775</f>
        <v>0</v>
      </c>
      <c r="E17" s="20">
        <f t="shared" si="0"/>
        <v>0</v>
      </c>
      <c r="F17" s="21"/>
      <c r="G17" s="130"/>
      <c r="H17" s="130"/>
      <c r="I17" s="130"/>
      <c r="J17" s="130"/>
    </row>
    <row r="18" spans="1:10" ht="18" hidden="1" customHeight="1" x14ac:dyDescent="0.3">
      <c r="A18" s="130"/>
      <c r="B18" s="11" t="s">
        <v>13</v>
      </c>
      <c r="C18" s="334">
        <f>DONNEES!E895</f>
        <v>0</v>
      </c>
      <c r="D18" s="548">
        <f>DONNEES!F895</f>
        <v>0</v>
      </c>
      <c r="E18" s="20">
        <f t="shared" si="0"/>
        <v>0</v>
      </c>
      <c r="F18" s="21"/>
      <c r="G18" s="130"/>
      <c r="H18" s="130"/>
      <c r="I18" s="130"/>
      <c r="J18" s="130"/>
    </row>
    <row r="19" spans="1:10" ht="18" customHeight="1" x14ac:dyDescent="0.3">
      <c r="A19" s="130"/>
      <c r="B19" s="11" t="s">
        <v>73</v>
      </c>
      <c r="C19" s="381"/>
      <c r="D19" s="381"/>
      <c r="E19" s="20">
        <f t="shared" si="0"/>
        <v>0</v>
      </c>
      <c r="F19" s="21"/>
      <c r="G19" s="130"/>
      <c r="H19" s="130"/>
      <c r="I19" s="130"/>
      <c r="J19" s="130"/>
    </row>
    <row r="20" spans="1:10" ht="18" customHeight="1" x14ac:dyDescent="0.3">
      <c r="A20" s="130"/>
      <c r="B20" s="24" t="s">
        <v>14</v>
      </c>
      <c r="C20" s="334">
        <f>SUM(C11:C18)-C19</f>
        <v>260000</v>
      </c>
      <c r="D20" s="334">
        <f>SUM(D11:D18)-D19</f>
        <v>0</v>
      </c>
      <c r="E20" s="20">
        <f>C20+D20</f>
        <v>260000</v>
      </c>
      <c r="F20" s="26"/>
      <c r="G20" s="130"/>
      <c r="H20" s="130"/>
      <c r="I20" s="130"/>
      <c r="J20" s="130"/>
    </row>
    <row r="21" spans="1:10" ht="18" customHeight="1" x14ac:dyDescent="0.3">
      <c r="A21" s="130"/>
      <c r="B21" s="24" t="s">
        <v>15</v>
      </c>
      <c r="C21" s="334">
        <f>C20*C10</f>
        <v>52000</v>
      </c>
      <c r="D21" s="334">
        <f>D20*D10</f>
        <v>0</v>
      </c>
      <c r="E21" s="130"/>
      <c r="F21" s="130"/>
      <c r="G21" s="130"/>
      <c r="H21" s="130"/>
      <c r="I21" s="130"/>
      <c r="J21" s="130"/>
    </row>
    <row r="22" spans="1:10" ht="18" customHeight="1" x14ac:dyDescent="0.3">
      <c r="A22" s="130"/>
      <c r="B22" s="24" t="s">
        <v>16</v>
      </c>
      <c r="C22" s="334">
        <f>C20+C21</f>
        <v>312000</v>
      </c>
      <c r="D22" s="334">
        <f>D20+D21</f>
        <v>0</v>
      </c>
      <c r="E22" s="130"/>
      <c r="F22" s="130"/>
      <c r="G22" s="130"/>
      <c r="H22" s="130"/>
      <c r="I22" s="130"/>
      <c r="J22" s="130"/>
    </row>
    <row r="23" spans="1:10" ht="18" customHeight="1" x14ac:dyDescent="0.3">
      <c r="A23" s="130"/>
      <c r="B23" s="24" t="s">
        <v>17</v>
      </c>
      <c r="C23" s="624">
        <f>C22+D22</f>
        <v>312000</v>
      </c>
      <c r="D23" s="624"/>
      <c r="E23" s="130"/>
      <c r="F23" s="130"/>
      <c r="G23" s="130"/>
      <c r="H23" s="130"/>
      <c r="I23" s="130"/>
      <c r="J23" s="130"/>
    </row>
    <row r="24" spans="1:10" ht="18" customHeight="1" x14ac:dyDescent="0.3">
      <c r="A24" s="130"/>
      <c r="B24" s="551"/>
      <c r="C24" s="130"/>
      <c r="D24" s="130"/>
      <c r="E24" s="130"/>
      <c r="F24" s="130"/>
      <c r="G24" s="130"/>
      <c r="H24" s="130"/>
      <c r="I24" s="130"/>
      <c r="J24" s="130"/>
    </row>
    <row r="25" spans="1:10" ht="18" customHeight="1" x14ac:dyDescent="0.3">
      <c r="A25" s="130"/>
      <c r="B25" s="666" t="s">
        <v>33</v>
      </c>
      <c r="C25" s="666"/>
      <c r="D25" s="666"/>
      <c r="E25" s="666"/>
      <c r="F25" s="130"/>
      <c r="G25" s="130"/>
      <c r="H25" s="130"/>
      <c r="I25" s="130"/>
      <c r="J25" s="130"/>
    </row>
    <row r="26" spans="1:10" ht="18" customHeight="1" x14ac:dyDescent="0.3">
      <c r="A26" s="130"/>
      <c r="B26" s="603" t="s">
        <v>34</v>
      </c>
      <c r="C26" s="603" t="s">
        <v>35</v>
      </c>
      <c r="D26" s="178" t="s">
        <v>15</v>
      </c>
      <c r="E26" s="178" t="s">
        <v>15</v>
      </c>
      <c r="F26" s="130"/>
      <c r="G26" s="130"/>
      <c r="H26" s="130"/>
      <c r="I26" s="130"/>
      <c r="J26" s="130"/>
    </row>
    <row r="27" spans="1:10" ht="18" customHeight="1" x14ac:dyDescent="0.3">
      <c r="A27" s="130"/>
      <c r="B27" s="603"/>
      <c r="C27" s="603"/>
      <c r="D27" s="241">
        <f>DONNEES!C24</f>
        <v>0.2</v>
      </c>
      <c r="E27" s="241">
        <f>DONNEES!E24</f>
        <v>0.1</v>
      </c>
      <c r="F27" s="130"/>
      <c r="G27" s="130"/>
      <c r="H27" s="130"/>
      <c r="I27" s="130"/>
      <c r="J27" s="130"/>
    </row>
    <row r="28" spans="1:10" ht="18" customHeight="1" x14ac:dyDescent="0.3">
      <c r="A28" s="130"/>
      <c r="B28" s="62" t="str">
        <f>DONNEES!B41</f>
        <v>Titulaire</v>
      </c>
      <c r="C28" s="547" t="str">
        <f>DONNEES!C5</f>
        <v>yy</v>
      </c>
      <c r="D28" s="23">
        <f>DONNEES!AA126</f>
        <v>260000</v>
      </c>
      <c r="E28" s="23">
        <f>DONNEES!AB126</f>
        <v>0</v>
      </c>
      <c r="F28" s="130"/>
      <c r="G28" s="130"/>
      <c r="H28" s="130"/>
      <c r="I28" s="130"/>
      <c r="J28" s="130"/>
    </row>
    <row r="29" spans="1:10" ht="18" customHeight="1" x14ac:dyDescent="0.3">
      <c r="A29" s="687" t="s">
        <v>555</v>
      </c>
      <c r="B29" s="62" t="str">
        <f>DONNEES!B56</f>
        <v>ST TVA autoliquidée</v>
      </c>
      <c r="C29" s="224" t="str">
        <f>DONNEES!C56</f>
        <v>tt</v>
      </c>
      <c r="D29" s="23">
        <f>DONNEES!G56</f>
        <v>0</v>
      </c>
      <c r="E29" s="23">
        <f>DONNEES!H56</f>
        <v>0</v>
      </c>
      <c r="F29" s="130"/>
      <c r="G29" s="130"/>
      <c r="H29" s="130"/>
      <c r="I29" s="130"/>
      <c r="J29" s="130"/>
    </row>
    <row r="30" spans="1:10" ht="18" customHeight="1" x14ac:dyDescent="0.3">
      <c r="A30" s="687"/>
      <c r="B30" s="62">
        <f>DONNEES!B57</f>
        <v>0</v>
      </c>
      <c r="C30" s="62">
        <f>DONNEES!C57</f>
        <v>0</v>
      </c>
      <c r="D30" s="23">
        <f>DONNEES!G57</f>
        <v>0</v>
      </c>
      <c r="E30" s="23">
        <f>DONNEES!H57</f>
        <v>0</v>
      </c>
      <c r="F30" s="130"/>
      <c r="G30" s="130"/>
      <c r="H30" s="130"/>
      <c r="I30" s="130"/>
      <c r="J30" s="130"/>
    </row>
    <row r="31" spans="1:10" ht="18" customHeight="1" x14ac:dyDescent="0.3">
      <c r="A31" s="687"/>
      <c r="B31" s="62">
        <f>DONNEES!B58</f>
        <v>0</v>
      </c>
      <c r="C31" s="62">
        <f>DONNEES!C58</f>
        <v>0</v>
      </c>
      <c r="D31" s="23">
        <f>DONNEES!G58</f>
        <v>0</v>
      </c>
      <c r="E31" s="23">
        <f>DONNEES!H58</f>
        <v>0</v>
      </c>
      <c r="F31" s="130"/>
      <c r="G31" s="130"/>
      <c r="H31" s="130"/>
      <c r="I31" s="130"/>
      <c r="J31" s="130"/>
    </row>
    <row r="32" spans="1:10" ht="18" customHeight="1" x14ac:dyDescent="0.3">
      <c r="A32" s="687"/>
      <c r="B32" s="62">
        <f>DONNEES!B59</f>
        <v>0</v>
      </c>
      <c r="C32" s="62">
        <f>DONNEES!C59</f>
        <v>0</v>
      </c>
      <c r="D32" s="23">
        <f>DONNEES!G59</f>
        <v>0</v>
      </c>
      <c r="E32" s="23">
        <f>DONNEES!H59</f>
        <v>0</v>
      </c>
      <c r="F32" s="130"/>
      <c r="G32" s="130"/>
      <c r="H32" s="130"/>
      <c r="I32" s="130"/>
      <c r="J32" s="130"/>
    </row>
    <row r="33" spans="1:10" ht="18" customHeight="1" x14ac:dyDescent="0.3">
      <c r="A33" s="687"/>
      <c r="B33" s="62">
        <f>DONNEES!B60</f>
        <v>0</v>
      </c>
      <c r="C33" s="62">
        <f>DONNEES!C60</f>
        <v>0</v>
      </c>
      <c r="D33" s="23">
        <f>DONNEES!G60</f>
        <v>0</v>
      </c>
      <c r="E33" s="23">
        <f>DONNEES!H60</f>
        <v>0</v>
      </c>
      <c r="F33" s="130"/>
      <c r="G33" s="130"/>
      <c r="H33" s="130"/>
      <c r="I33" s="130"/>
      <c r="J33" s="130"/>
    </row>
    <row r="34" spans="1:10" ht="18" customHeight="1" x14ac:dyDescent="0.3">
      <c r="A34" s="687"/>
      <c r="B34" s="62">
        <f>DONNEES!B61</f>
        <v>0</v>
      </c>
      <c r="C34" s="62">
        <f>DONNEES!C61</f>
        <v>0</v>
      </c>
      <c r="D34" s="23">
        <f>DONNEES!G61</f>
        <v>0</v>
      </c>
      <c r="E34" s="23">
        <f>DONNEES!H61</f>
        <v>0</v>
      </c>
      <c r="F34" s="130"/>
      <c r="G34" s="130"/>
      <c r="H34" s="130"/>
      <c r="I34" s="130"/>
      <c r="J34" s="130"/>
    </row>
    <row r="35" spans="1:10" ht="18" customHeight="1" x14ac:dyDescent="0.3">
      <c r="A35" s="687"/>
      <c r="B35" s="62">
        <f>DONNEES!B62</f>
        <v>0</v>
      </c>
      <c r="C35" s="62">
        <f>DONNEES!C62</f>
        <v>0</v>
      </c>
      <c r="D35" s="23">
        <f>DONNEES!G62</f>
        <v>0</v>
      </c>
      <c r="E35" s="23">
        <f>DONNEES!H62</f>
        <v>0</v>
      </c>
      <c r="F35" s="130"/>
      <c r="G35" s="130"/>
      <c r="H35" s="130"/>
      <c r="I35" s="130"/>
      <c r="J35" s="130"/>
    </row>
    <row r="36" spans="1:10" ht="18" customHeight="1" x14ac:dyDescent="0.3">
      <c r="A36" s="687"/>
      <c r="B36" s="62">
        <f>DONNEES!B63</f>
        <v>0</v>
      </c>
      <c r="C36" s="62">
        <f>DONNEES!C63</f>
        <v>0</v>
      </c>
      <c r="D36" s="23">
        <f>DONNEES!G63</f>
        <v>0</v>
      </c>
      <c r="E36" s="23">
        <f>DONNEES!H63</f>
        <v>0</v>
      </c>
      <c r="F36" s="130"/>
      <c r="G36" s="130"/>
      <c r="H36" s="130"/>
      <c r="I36" s="130"/>
      <c r="J36" s="130"/>
    </row>
    <row r="37" spans="1:10" ht="18" customHeight="1" x14ac:dyDescent="0.3">
      <c r="A37" s="687"/>
      <c r="B37" s="62">
        <f>DONNEES!B64</f>
        <v>0</v>
      </c>
      <c r="C37" s="62">
        <f>DONNEES!C64</f>
        <v>0</v>
      </c>
      <c r="D37" s="23">
        <f>DONNEES!G64</f>
        <v>0</v>
      </c>
      <c r="E37" s="23">
        <f>DONNEES!H64</f>
        <v>0</v>
      </c>
      <c r="F37" s="130"/>
      <c r="G37" s="130"/>
      <c r="H37" s="130"/>
      <c r="I37" s="130"/>
      <c r="J37" s="130"/>
    </row>
    <row r="38" spans="1:10" ht="18" customHeight="1" x14ac:dyDescent="0.3">
      <c r="A38" s="687"/>
      <c r="B38" s="62">
        <f>DONNEES!B65</f>
        <v>0</v>
      </c>
      <c r="C38" s="62">
        <f>DONNEES!C65</f>
        <v>0</v>
      </c>
      <c r="D38" s="23">
        <f>DONNEES!G65</f>
        <v>0</v>
      </c>
      <c r="E38" s="23">
        <f>DONNEES!H65</f>
        <v>0</v>
      </c>
      <c r="F38" s="130"/>
      <c r="G38" s="130"/>
      <c r="H38" s="130"/>
      <c r="I38" s="130"/>
      <c r="J38" s="130"/>
    </row>
    <row r="39" spans="1:10" ht="18" customHeight="1" x14ac:dyDescent="0.3">
      <c r="A39" s="687" t="s">
        <v>556</v>
      </c>
      <c r="B39" s="62">
        <f>DONNEES!B176</f>
        <v>0</v>
      </c>
      <c r="C39" s="62">
        <f>DONNEES!C176</f>
        <v>0</v>
      </c>
      <c r="D39" s="23">
        <f>DONNEES!G176</f>
        <v>0</v>
      </c>
      <c r="E39" s="23">
        <f>DONNEES!H176</f>
        <v>0</v>
      </c>
      <c r="F39" s="130"/>
      <c r="G39" s="130"/>
      <c r="H39" s="130"/>
      <c r="I39" s="130"/>
      <c r="J39" s="130"/>
    </row>
    <row r="40" spans="1:10" ht="18" customHeight="1" x14ac:dyDescent="0.3">
      <c r="A40" s="687"/>
      <c r="B40" s="62">
        <f>DONNEES!B177</f>
        <v>0</v>
      </c>
      <c r="C40" s="62">
        <f>DONNEES!C177</f>
        <v>0</v>
      </c>
      <c r="D40" s="23">
        <f>DONNEES!G177</f>
        <v>0</v>
      </c>
      <c r="E40" s="23">
        <f>DONNEES!H177</f>
        <v>0</v>
      </c>
      <c r="F40" s="130"/>
      <c r="G40" s="130"/>
      <c r="H40" s="130"/>
      <c r="I40" s="130"/>
      <c r="J40" s="130"/>
    </row>
    <row r="41" spans="1:10" ht="18" customHeight="1" x14ac:dyDescent="0.3">
      <c r="A41" s="687"/>
      <c r="B41" s="62">
        <f>DONNEES!B178</f>
        <v>0</v>
      </c>
      <c r="C41" s="62">
        <f>DONNEES!C178</f>
        <v>0</v>
      </c>
      <c r="D41" s="23">
        <f>DONNEES!G178</f>
        <v>0</v>
      </c>
      <c r="E41" s="23">
        <f>DONNEES!H178</f>
        <v>0</v>
      </c>
      <c r="F41" s="130"/>
      <c r="G41" s="130"/>
      <c r="H41" s="130"/>
      <c r="I41" s="130"/>
      <c r="J41" s="130"/>
    </row>
    <row r="42" spans="1:10" ht="18" customHeight="1" x14ac:dyDescent="0.3">
      <c r="A42" s="687"/>
      <c r="B42" s="62">
        <f>DONNEES!B179</f>
        <v>0</v>
      </c>
      <c r="C42" s="62">
        <f>DONNEES!C179</f>
        <v>0</v>
      </c>
      <c r="D42" s="23">
        <f>DONNEES!G179</f>
        <v>0</v>
      </c>
      <c r="E42" s="23">
        <f>DONNEES!H179</f>
        <v>0</v>
      </c>
      <c r="F42" s="130"/>
      <c r="G42" s="130"/>
      <c r="H42" s="130"/>
      <c r="I42" s="130"/>
      <c r="J42" s="130"/>
    </row>
    <row r="43" spans="1:10" ht="18" customHeight="1" x14ac:dyDescent="0.3">
      <c r="A43" s="687"/>
      <c r="B43" s="62">
        <f>DONNEES!B180</f>
        <v>0</v>
      </c>
      <c r="C43" s="62">
        <f>DONNEES!C180</f>
        <v>0</v>
      </c>
      <c r="D43" s="23">
        <f>DONNEES!G180</f>
        <v>0</v>
      </c>
      <c r="E43" s="23">
        <f>DONNEES!H180</f>
        <v>0</v>
      </c>
      <c r="F43" s="130"/>
      <c r="G43" s="130"/>
      <c r="H43" s="130"/>
      <c r="I43" s="130"/>
      <c r="J43" s="130"/>
    </row>
    <row r="44" spans="1:10" ht="18" customHeight="1" x14ac:dyDescent="0.3">
      <c r="A44" s="687"/>
      <c r="B44" s="62">
        <f>DONNEES!B181</f>
        <v>0</v>
      </c>
      <c r="C44" s="62">
        <f>DONNEES!C181</f>
        <v>0</v>
      </c>
      <c r="D44" s="23">
        <f>DONNEES!G181</f>
        <v>0</v>
      </c>
      <c r="E44" s="23">
        <f>DONNEES!H181</f>
        <v>0</v>
      </c>
      <c r="F44" s="130"/>
      <c r="G44" s="130"/>
      <c r="H44" s="130"/>
      <c r="I44" s="130"/>
      <c r="J44" s="130"/>
    </row>
    <row r="45" spans="1:10" ht="18" customHeight="1" x14ac:dyDescent="0.3">
      <c r="A45" s="687"/>
      <c r="B45" s="62">
        <f>DONNEES!B182</f>
        <v>0</v>
      </c>
      <c r="C45" s="62">
        <f>DONNEES!C182</f>
        <v>0</v>
      </c>
      <c r="D45" s="23">
        <f>DONNEES!G182</f>
        <v>0</v>
      </c>
      <c r="E45" s="23">
        <f>DONNEES!H182</f>
        <v>0</v>
      </c>
      <c r="F45" s="130"/>
      <c r="G45" s="130"/>
      <c r="H45" s="130"/>
      <c r="I45" s="130"/>
      <c r="J45" s="130"/>
    </row>
    <row r="46" spans="1:10" ht="18" customHeight="1" x14ac:dyDescent="0.3">
      <c r="A46" s="687"/>
      <c r="B46" s="62">
        <f>DONNEES!B183</f>
        <v>0</v>
      </c>
      <c r="C46" s="62">
        <f>DONNEES!C183</f>
        <v>0</v>
      </c>
      <c r="D46" s="23">
        <f>DONNEES!G183</f>
        <v>0</v>
      </c>
      <c r="E46" s="23">
        <f>DONNEES!H183</f>
        <v>0</v>
      </c>
      <c r="F46" s="130"/>
      <c r="G46" s="130"/>
      <c r="H46" s="130"/>
      <c r="I46" s="130"/>
      <c r="J46" s="130"/>
    </row>
    <row r="47" spans="1:10" ht="18" customHeight="1" x14ac:dyDescent="0.3">
      <c r="A47" s="687"/>
      <c r="B47" s="62">
        <f>DONNEES!B184</f>
        <v>0</v>
      </c>
      <c r="C47" s="62">
        <f>DONNEES!C184</f>
        <v>0</v>
      </c>
      <c r="D47" s="23">
        <f>DONNEES!G184</f>
        <v>0</v>
      </c>
      <c r="E47" s="23">
        <f>DONNEES!H184</f>
        <v>0</v>
      </c>
      <c r="F47" s="130"/>
      <c r="G47" s="130"/>
      <c r="H47" s="130"/>
      <c r="I47" s="130"/>
      <c r="J47" s="130"/>
    </row>
    <row r="48" spans="1:10" ht="18" customHeight="1" x14ac:dyDescent="0.3">
      <c r="A48" s="687"/>
      <c r="B48" s="62">
        <f>DONNEES!B185</f>
        <v>0</v>
      </c>
      <c r="C48" s="62">
        <f>DONNEES!C185</f>
        <v>0</v>
      </c>
      <c r="D48" s="23">
        <f>DONNEES!G185</f>
        <v>0</v>
      </c>
      <c r="E48" s="23">
        <f>DONNEES!H185</f>
        <v>0</v>
      </c>
      <c r="F48" s="130"/>
      <c r="G48" s="130"/>
      <c r="H48" s="130"/>
      <c r="I48" s="130"/>
      <c r="J48" s="130"/>
    </row>
    <row r="49" spans="1:10" ht="18" customHeight="1" x14ac:dyDescent="0.3">
      <c r="A49" s="687" t="s">
        <v>557</v>
      </c>
      <c r="B49" s="62">
        <f>DONNEES!B296</f>
        <v>0</v>
      </c>
      <c r="C49" s="62">
        <f>DONNEES!C296</f>
        <v>0</v>
      </c>
      <c r="D49" s="23">
        <f>DONNEES!G296</f>
        <v>0</v>
      </c>
      <c r="E49" s="23">
        <f>DONNEES!H296</f>
        <v>0</v>
      </c>
      <c r="F49" s="130"/>
      <c r="G49" s="130"/>
      <c r="H49" s="130"/>
      <c r="I49" s="130"/>
      <c r="J49" s="130"/>
    </row>
    <row r="50" spans="1:10" ht="18" customHeight="1" x14ac:dyDescent="0.3">
      <c r="A50" s="687"/>
      <c r="B50" s="62">
        <f>DONNEES!B297</f>
        <v>0</v>
      </c>
      <c r="C50" s="62">
        <f>DONNEES!C297</f>
        <v>0</v>
      </c>
      <c r="D50" s="23">
        <f>DONNEES!G297</f>
        <v>0</v>
      </c>
      <c r="E50" s="23">
        <f>DONNEES!H297</f>
        <v>0</v>
      </c>
      <c r="F50" s="130"/>
      <c r="G50" s="130"/>
      <c r="H50" s="130"/>
      <c r="I50" s="130"/>
      <c r="J50" s="130"/>
    </row>
    <row r="51" spans="1:10" ht="18" customHeight="1" x14ac:dyDescent="0.3">
      <c r="A51" s="687"/>
      <c r="B51" s="62">
        <f>DONNEES!B298</f>
        <v>0</v>
      </c>
      <c r="C51" s="62">
        <f>DONNEES!C298</f>
        <v>0</v>
      </c>
      <c r="D51" s="23">
        <f>DONNEES!G298</f>
        <v>0</v>
      </c>
      <c r="E51" s="23">
        <f>DONNEES!H298</f>
        <v>0</v>
      </c>
      <c r="F51" s="130"/>
      <c r="G51" s="130"/>
      <c r="H51" s="130"/>
      <c r="I51" s="130"/>
      <c r="J51" s="130"/>
    </row>
    <row r="52" spans="1:10" ht="18" customHeight="1" x14ac:dyDescent="0.3">
      <c r="A52" s="687"/>
      <c r="B52" s="62">
        <f>DONNEES!B299</f>
        <v>0</v>
      </c>
      <c r="C52" s="62">
        <f>DONNEES!C299</f>
        <v>0</v>
      </c>
      <c r="D52" s="23">
        <f>DONNEES!G299</f>
        <v>0</v>
      </c>
      <c r="E52" s="23">
        <f>DONNEES!H299</f>
        <v>0</v>
      </c>
      <c r="F52" s="130"/>
      <c r="G52" s="130"/>
      <c r="H52" s="130"/>
      <c r="I52" s="130"/>
      <c r="J52" s="130"/>
    </row>
    <row r="53" spans="1:10" ht="18" customHeight="1" x14ac:dyDescent="0.3">
      <c r="A53" s="687"/>
      <c r="B53" s="62">
        <f>DONNEES!B300</f>
        <v>0</v>
      </c>
      <c r="C53" s="62">
        <f>DONNEES!C300</f>
        <v>0</v>
      </c>
      <c r="D53" s="23">
        <f>DONNEES!G300</f>
        <v>0</v>
      </c>
      <c r="E53" s="23">
        <f>DONNEES!H300</f>
        <v>0</v>
      </c>
      <c r="F53" s="130"/>
      <c r="G53" s="130"/>
      <c r="H53" s="130"/>
      <c r="I53" s="130"/>
      <c r="J53" s="130"/>
    </row>
    <row r="54" spans="1:10" ht="18" customHeight="1" x14ac:dyDescent="0.3">
      <c r="A54" s="687"/>
      <c r="B54" s="62">
        <f>DONNEES!B301</f>
        <v>0</v>
      </c>
      <c r="C54" s="62">
        <f>DONNEES!C301</f>
        <v>0</v>
      </c>
      <c r="D54" s="23">
        <f>DONNEES!G301</f>
        <v>0</v>
      </c>
      <c r="E54" s="23">
        <f>DONNEES!H301</f>
        <v>0</v>
      </c>
      <c r="F54" s="130"/>
      <c r="G54" s="130"/>
      <c r="H54" s="130"/>
      <c r="I54" s="130"/>
      <c r="J54" s="130"/>
    </row>
    <row r="55" spans="1:10" ht="18" customHeight="1" x14ac:dyDescent="0.3">
      <c r="A55" s="687"/>
      <c r="B55" s="62">
        <f>DONNEES!B302</f>
        <v>0</v>
      </c>
      <c r="C55" s="62">
        <f>DONNEES!C302</f>
        <v>0</v>
      </c>
      <c r="D55" s="23">
        <f>DONNEES!G302</f>
        <v>0</v>
      </c>
      <c r="E55" s="23">
        <f>DONNEES!H302</f>
        <v>0</v>
      </c>
      <c r="F55" s="130"/>
      <c r="G55" s="130"/>
      <c r="H55" s="130"/>
      <c r="I55" s="130"/>
      <c r="J55" s="130"/>
    </row>
    <row r="56" spans="1:10" ht="18" customHeight="1" x14ac:dyDescent="0.3">
      <c r="A56" s="687"/>
      <c r="B56" s="62">
        <f>DONNEES!B303</f>
        <v>0</v>
      </c>
      <c r="C56" s="62">
        <f>DONNEES!C303</f>
        <v>0</v>
      </c>
      <c r="D56" s="23">
        <f>DONNEES!G303</f>
        <v>0</v>
      </c>
      <c r="E56" s="23">
        <f>DONNEES!H303</f>
        <v>0</v>
      </c>
      <c r="F56" s="130"/>
      <c r="G56" s="130"/>
      <c r="H56" s="130"/>
      <c r="I56" s="130"/>
      <c r="J56" s="130"/>
    </row>
    <row r="57" spans="1:10" ht="18" customHeight="1" x14ac:dyDescent="0.3">
      <c r="A57" s="687"/>
      <c r="B57" s="62">
        <f>DONNEES!B304</f>
        <v>0</v>
      </c>
      <c r="C57" s="62">
        <f>DONNEES!C304</f>
        <v>0</v>
      </c>
      <c r="D57" s="23">
        <f>DONNEES!G304</f>
        <v>0</v>
      </c>
      <c r="E57" s="23">
        <f>DONNEES!H304</f>
        <v>0</v>
      </c>
      <c r="F57" s="130"/>
      <c r="G57" s="130"/>
      <c r="H57" s="130"/>
      <c r="I57" s="130"/>
      <c r="J57" s="130"/>
    </row>
    <row r="58" spans="1:10" ht="18" customHeight="1" x14ac:dyDescent="0.3">
      <c r="A58" s="687"/>
      <c r="B58" s="62">
        <f>DONNEES!B305</f>
        <v>0</v>
      </c>
      <c r="C58" s="62">
        <f>DONNEES!C305</f>
        <v>0</v>
      </c>
      <c r="D58" s="23">
        <f>DONNEES!G305</f>
        <v>0</v>
      </c>
      <c r="E58" s="23">
        <f>DONNEES!H305</f>
        <v>0</v>
      </c>
      <c r="F58" s="130"/>
      <c r="G58" s="130"/>
      <c r="H58" s="130"/>
      <c r="I58" s="130"/>
      <c r="J58" s="130"/>
    </row>
    <row r="59" spans="1:10" ht="18" customHeight="1" x14ac:dyDescent="0.3">
      <c r="A59" s="687" t="s">
        <v>558</v>
      </c>
      <c r="B59" s="62">
        <f>DONNEES!B416</f>
        <v>0</v>
      </c>
      <c r="C59" s="62">
        <f>DONNEES!C416</f>
        <v>0</v>
      </c>
      <c r="D59" s="23">
        <f>DONNEES!G416</f>
        <v>0</v>
      </c>
      <c r="E59" s="23">
        <f>DONNEES!H416</f>
        <v>0</v>
      </c>
      <c r="F59" s="130"/>
      <c r="G59" s="130"/>
      <c r="H59" s="130"/>
      <c r="I59" s="130"/>
      <c r="J59" s="130"/>
    </row>
    <row r="60" spans="1:10" ht="18" customHeight="1" x14ac:dyDescent="0.3">
      <c r="A60" s="687"/>
      <c r="B60" s="62">
        <f>DONNEES!B417</f>
        <v>0</v>
      </c>
      <c r="C60" s="62">
        <f>DONNEES!C417</f>
        <v>0</v>
      </c>
      <c r="D60" s="23">
        <f>DONNEES!G417</f>
        <v>0</v>
      </c>
      <c r="E60" s="23">
        <f>DONNEES!H417</f>
        <v>0</v>
      </c>
      <c r="F60" s="130"/>
      <c r="G60" s="130"/>
      <c r="H60" s="130"/>
      <c r="I60" s="130"/>
      <c r="J60" s="130"/>
    </row>
    <row r="61" spans="1:10" ht="18" customHeight="1" x14ac:dyDescent="0.3">
      <c r="A61" s="687"/>
      <c r="B61" s="62">
        <f>DONNEES!B418</f>
        <v>0</v>
      </c>
      <c r="C61" s="62">
        <f>DONNEES!C418</f>
        <v>0</v>
      </c>
      <c r="D61" s="23">
        <f>DONNEES!G418</f>
        <v>0</v>
      </c>
      <c r="E61" s="23">
        <f>DONNEES!H418</f>
        <v>0</v>
      </c>
      <c r="F61" s="130"/>
      <c r="G61" s="130"/>
      <c r="H61" s="130"/>
      <c r="I61" s="130"/>
      <c r="J61" s="130"/>
    </row>
    <row r="62" spans="1:10" ht="18" customHeight="1" x14ac:dyDescent="0.3">
      <c r="A62" s="687"/>
      <c r="B62" s="62">
        <f>DONNEES!B419</f>
        <v>0</v>
      </c>
      <c r="C62" s="62">
        <f>DONNEES!C419</f>
        <v>0</v>
      </c>
      <c r="D62" s="23">
        <f>DONNEES!G419</f>
        <v>0</v>
      </c>
      <c r="E62" s="23">
        <f>DONNEES!H419</f>
        <v>0</v>
      </c>
      <c r="F62" s="130"/>
      <c r="G62" s="130"/>
      <c r="H62" s="130"/>
      <c r="I62" s="130"/>
      <c r="J62" s="130"/>
    </row>
    <row r="63" spans="1:10" ht="18" customHeight="1" x14ac:dyDescent="0.3">
      <c r="A63" s="687"/>
      <c r="B63" s="62">
        <f>DONNEES!B420</f>
        <v>0</v>
      </c>
      <c r="C63" s="62">
        <f>DONNEES!C420</f>
        <v>0</v>
      </c>
      <c r="D63" s="23">
        <f>DONNEES!G420</f>
        <v>0</v>
      </c>
      <c r="E63" s="23">
        <f>DONNEES!H420</f>
        <v>0</v>
      </c>
      <c r="F63" s="130"/>
      <c r="G63" s="130"/>
      <c r="H63" s="130"/>
      <c r="I63" s="130"/>
      <c r="J63" s="130"/>
    </row>
    <row r="64" spans="1:10" ht="18" customHeight="1" x14ac:dyDescent="0.3">
      <c r="A64" s="687"/>
      <c r="B64" s="62">
        <f>DONNEES!B421</f>
        <v>0</v>
      </c>
      <c r="C64" s="62">
        <f>DONNEES!C421</f>
        <v>0</v>
      </c>
      <c r="D64" s="23">
        <f>DONNEES!G421</f>
        <v>0</v>
      </c>
      <c r="E64" s="23">
        <f>DONNEES!H421</f>
        <v>0</v>
      </c>
      <c r="F64" s="130"/>
      <c r="G64" s="130"/>
      <c r="H64" s="130"/>
      <c r="I64" s="130"/>
      <c r="J64" s="130"/>
    </row>
    <row r="65" spans="1:10" ht="18" customHeight="1" x14ac:dyDescent="0.3">
      <c r="A65" s="687"/>
      <c r="B65" s="62">
        <f>DONNEES!B422</f>
        <v>0</v>
      </c>
      <c r="C65" s="62">
        <f>DONNEES!C422</f>
        <v>0</v>
      </c>
      <c r="D65" s="23">
        <f>DONNEES!G422</f>
        <v>0</v>
      </c>
      <c r="E65" s="23">
        <f>DONNEES!H422</f>
        <v>0</v>
      </c>
      <c r="F65" s="130"/>
      <c r="G65" s="130"/>
      <c r="H65" s="130"/>
      <c r="I65" s="130"/>
      <c r="J65" s="130"/>
    </row>
    <row r="66" spans="1:10" ht="18" customHeight="1" x14ac:dyDescent="0.3">
      <c r="A66" s="687"/>
      <c r="B66" s="62">
        <f>DONNEES!B423</f>
        <v>0</v>
      </c>
      <c r="C66" s="62">
        <f>DONNEES!C423</f>
        <v>0</v>
      </c>
      <c r="D66" s="23">
        <f>DONNEES!G423</f>
        <v>0</v>
      </c>
      <c r="E66" s="23">
        <f>DONNEES!H423</f>
        <v>0</v>
      </c>
      <c r="F66" s="130"/>
      <c r="G66" s="130"/>
      <c r="H66" s="130"/>
      <c r="I66" s="130"/>
      <c r="J66" s="130"/>
    </row>
    <row r="67" spans="1:10" ht="18" customHeight="1" x14ac:dyDescent="0.3">
      <c r="A67" s="687"/>
      <c r="B67" s="62">
        <f>DONNEES!B424</f>
        <v>0</v>
      </c>
      <c r="C67" s="62">
        <f>DONNEES!C424</f>
        <v>0</v>
      </c>
      <c r="D67" s="23">
        <f>DONNEES!G424</f>
        <v>0</v>
      </c>
      <c r="E67" s="23">
        <f>DONNEES!H424</f>
        <v>0</v>
      </c>
      <c r="F67" s="130"/>
      <c r="G67" s="130"/>
      <c r="H67" s="130"/>
      <c r="I67" s="130"/>
      <c r="J67" s="130"/>
    </row>
    <row r="68" spans="1:10" ht="18" customHeight="1" x14ac:dyDescent="0.3">
      <c r="A68" s="687"/>
      <c r="B68" s="62">
        <f>DONNEES!B425</f>
        <v>0</v>
      </c>
      <c r="C68" s="62">
        <f>DONNEES!C425</f>
        <v>0</v>
      </c>
      <c r="D68" s="23">
        <f>DONNEES!G425</f>
        <v>0</v>
      </c>
      <c r="E68" s="23">
        <f>DONNEES!H425</f>
        <v>0</v>
      </c>
      <c r="F68" s="130"/>
      <c r="G68" s="130"/>
      <c r="H68" s="130"/>
      <c r="I68" s="130"/>
      <c r="J68" s="130"/>
    </row>
    <row r="69" spans="1:10" ht="18" customHeight="1" x14ac:dyDescent="0.3">
      <c r="A69" s="687" t="s">
        <v>559</v>
      </c>
      <c r="B69" s="62">
        <f>DONNEES!B536</f>
        <v>0</v>
      </c>
      <c r="C69" s="62">
        <f>DONNEES!C536</f>
        <v>0</v>
      </c>
      <c r="D69" s="23">
        <f>DONNEES!G536</f>
        <v>0</v>
      </c>
      <c r="E69" s="23">
        <f>DONNEES!H536</f>
        <v>0</v>
      </c>
      <c r="F69" s="130"/>
      <c r="G69" s="130"/>
      <c r="H69" s="130"/>
      <c r="I69" s="130"/>
      <c r="J69" s="130"/>
    </row>
    <row r="70" spans="1:10" ht="18" customHeight="1" x14ac:dyDescent="0.3">
      <c r="A70" s="687"/>
      <c r="B70" s="62">
        <f>DONNEES!B537</f>
        <v>0</v>
      </c>
      <c r="C70" s="62">
        <f>DONNEES!C537</f>
        <v>0</v>
      </c>
      <c r="D70" s="23">
        <f>DONNEES!G537</f>
        <v>0</v>
      </c>
      <c r="E70" s="23">
        <f>DONNEES!H537</f>
        <v>0</v>
      </c>
      <c r="F70" s="130"/>
      <c r="G70" s="130"/>
      <c r="H70" s="130"/>
      <c r="I70" s="130"/>
      <c r="J70" s="130"/>
    </row>
    <row r="71" spans="1:10" ht="18" customHeight="1" x14ac:dyDescent="0.3">
      <c r="A71" s="687"/>
      <c r="B71" s="62">
        <f>DONNEES!B538</f>
        <v>0</v>
      </c>
      <c r="C71" s="62">
        <f>DONNEES!C538</f>
        <v>0</v>
      </c>
      <c r="D71" s="23">
        <f>DONNEES!G538</f>
        <v>0</v>
      </c>
      <c r="E71" s="23">
        <f>DONNEES!H538</f>
        <v>0</v>
      </c>
      <c r="F71" s="130"/>
      <c r="G71" s="130"/>
      <c r="H71" s="130"/>
      <c r="I71" s="130"/>
      <c r="J71" s="130"/>
    </row>
    <row r="72" spans="1:10" ht="18" customHeight="1" x14ac:dyDescent="0.3">
      <c r="A72" s="687"/>
      <c r="B72" s="62">
        <f>DONNEES!B539</f>
        <v>0</v>
      </c>
      <c r="C72" s="62">
        <f>DONNEES!C539</f>
        <v>0</v>
      </c>
      <c r="D72" s="23">
        <f>DONNEES!G539</f>
        <v>0</v>
      </c>
      <c r="E72" s="23">
        <f>DONNEES!H539</f>
        <v>0</v>
      </c>
      <c r="F72" s="130"/>
      <c r="G72" s="130"/>
      <c r="H72" s="130"/>
      <c r="I72" s="130"/>
      <c r="J72" s="130"/>
    </row>
    <row r="73" spans="1:10" ht="18" customHeight="1" x14ac:dyDescent="0.3">
      <c r="A73" s="687"/>
      <c r="B73" s="62">
        <f>DONNEES!B540</f>
        <v>0</v>
      </c>
      <c r="C73" s="62">
        <f>DONNEES!C540</f>
        <v>0</v>
      </c>
      <c r="D73" s="23">
        <f>DONNEES!G540</f>
        <v>0</v>
      </c>
      <c r="E73" s="23">
        <f>DONNEES!H540</f>
        <v>0</v>
      </c>
      <c r="F73" s="130"/>
      <c r="G73" s="130"/>
      <c r="H73" s="130"/>
      <c r="I73" s="130"/>
      <c r="J73" s="130"/>
    </row>
    <row r="74" spans="1:10" ht="18" customHeight="1" x14ac:dyDescent="0.3">
      <c r="A74" s="687"/>
      <c r="B74" s="62">
        <f>DONNEES!B541</f>
        <v>0</v>
      </c>
      <c r="C74" s="62">
        <f>DONNEES!C541</f>
        <v>0</v>
      </c>
      <c r="D74" s="23">
        <f>DONNEES!G541</f>
        <v>0</v>
      </c>
      <c r="E74" s="23">
        <f>DONNEES!H541</f>
        <v>0</v>
      </c>
      <c r="F74" s="130"/>
      <c r="G74" s="130"/>
      <c r="H74" s="130"/>
      <c r="I74" s="130"/>
      <c r="J74" s="130"/>
    </row>
    <row r="75" spans="1:10" ht="18" customHeight="1" x14ac:dyDescent="0.3">
      <c r="A75" s="687"/>
      <c r="B75" s="62">
        <f>DONNEES!B542</f>
        <v>0</v>
      </c>
      <c r="C75" s="62">
        <f>DONNEES!C542</f>
        <v>0</v>
      </c>
      <c r="D75" s="23">
        <f>DONNEES!G542</f>
        <v>0</v>
      </c>
      <c r="E75" s="23">
        <f>DONNEES!H542</f>
        <v>0</v>
      </c>
      <c r="F75" s="130"/>
      <c r="G75" s="130"/>
      <c r="H75" s="130"/>
      <c r="I75" s="130"/>
      <c r="J75" s="130"/>
    </row>
    <row r="76" spans="1:10" ht="18" customHeight="1" x14ac:dyDescent="0.3">
      <c r="A76" s="687"/>
      <c r="B76" s="62">
        <f>DONNEES!B543</f>
        <v>0</v>
      </c>
      <c r="C76" s="62">
        <f>DONNEES!C543</f>
        <v>0</v>
      </c>
      <c r="D76" s="23">
        <f>DONNEES!G543</f>
        <v>0</v>
      </c>
      <c r="E76" s="23">
        <f>DONNEES!H543</f>
        <v>0</v>
      </c>
      <c r="F76" s="130"/>
      <c r="G76" s="130"/>
      <c r="H76" s="130"/>
      <c r="I76" s="130"/>
      <c r="J76" s="130"/>
    </row>
    <row r="77" spans="1:10" ht="18" customHeight="1" x14ac:dyDescent="0.3">
      <c r="A77" s="687"/>
      <c r="B77" s="62">
        <f>DONNEES!B544</f>
        <v>0</v>
      </c>
      <c r="C77" s="62">
        <f>DONNEES!C544</f>
        <v>0</v>
      </c>
      <c r="D77" s="23">
        <f>DONNEES!G544</f>
        <v>0</v>
      </c>
      <c r="E77" s="23">
        <f>DONNEES!H544</f>
        <v>0</v>
      </c>
      <c r="F77" s="130"/>
      <c r="G77" s="130"/>
      <c r="H77" s="130"/>
      <c r="I77" s="130"/>
      <c r="J77" s="130"/>
    </row>
    <row r="78" spans="1:10" ht="18" customHeight="1" x14ac:dyDescent="0.3">
      <c r="A78" s="687"/>
      <c r="B78" s="62">
        <f>DONNEES!B545</f>
        <v>0</v>
      </c>
      <c r="C78" s="62">
        <f>DONNEES!C545</f>
        <v>0</v>
      </c>
      <c r="D78" s="23">
        <f>DONNEES!G545</f>
        <v>0</v>
      </c>
      <c r="E78" s="23">
        <f>DONNEES!H545</f>
        <v>0</v>
      </c>
      <c r="F78" s="130"/>
      <c r="G78" s="130"/>
      <c r="H78" s="130"/>
      <c r="I78" s="130"/>
      <c r="J78" s="130"/>
    </row>
    <row r="79" spans="1:10" ht="18" customHeight="1" x14ac:dyDescent="0.3">
      <c r="A79" s="687" t="s">
        <v>560</v>
      </c>
      <c r="B79" s="62">
        <f>DONNEES!B656</f>
        <v>0</v>
      </c>
      <c r="C79" s="62">
        <f>DONNEES!C656</f>
        <v>0</v>
      </c>
      <c r="D79" s="23">
        <f>DONNEES!G656</f>
        <v>0</v>
      </c>
      <c r="E79" s="23">
        <f>DONNEES!H656</f>
        <v>0</v>
      </c>
      <c r="F79" s="130"/>
      <c r="G79" s="130"/>
      <c r="H79" s="130"/>
      <c r="I79" s="130"/>
      <c r="J79" s="130"/>
    </row>
    <row r="80" spans="1:10" ht="18" customHeight="1" x14ac:dyDescent="0.3">
      <c r="A80" s="687"/>
      <c r="B80" s="62">
        <f>DONNEES!B657</f>
        <v>0</v>
      </c>
      <c r="C80" s="62">
        <f>DONNEES!C657</f>
        <v>0</v>
      </c>
      <c r="D80" s="23">
        <f>DONNEES!G657</f>
        <v>0</v>
      </c>
      <c r="E80" s="23">
        <f>DONNEES!H657</f>
        <v>0</v>
      </c>
      <c r="F80" s="130"/>
      <c r="G80" s="130"/>
      <c r="H80" s="130"/>
      <c r="I80" s="130"/>
      <c r="J80" s="130"/>
    </row>
    <row r="81" spans="1:10" ht="18" customHeight="1" x14ac:dyDescent="0.3">
      <c r="A81" s="687"/>
      <c r="B81" s="62">
        <f>DONNEES!B658</f>
        <v>0</v>
      </c>
      <c r="C81" s="62">
        <f>DONNEES!C658</f>
        <v>0</v>
      </c>
      <c r="D81" s="23">
        <f>DONNEES!G658</f>
        <v>0</v>
      </c>
      <c r="E81" s="23">
        <f>DONNEES!H658</f>
        <v>0</v>
      </c>
      <c r="F81" s="130"/>
      <c r="G81" s="130"/>
      <c r="H81" s="130"/>
      <c r="I81" s="130"/>
      <c r="J81" s="130"/>
    </row>
    <row r="82" spans="1:10" ht="18" customHeight="1" x14ac:dyDescent="0.3">
      <c r="A82" s="687"/>
      <c r="B82" s="62">
        <f>DONNEES!B659</f>
        <v>0</v>
      </c>
      <c r="C82" s="62">
        <f>DONNEES!C659</f>
        <v>0</v>
      </c>
      <c r="D82" s="23">
        <f>DONNEES!G659</f>
        <v>0</v>
      </c>
      <c r="E82" s="23">
        <f>DONNEES!H659</f>
        <v>0</v>
      </c>
      <c r="F82" s="130"/>
      <c r="G82" s="130"/>
      <c r="H82" s="130"/>
      <c r="I82" s="130"/>
      <c r="J82" s="130"/>
    </row>
    <row r="83" spans="1:10" ht="18" customHeight="1" x14ac:dyDescent="0.3">
      <c r="A83" s="687"/>
      <c r="B83" s="62">
        <f>DONNEES!B660</f>
        <v>0</v>
      </c>
      <c r="C83" s="62">
        <f>DONNEES!C660</f>
        <v>0</v>
      </c>
      <c r="D83" s="23">
        <f>DONNEES!G660</f>
        <v>0</v>
      </c>
      <c r="E83" s="23">
        <f>DONNEES!H660</f>
        <v>0</v>
      </c>
      <c r="F83" s="130"/>
      <c r="G83" s="130"/>
      <c r="H83" s="130"/>
      <c r="I83" s="130"/>
      <c r="J83" s="130"/>
    </row>
    <row r="84" spans="1:10" ht="18" customHeight="1" x14ac:dyDescent="0.3">
      <c r="A84" s="687"/>
      <c r="B84" s="62">
        <f>DONNEES!B661</f>
        <v>0</v>
      </c>
      <c r="C84" s="62">
        <f>DONNEES!C661</f>
        <v>0</v>
      </c>
      <c r="D84" s="23">
        <f>DONNEES!G661</f>
        <v>0</v>
      </c>
      <c r="E84" s="23">
        <f>DONNEES!H661</f>
        <v>0</v>
      </c>
      <c r="F84" s="130"/>
      <c r="G84" s="130"/>
      <c r="H84" s="130"/>
      <c r="I84" s="130"/>
      <c r="J84" s="130"/>
    </row>
    <row r="85" spans="1:10" ht="18" customHeight="1" x14ac:dyDescent="0.3">
      <c r="A85" s="687"/>
      <c r="B85" s="62">
        <f>DONNEES!B662</f>
        <v>0</v>
      </c>
      <c r="C85" s="62">
        <f>DONNEES!C662</f>
        <v>0</v>
      </c>
      <c r="D85" s="23">
        <f>DONNEES!G662</f>
        <v>0</v>
      </c>
      <c r="E85" s="23">
        <f>DONNEES!H662</f>
        <v>0</v>
      </c>
      <c r="F85" s="130"/>
      <c r="G85" s="130"/>
      <c r="H85" s="130"/>
      <c r="I85" s="130"/>
      <c r="J85" s="130"/>
    </row>
    <row r="86" spans="1:10" ht="18" customHeight="1" x14ac:dyDescent="0.3">
      <c r="A86" s="687"/>
      <c r="B86" s="62">
        <f>DONNEES!B663</f>
        <v>0</v>
      </c>
      <c r="C86" s="62">
        <f>DONNEES!C663</f>
        <v>0</v>
      </c>
      <c r="D86" s="23">
        <f>DONNEES!G663</f>
        <v>0</v>
      </c>
      <c r="E86" s="23">
        <f>DONNEES!H663</f>
        <v>0</v>
      </c>
      <c r="F86" s="130"/>
      <c r="G86" s="130"/>
      <c r="H86" s="130"/>
      <c r="I86" s="130"/>
      <c r="J86" s="130"/>
    </row>
    <row r="87" spans="1:10" ht="18" customHeight="1" x14ac:dyDescent="0.3">
      <c r="A87" s="687"/>
      <c r="B87" s="62">
        <f>DONNEES!B664</f>
        <v>0</v>
      </c>
      <c r="C87" s="62">
        <f>DONNEES!C664</f>
        <v>0</v>
      </c>
      <c r="D87" s="23">
        <f>DONNEES!G664</f>
        <v>0</v>
      </c>
      <c r="E87" s="23">
        <f>DONNEES!H664</f>
        <v>0</v>
      </c>
      <c r="F87" s="130"/>
      <c r="G87" s="130"/>
      <c r="H87" s="130"/>
      <c r="I87" s="130"/>
      <c r="J87" s="130"/>
    </row>
    <row r="88" spans="1:10" ht="18" customHeight="1" x14ac:dyDescent="0.3">
      <c r="A88" s="687"/>
      <c r="B88" s="62">
        <f>DONNEES!B665</f>
        <v>0</v>
      </c>
      <c r="C88" s="62">
        <f>DONNEES!C665</f>
        <v>0</v>
      </c>
      <c r="D88" s="23">
        <f>DONNEES!G665</f>
        <v>0</v>
      </c>
      <c r="E88" s="23">
        <f>DONNEES!H665</f>
        <v>0</v>
      </c>
      <c r="F88" s="130"/>
      <c r="G88" s="130"/>
      <c r="H88" s="130"/>
      <c r="I88" s="130"/>
      <c r="J88" s="130"/>
    </row>
    <row r="89" spans="1:10" ht="18" customHeight="1" x14ac:dyDescent="0.3">
      <c r="A89" s="687" t="s">
        <v>561</v>
      </c>
      <c r="B89" s="62">
        <f>DONNEES!B776</f>
        <v>0</v>
      </c>
      <c r="C89" s="62">
        <f>DONNEES!C776</f>
        <v>0</v>
      </c>
      <c r="D89" s="23">
        <f>DONNEES!G776</f>
        <v>0</v>
      </c>
      <c r="E89" s="23">
        <f>DONNEES!H776</f>
        <v>0</v>
      </c>
      <c r="F89" s="130"/>
      <c r="G89" s="130"/>
      <c r="H89" s="130"/>
      <c r="I89" s="130"/>
      <c r="J89" s="130"/>
    </row>
    <row r="90" spans="1:10" ht="18" customHeight="1" x14ac:dyDescent="0.3">
      <c r="A90" s="687"/>
      <c r="B90" s="62">
        <f>DONNEES!B777</f>
        <v>0</v>
      </c>
      <c r="C90" s="62">
        <f>DONNEES!C777</f>
        <v>0</v>
      </c>
      <c r="D90" s="23">
        <f>DONNEES!G777</f>
        <v>0</v>
      </c>
      <c r="E90" s="23">
        <f>DONNEES!H777</f>
        <v>0</v>
      </c>
      <c r="F90" s="130"/>
      <c r="G90" s="130"/>
      <c r="H90" s="130"/>
      <c r="I90" s="130"/>
      <c r="J90" s="130"/>
    </row>
    <row r="91" spans="1:10" ht="18" customHeight="1" x14ac:dyDescent="0.3">
      <c r="A91" s="687"/>
      <c r="B91" s="62">
        <f>DONNEES!B778</f>
        <v>0</v>
      </c>
      <c r="C91" s="62">
        <f>DONNEES!C778</f>
        <v>0</v>
      </c>
      <c r="D91" s="23">
        <f>DONNEES!G778</f>
        <v>0</v>
      </c>
      <c r="E91" s="23">
        <f>DONNEES!H778</f>
        <v>0</v>
      </c>
      <c r="F91" s="130"/>
      <c r="G91" s="130"/>
      <c r="H91" s="130"/>
      <c r="I91" s="130"/>
      <c r="J91" s="130"/>
    </row>
    <row r="92" spans="1:10" ht="18" customHeight="1" x14ac:dyDescent="0.3">
      <c r="A92" s="687"/>
      <c r="B92" s="62">
        <f>DONNEES!B779</f>
        <v>0</v>
      </c>
      <c r="C92" s="62">
        <f>DONNEES!C779</f>
        <v>0</v>
      </c>
      <c r="D92" s="23">
        <f>DONNEES!G779</f>
        <v>0</v>
      </c>
      <c r="E92" s="23">
        <f>DONNEES!H779</f>
        <v>0</v>
      </c>
      <c r="F92" s="130"/>
      <c r="G92" s="130"/>
      <c r="H92" s="130"/>
      <c r="I92" s="130"/>
      <c r="J92" s="130"/>
    </row>
    <row r="93" spans="1:10" ht="18" customHeight="1" x14ac:dyDescent="0.3">
      <c r="A93" s="687"/>
      <c r="B93" s="62">
        <f>DONNEES!B780</f>
        <v>0</v>
      </c>
      <c r="C93" s="62">
        <f>DONNEES!C780</f>
        <v>0</v>
      </c>
      <c r="D93" s="23">
        <f>DONNEES!G780</f>
        <v>0</v>
      </c>
      <c r="E93" s="23">
        <f>DONNEES!H780</f>
        <v>0</v>
      </c>
      <c r="F93" s="130"/>
      <c r="G93" s="130"/>
      <c r="H93" s="130"/>
      <c r="I93" s="130"/>
      <c r="J93" s="130"/>
    </row>
    <row r="94" spans="1:10" ht="18" customHeight="1" x14ac:dyDescent="0.3">
      <c r="A94" s="687"/>
      <c r="B94" s="62">
        <f>DONNEES!B781</f>
        <v>0</v>
      </c>
      <c r="C94" s="62">
        <f>DONNEES!C781</f>
        <v>0</v>
      </c>
      <c r="D94" s="23">
        <f>DONNEES!G781</f>
        <v>0</v>
      </c>
      <c r="E94" s="23">
        <f>DONNEES!H781</f>
        <v>0</v>
      </c>
      <c r="F94" s="130"/>
      <c r="G94" s="130"/>
      <c r="H94" s="130"/>
      <c r="I94" s="130"/>
      <c r="J94" s="130"/>
    </row>
    <row r="95" spans="1:10" ht="18" customHeight="1" x14ac:dyDescent="0.3">
      <c r="A95" s="687"/>
      <c r="B95" s="62">
        <f>DONNEES!B782</f>
        <v>0</v>
      </c>
      <c r="C95" s="62">
        <f>DONNEES!C782</f>
        <v>0</v>
      </c>
      <c r="D95" s="23">
        <f>DONNEES!G782</f>
        <v>0</v>
      </c>
      <c r="E95" s="23">
        <f>DONNEES!H782</f>
        <v>0</v>
      </c>
      <c r="F95" s="130"/>
      <c r="G95" s="130"/>
      <c r="H95" s="130"/>
      <c r="I95" s="130"/>
      <c r="J95" s="130"/>
    </row>
    <row r="96" spans="1:10" ht="18" customHeight="1" x14ac:dyDescent="0.3">
      <c r="A96" s="687"/>
      <c r="B96" s="62">
        <f>DONNEES!B783</f>
        <v>0</v>
      </c>
      <c r="C96" s="62">
        <f>DONNEES!C783</f>
        <v>0</v>
      </c>
      <c r="D96" s="23">
        <f>DONNEES!G783</f>
        <v>0</v>
      </c>
      <c r="E96" s="23">
        <f>DONNEES!H783</f>
        <v>0</v>
      </c>
      <c r="F96" s="130"/>
      <c r="G96" s="130"/>
      <c r="H96" s="130"/>
      <c r="I96" s="130"/>
      <c r="J96" s="130"/>
    </row>
    <row r="97" spans="1:13" ht="18" customHeight="1" x14ac:dyDescent="0.3">
      <c r="A97" s="687"/>
      <c r="B97" s="62">
        <f>DONNEES!B784</f>
        <v>0</v>
      </c>
      <c r="C97" s="62">
        <f>DONNEES!C784</f>
        <v>0</v>
      </c>
      <c r="D97" s="23">
        <f>DONNEES!G784</f>
        <v>0</v>
      </c>
      <c r="E97" s="23">
        <f>DONNEES!H784</f>
        <v>0</v>
      </c>
      <c r="F97" s="130"/>
      <c r="G97" s="130"/>
      <c r="H97" s="130"/>
      <c r="I97" s="130"/>
      <c r="J97" s="130"/>
    </row>
    <row r="98" spans="1:13" ht="18" customHeight="1" x14ac:dyDescent="0.3">
      <c r="A98" s="687"/>
      <c r="B98" s="62">
        <f>DONNEES!B785</f>
        <v>0</v>
      </c>
      <c r="C98" s="62">
        <f>DONNEES!C785</f>
        <v>0</v>
      </c>
      <c r="D98" s="23">
        <f>DONNEES!G785</f>
        <v>0</v>
      </c>
      <c r="E98" s="23">
        <f>DONNEES!H785</f>
        <v>0</v>
      </c>
      <c r="F98" s="130"/>
      <c r="G98" s="130"/>
      <c r="H98" s="130"/>
      <c r="I98" s="130"/>
      <c r="J98" s="130"/>
    </row>
    <row r="99" spans="1:13" ht="18" customHeight="1" x14ac:dyDescent="0.3">
      <c r="A99" s="130"/>
      <c r="B99" s="130"/>
      <c r="C99" s="130"/>
      <c r="D99" s="176">
        <f>SUM(D28:D98)</f>
        <v>260000</v>
      </c>
      <c r="E99" s="176">
        <f>SUM(E28:E98)</f>
        <v>0</v>
      </c>
      <c r="F99" s="130"/>
      <c r="G99" s="130"/>
      <c r="H99" s="130"/>
      <c r="I99" s="130"/>
      <c r="J99" s="130"/>
    </row>
    <row r="100" spans="1:13" ht="18" customHeight="1" x14ac:dyDescent="0.3">
      <c r="A100" s="130"/>
      <c r="E100" s="130"/>
      <c r="F100" s="130"/>
      <c r="G100" s="130"/>
      <c r="H100" s="130"/>
      <c r="I100" s="130"/>
      <c r="J100" s="130"/>
    </row>
    <row r="101" spans="1:13" ht="18" customHeight="1" x14ac:dyDescent="0.3">
      <c r="A101" s="130"/>
      <c r="B101" s="690" t="s">
        <v>18</v>
      </c>
      <c r="C101" s="693"/>
      <c r="D101" s="694"/>
      <c r="E101" s="695" t="s">
        <v>172</v>
      </c>
      <c r="F101" s="695" t="s">
        <v>172</v>
      </c>
      <c r="G101" s="671" t="s">
        <v>71</v>
      </c>
      <c r="H101" s="671" t="s">
        <v>31</v>
      </c>
      <c r="I101" s="130"/>
      <c r="J101" s="130"/>
    </row>
    <row r="102" spans="1:13" ht="28.5" customHeight="1" x14ac:dyDescent="0.3">
      <c r="A102" s="130"/>
      <c r="B102" s="691"/>
      <c r="C102" s="672" t="s">
        <v>30</v>
      </c>
      <c r="D102" s="672"/>
      <c r="E102" s="696"/>
      <c r="F102" s="696"/>
      <c r="G102" s="671"/>
      <c r="H102" s="671"/>
      <c r="I102" s="130"/>
      <c r="J102" s="130"/>
    </row>
    <row r="103" spans="1:13" ht="18" customHeight="1" x14ac:dyDescent="0.3">
      <c r="A103" s="130"/>
      <c r="B103" s="692"/>
      <c r="C103" s="188">
        <f>C10</f>
        <v>0.2</v>
      </c>
      <c r="D103" s="188">
        <f>D10</f>
        <v>0.1</v>
      </c>
      <c r="E103" s="30">
        <f>C10</f>
        <v>0.2</v>
      </c>
      <c r="F103" s="30">
        <f>D10</f>
        <v>0.1</v>
      </c>
      <c r="G103" s="671"/>
      <c r="H103" s="671"/>
      <c r="I103" s="130"/>
      <c r="J103" s="130"/>
    </row>
    <row r="104" spans="1:13" ht="18" customHeight="1" x14ac:dyDescent="0.3">
      <c r="A104" s="337">
        <v>1</v>
      </c>
      <c r="B104" s="11" t="s">
        <v>582</v>
      </c>
      <c r="C104" s="380"/>
      <c r="D104" s="380"/>
      <c r="E104" s="588"/>
      <c r="F104" s="408"/>
      <c r="G104" s="33">
        <f>E104+F104</f>
        <v>0</v>
      </c>
      <c r="H104" s="34"/>
      <c r="I104" s="130"/>
      <c r="J104" s="130"/>
    </row>
    <row r="105" spans="1:13" ht="18" hidden="1" customHeight="1" x14ac:dyDescent="0.3">
      <c r="A105" s="556" t="s">
        <v>184</v>
      </c>
      <c r="B105" s="11" t="str">
        <f>"Avance"&amp;" "&amp;B120</f>
        <v>Avance TO 1 HT</v>
      </c>
      <c r="C105" s="380"/>
      <c r="D105" s="380"/>
      <c r="E105" s="588"/>
      <c r="F105" s="408"/>
      <c r="G105" s="33"/>
      <c r="H105" s="34"/>
      <c r="I105" s="130"/>
      <c r="J105" s="130"/>
    </row>
    <row r="106" spans="1:13" ht="18" hidden="1" customHeight="1" x14ac:dyDescent="0.3">
      <c r="A106" s="556" t="s">
        <v>186</v>
      </c>
      <c r="B106" s="11" t="str">
        <f t="shared" ref="B106:B109" si="1">"Avance"&amp;" "&amp;B121</f>
        <v>Avance TO 2 HT</v>
      </c>
      <c r="C106" s="380"/>
      <c r="D106" s="380"/>
      <c r="E106" s="588"/>
      <c r="F106" s="408"/>
      <c r="G106" s="33"/>
      <c r="H106" s="34"/>
      <c r="I106" s="130"/>
      <c r="J106" s="130"/>
    </row>
    <row r="107" spans="1:13" ht="18" hidden="1" customHeight="1" x14ac:dyDescent="0.3">
      <c r="A107" s="556" t="s">
        <v>571</v>
      </c>
      <c r="B107" s="11" t="str">
        <f t="shared" si="1"/>
        <v>Avance TO 3 HT</v>
      </c>
      <c r="C107" s="380"/>
      <c r="D107" s="380"/>
      <c r="E107" s="588"/>
      <c r="F107" s="408"/>
      <c r="G107" s="33"/>
      <c r="H107" s="34"/>
      <c r="I107" s="130"/>
      <c r="J107" s="130"/>
    </row>
    <row r="108" spans="1:13" ht="18" hidden="1" customHeight="1" x14ac:dyDescent="0.3">
      <c r="A108" s="556" t="s">
        <v>572</v>
      </c>
      <c r="B108" s="11" t="str">
        <f t="shared" si="1"/>
        <v>Avance TO 4 HT</v>
      </c>
      <c r="C108" s="380"/>
      <c r="D108" s="380"/>
      <c r="E108" s="588"/>
      <c r="F108" s="408"/>
      <c r="G108" s="33"/>
      <c r="H108" s="34"/>
      <c r="I108" s="130"/>
      <c r="J108" s="130"/>
    </row>
    <row r="109" spans="1:13" ht="18" hidden="1" customHeight="1" x14ac:dyDescent="0.3">
      <c r="A109" s="556" t="s">
        <v>573</v>
      </c>
      <c r="B109" s="11" t="str">
        <f t="shared" si="1"/>
        <v>Avance TO 5 HT</v>
      </c>
      <c r="C109" s="380"/>
      <c r="D109" s="380"/>
      <c r="E109" s="588"/>
      <c r="F109" s="408"/>
      <c r="G109" s="33"/>
      <c r="H109" s="34"/>
      <c r="I109" s="130"/>
      <c r="J109" s="130"/>
    </row>
    <row r="110" spans="1:13" ht="18" hidden="1" customHeight="1" x14ac:dyDescent="0.3">
      <c r="A110" s="556" t="s">
        <v>574</v>
      </c>
      <c r="B110" s="11" t="str">
        <f>"Avance"&amp;" "&amp;B125</f>
        <v>Avance TO 6 HT</v>
      </c>
      <c r="C110" s="380"/>
      <c r="D110" s="380"/>
      <c r="E110" s="588"/>
      <c r="F110" s="408"/>
      <c r="G110" s="33"/>
      <c r="H110" s="34"/>
      <c r="I110" s="130"/>
      <c r="J110" s="130"/>
    </row>
    <row r="111" spans="1:13" ht="18.75" x14ac:dyDescent="0.3">
      <c r="A111" s="337" t="s">
        <v>575</v>
      </c>
      <c r="B111" s="347" t="s">
        <v>468</v>
      </c>
      <c r="C111" s="408"/>
      <c r="D111" s="410"/>
      <c r="E111" s="408"/>
      <c r="F111" s="408"/>
      <c r="G111" s="33">
        <f>C111+D111+E111+F111</f>
        <v>0</v>
      </c>
      <c r="H111" s="34"/>
      <c r="I111" s="130"/>
      <c r="J111" s="130"/>
    </row>
    <row r="112" spans="1:13" ht="18" customHeight="1" x14ac:dyDescent="0.3">
      <c r="A112" s="337" t="s">
        <v>186</v>
      </c>
      <c r="B112" s="72" t="s">
        <v>583</v>
      </c>
      <c r="C112" s="408"/>
      <c r="D112" s="409"/>
      <c r="E112" s="408"/>
      <c r="F112" s="408"/>
      <c r="G112" s="33">
        <f>E112+F112+C112+D112</f>
        <v>0</v>
      </c>
      <c r="H112" s="475">
        <f>IFERROR((C112+D112+E112+F112)/(G104-G111),0)</f>
        <v>0</v>
      </c>
      <c r="J112" s="130"/>
      <c r="M112" s="474"/>
    </row>
    <row r="113" spans="1:13" ht="18" hidden="1" customHeight="1" x14ac:dyDescent="0.3">
      <c r="A113" s="556"/>
      <c r="B113" s="72" t="str">
        <f>"Remboursement"&amp;" "&amp;B105</f>
        <v>Remboursement Avance TO 1 HT</v>
      </c>
      <c r="C113" s="408"/>
      <c r="D113" s="409"/>
      <c r="E113" s="408"/>
      <c r="F113" s="408"/>
      <c r="G113" s="33"/>
      <c r="H113" s="475"/>
      <c r="J113" s="130"/>
      <c r="M113" s="474"/>
    </row>
    <row r="114" spans="1:13" ht="18" hidden="1" customHeight="1" x14ac:dyDescent="0.3">
      <c r="A114" s="556"/>
      <c r="B114" s="72" t="str">
        <f t="shared" ref="B114:B118" si="2">"Remboursement"&amp;" "&amp;B106</f>
        <v>Remboursement Avance TO 2 HT</v>
      </c>
      <c r="C114" s="408"/>
      <c r="D114" s="409"/>
      <c r="E114" s="408"/>
      <c r="F114" s="408"/>
      <c r="G114" s="33"/>
      <c r="H114" s="475"/>
      <c r="J114" s="130"/>
      <c r="M114" s="474"/>
    </row>
    <row r="115" spans="1:13" ht="18" hidden="1" customHeight="1" x14ac:dyDescent="0.3">
      <c r="A115" s="556"/>
      <c r="B115" s="72" t="str">
        <f t="shared" si="2"/>
        <v>Remboursement Avance TO 3 HT</v>
      </c>
      <c r="C115" s="408"/>
      <c r="D115" s="409"/>
      <c r="E115" s="408"/>
      <c r="F115" s="408"/>
      <c r="G115" s="33"/>
      <c r="H115" s="475"/>
      <c r="J115" s="130"/>
      <c r="M115" s="474"/>
    </row>
    <row r="116" spans="1:13" ht="18" hidden="1" customHeight="1" x14ac:dyDescent="0.3">
      <c r="A116" s="556"/>
      <c r="B116" s="72" t="str">
        <f t="shared" si="2"/>
        <v>Remboursement Avance TO 4 HT</v>
      </c>
      <c r="C116" s="408"/>
      <c r="D116" s="409"/>
      <c r="E116" s="408"/>
      <c r="F116" s="408"/>
      <c r="G116" s="33"/>
      <c r="H116" s="475"/>
      <c r="J116" s="130"/>
      <c r="M116" s="474"/>
    </row>
    <row r="117" spans="1:13" ht="18" hidden="1" customHeight="1" x14ac:dyDescent="0.3">
      <c r="A117" s="556"/>
      <c r="B117" s="72" t="str">
        <f t="shared" si="2"/>
        <v>Remboursement Avance TO 5 HT</v>
      </c>
      <c r="C117" s="408"/>
      <c r="D117" s="409"/>
      <c r="E117" s="408"/>
      <c r="F117" s="408"/>
      <c r="G117" s="33"/>
      <c r="H117" s="475"/>
      <c r="J117" s="130"/>
      <c r="M117" s="474"/>
    </row>
    <row r="118" spans="1:13" ht="18" hidden="1" customHeight="1" x14ac:dyDescent="0.3">
      <c r="A118" s="556"/>
      <c r="B118" s="72" t="str">
        <f t="shared" si="2"/>
        <v>Remboursement Avance TO 6 HT</v>
      </c>
      <c r="C118" s="408"/>
      <c r="D118" s="409"/>
      <c r="E118" s="408"/>
      <c r="F118" s="408"/>
      <c r="G118" s="33"/>
      <c r="H118" s="475"/>
      <c r="J118" s="130"/>
      <c r="M118" s="474"/>
    </row>
    <row r="119" spans="1:13" ht="18" customHeight="1" x14ac:dyDescent="0.3">
      <c r="A119" s="337" t="s">
        <v>20</v>
      </c>
      <c r="B119" s="11" t="s">
        <v>21</v>
      </c>
      <c r="C119" s="408"/>
      <c r="D119" s="408"/>
      <c r="E119" s="408"/>
      <c r="F119" s="408"/>
      <c r="G119" s="33">
        <f>E119+C119+D119+F119</f>
        <v>0</v>
      </c>
      <c r="H119" s="475">
        <f t="shared" ref="H119:H126" si="3">IFERROR((E119+C119+D119+F119)/E11,0)</f>
        <v>0</v>
      </c>
      <c r="I119" s="663" t="str">
        <f>IF(AND($G$104&lt;&gt;0,H119&gt;'RECUP AVANCE TITULAIRE '!I19),"PENSEZ A VERIFIER SI IL FAUT FAIRE UN REMBOURSEMENT","")</f>
        <v/>
      </c>
      <c r="J119" s="664"/>
      <c r="K119" s="664"/>
      <c r="L119" s="664"/>
      <c r="M119" s="664"/>
    </row>
    <row r="120" spans="1:13" ht="18" hidden="1" customHeight="1" x14ac:dyDescent="0.3">
      <c r="A120" s="337" t="s">
        <v>25</v>
      </c>
      <c r="B120" s="11" t="s">
        <v>22</v>
      </c>
      <c r="C120" s="408"/>
      <c r="D120" s="408"/>
      <c r="E120" s="408"/>
      <c r="F120" s="408"/>
      <c r="G120" s="33">
        <f>E120+C120+D120+F120</f>
        <v>0</v>
      </c>
      <c r="H120" s="475">
        <f t="shared" si="3"/>
        <v>0</v>
      </c>
      <c r="I120" s="663" t="str">
        <f>IF(AND($G$104&lt;&gt;0,H120&gt;'RECUP AVANCE TITULAIRE '!I19),"PENSEZ A VERIFIER SI IL FAUT FAIRE UN REMBOURSEMENT","")</f>
        <v/>
      </c>
      <c r="J120" s="664"/>
      <c r="K120" s="664"/>
      <c r="L120" s="664"/>
      <c r="M120" s="664"/>
    </row>
    <row r="121" spans="1:13" ht="18" hidden="1" customHeight="1" x14ac:dyDescent="0.3">
      <c r="A121" s="337" t="s">
        <v>26</v>
      </c>
      <c r="B121" s="11" t="s">
        <v>23</v>
      </c>
      <c r="C121" s="408"/>
      <c r="D121" s="408"/>
      <c r="E121" s="408"/>
      <c r="F121" s="408"/>
      <c r="G121" s="33">
        <f>E121+C121+D121+F121</f>
        <v>0</v>
      </c>
      <c r="H121" s="475">
        <f t="shared" si="3"/>
        <v>0</v>
      </c>
      <c r="I121" s="663" t="str">
        <f>IF(AND($G$104&lt;&gt;0,H121&gt;'RECUP AVANCE TITULAIRE '!I19),"PENSEZ A VERIFIER SI IL FAUT FAIRE UN REMBOURSEMENT","")</f>
        <v/>
      </c>
      <c r="J121" s="664"/>
      <c r="K121" s="664"/>
      <c r="L121" s="664"/>
      <c r="M121" s="664"/>
    </row>
    <row r="122" spans="1:13" ht="18" hidden="1" customHeight="1" x14ac:dyDescent="0.3">
      <c r="A122" s="337" t="s">
        <v>27</v>
      </c>
      <c r="B122" s="11" t="s">
        <v>24</v>
      </c>
      <c r="C122" s="408"/>
      <c r="D122" s="408"/>
      <c r="E122" s="408"/>
      <c r="F122" s="408"/>
      <c r="G122" s="33">
        <f>E122+C122+D122+F122</f>
        <v>0</v>
      </c>
      <c r="H122" s="475">
        <f t="shared" si="3"/>
        <v>0</v>
      </c>
      <c r="I122" s="663" t="str">
        <f>IF(AND($G$104&lt;&gt;0,H122&gt;'RECUP AVANCE TITULAIRE '!I19),"PENSEZ A VERIFIER SI IL FAUT FAIRE UN REMBOURSEMENT","")</f>
        <v/>
      </c>
      <c r="J122" s="664"/>
      <c r="K122" s="664"/>
      <c r="L122" s="664"/>
      <c r="M122" s="664"/>
    </row>
    <row r="123" spans="1:13" ht="18" hidden="1" customHeight="1" x14ac:dyDescent="0.3">
      <c r="A123" s="547" t="s">
        <v>29</v>
      </c>
      <c r="B123" s="11" t="s">
        <v>564</v>
      </c>
      <c r="C123" s="408"/>
      <c r="D123" s="408"/>
      <c r="E123" s="408"/>
      <c r="F123" s="408"/>
      <c r="G123" s="33">
        <f t="shared" ref="G123:G125" si="4">E123+C123+D123+F123</f>
        <v>0</v>
      </c>
      <c r="H123" s="475">
        <f t="shared" si="3"/>
        <v>0</v>
      </c>
      <c r="I123" s="663" t="str">
        <f>IF(AND($G$104&lt;&gt;0,H123&gt;'RECUP AVANCE TITULAIRE '!I20),"PENSEZ A VERIFIER SI IL FAUT FAIRE UN REMBOURSEMENT","")</f>
        <v/>
      </c>
      <c r="J123" s="664"/>
      <c r="K123" s="664"/>
      <c r="L123" s="664"/>
      <c r="M123" s="664"/>
    </row>
    <row r="124" spans="1:13" ht="18" hidden="1" customHeight="1" x14ac:dyDescent="0.3">
      <c r="A124" s="547" t="s">
        <v>562</v>
      </c>
      <c r="B124" s="11" t="s">
        <v>565</v>
      </c>
      <c r="C124" s="408"/>
      <c r="D124" s="408"/>
      <c r="E124" s="408"/>
      <c r="F124" s="408"/>
      <c r="G124" s="33">
        <f t="shared" si="4"/>
        <v>0</v>
      </c>
      <c r="H124" s="475">
        <f t="shared" si="3"/>
        <v>0</v>
      </c>
      <c r="I124" s="663" t="str">
        <f>IF(AND($G$104&lt;&gt;0,H124&gt;'RECUP AVANCE TITULAIRE '!I21),"PENSEZ A VERIFIER SI IL FAUT FAIRE UN REMBOURSEMENT","")</f>
        <v/>
      </c>
      <c r="J124" s="664"/>
      <c r="K124" s="664"/>
      <c r="L124" s="664"/>
      <c r="M124" s="664"/>
    </row>
    <row r="125" spans="1:13" ht="18" hidden="1" customHeight="1" x14ac:dyDescent="0.3">
      <c r="A125" s="547" t="s">
        <v>563</v>
      </c>
      <c r="B125" s="11" t="s">
        <v>566</v>
      </c>
      <c r="C125" s="408"/>
      <c r="D125" s="408"/>
      <c r="E125" s="408"/>
      <c r="F125" s="408"/>
      <c r="G125" s="33">
        <f t="shared" si="4"/>
        <v>0</v>
      </c>
      <c r="H125" s="475">
        <f t="shared" si="3"/>
        <v>0</v>
      </c>
      <c r="I125" s="663" t="str">
        <f>IF(AND($G$104&lt;&gt;0,H125&gt;'RECUP AVANCE TITULAIRE '!I22),"PENSEZ A VERIFIER SI IL FAUT FAIRE UN REMBOURSEMENT","")</f>
        <v/>
      </c>
      <c r="J125" s="664"/>
      <c r="K125" s="664"/>
      <c r="L125" s="664"/>
      <c r="M125" s="664"/>
    </row>
    <row r="126" spans="1:13" ht="18" customHeight="1" x14ac:dyDescent="0.3">
      <c r="A126" s="337" t="s">
        <v>29</v>
      </c>
      <c r="B126" s="11" t="s">
        <v>28</v>
      </c>
      <c r="C126" s="408"/>
      <c r="D126" s="408"/>
      <c r="E126" s="408"/>
      <c r="F126" s="408"/>
      <c r="G126" s="33">
        <f>E126+C126+D126+F126</f>
        <v>0</v>
      </c>
      <c r="H126" s="475">
        <f t="shared" si="3"/>
        <v>0</v>
      </c>
      <c r="I126" s="130"/>
      <c r="J126" s="130"/>
      <c r="M126" s="474"/>
    </row>
    <row r="127" spans="1:13" ht="18" customHeight="1" x14ac:dyDescent="0.3">
      <c r="A127" s="36" t="s">
        <v>177</v>
      </c>
      <c r="B127" s="37" t="s">
        <v>176</v>
      </c>
      <c r="C127" s="585">
        <f>SUM(C119:C126)</f>
        <v>0</v>
      </c>
      <c r="D127" s="33">
        <f>SUM(D119:D126)</f>
        <v>0</v>
      </c>
      <c r="E127" s="33">
        <f>SUM(E119:E126)</f>
        <v>0</v>
      </c>
      <c r="F127" s="33">
        <f>SUM(F119:F126)</f>
        <v>0</v>
      </c>
      <c r="G127" s="33">
        <f t="shared" ref="G127:G138" si="5">C127+D127+E127+F127</f>
        <v>0</v>
      </c>
      <c r="H127" s="475">
        <f>IFERROR((E127+D127+C127+F127)/(C20+D20),0)</f>
        <v>0</v>
      </c>
      <c r="I127" s="130"/>
      <c r="J127" s="130"/>
      <c r="M127" s="474"/>
    </row>
    <row r="128" spans="1:13" ht="37.5" x14ac:dyDescent="0.3">
      <c r="A128" s="36" t="s">
        <v>178</v>
      </c>
      <c r="B128" s="73" t="s">
        <v>346</v>
      </c>
      <c r="C128" s="38">
        <f>IF(C127&lt;=0,C104,(C127-C104-C112))</f>
        <v>0</v>
      </c>
      <c r="D128" s="38">
        <f>IF(D127&lt;=0,D104,(D127-D104-D112))</f>
        <v>0</v>
      </c>
      <c r="E128" s="38">
        <f>(E104-E112)+E127</f>
        <v>0</v>
      </c>
      <c r="F128" s="38">
        <f>(F104-F112)+F127</f>
        <v>0</v>
      </c>
      <c r="G128" s="38">
        <f t="shared" si="5"/>
        <v>0</v>
      </c>
      <c r="H128" s="130"/>
      <c r="I128" s="130"/>
      <c r="J128" s="130"/>
    </row>
    <row r="129" spans="1:10" ht="18" customHeight="1" x14ac:dyDescent="0.3">
      <c r="A129" s="337">
        <v>4</v>
      </c>
      <c r="B129" s="12">
        <f>DONNEES!C19</f>
        <v>0</v>
      </c>
      <c r="C129" s="411"/>
      <c r="D129" s="411"/>
      <c r="E129" s="411"/>
      <c r="F129" s="411"/>
      <c r="G129" s="33">
        <f t="shared" si="5"/>
        <v>0</v>
      </c>
      <c r="H129" s="130"/>
      <c r="I129" s="130"/>
      <c r="J129" s="130"/>
    </row>
    <row r="130" spans="1:10" ht="18" customHeight="1" x14ac:dyDescent="0.3">
      <c r="A130" s="36">
        <v>5</v>
      </c>
      <c r="B130" s="37" t="s">
        <v>249</v>
      </c>
      <c r="C130" s="38">
        <f>C128+C129</f>
        <v>0</v>
      </c>
      <c r="D130" s="38">
        <f t="shared" ref="D130:F130" si="6">D128+D129</f>
        <v>0</v>
      </c>
      <c r="E130" s="38">
        <f t="shared" si="6"/>
        <v>0</v>
      </c>
      <c r="F130" s="38">
        <f t="shared" si="6"/>
        <v>0</v>
      </c>
      <c r="G130" s="38">
        <f t="shared" si="5"/>
        <v>0</v>
      </c>
      <c r="H130" s="130"/>
      <c r="I130" s="130"/>
      <c r="J130" s="130"/>
    </row>
    <row r="131" spans="1:10" ht="18" customHeight="1" x14ac:dyDescent="0.3">
      <c r="A131" s="337">
        <v>6</v>
      </c>
      <c r="B131" s="40" t="s">
        <v>584</v>
      </c>
      <c r="C131" s="38">
        <f>C104*C10</f>
        <v>0</v>
      </c>
      <c r="D131" s="38">
        <f>D104*D10</f>
        <v>0</v>
      </c>
      <c r="E131" s="33">
        <f>E104*E103</f>
        <v>0</v>
      </c>
      <c r="F131" s="33">
        <f>F104*F103</f>
        <v>0</v>
      </c>
      <c r="G131" s="33">
        <f t="shared" si="5"/>
        <v>0</v>
      </c>
      <c r="H131" s="130"/>
      <c r="I131" s="130"/>
      <c r="J131" s="130"/>
    </row>
    <row r="132" spans="1:10" ht="18" hidden="1" customHeight="1" x14ac:dyDescent="0.3">
      <c r="A132" s="556"/>
      <c r="B132" s="40" t="str">
        <f>"TVA Avance TO1"</f>
        <v>TVA Avance TO1</v>
      </c>
      <c r="C132" s="38"/>
      <c r="D132" s="38"/>
      <c r="E132" s="33"/>
      <c r="F132" s="33"/>
      <c r="G132" s="33"/>
      <c r="H132" s="130"/>
      <c r="I132" s="130"/>
      <c r="J132" s="130"/>
    </row>
    <row r="133" spans="1:10" ht="18" hidden="1" customHeight="1" x14ac:dyDescent="0.3">
      <c r="A133" s="556"/>
      <c r="B133" s="40" t="str">
        <f>"TVA Avance TO2"</f>
        <v>TVA Avance TO2</v>
      </c>
      <c r="C133" s="38"/>
      <c r="D133" s="38"/>
      <c r="E133" s="33"/>
      <c r="F133" s="33"/>
      <c r="G133" s="33"/>
      <c r="H133" s="130"/>
      <c r="I133" s="130"/>
      <c r="J133" s="130"/>
    </row>
    <row r="134" spans="1:10" ht="18" hidden="1" customHeight="1" x14ac:dyDescent="0.3">
      <c r="A134" s="556"/>
      <c r="B134" s="40" t="str">
        <f>"TVA Avance TO3"</f>
        <v>TVA Avance TO3</v>
      </c>
      <c r="C134" s="38"/>
      <c r="D134" s="38"/>
      <c r="E134" s="33"/>
      <c r="F134" s="33"/>
      <c r="G134" s="33"/>
      <c r="H134" s="130"/>
      <c r="I134" s="130"/>
      <c r="J134" s="130"/>
    </row>
    <row r="135" spans="1:10" ht="18" hidden="1" customHeight="1" x14ac:dyDescent="0.3">
      <c r="A135" s="556"/>
      <c r="B135" s="40" t="str">
        <f>"TVA Avance TO4"</f>
        <v>TVA Avance TO4</v>
      </c>
      <c r="C135" s="38"/>
      <c r="D135" s="38"/>
      <c r="E135" s="33"/>
      <c r="F135" s="33"/>
      <c r="G135" s="33"/>
      <c r="H135" s="130"/>
      <c r="I135" s="130"/>
      <c r="J135" s="130"/>
    </row>
    <row r="136" spans="1:10" ht="18" hidden="1" customHeight="1" x14ac:dyDescent="0.3">
      <c r="A136" s="556"/>
      <c r="B136" s="40" t="str">
        <f>"TVA Avance TO5"</f>
        <v>TVA Avance TO5</v>
      </c>
      <c r="C136" s="38"/>
      <c r="D136" s="38"/>
      <c r="E136" s="33"/>
      <c r="F136" s="33"/>
      <c r="G136" s="33"/>
      <c r="H136" s="130"/>
      <c r="I136" s="130"/>
      <c r="J136" s="130"/>
    </row>
    <row r="137" spans="1:10" ht="18" hidden="1" customHeight="1" x14ac:dyDescent="0.3">
      <c r="A137" s="556"/>
      <c r="B137" s="40" t="str">
        <f>"TVA Avance TO6"</f>
        <v>TVA Avance TO6</v>
      </c>
      <c r="C137" s="38"/>
      <c r="D137" s="38"/>
      <c r="E137" s="33"/>
      <c r="F137" s="33"/>
      <c r="G137" s="33"/>
      <c r="H137" s="130"/>
      <c r="I137" s="130"/>
      <c r="J137" s="130"/>
    </row>
    <row r="138" spans="1:10" ht="18" customHeight="1" x14ac:dyDescent="0.3">
      <c r="A138" s="337" t="s">
        <v>188</v>
      </c>
      <c r="B138" s="40" t="s">
        <v>53</v>
      </c>
      <c r="C138" s="38">
        <f>C119*C10</f>
        <v>0</v>
      </c>
      <c r="D138" s="38">
        <f>D119*D10</f>
        <v>0</v>
      </c>
      <c r="E138" s="33">
        <f t="shared" ref="E138:E145" si="7">E119*$C$10</f>
        <v>0</v>
      </c>
      <c r="F138" s="33">
        <f t="shared" ref="F138:F145" si="8">F119*$D$10</f>
        <v>0</v>
      </c>
      <c r="G138" s="33">
        <f t="shared" si="5"/>
        <v>0</v>
      </c>
      <c r="H138" s="130"/>
      <c r="I138" s="130"/>
      <c r="J138" s="130"/>
    </row>
    <row r="139" spans="1:10" ht="18" hidden="1" customHeight="1" x14ac:dyDescent="0.3">
      <c r="A139" s="337" t="s">
        <v>189</v>
      </c>
      <c r="B139" s="40" t="s">
        <v>54</v>
      </c>
      <c r="C139" s="38">
        <f>C120*C10</f>
        <v>0</v>
      </c>
      <c r="D139" s="38">
        <f>D120*D10</f>
        <v>0</v>
      </c>
      <c r="E139" s="33">
        <f t="shared" si="7"/>
        <v>0</v>
      </c>
      <c r="F139" s="33">
        <f t="shared" si="8"/>
        <v>0</v>
      </c>
      <c r="G139" s="33">
        <f>C139+D139+E139+F139</f>
        <v>0</v>
      </c>
      <c r="H139" s="130"/>
      <c r="I139" s="130"/>
      <c r="J139" s="130"/>
    </row>
    <row r="140" spans="1:10" ht="18" hidden="1" customHeight="1" x14ac:dyDescent="0.3">
      <c r="A140" s="337" t="s">
        <v>190</v>
      </c>
      <c r="B140" s="40" t="s">
        <v>56</v>
      </c>
      <c r="C140" s="38">
        <f>C121*C10</f>
        <v>0</v>
      </c>
      <c r="D140" s="38">
        <f>D121*D10</f>
        <v>0</v>
      </c>
      <c r="E140" s="33">
        <f t="shared" si="7"/>
        <v>0</v>
      </c>
      <c r="F140" s="33">
        <f t="shared" si="8"/>
        <v>0</v>
      </c>
      <c r="G140" s="33">
        <f t="shared" ref="G140:G145" si="9">C140+D140+E140+F140</f>
        <v>0</v>
      </c>
      <c r="H140" s="130"/>
      <c r="I140" s="130"/>
      <c r="J140" s="130"/>
    </row>
    <row r="141" spans="1:10" ht="18.75" hidden="1" customHeight="1" x14ac:dyDescent="0.3">
      <c r="A141" s="337" t="s">
        <v>191</v>
      </c>
      <c r="B141" s="40" t="s">
        <v>55</v>
      </c>
      <c r="C141" s="38">
        <f t="shared" ref="C141:D144" si="10">C122*C10</f>
        <v>0</v>
      </c>
      <c r="D141" s="38">
        <f t="shared" si="10"/>
        <v>0</v>
      </c>
      <c r="E141" s="33">
        <f t="shared" si="7"/>
        <v>0</v>
      </c>
      <c r="F141" s="33">
        <f t="shared" si="8"/>
        <v>0</v>
      </c>
      <c r="G141" s="33">
        <f t="shared" si="9"/>
        <v>0</v>
      </c>
      <c r="H141" s="130"/>
      <c r="I141" s="130"/>
      <c r="J141" s="130"/>
    </row>
    <row r="142" spans="1:10" ht="18.75" hidden="1" customHeight="1" x14ac:dyDescent="0.3">
      <c r="A142" s="547" t="s">
        <v>192</v>
      </c>
      <c r="B142" s="40" t="s">
        <v>567</v>
      </c>
      <c r="C142" s="38">
        <f t="shared" si="10"/>
        <v>0</v>
      </c>
      <c r="D142" s="38">
        <f t="shared" si="10"/>
        <v>0</v>
      </c>
      <c r="E142" s="33">
        <f t="shared" si="7"/>
        <v>0</v>
      </c>
      <c r="F142" s="33">
        <f t="shared" si="8"/>
        <v>0</v>
      </c>
      <c r="G142" s="33">
        <f t="shared" si="9"/>
        <v>0</v>
      </c>
      <c r="H142" s="130"/>
      <c r="I142" s="130"/>
      <c r="J142" s="130"/>
    </row>
    <row r="143" spans="1:10" ht="18.75" hidden="1" customHeight="1" x14ac:dyDescent="0.3">
      <c r="A143" s="547" t="s">
        <v>193</v>
      </c>
      <c r="B143" s="40" t="s">
        <v>568</v>
      </c>
      <c r="C143" s="38">
        <f t="shared" si="10"/>
        <v>0</v>
      </c>
      <c r="D143" s="38">
        <f t="shared" si="10"/>
        <v>0</v>
      </c>
      <c r="E143" s="33">
        <f t="shared" si="7"/>
        <v>0</v>
      </c>
      <c r="F143" s="33">
        <f t="shared" si="8"/>
        <v>0</v>
      </c>
      <c r="G143" s="33">
        <f t="shared" si="9"/>
        <v>0</v>
      </c>
      <c r="H143" s="130"/>
      <c r="I143" s="130"/>
      <c r="J143" s="130"/>
    </row>
    <row r="144" spans="1:10" ht="18.75" hidden="1" customHeight="1" x14ac:dyDescent="0.3">
      <c r="A144" s="547" t="s">
        <v>570</v>
      </c>
      <c r="B144" s="40" t="s">
        <v>569</v>
      </c>
      <c r="C144" s="38">
        <f t="shared" si="10"/>
        <v>0</v>
      </c>
      <c r="D144" s="38">
        <f t="shared" si="10"/>
        <v>0</v>
      </c>
      <c r="E144" s="33">
        <f t="shared" si="7"/>
        <v>0</v>
      </c>
      <c r="F144" s="33">
        <f t="shared" si="8"/>
        <v>0</v>
      </c>
      <c r="G144" s="33">
        <f t="shared" si="9"/>
        <v>0</v>
      </c>
      <c r="H144" s="130"/>
      <c r="I144" s="130"/>
      <c r="J144" s="130"/>
    </row>
    <row r="145" spans="1:18" ht="18" customHeight="1" x14ac:dyDescent="0.3">
      <c r="A145" s="337" t="s">
        <v>192</v>
      </c>
      <c r="B145" s="40" t="s">
        <v>57</v>
      </c>
      <c r="C145" s="38">
        <f>C126*C10</f>
        <v>0</v>
      </c>
      <c r="D145" s="38">
        <f>D126*D10</f>
        <v>0</v>
      </c>
      <c r="E145" s="33">
        <f t="shared" si="7"/>
        <v>0</v>
      </c>
      <c r="F145" s="33">
        <f t="shared" si="8"/>
        <v>0</v>
      </c>
      <c r="G145" s="33">
        <f t="shared" si="9"/>
        <v>0</v>
      </c>
      <c r="H145" s="130"/>
      <c r="I145" s="130"/>
      <c r="J145" s="130"/>
    </row>
    <row r="146" spans="1:18" ht="18" customHeight="1" x14ac:dyDescent="0.3">
      <c r="A146" s="337" t="s">
        <v>193</v>
      </c>
      <c r="B146" s="12" t="b">
        <f>IF(B129="REVISION","Tva Révision",IF(B129="ACTUALISATION","Tva Actualisation"))</f>
        <v>0</v>
      </c>
      <c r="C146" s="33">
        <f>C129*C10</f>
        <v>0</v>
      </c>
      <c r="D146" s="33">
        <f>D129*D10</f>
        <v>0</v>
      </c>
      <c r="E146" s="33">
        <f>E129*C10</f>
        <v>0</v>
      </c>
      <c r="F146" s="33">
        <f>F129*D10</f>
        <v>0</v>
      </c>
      <c r="G146" s="33">
        <f>C146+D146+E146+F146</f>
        <v>0</v>
      </c>
      <c r="H146" s="130"/>
      <c r="I146" s="130"/>
      <c r="J146" s="130"/>
    </row>
    <row r="147" spans="1:18" ht="18" customHeight="1" x14ac:dyDescent="0.3">
      <c r="A147" s="337">
        <v>7</v>
      </c>
      <c r="B147" s="65" t="s">
        <v>585</v>
      </c>
      <c r="C147" s="38">
        <f>C112*C10</f>
        <v>0</v>
      </c>
      <c r="D147" s="38">
        <f>D112*D10</f>
        <v>0</v>
      </c>
      <c r="E147" s="38">
        <f>E112*C10</f>
        <v>0</v>
      </c>
      <c r="F147" s="38">
        <f>F112*D10</f>
        <v>0</v>
      </c>
      <c r="G147" s="33">
        <f>C147+D147+E147+F147</f>
        <v>0</v>
      </c>
      <c r="H147" s="130"/>
      <c r="I147" s="130"/>
      <c r="J147" s="130"/>
    </row>
    <row r="148" spans="1:18" ht="18.75" hidden="1" x14ac:dyDescent="0.3">
      <c r="A148" s="556"/>
      <c r="B148" s="589" t="s">
        <v>576</v>
      </c>
      <c r="C148" s="38"/>
      <c r="D148" s="38"/>
      <c r="E148" s="38"/>
      <c r="F148" s="38"/>
      <c r="G148" s="33"/>
      <c r="H148" s="130"/>
      <c r="I148" s="130"/>
      <c r="J148" s="130"/>
    </row>
    <row r="149" spans="1:18" ht="39" hidden="1" customHeight="1" x14ac:dyDescent="0.3">
      <c r="A149" s="556"/>
      <c r="B149" s="589" t="s">
        <v>577</v>
      </c>
      <c r="C149" s="38"/>
      <c r="D149" s="38"/>
      <c r="E149" s="38"/>
      <c r="F149" s="38"/>
      <c r="G149" s="33"/>
      <c r="H149" s="130"/>
      <c r="I149" s="130"/>
      <c r="J149" s="130"/>
    </row>
    <row r="150" spans="1:18" ht="18.75" hidden="1" x14ac:dyDescent="0.3">
      <c r="A150" s="556"/>
      <c r="B150" s="589" t="s">
        <v>578</v>
      </c>
      <c r="C150" s="38"/>
      <c r="D150" s="38"/>
      <c r="E150" s="38"/>
      <c r="F150" s="38"/>
      <c r="G150" s="33"/>
      <c r="H150" s="130"/>
      <c r="I150" s="130"/>
      <c r="J150" s="130"/>
    </row>
    <row r="151" spans="1:18" ht="18.75" hidden="1" x14ac:dyDescent="0.3">
      <c r="A151" s="556"/>
      <c r="B151" s="589" t="s">
        <v>579</v>
      </c>
      <c r="C151" s="38"/>
      <c r="D151" s="38"/>
      <c r="E151" s="38"/>
      <c r="F151" s="38"/>
      <c r="G151" s="33"/>
      <c r="H151" s="130"/>
      <c r="I151" s="130"/>
      <c r="J151" s="130"/>
    </row>
    <row r="152" spans="1:18" ht="18.75" hidden="1" x14ac:dyDescent="0.3">
      <c r="A152" s="556"/>
      <c r="B152" s="589" t="s">
        <v>580</v>
      </c>
      <c r="C152" s="38"/>
      <c r="D152" s="38"/>
      <c r="E152" s="38"/>
      <c r="F152" s="38"/>
      <c r="G152" s="33"/>
      <c r="H152" s="130"/>
      <c r="I152" s="130"/>
      <c r="J152" s="130"/>
    </row>
    <row r="153" spans="1:18" ht="18.75" hidden="1" x14ac:dyDescent="0.3">
      <c r="A153" s="556"/>
      <c r="B153" s="589" t="s">
        <v>581</v>
      </c>
      <c r="C153" s="38"/>
      <c r="D153" s="38"/>
      <c r="E153" s="38"/>
      <c r="F153" s="38"/>
      <c r="G153" s="33"/>
      <c r="H153" s="130"/>
      <c r="I153" s="130"/>
      <c r="J153" s="130"/>
    </row>
    <row r="154" spans="1:18" ht="42" customHeight="1" x14ac:dyDescent="0.3">
      <c r="A154" s="337" t="s">
        <v>179</v>
      </c>
      <c r="B154" s="74" t="s">
        <v>325</v>
      </c>
      <c r="C154" s="38">
        <f>C111*C10</f>
        <v>0</v>
      </c>
      <c r="D154" s="38">
        <f>D111*D10</f>
        <v>0</v>
      </c>
      <c r="E154" s="38">
        <f>E111*E103</f>
        <v>0</v>
      </c>
      <c r="F154" s="38">
        <f>F111*F103</f>
        <v>0</v>
      </c>
      <c r="G154" s="33">
        <f>C154+D154+E154+F154</f>
        <v>0</v>
      </c>
      <c r="H154" s="130"/>
      <c r="I154" s="130"/>
      <c r="J154" s="130"/>
    </row>
    <row r="155" spans="1:18" ht="18" customHeight="1" x14ac:dyDescent="0.3">
      <c r="A155" s="36">
        <v>8</v>
      </c>
      <c r="B155" s="37" t="s">
        <v>195</v>
      </c>
      <c r="C155" s="38">
        <f>SUM(C131:C146)-C147</f>
        <v>0</v>
      </c>
      <c r="D155" s="38">
        <f>SUM(D131:D146)-D147</f>
        <v>0</v>
      </c>
      <c r="E155" s="38">
        <f>SUM(E131:E146)-E147</f>
        <v>0</v>
      </c>
      <c r="F155" s="38">
        <f>SUM(F131:F146)-F147</f>
        <v>0</v>
      </c>
      <c r="G155" s="38">
        <f>SUM(G131:G146)-G147</f>
        <v>0</v>
      </c>
      <c r="H155" s="130"/>
      <c r="I155" s="130"/>
      <c r="J155" s="130"/>
    </row>
    <row r="156" spans="1:18" ht="18" customHeight="1" x14ac:dyDescent="0.3">
      <c r="A156" s="36">
        <v>9</v>
      </c>
      <c r="B156" s="37" t="s">
        <v>211</v>
      </c>
      <c r="C156" s="41">
        <f>C130+C155</f>
        <v>0</v>
      </c>
      <c r="D156" s="41">
        <f>D130+D155</f>
        <v>0</v>
      </c>
      <c r="E156" s="41">
        <f>E130+E155</f>
        <v>0</v>
      </c>
      <c r="F156" s="41">
        <f>F130+F155</f>
        <v>0</v>
      </c>
      <c r="G156" s="41">
        <f>G130+G155</f>
        <v>0</v>
      </c>
      <c r="H156" s="130"/>
      <c r="I156" s="130"/>
      <c r="J156" s="130"/>
    </row>
    <row r="157" spans="1:18" ht="34.5" customHeight="1" x14ac:dyDescent="0.3">
      <c r="A157" s="36">
        <v>10</v>
      </c>
      <c r="B157" s="175" t="s">
        <v>347</v>
      </c>
      <c r="C157" s="674">
        <f>C156+D156+E156+F156</f>
        <v>0</v>
      </c>
      <c r="D157" s="667"/>
      <c r="E157" s="43"/>
      <c r="F157" s="43"/>
      <c r="G157" s="43"/>
      <c r="H157" s="689"/>
      <c r="I157" s="689"/>
      <c r="J157" s="130"/>
    </row>
    <row r="158" spans="1:18" ht="18" customHeight="1" x14ac:dyDescent="0.3">
      <c r="A158" s="482">
        <v>11</v>
      </c>
      <c r="B158" s="485"/>
      <c r="C158" s="486"/>
      <c r="D158" s="486"/>
      <c r="E158" s="486"/>
      <c r="F158" s="486"/>
      <c r="G158" s="526"/>
      <c r="I158" s="130"/>
      <c r="J158" s="130"/>
      <c r="R158" s="130">
        <f>(C158+D158+C160+D160+C162+C164+C166+D162+D164+D166)</f>
        <v>0</v>
      </c>
    </row>
    <row r="159" spans="1:18" ht="18" customHeight="1" x14ac:dyDescent="0.3">
      <c r="A159" s="488" t="s">
        <v>403</v>
      </c>
      <c r="B159" s="487"/>
      <c r="C159" s="481"/>
      <c r="D159" s="481"/>
      <c r="E159" s="481"/>
      <c r="F159" s="481"/>
      <c r="G159" s="481"/>
      <c r="H159" s="504"/>
      <c r="I159" s="505"/>
      <c r="J159" s="130"/>
    </row>
    <row r="160" spans="1:18" ht="18" customHeight="1" x14ac:dyDescent="0.3">
      <c r="A160" s="488" t="s">
        <v>407</v>
      </c>
      <c r="B160" s="12"/>
      <c r="C160" s="519"/>
      <c r="D160" s="519"/>
      <c r="E160" s="519"/>
      <c r="F160" s="519"/>
      <c r="G160" s="519"/>
      <c r="H160" s="508"/>
      <c r="I160" s="130"/>
      <c r="J160" s="130"/>
    </row>
    <row r="161" spans="1:10" ht="18" customHeight="1" x14ac:dyDescent="0.3">
      <c r="A161" s="488" t="s">
        <v>408</v>
      </c>
      <c r="B161" s="12"/>
      <c r="C161" s="519"/>
      <c r="D161" s="519"/>
      <c r="E161" s="519"/>
      <c r="F161" s="519"/>
      <c r="G161" s="519"/>
      <c r="H161" s="504"/>
      <c r="I161" s="505"/>
      <c r="J161" s="130"/>
    </row>
    <row r="162" spans="1:10" ht="18" customHeight="1" collapsed="1" x14ac:dyDescent="0.3">
      <c r="A162" s="488" t="s">
        <v>412</v>
      </c>
      <c r="B162" s="12"/>
      <c r="C162" s="519"/>
      <c r="D162" s="519"/>
      <c r="E162" s="519"/>
      <c r="F162" s="519"/>
      <c r="G162" s="519"/>
      <c r="H162" s="508"/>
      <c r="I162" s="130"/>
      <c r="J162" s="130"/>
    </row>
    <row r="163" spans="1:10" ht="18" customHeight="1" x14ac:dyDescent="0.3">
      <c r="A163" s="488" t="s">
        <v>413</v>
      </c>
      <c r="B163" s="12"/>
      <c r="C163" s="519"/>
      <c r="D163" s="519"/>
      <c r="E163" s="519"/>
      <c r="F163" s="519"/>
      <c r="G163" s="519"/>
      <c r="H163" s="504"/>
      <c r="I163" s="505"/>
      <c r="J163" s="130"/>
    </row>
    <row r="164" spans="1:10" ht="18" customHeight="1" x14ac:dyDescent="0.3">
      <c r="A164" s="488" t="s">
        <v>417</v>
      </c>
      <c r="B164" s="12"/>
      <c r="C164" s="519"/>
      <c r="D164" s="519"/>
      <c r="E164" s="519"/>
      <c r="F164" s="519"/>
      <c r="G164" s="519"/>
      <c r="H164" s="508"/>
      <c r="I164" s="130"/>
      <c r="J164" s="130"/>
    </row>
    <row r="165" spans="1:10" ht="18" customHeight="1" x14ac:dyDescent="0.3">
      <c r="A165" s="488" t="s">
        <v>418</v>
      </c>
      <c r="B165" s="12"/>
      <c r="C165" s="519"/>
      <c r="D165" s="519"/>
      <c r="E165" s="519"/>
      <c r="F165" s="519"/>
      <c r="G165" s="519"/>
      <c r="H165" s="504"/>
      <c r="I165" s="505"/>
      <c r="J165" s="130"/>
    </row>
    <row r="166" spans="1:10" ht="18" customHeight="1" x14ac:dyDescent="0.3">
      <c r="A166" s="488" t="s">
        <v>419</v>
      </c>
      <c r="B166" s="12" t="s">
        <v>467</v>
      </c>
      <c r="C166" s="519"/>
      <c r="D166" s="519"/>
      <c r="E166" s="519"/>
      <c r="F166" s="519"/>
      <c r="G166" s="519"/>
      <c r="H166" s="508"/>
      <c r="I166" s="130"/>
      <c r="J166" s="130"/>
    </row>
    <row r="167" spans="1:10" ht="18" customHeight="1" x14ac:dyDescent="0.3">
      <c r="A167" s="337">
        <v>12</v>
      </c>
      <c r="B167" s="40" t="s">
        <v>61</v>
      </c>
      <c r="C167" s="675"/>
      <c r="D167" s="676"/>
      <c r="E167" s="675"/>
      <c r="F167" s="676"/>
      <c r="G167" s="33">
        <f>E167+C167</f>
        <v>0</v>
      </c>
      <c r="H167" s="698"/>
      <c r="I167" s="699"/>
      <c r="J167" s="130"/>
    </row>
    <row r="168" spans="1:10" ht="18" customHeight="1" x14ac:dyDescent="0.3">
      <c r="A168" s="337">
        <v>13</v>
      </c>
      <c r="B168" s="40" t="s">
        <v>187</v>
      </c>
      <c r="C168" s="673"/>
      <c r="D168" s="673"/>
      <c r="E168" s="675"/>
      <c r="F168" s="676"/>
      <c r="G168" s="33">
        <f>E168+C168</f>
        <v>0</v>
      </c>
      <c r="H168" s="130"/>
      <c r="I168" s="130"/>
      <c r="J168" s="130"/>
    </row>
    <row r="169" spans="1:10" ht="18" customHeight="1" x14ac:dyDescent="0.3">
      <c r="A169" s="337">
        <v>14</v>
      </c>
      <c r="B169" s="40" t="s">
        <v>180</v>
      </c>
      <c r="C169" s="697">
        <f>SUM(C158:G168)+H167</f>
        <v>0</v>
      </c>
      <c r="D169" s="697"/>
      <c r="E169" s="675"/>
      <c r="F169" s="676"/>
      <c r="G169" s="33">
        <f>E169+C169</f>
        <v>0</v>
      </c>
      <c r="H169" s="130"/>
      <c r="I169" s="130"/>
      <c r="J169" s="130"/>
    </row>
    <row r="170" spans="1:10" ht="18" customHeight="1" x14ac:dyDescent="0.3">
      <c r="A170" s="337">
        <v>15</v>
      </c>
      <c r="B170" s="40" t="s">
        <v>62</v>
      </c>
      <c r="C170" s="674">
        <f>C157-C169</f>
        <v>0</v>
      </c>
      <c r="D170" s="667"/>
      <c r="E170" s="130"/>
      <c r="F170" s="662"/>
      <c r="G170" s="662"/>
      <c r="H170" s="662"/>
      <c r="I170" s="662"/>
      <c r="J170" s="130"/>
    </row>
    <row r="171" spans="1:10" ht="18" customHeight="1" x14ac:dyDescent="0.3">
      <c r="A171" s="337">
        <v>16</v>
      </c>
      <c r="B171" s="40" t="s">
        <v>63</v>
      </c>
      <c r="C171" s="684">
        <f>SUM(E191:E204)</f>
        <v>0</v>
      </c>
      <c r="D171" s="685"/>
      <c r="E171" s="130"/>
      <c r="F171" s="662"/>
      <c r="G171" s="662"/>
      <c r="H171" s="662"/>
      <c r="I171" s="662"/>
      <c r="J171" s="130"/>
    </row>
    <row r="172" spans="1:10" ht="18" customHeight="1" x14ac:dyDescent="0.3">
      <c r="A172" s="48">
        <v>17</v>
      </c>
      <c r="B172" s="49" t="s">
        <v>64</v>
      </c>
      <c r="C172" s="683">
        <f>IF(E1="DGD",(C170-C171-C178),(C170-C171))</f>
        <v>0</v>
      </c>
      <c r="D172" s="686"/>
      <c r="E172" s="130"/>
      <c r="F172" s="130"/>
      <c r="G172" s="498"/>
      <c r="H172" s="498"/>
      <c r="I172" s="498"/>
      <c r="J172" s="130"/>
    </row>
    <row r="173" spans="1:10" ht="18" customHeight="1" x14ac:dyDescent="0.3">
      <c r="A173" s="50">
        <v>18</v>
      </c>
      <c r="B173" s="51" t="s">
        <v>212</v>
      </c>
      <c r="C173" s="683" t="str">
        <f>IF(R158&lt;=0,"sans objet",R158)</f>
        <v>sans objet</v>
      </c>
      <c r="D173" s="683"/>
      <c r="E173" s="130"/>
      <c r="F173" s="130"/>
      <c r="G173" s="130"/>
      <c r="H173" s="130"/>
      <c r="I173" s="130"/>
      <c r="J173" s="130"/>
    </row>
    <row r="174" spans="1:10" ht="18" customHeight="1" x14ac:dyDescent="0.3">
      <c r="A174" s="50">
        <v>19</v>
      </c>
      <c r="B174" s="51" t="s">
        <v>241</v>
      </c>
      <c r="C174" s="683">
        <f>C111+D111+C154+D154</f>
        <v>0</v>
      </c>
      <c r="D174" s="683"/>
      <c r="E174" s="130"/>
      <c r="F174" s="130"/>
      <c r="G174" s="130"/>
      <c r="H174" s="130"/>
      <c r="I174" s="130"/>
      <c r="J174" s="130"/>
    </row>
    <row r="175" spans="1:10" ht="18" customHeight="1" x14ac:dyDescent="0.3">
      <c r="A175" s="50"/>
      <c r="B175" s="51" t="s">
        <v>394</v>
      </c>
      <c r="C175" s="681">
        <f>C167+C168</f>
        <v>0</v>
      </c>
      <c r="D175" s="682"/>
      <c r="E175" s="130"/>
      <c r="F175" s="499"/>
      <c r="G175" s="130"/>
      <c r="H175" s="130"/>
      <c r="I175" s="130"/>
      <c r="J175" s="130"/>
    </row>
    <row r="176" spans="1:10" ht="18" customHeight="1" x14ac:dyDescent="0.3">
      <c r="A176" s="453">
        <v>20</v>
      </c>
      <c r="B176" s="454" t="s">
        <v>395</v>
      </c>
      <c r="C176" s="678">
        <f>IF(C173="Sans Objet",C172,C172+C173)</f>
        <v>0</v>
      </c>
      <c r="D176" s="678"/>
      <c r="E176" s="130"/>
      <c r="F176" s="499"/>
      <c r="G176" s="130"/>
      <c r="H176" s="130"/>
      <c r="I176" s="130"/>
      <c r="J176" s="130"/>
    </row>
    <row r="177" spans="1:10" ht="18" customHeight="1" x14ac:dyDescent="0.3">
      <c r="A177" s="70"/>
      <c r="B177" s="71"/>
      <c r="C177" s="677" t="s">
        <v>74</v>
      </c>
      <c r="D177" s="677"/>
      <c r="E177" s="130"/>
      <c r="F177" s="499"/>
      <c r="G177" s="130"/>
      <c r="H177" s="130"/>
      <c r="I177" s="130"/>
      <c r="J177" s="130"/>
    </row>
    <row r="178" spans="1:10" ht="18" customHeight="1" x14ac:dyDescent="0.3">
      <c r="A178" s="337">
        <v>21</v>
      </c>
      <c r="B178" s="40" t="str">
        <f>IF(E1="DGD","Refaction","Ne rien inscrire avant le DGD")</f>
        <v>Ne rien inscrire avant le DGD</v>
      </c>
      <c r="C178" s="673"/>
      <c r="D178" s="673"/>
      <c r="E178" s="130"/>
      <c r="F178" s="499"/>
      <c r="G178" s="130"/>
      <c r="H178" s="130"/>
      <c r="I178" s="130"/>
      <c r="J178" s="130"/>
    </row>
    <row r="179" spans="1:10" ht="18" customHeight="1" x14ac:dyDescent="0.3">
      <c r="A179" s="130"/>
      <c r="B179" s="130"/>
      <c r="C179" s="130"/>
      <c r="D179" s="130"/>
      <c r="E179" s="130"/>
      <c r="F179" s="130"/>
      <c r="G179" s="130"/>
      <c r="H179" s="130"/>
      <c r="I179" s="130"/>
      <c r="J179" s="130"/>
    </row>
    <row r="180" spans="1:10" ht="31.5" customHeight="1" x14ac:dyDescent="0.3">
      <c r="A180" s="130"/>
      <c r="B180" s="130"/>
      <c r="C180" s="53" t="s">
        <v>69</v>
      </c>
      <c r="D180" s="688" t="s">
        <v>75</v>
      </c>
      <c r="E180" s="688"/>
      <c r="F180" s="341" t="s">
        <v>76</v>
      </c>
      <c r="G180" s="336" t="s">
        <v>77</v>
      </c>
      <c r="H180" s="336" t="s">
        <v>78</v>
      </c>
      <c r="I180" s="337" t="s">
        <v>79</v>
      </c>
      <c r="J180" s="130"/>
    </row>
    <row r="181" spans="1:10" ht="18" customHeight="1" x14ac:dyDescent="0.3">
      <c r="A181" s="130"/>
      <c r="B181" s="55" t="e">
        <f>#REF!</f>
        <v>#REF!</v>
      </c>
      <c r="C181" s="56" t="e">
        <f>#REF!</f>
        <v>#REF!</v>
      </c>
      <c r="D181" s="679">
        <f>C176-SUM(D182:E187)</f>
        <v>0</v>
      </c>
      <c r="E181" s="679"/>
      <c r="F181" s="335" t="e">
        <f>C128+D128-SUM(F182:F187)</f>
        <v>#REF!</v>
      </c>
      <c r="G181" s="412"/>
      <c r="H181" s="335" t="e">
        <f>G181+F181</f>
        <v>#REF!</v>
      </c>
      <c r="I181" s="57" t="e">
        <f>#REF!+#REF!-H181</f>
        <v>#REF!</v>
      </c>
      <c r="J181" s="130"/>
    </row>
    <row r="182" spans="1:10" ht="18" customHeight="1" x14ac:dyDescent="0.3">
      <c r="A182" s="130"/>
      <c r="B182" s="55" t="e">
        <f>#REF!</f>
        <v>#REF!</v>
      </c>
      <c r="C182" s="56" t="e">
        <f>#REF!</f>
        <v>#REF!</v>
      </c>
      <c r="D182" s="673"/>
      <c r="E182" s="673"/>
      <c r="F182" s="335" t="e">
        <f>IF(B182="ST TVA autoliquidée",D182,IF(B182="ST TVA non-autoliquidée",(D182/1.2),"0"))</f>
        <v>#REF!</v>
      </c>
      <c r="G182" s="412"/>
      <c r="H182" s="335" t="e">
        <f>F182+G182</f>
        <v>#REF!</v>
      </c>
      <c r="I182" s="57" t="e">
        <f>#REF!+#REF!-H182</f>
        <v>#REF!</v>
      </c>
      <c r="J182" s="130"/>
    </row>
    <row r="183" spans="1:10" ht="18" customHeight="1" x14ac:dyDescent="0.3">
      <c r="A183" s="130"/>
      <c r="B183" s="55" t="e">
        <f>#REF!</f>
        <v>#REF!</v>
      </c>
      <c r="C183" s="56" t="e">
        <f>#REF!</f>
        <v>#REF!</v>
      </c>
      <c r="D183" s="673"/>
      <c r="E183" s="673"/>
      <c r="F183" s="335" t="e">
        <f t="shared" ref="F183:F186" si="11">IF(B183="ST TVA autoliquidée",D183,IF(B183="ST TVA non-autoliquidée",(D183/1.2),"0"))</f>
        <v>#REF!</v>
      </c>
      <c r="G183" s="412"/>
      <c r="H183" s="335" t="e">
        <f>F183+G183</f>
        <v>#REF!</v>
      </c>
      <c r="I183" s="57" t="e">
        <f>#REF!+#REF!-H183</f>
        <v>#REF!</v>
      </c>
      <c r="J183" s="130"/>
    </row>
    <row r="184" spans="1:10" ht="18" customHeight="1" x14ac:dyDescent="0.3">
      <c r="A184" s="130"/>
      <c r="B184" s="55" t="str">
        <f>B28</f>
        <v>Titulaire</v>
      </c>
      <c r="C184" s="56" t="str">
        <f>C28</f>
        <v>yy</v>
      </c>
      <c r="D184" s="673"/>
      <c r="E184" s="673"/>
      <c r="F184" s="335" t="str">
        <f t="shared" si="11"/>
        <v>0</v>
      </c>
      <c r="G184" s="412"/>
      <c r="H184" s="335">
        <f t="shared" ref="H184:H186" si="12">F184+G184</f>
        <v>0</v>
      </c>
      <c r="I184" s="57">
        <f>D28+E28-H184</f>
        <v>260000</v>
      </c>
      <c r="J184" s="130"/>
    </row>
    <row r="185" spans="1:10" ht="18" customHeight="1" x14ac:dyDescent="0.3">
      <c r="A185" s="130"/>
      <c r="B185" s="55" t="str">
        <f>B29</f>
        <v>ST TVA autoliquidée</v>
      </c>
      <c r="C185" s="56" t="str">
        <f>C29</f>
        <v>tt</v>
      </c>
      <c r="D185" s="673"/>
      <c r="E185" s="673"/>
      <c r="F185" s="335">
        <f t="shared" si="11"/>
        <v>0</v>
      </c>
      <c r="G185" s="412"/>
      <c r="H185" s="335">
        <f t="shared" si="12"/>
        <v>0</v>
      </c>
      <c r="I185" s="57">
        <f>D29+E29-H185</f>
        <v>0</v>
      </c>
      <c r="J185" s="130"/>
    </row>
    <row r="186" spans="1:10" ht="18" customHeight="1" x14ac:dyDescent="0.3">
      <c r="A186" s="130"/>
      <c r="B186" s="55">
        <f>B37</f>
        <v>0</v>
      </c>
      <c r="C186" s="56">
        <f>C37</f>
        <v>0</v>
      </c>
      <c r="D186" s="673"/>
      <c r="E186" s="673"/>
      <c r="F186" s="335" t="str">
        <f t="shared" si="11"/>
        <v>0</v>
      </c>
      <c r="G186" s="412"/>
      <c r="H186" s="335">
        <f t="shared" si="12"/>
        <v>0</v>
      </c>
      <c r="I186" s="57">
        <f>D37+E37-H186</f>
        <v>0</v>
      </c>
      <c r="J186" s="130"/>
    </row>
    <row r="187" spans="1:10" ht="18" customHeight="1" x14ac:dyDescent="0.3">
      <c r="A187" s="130"/>
      <c r="B187" s="55" t="e">
        <f>#REF!</f>
        <v>#REF!</v>
      </c>
      <c r="C187" s="56" t="e">
        <f>#REF!</f>
        <v>#REF!</v>
      </c>
      <c r="D187" s="673"/>
      <c r="E187" s="673"/>
      <c r="F187" s="519" t="e">
        <f t="shared" ref="F187" si="13">IF(B187="ST TVA autoliquidée",D187,IF(B187="ST TVA non-autoliquidée",(D187/1.2),"0"))</f>
        <v>#REF!</v>
      </c>
      <c r="G187" s="521"/>
      <c r="H187" s="519" t="e">
        <f t="shared" ref="H187" si="14">F187+G187</f>
        <v>#REF!</v>
      </c>
      <c r="I187" s="57" t="e">
        <f>#REF!+#REF!-H187</f>
        <v>#REF!</v>
      </c>
      <c r="J187" s="130"/>
    </row>
    <row r="188" spans="1:10" ht="18" customHeight="1" x14ac:dyDescent="0.3">
      <c r="A188" s="130"/>
      <c r="B188" s="130"/>
      <c r="I188" s="130"/>
      <c r="J188" s="130"/>
    </row>
    <row r="189" spans="1:10" ht="18" customHeight="1" x14ac:dyDescent="0.3">
      <c r="A189" s="130"/>
      <c r="B189" s="130"/>
      <c r="C189" s="129" t="s">
        <v>80</v>
      </c>
      <c r="D189" s="129"/>
      <c r="E189" s="129"/>
      <c r="F189" s="680" t="s">
        <v>326</v>
      </c>
      <c r="G189" s="680"/>
      <c r="H189" s="680"/>
      <c r="I189" s="130"/>
      <c r="J189" s="130"/>
    </row>
    <row r="190" spans="1:10" ht="18" customHeight="1" x14ac:dyDescent="0.3">
      <c r="A190" s="662"/>
      <c r="B190" s="670"/>
      <c r="C190" s="58" t="s">
        <v>81</v>
      </c>
      <c r="D190" s="58" t="s">
        <v>82</v>
      </c>
      <c r="E190" s="58" t="s">
        <v>83</v>
      </c>
      <c r="F190" s="58" t="s">
        <v>81</v>
      </c>
      <c r="G190" s="58" t="s">
        <v>85</v>
      </c>
      <c r="H190" s="58" t="s">
        <v>83</v>
      </c>
      <c r="I190" s="130"/>
      <c r="J190" s="130"/>
    </row>
    <row r="191" spans="1:10" ht="18" customHeight="1" x14ac:dyDescent="0.3">
      <c r="A191" s="662"/>
      <c r="B191" s="670"/>
      <c r="C191" s="413">
        <v>1</v>
      </c>
      <c r="D191" s="413"/>
      <c r="E191" s="414"/>
      <c r="F191" s="413"/>
      <c r="G191" s="413"/>
      <c r="H191" s="414"/>
      <c r="I191" s="130"/>
      <c r="J191" s="130"/>
    </row>
    <row r="192" spans="1:10" ht="18" customHeight="1" x14ac:dyDescent="0.3">
      <c r="B192" s="130"/>
      <c r="C192" s="413">
        <v>2</v>
      </c>
      <c r="D192" s="413"/>
      <c r="E192" s="414"/>
      <c r="F192" s="413"/>
      <c r="G192" s="413"/>
      <c r="H192" s="414"/>
      <c r="I192" s="130"/>
      <c r="J192" s="130"/>
    </row>
    <row r="193" spans="1:10" ht="18" customHeight="1" outlineLevel="1" x14ac:dyDescent="0.3">
      <c r="A193" s="130"/>
      <c r="B193" s="130"/>
      <c r="C193" s="413">
        <v>3</v>
      </c>
      <c r="D193" s="413"/>
      <c r="E193" s="414"/>
      <c r="F193" s="413"/>
      <c r="G193" s="413"/>
      <c r="H193" s="414"/>
      <c r="I193" s="130"/>
      <c r="J193" s="130"/>
    </row>
    <row r="194" spans="1:10" ht="18" customHeight="1" outlineLevel="1" x14ac:dyDescent="0.3">
      <c r="A194" s="130"/>
      <c r="B194" s="130"/>
      <c r="C194" s="413">
        <v>4</v>
      </c>
      <c r="D194" s="413"/>
      <c r="E194" s="414"/>
      <c r="F194" s="413"/>
      <c r="G194" s="413"/>
      <c r="H194" s="414"/>
      <c r="I194" s="130"/>
      <c r="J194" s="130"/>
    </row>
    <row r="195" spans="1:10" ht="18" customHeight="1" outlineLevel="1" x14ac:dyDescent="0.3">
      <c r="A195" s="130"/>
      <c r="B195" s="130"/>
      <c r="C195" s="413">
        <v>5</v>
      </c>
      <c r="D195" s="413"/>
      <c r="E195" s="414"/>
      <c r="F195" s="413"/>
      <c r="G195" s="413"/>
      <c r="H195" s="414"/>
      <c r="I195" s="130"/>
      <c r="J195" s="130"/>
    </row>
    <row r="196" spans="1:10" ht="18" customHeight="1" outlineLevel="1" x14ac:dyDescent="0.3">
      <c r="A196" s="130"/>
      <c r="B196" s="130"/>
      <c r="C196" s="413"/>
      <c r="D196" s="413"/>
      <c r="E196" s="414"/>
      <c r="F196" s="413"/>
      <c r="G196" s="414"/>
      <c r="H196" s="414"/>
      <c r="I196" s="130"/>
      <c r="J196" s="130"/>
    </row>
    <row r="197" spans="1:10" ht="18" customHeight="1" outlineLevel="1" x14ac:dyDescent="0.3">
      <c r="A197" s="130"/>
      <c r="B197" s="130"/>
      <c r="C197" s="413"/>
      <c r="D197" s="413"/>
      <c r="E197" s="414"/>
      <c r="F197" s="413"/>
      <c r="G197" s="413"/>
      <c r="H197" s="414">
        <v>0</v>
      </c>
      <c r="I197" s="130"/>
      <c r="J197" s="130"/>
    </row>
    <row r="198" spans="1:10" ht="18" customHeight="1" outlineLevel="1" x14ac:dyDescent="0.3">
      <c r="A198" s="130"/>
      <c r="B198" s="130"/>
      <c r="C198" s="413"/>
      <c r="D198" s="413"/>
      <c r="E198" s="414"/>
      <c r="F198" s="413"/>
      <c r="G198" s="413"/>
      <c r="H198" s="414"/>
      <c r="I198" s="130"/>
      <c r="J198" s="130"/>
    </row>
    <row r="199" spans="1:10" ht="18" customHeight="1" outlineLevel="1" x14ac:dyDescent="0.3">
      <c r="A199" s="130"/>
      <c r="B199" s="130"/>
      <c r="C199" s="413"/>
      <c r="D199" s="413"/>
      <c r="E199" s="414"/>
      <c r="F199" s="413"/>
      <c r="G199" s="413"/>
      <c r="H199" s="414"/>
      <c r="I199" s="130"/>
      <c r="J199" s="130"/>
    </row>
    <row r="200" spans="1:10" ht="18" customHeight="1" outlineLevel="1" x14ac:dyDescent="0.3">
      <c r="A200" s="130"/>
      <c r="B200" s="130"/>
      <c r="C200" s="413">
        <v>10</v>
      </c>
      <c r="D200" s="413"/>
      <c r="E200" s="414"/>
      <c r="F200" s="413"/>
      <c r="G200" s="413"/>
      <c r="H200" s="414"/>
      <c r="I200" s="130"/>
      <c r="J200" s="130"/>
    </row>
    <row r="201" spans="1:10" ht="18" customHeight="1" outlineLevel="1" x14ac:dyDescent="0.3">
      <c r="A201" s="130"/>
      <c r="B201" s="130"/>
      <c r="C201" s="413">
        <v>11</v>
      </c>
      <c r="D201" s="413"/>
      <c r="E201" s="414"/>
      <c r="F201" s="413"/>
      <c r="G201" s="413"/>
      <c r="H201" s="414"/>
      <c r="I201" s="130"/>
      <c r="J201" s="130"/>
    </row>
    <row r="202" spans="1:10" ht="18" customHeight="1" outlineLevel="1" x14ac:dyDescent="0.3">
      <c r="A202" s="130"/>
      <c r="B202" s="130"/>
      <c r="C202" s="413"/>
      <c r="D202" s="413"/>
      <c r="E202" s="414"/>
      <c r="F202" s="413"/>
      <c r="G202" s="413"/>
      <c r="H202" s="414"/>
      <c r="I202" s="130"/>
      <c r="J202" s="130"/>
    </row>
    <row r="203" spans="1:10" ht="18" customHeight="1" outlineLevel="1" x14ac:dyDescent="0.3">
      <c r="A203" s="130"/>
      <c r="B203" s="130"/>
      <c r="C203" s="413"/>
      <c r="D203" s="413"/>
      <c r="E203" s="414"/>
      <c r="F203" s="413"/>
      <c r="G203" s="413"/>
      <c r="H203" s="414"/>
      <c r="I203" s="130"/>
      <c r="J203" s="130"/>
    </row>
    <row r="204" spans="1:10" ht="18" customHeight="1" outlineLevel="1" x14ac:dyDescent="0.3">
      <c r="A204" s="130"/>
      <c r="B204" s="130"/>
      <c r="C204" s="413"/>
      <c r="D204" s="413"/>
      <c r="E204" s="414"/>
      <c r="F204" s="413"/>
      <c r="G204" s="413"/>
      <c r="H204" s="414"/>
      <c r="I204" s="130"/>
      <c r="J204" s="130"/>
    </row>
    <row r="205" spans="1:10" ht="18" customHeight="1" outlineLevel="1" x14ac:dyDescent="0.3">
      <c r="C205" s="413">
        <v>15</v>
      </c>
      <c r="D205" s="413"/>
      <c r="E205" s="414"/>
      <c r="F205" s="413"/>
      <c r="G205" s="413"/>
      <c r="H205" s="414"/>
    </row>
    <row r="206" spans="1:10" ht="18" customHeight="1" outlineLevel="1" x14ac:dyDescent="0.3">
      <c r="C206" s="413">
        <v>16</v>
      </c>
      <c r="D206" s="413"/>
      <c r="E206" s="414"/>
      <c r="F206" s="413"/>
      <c r="G206" s="413"/>
      <c r="H206" s="414"/>
    </row>
    <row r="207" spans="1:10" ht="18" customHeight="1" outlineLevel="1" x14ac:dyDescent="0.3">
      <c r="C207" s="413">
        <v>17</v>
      </c>
      <c r="D207" s="413"/>
      <c r="E207" s="414"/>
      <c r="F207" s="413"/>
      <c r="G207" s="413"/>
      <c r="H207" s="414"/>
    </row>
    <row r="208" spans="1:10" ht="18" customHeight="1" outlineLevel="1" x14ac:dyDescent="0.3">
      <c r="C208" s="413">
        <v>18</v>
      </c>
      <c r="D208" s="413"/>
      <c r="E208" s="414"/>
      <c r="F208" s="413"/>
      <c r="G208" s="413"/>
      <c r="H208" s="414"/>
    </row>
    <row r="209" spans="3:8" ht="18" customHeight="1" outlineLevel="1" x14ac:dyDescent="0.3">
      <c r="C209" s="413">
        <v>19</v>
      </c>
      <c r="D209" s="413"/>
      <c r="E209" s="414"/>
      <c r="F209" s="413"/>
      <c r="G209" s="413"/>
      <c r="H209" s="414"/>
    </row>
    <row r="210" spans="3:8" ht="18" customHeight="1" outlineLevel="1" x14ac:dyDescent="0.3">
      <c r="C210" s="413">
        <v>20</v>
      </c>
      <c r="D210" s="413"/>
      <c r="E210" s="414"/>
      <c r="F210" s="413"/>
      <c r="G210" s="413"/>
      <c r="H210" s="414"/>
    </row>
    <row r="211" spans="3:8" ht="18" customHeight="1" outlineLevel="1" x14ac:dyDescent="0.3">
      <c r="C211" s="413">
        <v>21</v>
      </c>
      <c r="D211" s="413"/>
      <c r="E211" s="414"/>
      <c r="F211" s="413"/>
      <c r="G211" s="413"/>
      <c r="H211" s="414"/>
    </row>
    <row r="212" spans="3:8" ht="18" customHeight="1" outlineLevel="1" x14ac:dyDescent="0.3">
      <c r="C212" s="413">
        <v>22</v>
      </c>
      <c r="D212" s="413"/>
      <c r="E212" s="414"/>
      <c r="F212" s="413"/>
      <c r="G212" s="413"/>
      <c r="H212" s="414"/>
    </row>
    <row r="213" spans="3:8" ht="18" customHeight="1" outlineLevel="1" x14ac:dyDescent="0.3">
      <c r="C213" s="413">
        <v>23</v>
      </c>
      <c r="D213" s="413"/>
      <c r="E213" s="414"/>
      <c r="F213" s="413"/>
      <c r="G213" s="413"/>
      <c r="H213" s="414"/>
    </row>
    <row r="214" spans="3:8" ht="18" customHeight="1" outlineLevel="1" x14ac:dyDescent="0.3">
      <c r="C214" s="413">
        <v>24</v>
      </c>
      <c r="D214" s="413"/>
      <c r="E214" s="414"/>
      <c r="F214" s="413"/>
      <c r="G214" s="413"/>
      <c r="H214" s="414"/>
    </row>
    <row r="215" spans="3:8" ht="18" customHeight="1" outlineLevel="1" x14ac:dyDescent="0.3">
      <c r="C215" s="413">
        <v>25</v>
      </c>
      <c r="D215" s="413"/>
      <c r="E215" s="414"/>
      <c r="F215" s="413"/>
      <c r="G215" s="413"/>
      <c r="H215" s="414"/>
    </row>
    <row r="216" spans="3:8" ht="18" customHeight="1" outlineLevel="1" x14ac:dyDescent="0.3">
      <c r="C216" s="413">
        <v>26</v>
      </c>
      <c r="D216" s="413"/>
      <c r="E216" s="414"/>
      <c r="F216" s="413"/>
      <c r="G216" s="413"/>
      <c r="H216" s="414"/>
    </row>
    <row r="217" spans="3:8" ht="18" customHeight="1" outlineLevel="1" x14ac:dyDescent="0.3">
      <c r="C217" s="413">
        <v>27</v>
      </c>
      <c r="D217" s="413"/>
      <c r="E217" s="414"/>
      <c r="F217" s="413"/>
      <c r="G217" s="413"/>
      <c r="H217" s="414"/>
    </row>
    <row r="218" spans="3:8" ht="18" customHeight="1" outlineLevel="1" x14ac:dyDescent="0.3">
      <c r="C218" s="413">
        <v>28</v>
      </c>
      <c r="D218" s="413"/>
      <c r="E218" s="414"/>
      <c r="F218" s="413"/>
      <c r="G218" s="413"/>
      <c r="H218" s="414"/>
    </row>
    <row r="219" spans="3:8" ht="18" customHeight="1" outlineLevel="1" x14ac:dyDescent="0.3">
      <c r="C219" s="413">
        <v>29</v>
      </c>
      <c r="D219" s="413"/>
      <c r="E219" s="414"/>
      <c r="F219" s="413"/>
      <c r="G219" s="413"/>
      <c r="H219" s="414"/>
    </row>
    <row r="220" spans="3:8" ht="18" customHeight="1" outlineLevel="1" x14ac:dyDescent="0.3">
      <c r="C220" s="413">
        <v>30</v>
      </c>
      <c r="D220" s="413"/>
      <c r="E220" s="414"/>
      <c r="F220" s="413"/>
      <c r="G220" s="413"/>
      <c r="H220" s="414"/>
    </row>
    <row r="221" spans="3:8" ht="18" customHeight="1" outlineLevel="1" x14ac:dyDescent="0.3">
      <c r="C221" s="413">
        <v>31</v>
      </c>
      <c r="D221" s="413"/>
      <c r="E221" s="414"/>
      <c r="F221" s="413"/>
      <c r="G221" s="413"/>
      <c r="H221" s="414"/>
    </row>
    <row r="222" spans="3:8" ht="18" customHeight="1" outlineLevel="1" x14ac:dyDescent="0.3">
      <c r="C222" s="413">
        <v>32</v>
      </c>
      <c r="D222" s="413"/>
      <c r="E222" s="414"/>
      <c r="F222" s="413"/>
      <c r="G222" s="413"/>
      <c r="H222" s="414"/>
    </row>
    <row r="223" spans="3:8" ht="18" customHeight="1" outlineLevel="1" x14ac:dyDescent="0.3">
      <c r="C223" s="413">
        <v>33</v>
      </c>
      <c r="D223" s="413"/>
      <c r="E223" s="414"/>
      <c r="F223" s="413"/>
      <c r="G223" s="413"/>
      <c r="H223" s="414"/>
    </row>
    <row r="224" spans="3:8" ht="18" customHeight="1" outlineLevel="1" x14ac:dyDescent="0.3">
      <c r="C224" s="413">
        <v>34</v>
      </c>
      <c r="D224" s="413"/>
      <c r="E224" s="414"/>
      <c r="F224" s="413"/>
      <c r="G224" s="413"/>
      <c r="H224" s="414"/>
    </row>
    <row r="225" spans="3:8" ht="18" customHeight="1" outlineLevel="1" x14ac:dyDescent="0.3">
      <c r="C225" s="413">
        <v>35</v>
      </c>
      <c r="D225" s="413"/>
      <c r="E225" s="414"/>
      <c r="F225" s="413"/>
      <c r="G225" s="413"/>
      <c r="H225" s="414"/>
    </row>
    <row r="226" spans="3:8" ht="18" customHeight="1" outlineLevel="1" x14ac:dyDescent="0.3">
      <c r="C226" s="413">
        <v>36</v>
      </c>
      <c r="D226" s="413"/>
      <c r="E226" s="414"/>
      <c r="F226" s="413"/>
      <c r="G226" s="413"/>
      <c r="H226" s="414"/>
    </row>
    <row r="227" spans="3:8" ht="18" customHeight="1" outlineLevel="1" x14ac:dyDescent="0.3">
      <c r="C227" s="413">
        <v>37</v>
      </c>
      <c r="D227" s="413"/>
      <c r="E227" s="414"/>
      <c r="F227" s="413"/>
      <c r="G227" s="413"/>
      <c r="H227" s="414"/>
    </row>
    <row r="228" spans="3:8" ht="18" customHeight="1" outlineLevel="1" x14ac:dyDescent="0.3">
      <c r="C228" s="413">
        <v>38</v>
      </c>
      <c r="D228" s="413"/>
      <c r="E228" s="414"/>
      <c r="F228" s="413"/>
      <c r="G228" s="413"/>
      <c r="H228" s="414"/>
    </row>
    <row r="229" spans="3:8" ht="18" customHeight="1" outlineLevel="1" x14ac:dyDescent="0.3">
      <c r="C229" s="413">
        <v>39</v>
      </c>
      <c r="D229" s="413"/>
      <c r="E229" s="414"/>
      <c r="F229" s="413"/>
      <c r="G229" s="413"/>
      <c r="H229" s="414"/>
    </row>
    <row r="230" spans="3:8" ht="18" customHeight="1" outlineLevel="1" x14ac:dyDescent="0.3">
      <c r="C230" s="413">
        <v>40</v>
      </c>
      <c r="D230" s="413"/>
      <c r="E230" s="414"/>
      <c r="F230" s="413"/>
      <c r="G230" s="413"/>
      <c r="H230" s="414"/>
    </row>
  </sheetData>
  <sheetProtection algorithmName="SHA-512" hashValue="31iwvJ9gaSjXqbuL+243F2Sgl5e4Ob6jIy6MBpTtZvdSXBL+yDTnpwSyeowVLE5j8un9KHftwHVVgreuZOhmXg==" saltValue="oRSxlXzu8+QCUcg7wHoR3Q==" spinCount="100000" sheet="1" objects="1" scenarios="1" autoFilter="0"/>
  <mergeCells count="63">
    <mergeCell ref="A29:A38"/>
    <mergeCell ref="A39:A48"/>
    <mergeCell ref="A49:A58"/>
    <mergeCell ref="A59:A68"/>
    <mergeCell ref="A69:A78"/>
    <mergeCell ref="A79:A88"/>
    <mergeCell ref="A89:A98"/>
    <mergeCell ref="I121:M121"/>
    <mergeCell ref="I122:M122"/>
    <mergeCell ref="D186:E186"/>
    <mergeCell ref="D180:E180"/>
    <mergeCell ref="D183:E183"/>
    <mergeCell ref="H157:I157"/>
    <mergeCell ref="B101:B103"/>
    <mergeCell ref="C101:D101"/>
    <mergeCell ref="E101:E102"/>
    <mergeCell ref="F101:F102"/>
    <mergeCell ref="G101:G103"/>
    <mergeCell ref="E169:F169"/>
    <mergeCell ref="C169:D169"/>
    <mergeCell ref="H167:I167"/>
    <mergeCell ref="A191:B191"/>
    <mergeCell ref="F171:I171"/>
    <mergeCell ref="F170:I170"/>
    <mergeCell ref="F189:H189"/>
    <mergeCell ref="C175:D175"/>
    <mergeCell ref="D185:E185"/>
    <mergeCell ref="C173:D173"/>
    <mergeCell ref="C174:D174"/>
    <mergeCell ref="C171:D171"/>
    <mergeCell ref="C172:D172"/>
    <mergeCell ref="D187:E187"/>
    <mergeCell ref="E1:F1"/>
    <mergeCell ref="A190:B190"/>
    <mergeCell ref="H101:H103"/>
    <mergeCell ref="C102:D102"/>
    <mergeCell ref="D184:E184"/>
    <mergeCell ref="C157:D157"/>
    <mergeCell ref="C167:D167"/>
    <mergeCell ref="E167:F167"/>
    <mergeCell ref="C168:D168"/>
    <mergeCell ref="E168:F168"/>
    <mergeCell ref="C177:D177"/>
    <mergeCell ref="C178:D178"/>
    <mergeCell ref="C176:D176"/>
    <mergeCell ref="D181:E181"/>
    <mergeCell ref="D182:E182"/>
    <mergeCell ref="C170:D170"/>
    <mergeCell ref="C23:D23"/>
    <mergeCell ref="B9:D9"/>
    <mergeCell ref="B25:E25"/>
    <mergeCell ref="D2:I2"/>
    <mergeCell ref="D3:I3"/>
    <mergeCell ref="D4:I4"/>
    <mergeCell ref="D5:I5"/>
    <mergeCell ref="D6:I6"/>
    <mergeCell ref="I123:M123"/>
    <mergeCell ref="I124:M124"/>
    <mergeCell ref="I125:M125"/>
    <mergeCell ref="B26:B27"/>
    <mergeCell ref="C26:C27"/>
    <mergeCell ref="I119:M119"/>
    <mergeCell ref="I120:M120"/>
  </mergeCells>
  <conditionalFormatting sqref="I119">
    <cfRule type="cellIs" dxfId="2" priority="6" operator="equal">
      <formula>"PENSEZ A VERIFIER SI IL FAUT FAIRE UN REMBOURSEMENT"</formula>
    </cfRule>
  </conditionalFormatting>
  <conditionalFormatting sqref="I120:I125">
    <cfRule type="cellIs" dxfId="1" priority="5" operator="equal">
      <formula>"PENSEZ A VERIFIER SI IL FAUT FAIRE UN REMBOURSEMENT"</formula>
    </cfRule>
  </conditionalFormatting>
  <dataValidations count="2">
    <dataValidation type="list" allowBlank="1" showInputMessage="1" showErrorMessage="1" sqref="D2:I4">
      <formula1>LYCEES1</formula1>
    </dataValidation>
    <dataValidation type="decimal" operator="greaterThanOrEqual" allowBlank="1" showInputMessage="1" showErrorMessage="1" sqref="C111:F125">
      <formula1>0</formula1>
    </dataValidation>
  </dataValidations>
  <pageMargins left="0.7" right="0.7" top="0.75" bottom="0.75" header="0.3" footer="0.3"/>
  <pageSetup paperSize="9" scale="42" orientation="portrait"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14:formula1>
            <xm:f>LISTES!$A$1:$A$6</xm:f>
          </x14:formula1>
          <xm:sqref>C10:D10</xm:sqref>
        </x14:dataValidation>
        <x14:dataValidation type="list" allowBlank="1" showInputMessage="1" showErrorMessage="1">
          <x14:formula1>
            <xm:f>LISTES!$F$1:$F$12</xm:f>
          </x14:formula1>
          <xm:sqref>E7</xm:sqref>
        </x14:dataValidation>
        <x14:dataValidation type="list" allowBlank="1" showInputMessage="1" showErrorMessage="1">
          <x14:formula1>
            <xm:f>LISTES!$G$1:$G$8</xm:f>
          </x14:formula1>
          <xm:sqref>G7</xm:sqref>
        </x14:dataValidation>
        <x14:dataValidation type="list" allowBlank="1" showInputMessage="1" showErrorMessage="1">
          <x14:formula1>
            <xm:f>LISTES!$E$1:$E$32</xm:f>
          </x14:formula1>
          <xm:sqref>E1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7"/>
    <pageSetUpPr fitToPage="1"/>
  </sheetPr>
  <dimension ref="A1:R40"/>
  <sheetViews>
    <sheetView showGridLines="0" zoomScale="85" zoomScaleNormal="85" workbookViewId="0">
      <selection activeCell="B3" sqref="B3"/>
    </sheetView>
  </sheetViews>
  <sheetFormatPr baseColWidth="10" defaultRowHeight="18" outlineLevelCol="1" x14ac:dyDescent="0.25"/>
  <cols>
    <col min="1" max="1" width="30.140625" style="77" customWidth="1"/>
    <col min="2" max="2" width="51.85546875" style="77" customWidth="1"/>
    <col min="3" max="3" width="7.7109375" style="78" customWidth="1"/>
    <col min="4" max="4" width="19.5703125" style="78" customWidth="1"/>
    <col min="5" max="5" width="4.140625" style="78" customWidth="1"/>
    <col min="6" max="6" width="26.140625" style="79" customWidth="1"/>
    <col min="7" max="7" width="8.5703125" style="77" customWidth="1"/>
    <col min="8" max="8" width="56.28515625" style="77" hidden="1" customWidth="1" outlineLevel="1"/>
    <col min="9" max="9" width="28.85546875" style="77" bestFit="1" customWidth="1" collapsed="1"/>
    <col min="10" max="10" width="12.7109375" style="77" bestFit="1" customWidth="1"/>
    <col min="11" max="16384" width="11.42578125" style="77"/>
  </cols>
  <sheetData>
    <row r="1" spans="1:18" ht="59.25" customHeight="1" thickBot="1" x14ac:dyDescent="0.3">
      <c r="A1" s="700" t="s">
        <v>328</v>
      </c>
      <c r="B1" s="700"/>
      <c r="C1" s="700"/>
      <c r="D1" s="700"/>
      <c r="E1" s="700"/>
      <c r="F1" s="700"/>
    </row>
    <row r="2" spans="1:18" ht="38.25" customHeight="1" thickBot="1" x14ac:dyDescent="0.3">
      <c r="A2" s="701" t="s">
        <v>525</v>
      </c>
      <c r="B2" s="702"/>
      <c r="C2" s="703"/>
      <c r="D2" s="703"/>
      <c r="E2" s="703"/>
      <c r="F2" s="704"/>
      <c r="G2" s="76"/>
      <c r="H2" s="243">
        <f>C7+F7</f>
        <v>260000</v>
      </c>
    </row>
    <row r="3" spans="1:18" ht="44.25" customHeight="1" thickBot="1" x14ac:dyDescent="0.3">
      <c r="A3" s="77" t="s">
        <v>518</v>
      </c>
      <c r="B3" s="543" t="s">
        <v>265</v>
      </c>
    </row>
    <row r="4" spans="1:18" ht="30" customHeight="1" thickBot="1" x14ac:dyDescent="0.3">
      <c r="A4" s="80" t="s">
        <v>196</v>
      </c>
      <c r="B4" s="541">
        <f>DONNEES!C14</f>
        <v>0</v>
      </c>
      <c r="C4" s="82"/>
      <c r="D4" s="82"/>
      <c r="E4" s="105"/>
      <c r="F4" s="83"/>
      <c r="G4" s="84"/>
    </row>
    <row r="5" spans="1:18" ht="15" customHeight="1" thickBot="1" x14ac:dyDescent="0.3">
      <c r="A5" s="85"/>
      <c r="B5" s="85"/>
      <c r="C5" s="710" t="s">
        <v>235</v>
      </c>
      <c r="D5" s="711"/>
      <c r="E5" s="96"/>
      <c r="F5" s="91" t="s">
        <v>235</v>
      </c>
    </row>
    <row r="6" spans="1:18" ht="24.95" customHeight="1" x14ac:dyDescent="0.25">
      <c r="A6" s="88"/>
      <c r="B6" s="89"/>
      <c r="C6" s="705">
        <f>DONNEES!C24</f>
        <v>0.2</v>
      </c>
      <c r="D6" s="705"/>
      <c r="E6" s="90"/>
      <c r="F6" s="102">
        <f>DONNEES!E24</f>
        <v>0.1</v>
      </c>
      <c r="G6" s="202"/>
      <c r="H6" s="706"/>
      <c r="I6" s="706"/>
    </row>
    <row r="7" spans="1:18" ht="15" customHeight="1" x14ac:dyDescent="0.25">
      <c r="A7" s="707" t="s">
        <v>342</v>
      </c>
      <c r="B7" s="707"/>
      <c r="C7" s="708">
        <f>IF($B$3="Tranche Ferme",DONNEES!R54,IF($B$3="TO 1",DONNEES!R63,IF($B$3="TO 2",DONNEES!R72,IF($B$3="TO 3",DONNEES!R81,IF($B$3="TO 4",DONNEES!R90,IF($B$3="TO 5",DONNEES!R99,IF($B$3="TO 6",[2]DONEES!R108)))))))</f>
        <v>260000</v>
      </c>
      <c r="D7" s="708"/>
      <c r="E7" s="349"/>
      <c r="F7" s="351">
        <f>IF($B$3="Tranche Ferme",DONNEES!S54,IF($B$3="TO 1",DONNEES!S63,IF($B$3="TO 2",DONNEES!S72,IF($B$3="TO 3",DONNEES!S81,IF($B$3="TO 4",DONNEES!S90,IF($B$3="TO 5",DONNEES!S99,IF($B$3="TO 6",[2]DONEES!S108)))))))</f>
        <v>0</v>
      </c>
      <c r="G7" s="92"/>
      <c r="H7" s="709" t="s">
        <v>332</v>
      </c>
      <c r="I7" s="709"/>
      <c r="J7" s="709"/>
      <c r="K7" s="709"/>
      <c r="L7" s="709"/>
      <c r="M7" s="709"/>
      <c r="N7" s="709"/>
    </row>
    <row r="8" spans="1:18" ht="27" customHeight="1" x14ac:dyDescent="0.25">
      <c r="A8" s="707" t="s">
        <v>197</v>
      </c>
      <c r="B8" s="707"/>
      <c r="C8" s="719" t="str">
        <f>IF(AND($H$2&gt;=25000,$H$2&lt;=149999),"30%",IF(AND($H$2&gt;149999,$H$2&lt;=999999),"25%",IF($H$2&gt;999999,"20"%," ")))</f>
        <v>25%</v>
      </c>
      <c r="D8" s="720"/>
      <c r="E8" s="720"/>
      <c r="F8" s="721"/>
      <c r="H8" s="717"/>
      <c r="I8" s="717"/>
      <c r="J8" s="717"/>
      <c r="K8" s="717"/>
      <c r="L8" s="717"/>
      <c r="M8" s="717"/>
      <c r="N8" s="717"/>
      <c r="O8" s="717"/>
      <c r="P8" s="717"/>
      <c r="Q8" s="717"/>
      <c r="R8" s="717"/>
    </row>
    <row r="9" spans="1:18" ht="28.5" customHeight="1" x14ac:dyDescent="0.25">
      <c r="A9" s="542" t="s">
        <v>327</v>
      </c>
      <c r="B9" s="542"/>
      <c r="C9" s="708">
        <f>IFERROR(IF(DONNEES!C17&lt;=12,C7*C8,C7*C8*(12/DONNEES!C17)),0)</f>
        <v>65000</v>
      </c>
      <c r="D9" s="708"/>
      <c r="E9" s="350"/>
      <c r="F9" s="351">
        <f>IFERROR(IF(DONNEES!C17&lt;=12,F7*C8,F7*C8*(12/DONNEES!C17)),0)</f>
        <v>0</v>
      </c>
      <c r="H9" s="718"/>
      <c r="I9" s="718"/>
      <c r="J9" s="718"/>
      <c r="K9" s="718"/>
      <c r="L9" s="718"/>
      <c r="M9" s="718"/>
      <c r="N9" s="718"/>
    </row>
    <row r="10" spans="1:18" ht="33" customHeight="1" x14ac:dyDescent="0.25">
      <c r="A10" s="716" t="s">
        <v>526</v>
      </c>
      <c r="B10" s="716"/>
      <c r="C10" s="714">
        <v>500</v>
      </c>
      <c r="D10" s="715"/>
      <c r="E10" s="95"/>
      <c r="F10" s="415"/>
    </row>
    <row r="11" spans="1:18" ht="45" customHeight="1" x14ac:dyDescent="0.25">
      <c r="A11" s="716" t="s">
        <v>293</v>
      </c>
      <c r="B11" s="716"/>
      <c r="C11" s="712">
        <f>C9-C10</f>
        <v>64500</v>
      </c>
      <c r="D11" s="713"/>
      <c r="E11" s="95"/>
      <c r="F11" s="351">
        <f>F9-F10</f>
        <v>0</v>
      </c>
      <c r="I11" s="447"/>
    </row>
    <row r="12" spans="1:18" ht="15" customHeight="1" x14ac:dyDescent="0.25">
      <c r="A12" s="707" t="s">
        <v>198</v>
      </c>
      <c r="B12" s="707"/>
      <c r="C12" s="722"/>
      <c r="D12" s="722"/>
      <c r="E12" s="95"/>
      <c r="F12" s="415"/>
      <c r="G12" s="92"/>
    </row>
    <row r="13" spans="1:18" ht="30" customHeight="1" x14ac:dyDescent="0.25">
      <c r="A13" s="93"/>
      <c r="B13" s="94"/>
      <c r="C13" s="723"/>
      <c r="D13" s="724"/>
      <c r="E13" s="95"/>
      <c r="F13" s="91"/>
    </row>
    <row r="14" spans="1:18" ht="15" customHeight="1" x14ac:dyDescent="0.25">
      <c r="A14" s="707" t="s">
        <v>199</v>
      </c>
      <c r="B14" s="707"/>
      <c r="C14" s="722"/>
      <c r="D14" s="722"/>
      <c r="E14" s="95"/>
      <c r="F14" s="415"/>
      <c r="G14" s="92"/>
    </row>
    <row r="15" spans="1:18" ht="30" customHeight="1" x14ac:dyDescent="0.25">
      <c r="A15" s="93"/>
      <c r="B15" s="94"/>
      <c r="C15" s="723"/>
      <c r="D15" s="724"/>
      <c r="E15" s="95"/>
      <c r="F15" s="91"/>
      <c r="I15" s="449"/>
    </row>
    <row r="16" spans="1:18" ht="15" customHeight="1" x14ac:dyDescent="0.25">
      <c r="A16" s="740" t="s">
        <v>200</v>
      </c>
      <c r="B16" s="740"/>
      <c r="C16" s="708">
        <f>+C12+C14</f>
        <v>0</v>
      </c>
      <c r="D16" s="708"/>
      <c r="E16" s="350"/>
      <c r="F16" s="351">
        <f>F14+F12</f>
        <v>0</v>
      </c>
      <c r="G16" s="725"/>
      <c r="H16" s="726"/>
      <c r="I16" s="449"/>
    </row>
    <row r="17" spans="1:11" ht="30" customHeight="1" x14ac:dyDescent="0.25">
      <c r="A17" s="727"/>
      <c r="B17" s="728"/>
      <c r="C17" s="723"/>
      <c r="D17" s="724"/>
      <c r="E17" s="95"/>
      <c r="F17" s="91"/>
      <c r="I17" s="449"/>
      <c r="J17" s="449"/>
      <c r="K17" s="449"/>
    </row>
    <row r="18" spans="1:11" ht="30" customHeight="1" x14ac:dyDescent="0.25">
      <c r="A18" s="729" t="s">
        <v>201</v>
      </c>
      <c r="B18" s="729"/>
      <c r="C18" s="730">
        <f>IFERROR(C16/C7*100,0)</f>
        <v>0</v>
      </c>
      <c r="D18" s="730"/>
      <c r="E18" s="352"/>
      <c r="F18" s="441">
        <f>IFERROR(F16/F7*100,0)</f>
        <v>0</v>
      </c>
      <c r="G18" s="725"/>
      <c r="H18" s="726"/>
      <c r="I18" s="450">
        <f>C16/C7</f>
        <v>0</v>
      </c>
      <c r="J18" s="450">
        <f>F18/100</f>
        <v>0</v>
      </c>
      <c r="K18" s="450"/>
    </row>
    <row r="19" spans="1:11" ht="15" customHeight="1" x14ac:dyDescent="0.25">
      <c r="A19" s="707" t="s">
        <v>208</v>
      </c>
      <c r="B19" s="707"/>
      <c r="C19" s="741" t="str">
        <f>IF(C8="30%","40",IF(C8="25%","45",IF(C8="20%","50%"," ")))</f>
        <v>45</v>
      </c>
      <c r="D19" s="742"/>
      <c r="E19" s="97"/>
      <c r="F19" s="448" t="str">
        <f>IF(C8="30%","40",IF(C8="25%","45",IF(C8="20%","50%"," ")))</f>
        <v>45</v>
      </c>
      <c r="G19" s="98"/>
      <c r="I19" s="476">
        <f>C19/100</f>
        <v>0.45</v>
      </c>
      <c r="J19" s="450">
        <f>F19/100</f>
        <v>0.45</v>
      </c>
      <c r="K19" s="450"/>
    </row>
    <row r="20" spans="1:11" ht="30" customHeight="1" x14ac:dyDescent="0.25">
      <c r="A20" s="109"/>
      <c r="B20" s="85"/>
      <c r="C20" s="723"/>
      <c r="D20" s="724"/>
      <c r="E20" s="95"/>
      <c r="F20" s="91"/>
      <c r="G20" s="98"/>
      <c r="I20" s="449">
        <v>0.8</v>
      </c>
      <c r="J20" s="449">
        <v>0.8</v>
      </c>
      <c r="K20" s="449"/>
    </row>
    <row r="21" spans="1:11" ht="15" customHeight="1" x14ac:dyDescent="0.25">
      <c r="A21" s="743" t="s">
        <v>209</v>
      </c>
      <c r="B21" s="743"/>
      <c r="C21" s="730">
        <f>IFERROR(C18-C19,0)</f>
        <v>-45</v>
      </c>
      <c r="D21" s="730"/>
      <c r="E21" s="355"/>
      <c r="F21" s="353">
        <f>IFERROR(F18-F19,0)</f>
        <v>-45</v>
      </c>
      <c r="G21" s="110"/>
      <c r="I21" s="449"/>
      <c r="J21" s="449"/>
      <c r="K21" s="449"/>
    </row>
    <row r="22" spans="1:11" ht="15" customHeight="1" x14ac:dyDescent="0.25">
      <c r="A22" s="99"/>
      <c r="B22" s="189" t="s">
        <v>250</v>
      </c>
      <c r="C22" s="730">
        <f>IFERROR(C18-C19,0)</f>
        <v>-45</v>
      </c>
      <c r="D22" s="730"/>
      <c r="E22" s="355"/>
      <c r="F22" s="353">
        <f>IFERROR(F18-F19,0)</f>
        <v>-45</v>
      </c>
      <c r="G22" s="113"/>
    </row>
    <row r="23" spans="1:11" ht="24.95" customHeight="1" thickBot="1" x14ac:dyDescent="0.3">
      <c r="A23" s="101"/>
      <c r="B23" s="190" t="s">
        <v>251</v>
      </c>
      <c r="C23" s="746">
        <f>IFERROR(80-C19,0)</f>
        <v>35</v>
      </c>
      <c r="D23" s="747"/>
      <c r="E23" s="355"/>
      <c r="F23" s="354">
        <f>IFERROR(80-F19,0)</f>
        <v>35</v>
      </c>
      <c r="G23" s="115"/>
    </row>
    <row r="24" spans="1:11" ht="24.95" customHeight="1" x14ac:dyDescent="0.25">
      <c r="A24" s="100"/>
      <c r="B24" s="100"/>
      <c r="C24" s="748"/>
      <c r="D24" s="748"/>
      <c r="E24" s="445"/>
      <c r="F24" s="446"/>
    </row>
    <row r="25" spans="1:11" ht="15" customHeight="1" thickBot="1" x14ac:dyDescent="0.3">
      <c r="A25" s="85"/>
      <c r="B25" s="85"/>
      <c r="C25" s="86"/>
      <c r="D25" s="86"/>
      <c r="E25" s="86"/>
      <c r="F25" s="87"/>
    </row>
    <row r="26" spans="1:11" ht="24.95" customHeight="1" x14ac:dyDescent="0.25">
      <c r="A26" s="103"/>
      <c r="B26" s="104"/>
      <c r="C26" s="105"/>
      <c r="D26" s="105"/>
      <c r="E26" s="105"/>
      <c r="F26" s="106"/>
    </row>
    <row r="27" spans="1:11" ht="15" customHeight="1" x14ac:dyDescent="0.25">
      <c r="A27" s="744" t="s">
        <v>202</v>
      </c>
      <c r="B27" s="745"/>
      <c r="C27" s="745"/>
      <c r="D27" s="745"/>
      <c r="E27" s="107"/>
      <c r="F27" s="108"/>
    </row>
    <row r="28" spans="1:11" ht="30" customHeight="1" x14ac:dyDescent="0.25">
      <c r="A28" s="109"/>
      <c r="B28" s="85"/>
      <c r="C28" s="731" t="str">
        <f>IFERROR(IF(AND(I18&lt;=I20,I18&gt;=I19,C12=""),C11*(C22/C23),IF(AND(I18&lt;=I20,I18&gt;=I19,C12&lt;&gt;""),C11*(C22/C23),IF(AND(I18&gt;=I20,C12&lt;&gt;""),C11,IF(AND(I18&gt;=I20,C12=""),C11,"PAS DE REMBOURSEMENT")))),0)</f>
        <v>PAS DE REMBOURSEMENT</v>
      </c>
      <c r="D28" s="732"/>
      <c r="E28" s="90"/>
      <c r="F28" s="737" t="str">
        <f>IFERROR(IF(AND(J18&lt;=J20,J18&gt;=J19,F12=""),F11*(F22/F23),IF(AND(J18&lt;=J20,J18&gt;=J19,F12&lt;&gt;""),F11*(F22/F23),IF(AND(J18&gt;=J20,F12&lt;&gt;""),F11,IF(AND(J18&gt;=J20,F12=""),F11,"PAS DE REMBOURSEMENT")))),0)</f>
        <v>PAS DE REMBOURSEMENT</v>
      </c>
    </row>
    <row r="29" spans="1:11" ht="15" customHeight="1" x14ac:dyDescent="0.25">
      <c r="A29" s="109" t="s">
        <v>203</v>
      </c>
      <c r="B29" s="111"/>
      <c r="C29" s="733"/>
      <c r="D29" s="734"/>
      <c r="E29" s="112"/>
      <c r="F29" s="738"/>
    </row>
    <row r="30" spans="1:11" ht="18" customHeight="1" x14ac:dyDescent="0.25">
      <c r="A30" s="109"/>
      <c r="B30" s="114" t="s">
        <v>204</v>
      </c>
      <c r="C30" s="733"/>
      <c r="D30" s="734"/>
      <c r="E30" s="356"/>
      <c r="F30" s="738"/>
    </row>
    <row r="31" spans="1:11" ht="30" customHeight="1" x14ac:dyDescent="0.25">
      <c r="A31" s="109"/>
      <c r="B31" s="85" t="s">
        <v>205</v>
      </c>
      <c r="C31" s="735"/>
      <c r="D31" s="736"/>
      <c r="E31" s="116"/>
      <c r="F31" s="739"/>
    </row>
    <row r="32" spans="1:11" ht="24.95" customHeight="1" x14ac:dyDescent="0.25">
      <c r="A32" s="109"/>
      <c r="B32" s="117" t="s">
        <v>206</v>
      </c>
      <c r="C32" s="751"/>
      <c r="D32" s="751"/>
      <c r="E32" s="350"/>
      <c r="F32" s="416"/>
      <c r="G32" s="244"/>
    </row>
    <row r="33" spans="1:8" ht="24.95" customHeight="1" x14ac:dyDescent="0.25">
      <c r="A33" s="118"/>
      <c r="B33" s="119" t="s">
        <v>207</v>
      </c>
      <c r="C33" s="752">
        <f>IFERROR(C28-C32,0)</f>
        <v>0</v>
      </c>
      <c r="D33" s="752"/>
      <c r="E33" s="350"/>
      <c r="F33" s="357">
        <f>IFERROR(F28-F32,0)</f>
        <v>0</v>
      </c>
      <c r="G33" s="725"/>
      <c r="H33" s="726"/>
    </row>
    <row r="34" spans="1:8" ht="24.95" customHeight="1" thickBot="1" x14ac:dyDescent="0.3">
      <c r="A34" s="120"/>
      <c r="B34" s="121"/>
      <c r="C34" s="358"/>
      <c r="D34" s="358"/>
      <c r="E34" s="358"/>
      <c r="F34" s="96"/>
      <c r="G34" s="122"/>
    </row>
    <row r="35" spans="1:8" ht="15" customHeight="1" x14ac:dyDescent="0.25">
      <c r="F35" s="78"/>
      <c r="G35" s="123"/>
    </row>
    <row r="36" spans="1:8" ht="15" customHeight="1" x14ac:dyDescent="0.25">
      <c r="G36" s="122"/>
    </row>
    <row r="37" spans="1:8" ht="15" customHeight="1" x14ac:dyDescent="0.25">
      <c r="A37" s="753"/>
      <c r="B37" s="753"/>
      <c r="G37" s="122"/>
    </row>
    <row r="38" spans="1:8" ht="15" customHeight="1" x14ac:dyDescent="0.25">
      <c r="A38" s="754"/>
      <c r="B38" s="754"/>
      <c r="G38" s="122"/>
    </row>
    <row r="39" spans="1:8" ht="30" customHeight="1" x14ac:dyDescent="0.25">
      <c r="A39" s="749"/>
      <c r="B39" s="749"/>
      <c r="C39" s="749"/>
      <c r="D39" s="749"/>
      <c r="E39" s="749"/>
      <c r="F39" s="749"/>
      <c r="G39" s="122"/>
    </row>
    <row r="40" spans="1:8" ht="15" customHeight="1" x14ac:dyDescent="0.25">
      <c r="A40" s="750"/>
      <c r="B40" s="750"/>
      <c r="G40" s="122"/>
    </row>
  </sheetData>
  <sheetProtection algorithmName="SHA-512" hashValue="R/z5JKF5F8ysFS2YiUQ+/Ej/lQkyp7LSMEbnV4hKpKJjyOLqjftaJg2EiIxvMAPW21/lJvEmmq3IjbVEjuPPuQ==" saltValue="LjsoeYbQOD2D0TLqD51/jw==" spinCount="100000" sheet="1" objects="1" scenarios="1" autoFilter="0"/>
  <mergeCells count="49">
    <mergeCell ref="A39:F39"/>
    <mergeCell ref="A40:B40"/>
    <mergeCell ref="C32:D32"/>
    <mergeCell ref="C33:D33"/>
    <mergeCell ref="G33:H33"/>
    <mergeCell ref="A37:B37"/>
    <mergeCell ref="A38:B38"/>
    <mergeCell ref="C28:D31"/>
    <mergeCell ref="F28:F31"/>
    <mergeCell ref="C20:D20"/>
    <mergeCell ref="C15:D15"/>
    <mergeCell ref="A16:B16"/>
    <mergeCell ref="C16:D16"/>
    <mergeCell ref="A19:B19"/>
    <mergeCell ref="C19:D19"/>
    <mergeCell ref="A21:B21"/>
    <mergeCell ref="C21:D21"/>
    <mergeCell ref="C22:D22"/>
    <mergeCell ref="A27:D27"/>
    <mergeCell ref="C23:D23"/>
    <mergeCell ref="C24:D24"/>
    <mergeCell ref="G16:H16"/>
    <mergeCell ref="A17:B17"/>
    <mergeCell ref="C17:D17"/>
    <mergeCell ref="A18:B18"/>
    <mergeCell ref="C18:D18"/>
    <mergeCell ref="G18:H18"/>
    <mergeCell ref="A12:B12"/>
    <mergeCell ref="C12:D12"/>
    <mergeCell ref="C13:D13"/>
    <mergeCell ref="A14:B14"/>
    <mergeCell ref="C14:D14"/>
    <mergeCell ref="C11:D11"/>
    <mergeCell ref="C10:D10"/>
    <mergeCell ref="A11:B11"/>
    <mergeCell ref="A8:B8"/>
    <mergeCell ref="H8:R8"/>
    <mergeCell ref="C9:D9"/>
    <mergeCell ref="H9:N9"/>
    <mergeCell ref="C8:F8"/>
    <mergeCell ref="A10:B10"/>
    <mergeCell ref="A1:F1"/>
    <mergeCell ref="A2:F2"/>
    <mergeCell ref="C6:D6"/>
    <mergeCell ref="H6:I6"/>
    <mergeCell ref="A7:B7"/>
    <mergeCell ref="C7:D7"/>
    <mergeCell ref="H7:N7"/>
    <mergeCell ref="C5:D5"/>
  </mergeCells>
  <pageMargins left="0.78740157499999996" right="0.78740157499999996" top="0.984251969" bottom="0.984251969" header="0.4921259845" footer="0.4921259845"/>
  <pageSetup paperSize="9" scale="63" fitToHeight="0" orientation="portrait" r:id="rId1"/>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14:formula1>
            <xm:f>LISTES!$Y$1:$Y$7</xm:f>
          </x14:formula1>
          <xm:sqref>B3</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rgb="FF00B0F0"/>
  </sheetPr>
  <dimension ref="A1:R54"/>
  <sheetViews>
    <sheetView topLeftCell="A9" zoomScale="130" zoomScaleNormal="130" workbookViewId="0">
      <selection activeCell="D13" sqref="D13"/>
    </sheetView>
  </sheetViews>
  <sheetFormatPr baseColWidth="10" defaultRowHeight="12.75" outlineLevelRow="1" outlineLevelCol="1" x14ac:dyDescent="0.2"/>
  <cols>
    <col min="1" max="1" width="13.28515625" style="135" customWidth="1"/>
    <col min="2" max="2" width="2.7109375" style="135" customWidth="1"/>
    <col min="3" max="3" width="13.28515625" style="135" customWidth="1"/>
    <col min="4" max="4" width="12.85546875" style="174" customWidth="1"/>
    <col min="5" max="5" width="1.7109375" style="174" customWidth="1"/>
    <col min="6" max="6" width="12.85546875" style="174" bestFit="1" customWidth="1"/>
    <col min="7" max="7" width="5.7109375" style="174" customWidth="1"/>
    <col min="8" max="8" width="1.7109375" style="174" customWidth="1"/>
    <col min="9" max="9" width="11.85546875" style="135" customWidth="1"/>
    <col min="10" max="10" width="6.85546875" style="135" customWidth="1"/>
    <col min="11" max="11" width="21.140625" style="135" customWidth="1"/>
    <col min="12" max="12" width="11.42578125" style="135"/>
    <col min="13" max="13" width="11.7109375" style="135" hidden="1" customWidth="1" outlineLevel="1"/>
    <col min="14" max="14" width="11.42578125" style="135" collapsed="1"/>
    <col min="15" max="256" width="11.42578125" style="135"/>
    <col min="257" max="257" width="13.28515625" style="135" customWidth="1"/>
    <col min="258" max="258" width="2.7109375" style="135" customWidth="1"/>
    <col min="259" max="259" width="13.28515625" style="135" customWidth="1"/>
    <col min="260" max="260" width="3.28515625" style="135" customWidth="1"/>
    <col min="261" max="261" width="1.7109375" style="135" customWidth="1"/>
    <col min="262" max="262" width="11.85546875" style="135" customWidth="1"/>
    <col min="263" max="263" width="3.28515625" style="135" customWidth="1"/>
    <col min="264" max="264" width="1.7109375" style="135" customWidth="1"/>
    <col min="265" max="265" width="11.85546875" style="135" customWidth="1"/>
    <col min="266" max="266" width="3.28515625" style="135" customWidth="1"/>
    <col min="267" max="267" width="21.140625" style="135" customWidth="1"/>
    <col min="268" max="512" width="11.42578125" style="135"/>
    <col min="513" max="513" width="13.28515625" style="135" customWidth="1"/>
    <col min="514" max="514" width="2.7109375" style="135" customWidth="1"/>
    <col min="515" max="515" width="13.28515625" style="135" customWidth="1"/>
    <col min="516" max="516" width="3.28515625" style="135" customWidth="1"/>
    <col min="517" max="517" width="1.7109375" style="135" customWidth="1"/>
    <col min="518" max="518" width="11.85546875" style="135" customWidth="1"/>
    <col min="519" max="519" width="3.28515625" style="135" customWidth="1"/>
    <col min="520" max="520" width="1.7109375" style="135" customWidth="1"/>
    <col min="521" max="521" width="11.85546875" style="135" customWidth="1"/>
    <col min="522" max="522" width="3.28515625" style="135" customWidth="1"/>
    <col min="523" max="523" width="21.140625" style="135" customWidth="1"/>
    <col min="524" max="768" width="11.42578125" style="135"/>
    <col min="769" max="769" width="13.28515625" style="135" customWidth="1"/>
    <col min="770" max="770" width="2.7109375" style="135" customWidth="1"/>
    <col min="771" max="771" width="13.28515625" style="135" customWidth="1"/>
    <col min="772" max="772" width="3.28515625" style="135" customWidth="1"/>
    <col min="773" max="773" width="1.7109375" style="135" customWidth="1"/>
    <col min="774" max="774" width="11.85546875" style="135" customWidth="1"/>
    <col min="775" max="775" width="3.28515625" style="135" customWidth="1"/>
    <col min="776" max="776" width="1.7109375" style="135" customWidth="1"/>
    <col min="777" max="777" width="11.85546875" style="135" customWidth="1"/>
    <col min="778" max="778" width="3.28515625" style="135" customWidth="1"/>
    <col min="779" max="779" width="21.140625" style="135" customWidth="1"/>
    <col min="780" max="1024" width="11.42578125" style="135"/>
    <col min="1025" max="1025" width="13.28515625" style="135" customWidth="1"/>
    <col min="1026" max="1026" width="2.7109375" style="135" customWidth="1"/>
    <col min="1027" max="1027" width="13.28515625" style="135" customWidth="1"/>
    <col min="1028" max="1028" width="3.28515625" style="135" customWidth="1"/>
    <col min="1029" max="1029" width="1.7109375" style="135" customWidth="1"/>
    <col min="1030" max="1030" width="11.85546875" style="135" customWidth="1"/>
    <col min="1031" max="1031" width="3.28515625" style="135" customWidth="1"/>
    <col min="1032" max="1032" width="1.7109375" style="135" customWidth="1"/>
    <col min="1033" max="1033" width="11.85546875" style="135" customWidth="1"/>
    <col min="1034" max="1034" width="3.28515625" style="135" customWidth="1"/>
    <col min="1035" max="1035" width="21.140625" style="135" customWidth="1"/>
    <col min="1036" max="1280" width="11.42578125" style="135"/>
    <col min="1281" max="1281" width="13.28515625" style="135" customWidth="1"/>
    <col min="1282" max="1282" width="2.7109375" style="135" customWidth="1"/>
    <col min="1283" max="1283" width="13.28515625" style="135" customWidth="1"/>
    <col min="1284" max="1284" width="3.28515625" style="135" customWidth="1"/>
    <col min="1285" max="1285" width="1.7109375" style="135" customWidth="1"/>
    <col min="1286" max="1286" width="11.85546875" style="135" customWidth="1"/>
    <col min="1287" max="1287" width="3.28515625" style="135" customWidth="1"/>
    <col min="1288" max="1288" width="1.7109375" style="135" customWidth="1"/>
    <col min="1289" max="1289" width="11.85546875" style="135" customWidth="1"/>
    <col min="1290" max="1290" width="3.28515625" style="135" customWidth="1"/>
    <col min="1291" max="1291" width="21.140625" style="135" customWidth="1"/>
    <col min="1292" max="1536" width="11.42578125" style="135"/>
    <col min="1537" max="1537" width="13.28515625" style="135" customWidth="1"/>
    <col min="1538" max="1538" width="2.7109375" style="135" customWidth="1"/>
    <col min="1539" max="1539" width="13.28515625" style="135" customWidth="1"/>
    <col min="1540" max="1540" width="3.28515625" style="135" customWidth="1"/>
    <col min="1541" max="1541" width="1.7109375" style="135" customWidth="1"/>
    <col min="1542" max="1542" width="11.85546875" style="135" customWidth="1"/>
    <col min="1543" max="1543" width="3.28515625" style="135" customWidth="1"/>
    <col min="1544" max="1544" width="1.7109375" style="135" customWidth="1"/>
    <col min="1545" max="1545" width="11.85546875" style="135" customWidth="1"/>
    <col min="1546" max="1546" width="3.28515625" style="135" customWidth="1"/>
    <col min="1547" max="1547" width="21.140625" style="135" customWidth="1"/>
    <col min="1548" max="1792" width="11.42578125" style="135"/>
    <col min="1793" max="1793" width="13.28515625" style="135" customWidth="1"/>
    <col min="1794" max="1794" width="2.7109375" style="135" customWidth="1"/>
    <col min="1795" max="1795" width="13.28515625" style="135" customWidth="1"/>
    <col min="1796" max="1796" width="3.28515625" style="135" customWidth="1"/>
    <col min="1797" max="1797" width="1.7109375" style="135" customWidth="1"/>
    <col min="1798" max="1798" width="11.85546875" style="135" customWidth="1"/>
    <col min="1799" max="1799" width="3.28515625" style="135" customWidth="1"/>
    <col min="1800" max="1800" width="1.7109375" style="135" customWidth="1"/>
    <col min="1801" max="1801" width="11.85546875" style="135" customWidth="1"/>
    <col min="1802" max="1802" width="3.28515625" style="135" customWidth="1"/>
    <col min="1803" max="1803" width="21.140625" style="135" customWidth="1"/>
    <col min="1804" max="2048" width="11.42578125" style="135"/>
    <col min="2049" max="2049" width="13.28515625" style="135" customWidth="1"/>
    <col min="2050" max="2050" width="2.7109375" style="135" customWidth="1"/>
    <col min="2051" max="2051" width="13.28515625" style="135" customWidth="1"/>
    <col min="2052" max="2052" width="3.28515625" style="135" customWidth="1"/>
    <col min="2053" max="2053" width="1.7109375" style="135" customWidth="1"/>
    <col min="2054" max="2054" width="11.85546875" style="135" customWidth="1"/>
    <col min="2055" max="2055" width="3.28515625" style="135" customWidth="1"/>
    <col min="2056" max="2056" width="1.7109375" style="135" customWidth="1"/>
    <col min="2057" max="2057" width="11.85546875" style="135" customWidth="1"/>
    <col min="2058" max="2058" width="3.28515625" style="135" customWidth="1"/>
    <col min="2059" max="2059" width="21.140625" style="135" customWidth="1"/>
    <col min="2060" max="2304" width="11.42578125" style="135"/>
    <col min="2305" max="2305" width="13.28515625" style="135" customWidth="1"/>
    <col min="2306" max="2306" width="2.7109375" style="135" customWidth="1"/>
    <col min="2307" max="2307" width="13.28515625" style="135" customWidth="1"/>
    <col min="2308" max="2308" width="3.28515625" style="135" customWidth="1"/>
    <col min="2309" max="2309" width="1.7109375" style="135" customWidth="1"/>
    <col min="2310" max="2310" width="11.85546875" style="135" customWidth="1"/>
    <col min="2311" max="2311" width="3.28515625" style="135" customWidth="1"/>
    <col min="2312" max="2312" width="1.7109375" style="135" customWidth="1"/>
    <col min="2313" max="2313" width="11.85546875" style="135" customWidth="1"/>
    <col min="2314" max="2314" width="3.28515625" style="135" customWidth="1"/>
    <col min="2315" max="2315" width="21.140625" style="135" customWidth="1"/>
    <col min="2316" max="2560" width="11.42578125" style="135"/>
    <col min="2561" max="2561" width="13.28515625" style="135" customWidth="1"/>
    <col min="2562" max="2562" width="2.7109375" style="135" customWidth="1"/>
    <col min="2563" max="2563" width="13.28515625" style="135" customWidth="1"/>
    <col min="2564" max="2564" width="3.28515625" style="135" customWidth="1"/>
    <col min="2565" max="2565" width="1.7109375" style="135" customWidth="1"/>
    <col min="2566" max="2566" width="11.85546875" style="135" customWidth="1"/>
    <col min="2567" max="2567" width="3.28515625" style="135" customWidth="1"/>
    <col min="2568" max="2568" width="1.7109375" style="135" customWidth="1"/>
    <col min="2569" max="2569" width="11.85546875" style="135" customWidth="1"/>
    <col min="2570" max="2570" width="3.28515625" style="135" customWidth="1"/>
    <col min="2571" max="2571" width="21.140625" style="135" customWidth="1"/>
    <col min="2572" max="2816" width="11.42578125" style="135"/>
    <col min="2817" max="2817" width="13.28515625" style="135" customWidth="1"/>
    <col min="2818" max="2818" width="2.7109375" style="135" customWidth="1"/>
    <col min="2819" max="2819" width="13.28515625" style="135" customWidth="1"/>
    <col min="2820" max="2820" width="3.28515625" style="135" customWidth="1"/>
    <col min="2821" max="2821" width="1.7109375" style="135" customWidth="1"/>
    <col min="2822" max="2822" width="11.85546875" style="135" customWidth="1"/>
    <col min="2823" max="2823" width="3.28515625" style="135" customWidth="1"/>
    <col min="2824" max="2824" width="1.7109375" style="135" customWidth="1"/>
    <col min="2825" max="2825" width="11.85546875" style="135" customWidth="1"/>
    <col min="2826" max="2826" width="3.28515625" style="135" customWidth="1"/>
    <col min="2827" max="2827" width="21.140625" style="135" customWidth="1"/>
    <col min="2828" max="3072" width="11.42578125" style="135"/>
    <col min="3073" max="3073" width="13.28515625" style="135" customWidth="1"/>
    <col min="3074" max="3074" width="2.7109375" style="135" customWidth="1"/>
    <col min="3075" max="3075" width="13.28515625" style="135" customWidth="1"/>
    <col min="3076" max="3076" width="3.28515625" style="135" customWidth="1"/>
    <col min="3077" max="3077" width="1.7109375" style="135" customWidth="1"/>
    <col min="3078" max="3078" width="11.85546875" style="135" customWidth="1"/>
    <col min="3079" max="3079" width="3.28515625" style="135" customWidth="1"/>
    <col min="3080" max="3080" width="1.7109375" style="135" customWidth="1"/>
    <col min="3081" max="3081" width="11.85546875" style="135" customWidth="1"/>
    <col min="3082" max="3082" width="3.28515625" style="135" customWidth="1"/>
    <col min="3083" max="3083" width="21.140625" style="135" customWidth="1"/>
    <col min="3084" max="3328" width="11.42578125" style="135"/>
    <col min="3329" max="3329" width="13.28515625" style="135" customWidth="1"/>
    <col min="3330" max="3330" width="2.7109375" style="135" customWidth="1"/>
    <col min="3331" max="3331" width="13.28515625" style="135" customWidth="1"/>
    <col min="3332" max="3332" width="3.28515625" style="135" customWidth="1"/>
    <col min="3333" max="3333" width="1.7109375" style="135" customWidth="1"/>
    <col min="3334" max="3334" width="11.85546875" style="135" customWidth="1"/>
    <col min="3335" max="3335" width="3.28515625" style="135" customWidth="1"/>
    <col min="3336" max="3336" width="1.7109375" style="135" customWidth="1"/>
    <col min="3337" max="3337" width="11.85546875" style="135" customWidth="1"/>
    <col min="3338" max="3338" width="3.28515625" style="135" customWidth="1"/>
    <col min="3339" max="3339" width="21.140625" style="135" customWidth="1"/>
    <col min="3340" max="3584" width="11.42578125" style="135"/>
    <col min="3585" max="3585" width="13.28515625" style="135" customWidth="1"/>
    <col min="3586" max="3586" width="2.7109375" style="135" customWidth="1"/>
    <col min="3587" max="3587" width="13.28515625" style="135" customWidth="1"/>
    <col min="3588" max="3588" width="3.28515625" style="135" customWidth="1"/>
    <col min="3589" max="3589" width="1.7109375" style="135" customWidth="1"/>
    <col min="3590" max="3590" width="11.85546875" style="135" customWidth="1"/>
    <col min="3591" max="3591" width="3.28515625" style="135" customWidth="1"/>
    <col min="3592" max="3592" width="1.7109375" style="135" customWidth="1"/>
    <col min="3593" max="3593" width="11.85546875" style="135" customWidth="1"/>
    <col min="3594" max="3594" width="3.28515625" style="135" customWidth="1"/>
    <col min="3595" max="3595" width="21.140625" style="135" customWidth="1"/>
    <col min="3596" max="3840" width="11.42578125" style="135"/>
    <col min="3841" max="3841" width="13.28515625" style="135" customWidth="1"/>
    <col min="3842" max="3842" width="2.7109375" style="135" customWidth="1"/>
    <col min="3843" max="3843" width="13.28515625" style="135" customWidth="1"/>
    <col min="3844" max="3844" width="3.28515625" style="135" customWidth="1"/>
    <col min="3845" max="3845" width="1.7109375" style="135" customWidth="1"/>
    <col min="3846" max="3846" width="11.85546875" style="135" customWidth="1"/>
    <col min="3847" max="3847" width="3.28515625" style="135" customWidth="1"/>
    <col min="3848" max="3848" width="1.7109375" style="135" customWidth="1"/>
    <col min="3849" max="3849" width="11.85546875" style="135" customWidth="1"/>
    <col min="3850" max="3850" width="3.28515625" style="135" customWidth="1"/>
    <col min="3851" max="3851" width="21.140625" style="135" customWidth="1"/>
    <col min="3852" max="4096" width="11.42578125" style="135"/>
    <col min="4097" max="4097" width="13.28515625" style="135" customWidth="1"/>
    <col min="4098" max="4098" width="2.7109375" style="135" customWidth="1"/>
    <col min="4099" max="4099" width="13.28515625" style="135" customWidth="1"/>
    <col min="4100" max="4100" width="3.28515625" style="135" customWidth="1"/>
    <col min="4101" max="4101" width="1.7109375" style="135" customWidth="1"/>
    <col min="4102" max="4102" width="11.85546875" style="135" customWidth="1"/>
    <col min="4103" max="4103" width="3.28515625" style="135" customWidth="1"/>
    <col min="4104" max="4104" width="1.7109375" style="135" customWidth="1"/>
    <col min="4105" max="4105" width="11.85546875" style="135" customWidth="1"/>
    <col min="4106" max="4106" width="3.28515625" style="135" customWidth="1"/>
    <col min="4107" max="4107" width="21.140625" style="135" customWidth="1"/>
    <col min="4108" max="4352" width="11.42578125" style="135"/>
    <col min="4353" max="4353" width="13.28515625" style="135" customWidth="1"/>
    <col min="4354" max="4354" width="2.7109375" style="135" customWidth="1"/>
    <col min="4355" max="4355" width="13.28515625" style="135" customWidth="1"/>
    <col min="4356" max="4356" width="3.28515625" style="135" customWidth="1"/>
    <col min="4357" max="4357" width="1.7109375" style="135" customWidth="1"/>
    <col min="4358" max="4358" width="11.85546875" style="135" customWidth="1"/>
    <col min="4359" max="4359" width="3.28515625" style="135" customWidth="1"/>
    <col min="4360" max="4360" width="1.7109375" style="135" customWidth="1"/>
    <col min="4361" max="4361" width="11.85546875" style="135" customWidth="1"/>
    <col min="4362" max="4362" width="3.28515625" style="135" customWidth="1"/>
    <col min="4363" max="4363" width="21.140625" style="135" customWidth="1"/>
    <col min="4364" max="4608" width="11.42578125" style="135"/>
    <col min="4609" max="4609" width="13.28515625" style="135" customWidth="1"/>
    <col min="4610" max="4610" width="2.7109375" style="135" customWidth="1"/>
    <col min="4611" max="4611" width="13.28515625" style="135" customWidth="1"/>
    <col min="4612" max="4612" width="3.28515625" style="135" customWidth="1"/>
    <col min="4613" max="4613" width="1.7109375" style="135" customWidth="1"/>
    <col min="4614" max="4614" width="11.85546875" style="135" customWidth="1"/>
    <col min="4615" max="4615" width="3.28515625" style="135" customWidth="1"/>
    <col min="4616" max="4616" width="1.7109375" style="135" customWidth="1"/>
    <col min="4617" max="4617" width="11.85546875" style="135" customWidth="1"/>
    <col min="4618" max="4618" width="3.28515625" style="135" customWidth="1"/>
    <col min="4619" max="4619" width="21.140625" style="135" customWidth="1"/>
    <col min="4620" max="4864" width="11.42578125" style="135"/>
    <col min="4865" max="4865" width="13.28515625" style="135" customWidth="1"/>
    <col min="4866" max="4866" width="2.7109375" style="135" customWidth="1"/>
    <col min="4867" max="4867" width="13.28515625" style="135" customWidth="1"/>
    <col min="4868" max="4868" width="3.28515625" style="135" customWidth="1"/>
    <col min="4869" max="4869" width="1.7109375" style="135" customWidth="1"/>
    <col min="4870" max="4870" width="11.85546875" style="135" customWidth="1"/>
    <col min="4871" max="4871" width="3.28515625" style="135" customWidth="1"/>
    <col min="4872" max="4872" width="1.7109375" style="135" customWidth="1"/>
    <col min="4873" max="4873" width="11.85546875" style="135" customWidth="1"/>
    <col min="4874" max="4874" width="3.28515625" style="135" customWidth="1"/>
    <col min="4875" max="4875" width="21.140625" style="135" customWidth="1"/>
    <col min="4876" max="5120" width="11.42578125" style="135"/>
    <col min="5121" max="5121" width="13.28515625" style="135" customWidth="1"/>
    <col min="5122" max="5122" width="2.7109375" style="135" customWidth="1"/>
    <col min="5123" max="5123" width="13.28515625" style="135" customWidth="1"/>
    <col min="5124" max="5124" width="3.28515625" style="135" customWidth="1"/>
    <col min="5125" max="5125" width="1.7109375" style="135" customWidth="1"/>
    <col min="5126" max="5126" width="11.85546875" style="135" customWidth="1"/>
    <col min="5127" max="5127" width="3.28515625" style="135" customWidth="1"/>
    <col min="5128" max="5128" width="1.7109375" style="135" customWidth="1"/>
    <col min="5129" max="5129" width="11.85546875" style="135" customWidth="1"/>
    <col min="5130" max="5130" width="3.28515625" style="135" customWidth="1"/>
    <col min="5131" max="5131" width="21.140625" style="135" customWidth="1"/>
    <col min="5132" max="5376" width="11.42578125" style="135"/>
    <col min="5377" max="5377" width="13.28515625" style="135" customWidth="1"/>
    <col min="5378" max="5378" width="2.7109375" style="135" customWidth="1"/>
    <col min="5379" max="5379" width="13.28515625" style="135" customWidth="1"/>
    <col min="5380" max="5380" width="3.28515625" style="135" customWidth="1"/>
    <col min="5381" max="5381" width="1.7109375" style="135" customWidth="1"/>
    <col min="5382" max="5382" width="11.85546875" style="135" customWidth="1"/>
    <col min="5383" max="5383" width="3.28515625" style="135" customWidth="1"/>
    <col min="5384" max="5384" width="1.7109375" style="135" customWidth="1"/>
    <col min="5385" max="5385" width="11.85546875" style="135" customWidth="1"/>
    <col min="5386" max="5386" width="3.28515625" style="135" customWidth="1"/>
    <col min="5387" max="5387" width="21.140625" style="135" customWidth="1"/>
    <col min="5388" max="5632" width="11.42578125" style="135"/>
    <col min="5633" max="5633" width="13.28515625" style="135" customWidth="1"/>
    <col min="5634" max="5634" width="2.7109375" style="135" customWidth="1"/>
    <col min="5635" max="5635" width="13.28515625" style="135" customWidth="1"/>
    <col min="5636" max="5636" width="3.28515625" style="135" customWidth="1"/>
    <col min="5637" max="5637" width="1.7109375" style="135" customWidth="1"/>
    <col min="5638" max="5638" width="11.85546875" style="135" customWidth="1"/>
    <col min="5639" max="5639" width="3.28515625" style="135" customWidth="1"/>
    <col min="5640" max="5640" width="1.7109375" style="135" customWidth="1"/>
    <col min="5641" max="5641" width="11.85546875" style="135" customWidth="1"/>
    <col min="5642" max="5642" width="3.28515625" style="135" customWidth="1"/>
    <col min="5643" max="5643" width="21.140625" style="135" customWidth="1"/>
    <col min="5644" max="5888" width="11.42578125" style="135"/>
    <col min="5889" max="5889" width="13.28515625" style="135" customWidth="1"/>
    <col min="5890" max="5890" width="2.7109375" style="135" customWidth="1"/>
    <col min="5891" max="5891" width="13.28515625" style="135" customWidth="1"/>
    <col min="5892" max="5892" width="3.28515625" style="135" customWidth="1"/>
    <col min="5893" max="5893" width="1.7109375" style="135" customWidth="1"/>
    <col min="5894" max="5894" width="11.85546875" style="135" customWidth="1"/>
    <col min="5895" max="5895" width="3.28515625" style="135" customWidth="1"/>
    <col min="5896" max="5896" width="1.7109375" style="135" customWidth="1"/>
    <col min="5897" max="5897" width="11.85546875" style="135" customWidth="1"/>
    <col min="5898" max="5898" width="3.28515625" style="135" customWidth="1"/>
    <col min="5899" max="5899" width="21.140625" style="135" customWidth="1"/>
    <col min="5900" max="6144" width="11.42578125" style="135"/>
    <col min="6145" max="6145" width="13.28515625" style="135" customWidth="1"/>
    <col min="6146" max="6146" width="2.7109375" style="135" customWidth="1"/>
    <col min="6147" max="6147" width="13.28515625" style="135" customWidth="1"/>
    <col min="6148" max="6148" width="3.28515625" style="135" customWidth="1"/>
    <col min="6149" max="6149" width="1.7109375" style="135" customWidth="1"/>
    <col min="6150" max="6150" width="11.85546875" style="135" customWidth="1"/>
    <col min="6151" max="6151" width="3.28515625" style="135" customWidth="1"/>
    <col min="6152" max="6152" width="1.7109375" style="135" customWidth="1"/>
    <col min="6153" max="6153" width="11.85546875" style="135" customWidth="1"/>
    <col min="6154" max="6154" width="3.28515625" style="135" customWidth="1"/>
    <col min="6155" max="6155" width="21.140625" style="135" customWidth="1"/>
    <col min="6156" max="6400" width="11.42578125" style="135"/>
    <col min="6401" max="6401" width="13.28515625" style="135" customWidth="1"/>
    <col min="6402" max="6402" width="2.7109375" style="135" customWidth="1"/>
    <col min="6403" max="6403" width="13.28515625" style="135" customWidth="1"/>
    <col min="6404" max="6404" width="3.28515625" style="135" customWidth="1"/>
    <col min="6405" max="6405" width="1.7109375" style="135" customWidth="1"/>
    <col min="6406" max="6406" width="11.85546875" style="135" customWidth="1"/>
    <col min="6407" max="6407" width="3.28515625" style="135" customWidth="1"/>
    <col min="6408" max="6408" width="1.7109375" style="135" customWidth="1"/>
    <col min="6409" max="6409" width="11.85546875" style="135" customWidth="1"/>
    <col min="6410" max="6410" width="3.28515625" style="135" customWidth="1"/>
    <col min="6411" max="6411" width="21.140625" style="135" customWidth="1"/>
    <col min="6412" max="6656" width="11.42578125" style="135"/>
    <col min="6657" max="6657" width="13.28515625" style="135" customWidth="1"/>
    <col min="6658" max="6658" width="2.7109375" style="135" customWidth="1"/>
    <col min="6659" max="6659" width="13.28515625" style="135" customWidth="1"/>
    <col min="6660" max="6660" width="3.28515625" style="135" customWidth="1"/>
    <col min="6661" max="6661" width="1.7109375" style="135" customWidth="1"/>
    <col min="6662" max="6662" width="11.85546875" style="135" customWidth="1"/>
    <col min="6663" max="6663" width="3.28515625" style="135" customWidth="1"/>
    <col min="6664" max="6664" width="1.7109375" style="135" customWidth="1"/>
    <col min="6665" max="6665" width="11.85546875" style="135" customWidth="1"/>
    <col min="6666" max="6666" width="3.28515625" style="135" customWidth="1"/>
    <col min="6667" max="6667" width="21.140625" style="135" customWidth="1"/>
    <col min="6668" max="6912" width="11.42578125" style="135"/>
    <col min="6913" max="6913" width="13.28515625" style="135" customWidth="1"/>
    <col min="6914" max="6914" width="2.7109375" style="135" customWidth="1"/>
    <col min="6915" max="6915" width="13.28515625" style="135" customWidth="1"/>
    <col min="6916" max="6916" width="3.28515625" style="135" customWidth="1"/>
    <col min="6917" max="6917" width="1.7109375" style="135" customWidth="1"/>
    <col min="6918" max="6918" width="11.85546875" style="135" customWidth="1"/>
    <col min="6919" max="6919" width="3.28515625" style="135" customWidth="1"/>
    <col min="6920" max="6920" width="1.7109375" style="135" customWidth="1"/>
    <col min="6921" max="6921" width="11.85546875" style="135" customWidth="1"/>
    <col min="6922" max="6922" width="3.28515625" style="135" customWidth="1"/>
    <col min="6923" max="6923" width="21.140625" style="135" customWidth="1"/>
    <col min="6924" max="7168" width="11.42578125" style="135"/>
    <col min="7169" max="7169" width="13.28515625" style="135" customWidth="1"/>
    <col min="7170" max="7170" width="2.7109375" style="135" customWidth="1"/>
    <col min="7171" max="7171" width="13.28515625" style="135" customWidth="1"/>
    <col min="7172" max="7172" width="3.28515625" style="135" customWidth="1"/>
    <col min="7173" max="7173" width="1.7109375" style="135" customWidth="1"/>
    <col min="7174" max="7174" width="11.85546875" style="135" customWidth="1"/>
    <col min="7175" max="7175" width="3.28515625" style="135" customWidth="1"/>
    <col min="7176" max="7176" width="1.7109375" style="135" customWidth="1"/>
    <col min="7177" max="7177" width="11.85546875" style="135" customWidth="1"/>
    <col min="7178" max="7178" width="3.28515625" style="135" customWidth="1"/>
    <col min="7179" max="7179" width="21.140625" style="135" customWidth="1"/>
    <col min="7180" max="7424" width="11.42578125" style="135"/>
    <col min="7425" max="7425" width="13.28515625" style="135" customWidth="1"/>
    <col min="7426" max="7426" width="2.7109375" style="135" customWidth="1"/>
    <col min="7427" max="7427" width="13.28515625" style="135" customWidth="1"/>
    <col min="7428" max="7428" width="3.28515625" style="135" customWidth="1"/>
    <col min="7429" max="7429" width="1.7109375" style="135" customWidth="1"/>
    <col min="7430" max="7430" width="11.85546875" style="135" customWidth="1"/>
    <col min="7431" max="7431" width="3.28515625" style="135" customWidth="1"/>
    <col min="7432" max="7432" width="1.7109375" style="135" customWidth="1"/>
    <col min="7433" max="7433" width="11.85546875" style="135" customWidth="1"/>
    <col min="7434" max="7434" width="3.28515625" style="135" customWidth="1"/>
    <col min="7435" max="7435" width="21.140625" style="135" customWidth="1"/>
    <col min="7436" max="7680" width="11.42578125" style="135"/>
    <col min="7681" max="7681" width="13.28515625" style="135" customWidth="1"/>
    <col min="7682" max="7682" width="2.7109375" style="135" customWidth="1"/>
    <col min="7683" max="7683" width="13.28515625" style="135" customWidth="1"/>
    <col min="7684" max="7684" width="3.28515625" style="135" customWidth="1"/>
    <col min="7685" max="7685" width="1.7109375" style="135" customWidth="1"/>
    <col min="7686" max="7686" width="11.85546875" style="135" customWidth="1"/>
    <col min="7687" max="7687" width="3.28515625" style="135" customWidth="1"/>
    <col min="7688" max="7688" width="1.7109375" style="135" customWidth="1"/>
    <col min="7689" max="7689" width="11.85546875" style="135" customWidth="1"/>
    <col min="7690" max="7690" width="3.28515625" style="135" customWidth="1"/>
    <col min="7691" max="7691" width="21.140625" style="135" customWidth="1"/>
    <col min="7692" max="7936" width="11.42578125" style="135"/>
    <col min="7937" max="7937" width="13.28515625" style="135" customWidth="1"/>
    <col min="7938" max="7938" width="2.7109375" style="135" customWidth="1"/>
    <col min="7939" max="7939" width="13.28515625" style="135" customWidth="1"/>
    <col min="7940" max="7940" width="3.28515625" style="135" customWidth="1"/>
    <col min="7941" max="7941" width="1.7109375" style="135" customWidth="1"/>
    <col min="7942" max="7942" width="11.85546875" style="135" customWidth="1"/>
    <col min="7943" max="7943" width="3.28515625" style="135" customWidth="1"/>
    <col min="7944" max="7944" width="1.7109375" style="135" customWidth="1"/>
    <col min="7945" max="7945" width="11.85546875" style="135" customWidth="1"/>
    <col min="7946" max="7946" width="3.28515625" style="135" customWidth="1"/>
    <col min="7947" max="7947" width="21.140625" style="135" customWidth="1"/>
    <col min="7948" max="8192" width="11.42578125" style="135"/>
    <col min="8193" max="8193" width="13.28515625" style="135" customWidth="1"/>
    <col min="8194" max="8194" width="2.7109375" style="135" customWidth="1"/>
    <col min="8195" max="8195" width="13.28515625" style="135" customWidth="1"/>
    <col min="8196" max="8196" width="3.28515625" style="135" customWidth="1"/>
    <col min="8197" max="8197" width="1.7109375" style="135" customWidth="1"/>
    <col min="8198" max="8198" width="11.85546875" style="135" customWidth="1"/>
    <col min="8199" max="8199" width="3.28515625" style="135" customWidth="1"/>
    <col min="8200" max="8200" width="1.7109375" style="135" customWidth="1"/>
    <col min="8201" max="8201" width="11.85546875" style="135" customWidth="1"/>
    <col min="8202" max="8202" width="3.28515625" style="135" customWidth="1"/>
    <col min="8203" max="8203" width="21.140625" style="135" customWidth="1"/>
    <col min="8204" max="8448" width="11.42578125" style="135"/>
    <col min="8449" max="8449" width="13.28515625" style="135" customWidth="1"/>
    <col min="8450" max="8450" width="2.7109375" style="135" customWidth="1"/>
    <col min="8451" max="8451" width="13.28515625" style="135" customWidth="1"/>
    <col min="8452" max="8452" width="3.28515625" style="135" customWidth="1"/>
    <col min="8453" max="8453" width="1.7109375" style="135" customWidth="1"/>
    <col min="8454" max="8454" width="11.85546875" style="135" customWidth="1"/>
    <col min="8455" max="8455" width="3.28515625" style="135" customWidth="1"/>
    <col min="8456" max="8456" width="1.7109375" style="135" customWidth="1"/>
    <col min="8457" max="8457" width="11.85546875" style="135" customWidth="1"/>
    <col min="8458" max="8458" width="3.28515625" style="135" customWidth="1"/>
    <col min="8459" max="8459" width="21.140625" style="135" customWidth="1"/>
    <col min="8460" max="8704" width="11.42578125" style="135"/>
    <col min="8705" max="8705" width="13.28515625" style="135" customWidth="1"/>
    <col min="8706" max="8706" width="2.7109375" style="135" customWidth="1"/>
    <col min="8707" max="8707" width="13.28515625" style="135" customWidth="1"/>
    <col min="8708" max="8708" width="3.28515625" style="135" customWidth="1"/>
    <col min="8709" max="8709" width="1.7109375" style="135" customWidth="1"/>
    <col min="8710" max="8710" width="11.85546875" style="135" customWidth="1"/>
    <col min="8711" max="8711" width="3.28515625" style="135" customWidth="1"/>
    <col min="8712" max="8712" width="1.7109375" style="135" customWidth="1"/>
    <col min="8713" max="8713" width="11.85546875" style="135" customWidth="1"/>
    <col min="8714" max="8714" width="3.28515625" style="135" customWidth="1"/>
    <col min="8715" max="8715" width="21.140625" style="135" customWidth="1"/>
    <col min="8716" max="8960" width="11.42578125" style="135"/>
    <col min="8961" max="8961" width="13.28515625" style="135" customWidth="1"/>
    <col min="8962" max="8962" width="2.7109375" style="135" customWidth="1"/>
    <col min="8963" max="8963" width="13.28515625" style="135" customWidth="1"/>
    <col min="8964" max="8964" width="3.28515625" style="135" customWidth="1"/>
    <col min="8965" max="8965" width="1.7109375" style="135" customWidth="1"/>
    <col min="8966" max="8966" width="11.85546875" style="135" customWidth="1"/>
    <col min="8967" max="8967" width="3.28515625" style="135" customWidth="1"/>
    <col min="8968" max="8968" width="1.7109375" style="135" customWidth="1"/>
    <col min="8969" max="8969" width="11.85546875" style="135" customWidth="1"/>
    <col min="8970" max="8970" width="3.28515625" style="135" customWidth="1"/>
    <col min="8971" max="8971" width="21.140625" style="135" customWidth="1"/>
    <col min="8972" max="9216" width="11.42578125" style="135"/>
    <col min="9217" max="9217" width="13.28515625" style="135" customWidth="1"/>
    <col min="9218" max="9218" width="2.7109375" style="135" customWidth="1"/>
    <col min="9219" max="9219" width="13.28515625" style="135" customWidth="1"/>
    <col min="9220" max="9220" width="3.28515625" style="135" customWidth="1"/>
    <col min="9221" max="9221" width="1.7109375" style="135" customWidth="1"/>
    <col min="9222" max="9222" width="11.85546875" style="135" customWidth="1"/>
    <col min="9223" max="9223" width="3.28515625" style="135" customWidth="1"/>
    <col min="9224" max="9224" width="1.7109375" style="135" customWidth="1"/>
    <col min="9225" max="9225" width="11.85546875" style="135" customWidth="1"/>
    <col min="9226" max="9226" width="3.28515625" style="135" customWidth="1"/>
    <col min="9227" max="9227" width="21.140625" style="135" customWidth="1"/>
    <col min="9228" max="9472" width="11.42578125" style="135"/>
    <col min="9473" max="9473" width="13.28515625" style="135" customWidth="1"/>
    <col min="9474" max="9474" width="2.7109375" style="135" customWidth="1"/>
    <col min="9475" max="9475" width="13.28515625" style="135" customWidth="1"/>
    <col min="9476" max="9476" width="3.28515625" style="135" customWidth="1"/>
    <col min="9477" max="9477" width="1.7109375" style="135" customWidth="1"/>
    <col min="9478" max="9478" width="11.85546875" style="135" customWidth="1"/>
    <col min="9479" max="9479" width="3.28515625" style="135" customWidth="1"/>
    <col min="9480" max="9480" width="1.7109375" style="135" customWidth="1"/>
    <col min="9481" max="9481" width="11.85546875" style="135" customWidth="1"/>
    <col min="9482" max="9482" width="3.28515625" style="135" customWidth="1"/>
    <col min="9483" max="9483" width="21.140625" style="135" customWidth="1"/>
    <col min="9484" max="9728" width="11.42578125" style="135"/>
    <col min="9729" max="9729" width="13.28515625" style="135" customWidth="1"/>
    <col min="9730" max="9730" width="2.7109375" style="135" customWidth="1"/>
    <col min="9731" max="9731" width="13.28515625" style="135" customWidth="1"/>
    <col min="9732" max="9732" width="3.28515625" style="135" customWidth="1"/>
    <col min="9733" max="9733" width="1.7109375" style="135" customWidth="1"/>
    <col min="9734" max="9734" width="11.85546875" style="135" customWidth="1"/>
    <col min="9735" max="9735" width="3.28515625" style="135" customWidth="1"/>
    <col min="9736" max="9736" width="1.7109375" style="135" customWidth="1"/>
    <col min="9737" max="9737" width="11.85546875" style="135" customWidth="1"/>
    <col min="9738" max="9738" width="3.28515625" style="135" customWidth="1"/>
    <col min="9739" max="9739" width="21.140625" style="135" customWidth="1"/>
    <col min="9740" max="9984" width="11.42578125" style="135"/>
    <col min="9985" max="9985" width="13.28515625" style="135" customWidth="1"/>
    <col min="9986" max="9986" width="2.7109375" style="135" customWidth="1"/>
    <col min="9987" max="9987" width="13.28515625" style="135" customWidth="1"/>
    <col min="9988" max="9988" width="3.28515625" style="135" customWidth="1"/>
    <col min="9989" max="9989" width="1.7109375" style="135" customWidth="1"/>
    <col min="9990" max="9990" width="11.85546875" style="135" customWidth="1"/>
    <col min="9991" max="9991" width="3.28515625" style="135" customWidth="1"/>
    <col min="9992" max="9992" width="1.7109375" style="135" customWidth="1"/>
    <col min="9993" max="9993" width="11.85546875" style="135" customWidth="1"/>
    <col min="9994" max="9994" width="3.28515625" style="135" customWidth="1"/>
    <col min="9995" max="9995" width="21.140625" style="135" customWidth="1"/>
    <col min="9996" max="10240" width="11.42578125" style="135"/>
    <col min="10241" max="10241" width="13.28515625" style="135" customWidth="1"/>
    <col min="10242" max="10242" width="2.7109375" style="135" customWidth="1"/>
    <col min="10243" max="10243" width="13.28515625" style="135" customWidth="1"/>
    <col min="10244" max="10244" width="3.28515625" style="135" customWidth="1"/>
    <col min="10245" max="10245" width="1.7109375" style="135" customWidth="1"/>
    <col min="10246" max="10246" width="11.85546875" style="135" customWidth="1"/>
    <col min="10247" max="10247" width="3.28515625" style="135" customWidth="1"/>
    <col min="10248" max="10248" width="1.7109375" style="135" customWidth="1"/>
    <col min="10249" max="10249" width="11.85546875" style="135" customWidth="1"/>
    <col min="10250" max="10250" width="3.28515625" style="135" customWidth="1"/>
    <col min="10251" max="10251" width="21.140625" style="135" customWidth="1"/>
    <col min="10252" max="10496" width="11.42578125" style="135"/>
    <col min="10497" max="10497" width="13.28515625" style="135" customWidth="1"/>
    <col min="10498" max="10498" width="2.7109375" style="135" customWidth="1"/>
    <col min="10499" max="10499" width="13.28515625" style="135" customWidth="1"/>
    <col min="10500" max="10500" width="3.28515625" style="135" customWidth="1"/>
    <col min="10501" max="10501" width="1.7109375" style="135" customWidth="1"/>
    <col min="10502" max="10502" width="11.85546875" style="135" customWidth="1"/>
    <col min="10503" max="10503" width="3.28515625" style="135" customWidth="1"/>
    <col min="10504" max="10504" width="1.7109375" style="135" customWidth="1"/>
    <col min="10505" max="10505" width="11.85546875" style="135" customWidth="1"/>
    <col min="10506" max="10506" width="3.28515625" style="135" customWidth="1"/>
    <col min="10507" max="10507" width="21.140625" style="135" customWidth="1"/>
    <col min="10508" max="10752" width="11.42578125" style="135"/>
    <col min="10753" max="10753" width="13.28515625" style="135" customWidth="1"/>
    <col min="10754" max="10754" width="2.7109375" style="135" customWidth="1"/>
    <col min="10755" max="10755" width="13.28515625" style="135" customWidth="1"/>
    <col min="10756" max="10756" width="3.28515625" style="135" customWidth="1"/>
    <col min="10757" max="10757" width="1.7109375" style="135" customWidth="1"/>
    <col min="10758" max="10758" width="11.85546875" style="135" customWidth="1"/>
    <col min="10759" max="10759" width="3.28515625" style="135" customWidth="1"/>
    <col min="10760" max="10760" width="1.7109375" style="135" customWidth="1"/>
    <col min="10761" max="10761" width="11.85546875" style="135" customWidth="1"/>
    <col min="10762" max="10762" width="3.28515625" style="135" customWidth="1"/>
    <col min="10763" max="10763" width="21.140625" style="135" customWidth="1"/>
    <col min="10764" max="11008" width="11.42578125" style="135"/>
    <col min="11009" max="11009" width="13.28515625" style="135" customWidth="1"/>
    <col min="11010" max="11010" width="2.7109375" style="135" customWidth="1"/>
    <col min="11011" max="11011" width="13.28515625" style="135" customWidth="1"/>
    <col min="11012" max="11012" width="3.28515625" style="135" customWidth="1"/>
    <col min="11013" max="11013" width="1.7109375" style="135" customWidth="1"/>
    <col min="11014" max="11014" width="11.85546875" style="135" customWidth="1"/>
    <col min="11015" max="11015" width="3.28515625" style="135" customWidth="1"/>
    <col min="11016" max="11016" width="1.7109375" style="135" customWidth="1"/>
    <col min="11017" max="11017" width="11.85546875" style="135" customWidth="1"/>
    <col min="11018" max="11018" width="3.28515625" style="135" customWidth="1"/>
    <col min="11019" max="11019" width="21.140625" style="135" customWidth="1"/>
    <col min="11020" max="11264" width="11.42578125" style="135"/>
    <col min="11265" max="11265" width="13.28515625" style="135" customWidth="1"/>
    <col min="11266" max="11266" width="2.7109375" style="135" customWidth="1"/>
    <col min="11267" max="11267" width="13.28515625" style="135" customWidth="1"/>
    <col min="11268" max="11268" width="3.28515625" style="135" customWidth="1"/>
    <col min="11269" max="11269" width="1.7109375" style="135" customWidth="1"/>
    <col min="11270" max="11270" width="11.85546875" style="135" customWidth="1"/>
    <col min="11271" max="11271" width="3.28515625" style="135" customWidth="1"/>
    <col min="11272" max="11272" width="1.7109375" style="135" customWidth="1"/>
    <col min="11273" max="11273" width="11.85546875" style="135" customWidth="1"/>
    <col min="11274" max="11274" width="3.28515625" style="135" customWidth="1"/>
    <col min="11275" max="11275" width="21.140625" style="135" customWidth="1"/>
    <col min="11276" max="11520" width="11.42578125" style="135"/>
    <col min="11521" max="11521" width="13.28515625" style="135" customWidth="1"/>
    <col min="11522" max="11522" width="2.7109375" style="135" customWidth="1"/>
    <col min="11523" max="11523" width="13.28515625" style="135" customWidth="1"/>
    <col min="11524" max="11524" width="3.28515625" style="135" customWidth="1"/>
    <col min="11525" max="11525" width="1.7109375" style="135" customWidth="1"/>
    <col min="11526" max="11526" width="11.85546875" style="135" customWidth="1"/>
    <col min="11527" max="11527" width="3.28515625" style="135" customWidth="1"/>
    <col min="11528" max="11528" width="1.7109375" style="135" customWidth="1"/>
    <col min="11529" max="11529" width="11.85546875" style="135" customWidth="1"/>
    <col min="11530" max="11530" width="3.28515625" style="135" customWidth="1"/>
    <col min="11531" max="11531" width="21.140625" style="135" customWidth="1"/>
    <col min="11532" max="11776" width="11.42578125" style="135"/>
    <col min="11777" max="11777" width="13.28515625" style="135" customWidth="1"/>
    <col min="11778" max="11778" width="2.7109375" style="135" customWidth="1"/>
    <col min="11779" max="11779" width="13.28515625" style="135" customWidth="1"/>
    <col min="11780" max="11780" width="3.28515625" style="135" customWidth="1"/>
    <col min="11781" max="11781" width="1.7109375" style="135" customWidth="1"/>
    <col min="11782" max="11782" width="11.85546875" style="135" customWidth="1"/>
    <col min="11783" max="11783" width="3.28515625" style="135" customWidth="1"/>
    <col min="11784" max="11784" width="1.7109375" style="135" customWidth="1"/>
    <col min="11785" max="11785" width="11.85546875" style="135" customWidth="1"/>
    <col min="11786" max="11786" width="3.28515625" style="135" customWidth="1"/>
    <col min="11787" max="11787" width="21.140625" style="135" customWidth="1"/>
    <col min="11788" max="12032" width="11.42578125" style="135"/>
    <col min="12033" max="12033" width="13.28515625" style="135" customWidth="1"/>
    <col min="12034" max="12034" width="2.7109375" style="135" customWidth="1"/>
    <col min="12035" max="12035" width="13.28515625" style="135" customWidth="1"/>
    <col min="12036" max="12036" width="3.28515625" style="135" customWidth="1"/>
    <col min="12037" max="12037" width="1.7109375" style="135" customWidth="1"/>
    <col min="12038" max="12038" width="11.85546875" style="135" customWidth="1"/>
    <col min="12039" max="12039" width="3.28515625" style="135" customWidth="1"/>
    <col min="12040" max="12040" width="1.7109375" style="135" customWidth="1"/>
    <col min="12041" max="12041" width="11.85546875" style="135" customWidth="1"/>
    <col min="12042" max="12042" width="3.28515625" style="135" customWidth="1"/>
    <col min="12043" max="12043" width="21.140625" style="135" customWidth="1"/>
    <col min="12044" max="12288" width="11.42578125" style="135"/>
    <col min="12289" max="12289" width="13.28515625" style="135" customWidth="1"/>
    <col min="12290" max="12290" width="2.7109375" style="135" customWidth="1"/>
    <col min="12291" max="12291" width="13.28515625" style="135" customWidth="1"/>
    <col min="12292" max="12292" width="3.28515625" style="135" customWidth="1"/>
    <col min="12293" max="12293" width="1.7109375" style="135" customWidth="1"/>
    <col min="12294" max="12294" width="11.85546875" style="135" customWidth="1"/>
    <col min="12295" max="12295" width="3.28515625" style="135" customWidth="1"/>
    <col min="12296" max="12296" width="1.7109375" style="135" customWidth="1"/>
    <col min="12297" max="12297" width="11.85546875" style="135" customWidth="1"/>
    <col min="12298" max="12298" width="3.28515625" style="135" customWidth="1"/>
    <col min="12299" max="12299" width="21.140625" style="135" customWidth="1"/>
    <col min="12300" max="12544" width="11.42578125" style="135"/>
    <col min="12545" max="12545" width="13.28515625" style="135" customWidth="1"/>
    <col min="12546" max="12546" width="2.7109375" style="135" customWidth="1"/>
    <col min="12547" max="12547" width="13.28515625" style="135" customWidth="1"/>
    <col min="12548" max="12548" width="3.28515625" style="135" customWidth="1"/>
    <col min="12549" max="12549" width="1.7109375" style="135" customWidth="1"/>
    <col min="12550" max="12550" width="11.85546875" style="135" customWidth="1"/>
    <col min="12551" max="12551" width="3.28515625" style="135" customWidth="1"/>
    <col min="12552" max="12552" width="1.7109375" style="135" customWidth="1"/>
    <col min="12553" max="12553" width="11.85546875" style="135" customWidth="1"/>
    <col min="12554" max="12554" width="3.28515625" style="135" customWidth="1"/>
    <col min="12555" max="12555" width="21.140625" style="135" customWidth="1"/>
    <col min="12556" max="12800" width="11.42578125" style="135"/>
    <col min="12801" max="12801" width="13.28515625" style="135" customWidth="1"/>
    <col min="12802" max="12802" width="2.7109375" style="135" customWidth="1"/>
    <col min="12803" max="12803" width="13.28515625" style="135" customWidth="1"/>
    <col min="12804" max="12804" width="3.28515625" style="135" customWidth="1"/>
    <col min="12805" max="12805" width="1.7109375" style="135" customWidth="1"/>
    <col min="12806" max="12806" width="11.85546875" style="135" customWidth="1"/>
    <col min="12807" max="12807" width="3.28515625" style="135" customWidth="1"/>
    <col min="12808" max="12808" width="1.7109375" style="135" customWidth="1"/>
    <col min="12809" max="12809" width="11.85546875" style="135" customWidth="1"/>
    <col min="12810" max="12810" width="3.28515625" style="135" customWidth="1"/>
    <col min="12811" max="12811" width="21.140625" style="135" customWidth="1"/>
    <col min="12812" max="13056" width="11.42578125" style="135"/>
    <col min="13057" max="13057" width="13.28515625" style="135" customWidth="1"/>
    <col min="13058" max="13058" width="2.7109375" style="135" customWidth="1"/>
    <col min="13059" max="13059" width="13.28515625" style="135" customWidth="1"/>
    <col min="13060" max="13060" width="3.28515625" style="135" customWidth="1"/>
    <col min="13061" max="13061" width="1.7109375" style="135" customWidth="1"/>
    <col min="13062" max="13062" width="11.85546875" style="135" customWidth="1"/>
    <col min="13063" max="13063" width="3.28515625" style="135" customWidth="1"/>
    <col min="13064" max="13064" width="1.7109375" style="135" customWidth="1"/>
    <col min="13065" max="13065" width="11.85546875" style="135" customWidth="1"/>
    <col min="13066" max="13066" width="3.28515625" style="135" customWidth="1"/>
    <col min="13067" max="13067" width="21.140625" style="135" customWidth="1"/>
    <col min="13068" max="13312" width="11.42578125" style="135"/>
    <col min="13313" max="13313" width="13.28515625" style="135" customWidth="1"/>
    <col min="13314" max="13314" width="2.7109375" style="135" customWidth="1"/>
    <col min="13315" max="13315" width="13.28515625" style="135" customWidth="1"/>
    <col min="13316" max="13316" width="3.28515625" style="135" customWidth="1"/>
    <col min="13317" max="13317" width="1.7109375" style="135" customWidth="1"/>
    <col min="13318" max="13318" width="11.85546875" style="135" customWidth="1"/>
    <col min="13319" max="13319" width="3.28515625" style="135" customWidth="1"/>
    <col min="13320" max="13320" width="1.7109375" style="135" customWidth="1"/>
    <col min="13321" max="13321" width="11.85546875" style="135" customWidth="1"/>
    <col min="13322" max="13322" width="3.28515625" style="135" customWidth="1"/>
    <col min="13323" max="13323" width="21.140625" style="135" customWidth="1"/>
    <col min="13324" max="13568" width="11.42578125" style="135"/>
    <col min="13569" max="13569" width="13.28515625" style="135" customWidth="1"/>
    <col min="13570" max="13570" width="2.7109375" style="135" customWidth="1"/>
    <col min="13571" max="13571" width="13.28515625" style="135" customWidth="1"/>
    <col min="13572" max="13572" width="3.28515625" style="135" customWidth="1"/>
    <col min="13573" max="13573" width="1.7109375" style="135" customWidth="1"/>
    <col min="13574" max="13574" width="11.85546875" style="135" customWidth="1"/>
    <col min="13575" max="13575" width="3.28515625" style="135" customWidth="1"/>
    <col min="13576" max="13576" width="1.7109375" style="135" customWidth="1"/>
    <col min="13577" max="13577" width="11.85546875" style="135" customWidth="1"/>
    <col min="13578" max="13578" width="3.28515625" style="135" customWidth="1"/>
    <col min="13579" max="13579" width="21.140625" style="135" customWidth="1"/>
    <col min="13580" max="13824" width="11.42578125" style="135"/>
    <col min="13825" max="13825" width="13.28515625" style="135" customWidth="1"/>
    <col min="13826" max="13826" width="2.7109375" style="135" customWidth="1"/>
    <col min="13827" max="13827" width="13.28515625" style="135" customWidth="1"/>
    <col min="13828" max="13828" width="3.28515625" style="135" customWidth="1"/>
    <col min="13829" max="13829" width="1.7109375" style="135" customWidth="1"/>
    <col min="13830" max="13830" width="11.85546875" style="135" customWidth="1"/>
    <col min="13831" max="13831" width="3.28515625" style="135" customWidth="1"/>
    <col min="13832" max="13832" width="1.7109375" style="135" customWidth="1"/>
    <col min="13833" max="13833" width="11.85546875" style="135" customWidth="1"/>
    <col min="13834" max="13834" width="3.28515625" style="135" customWidth="1"/>
    <col min="13835" max="13835" width="21.140625" style="135" customWidth="1"/>
    <col min="13836" max="14080" width="11.42578125" style="135"/>
    <col min="14081" max="14081" width="13.28515625" style="135" customWidth="1"/>
    <col min="14082" max="14082" width="2.7109375" style="135" customWidth="1"/>
    <col min="14083" max="14083" width="13.28515625" style="135" customWidth="1"/>
    <col min="14084" max="14084" width="3.28515625" style="135" customWidth="1"/>
    <col min="14085" max="14085" width="1.7109375" style="135" customWidth="1"/>
    <col min="14086" max="14086" width="11.85546875" style="135" customWidth="1"/>
    <col min="14087" max="14087" width="3.28515625" style="135" customWidth="1"/>
    <col min="14088" max="14088" width="1.7109375" style="135" customWidth="1"/>
    <col min="14089" max="14089" width="11.85546875" style="135" customWidth="1"/>
    <col min="14090" max="14090" width="3.28515625" style="135" customWidth="1"/>
    <col min="14091" max="14091" width="21.140625" style="135" customWidth="1"/>
    <col min="14092" max="14336" width="11.42578125" style="135"/>
    <col min="14337" max="14337" width="13.28515625" style="135" customWidth="1"/>
    <col min="14338" max="14338" width="2.7109375" style="135" customWidth="1"/>
    <col min="14339" max="14339" width="13.28515625" style="135" customWidth="1"/>
    <col min="14340" max="14340" width="3.28515625" style="135" customWidth="1"/>
    <col min="14341" max="14341" width="1.7109375" style="135" customWidth="1"/>
    <col min="14342" max="14342" width="11.85546875" style="135" customWidth="1"/>
    <col min="14343" max="14343" width="3.28515625" style="135" customWidth="1"/>
    <col min="14344" max="14344" width="1.7109375" style="135" customWidth="1"/>
    <col min="14345" max="14345" width="11.85546875" style="135" customWidth="1"/>
    <col min="14346" max="14346" width="3.28515625" style="135" customWidth="1"/>
    <col min="14347" max="14347" width="21.140625" style="135" customWidth="1"/>
    <col min="14348" max="14592" width="11.42578125" style="135"/>
    <col min="14593" max="14593" width="13.28515625" style="135" customWidth="1"/>
    <col min="14594" max="14594" width="2.7109375" style="135" customWidth="1"/>
    <col min="14595" max="14595" width="13.28515625" style="135" customWidth="1"/>
    <col min="14596" max="14596" width="3.28515625" style="135" customWidth="1"/>
    <col min="14597" max="14597" width="1.7109375" style="135" customWidth="1"/>
    <col min="14598" max="14598" width="11.85546875" style="135" customWidth="1"/>
    <col min="14599" max="14599" width="3.28515625" style="135" customWidth="1"/>
    <col min="14600" max="14600" width="1.7109375" style="135" customWidth="1"/>
    <col min="14601" max="14601" width="11.85546875" style="135" customWidth="1"/>
    <col min="14602" max="14602" width="3.28515625" style="135" customWidth="1"/>
    <col min="14603" max="14603" width="21.140625" style="135" customWidth="1"/>
    <col min="14604" max="14848" width="11.42578125" style="135"/>
    <col min="14849" max="14849" width="13.28515625" style="135" customWidth="1"/>
    <col min="14850" max="14850" width="2.7109375" style="135" customWidth="1"/>
    <col min="14851" max="14851" width="13.28515625" style="135" customWidth="1"/>
    <col min="14852" max="14852" width="3.28515625" style="135" customWidth="1"/>
    <col min="14853" max="14853" width="1.7109375" style="135" customWidth="1"/>
    <col min="14854" max="14854" width="11.85546875" style="135" customWidth="1"/>
    <col min="14855" max="14855" width="3.28515625" style="135" customWidth="1"/>
    <col min="14856" max="14856" width="1.7109375" style="135" customWidth="1"/>
    <col min="14857" max="14857" width="11.85546875" style="135" customWidth="1"/>
    <col min="14858" max="14858" width="3.28515625" style="135" customWidth="1"/>
    <col min="14859" max="14859" width="21.140625" style="135" customWidth="1"/>
    <col min="14860" max="15104" width="11.42578125" style="135"/>
    <col min="15105" max="15105" width="13.28515625" style="135" customWidth="1"/>
    <col min="15106" max="15106" width="2.7109375" style="135" customWidth="1"/>
    <col min="15107" max="15107" width="13.28515625" style="135" customWidth="1"/>
    <col min="15108" max="15108" width="3.28515625" style="135" customWidth="1"/>
    <col min="15109" max="15109" width="1.7109375" style="135" customWidth="1"/>
    <col min="15110" max="15110" width="11.85546875" style="135" customWidth="1"/>
    <col min="15111" max="15111" width="3.28515625" style="135" customWidth="1"/>
    <col min="15112" max="15112" width="1.7109375" style="135" customWidth="1"/>
    <col min="15113" max="15113" width="11.85546875" style="135" customWidth="1"/>
    <col min="15114" max="15114" width="3.28515625" style="135" customWidth="1"/>
    <col min="15115" max="15115" width="21.140625" style="135" customWidth="1"/>
    <col min="15116" max="15360" width="11.42578125" style="135"/>
    <col min="15361" max="15361" width="13.28515625" style="135" customWidth="1"/>
    <col min="15362" max="15362" width="2.7109375" style="135" customWidth="1"/>
    <col min="15363" max="15363" width="13.28515625" style="135" customWidth="1"/>
    <col min="15364" max="15364" width="3.28515625" style="135" customWidth="1"/>
    <col min="15365" max="15365" width="1.7109375" style="135" customWidth="1"/>
    <col min="15366" max="15366" width="11.85546875" style="135" customWidth="1"/>
    <col min="15367" max="15367" width="3.28515625" style="135" customWidth="1"/>
    <col min="15368" max="15368" width="1.7109375" style="135" customWidth="1"/>
    <col min="15369" max="15369" width="11.85546875" style="135" customWidth="1"/>
    <col min="15370" max="15370" width="3.28515625" style="135" customWidth="1"/>
    <col min="15371" max="15371" width="21.140625" style="135" customWidth="1"/>
    <col min="15372" max="15616" width="11.42578125" style="135"/>
    <col min="15617" max="15617" width="13.28515625" style="135" customWidth="1"/>
    <col min="15618" max="15618" width="2.7109375" style="135" customWidth="1"/>
    <col min="15619" max="15619" width="13.28515625" style="135" customWidth="1"/>
    <col min="15620" max="15620" width="3.28515625" style="135" customWidth="1"/>
    <col min="15621" max="15621" width="1.7109375" style="135" customWidth="1"/>
    <col min="15622" max="15622" width="11.85546875" style="135" customWidth="1"/>
    <col min="15623" max="15623" width="3.28515625" style="135" customWidth="1"/>
    <col min="15624" max="15624" width="1.7109375" style="135" customWidth="1"/>
    <col min="15625" max="15625" width="11.85546875" style="135" customWidth="1"/>
    <col min="15626" max="15626" width="3.28515625" style="135" customWidth="1"/>
    <col min="15627" max="15627" width="21.140625" style="135" customWidth="1"/>
    <col min="15628" max="15872" width="11.42578125" style="135"/>
    <col min="15873" max="15873" width="13.28515625" style="135" customWidth="1"/>
    <col min="15874" max="15874" width="2.7109375" style="135" customWidth="1"/>
    <col min="15875" max="15875" width="13.28515625" style="135" customWidth="1"/>
    <col min="15876" max="15876" width="3.28515625" style="135" customWidth="1"/>
    <col min="15877" max="15877" width="1.7109375" style="135" customWidth="1"/>
    <col min="15878" max="15878" width="11.85546875" style="135" customWidth="1"/>
    <col min="15879" max="15879" width="3.28515625" style="135" customWidth="1"/>
    <col min="15880" max="15880" width="1.7109375" style="135" customWidth="1"/>
    <col min="15881" max="15881" width="11.85546875" style="135" customWidth="1"/>
    <col min="15882" max="15882" width="3.28515625" style="135" customWidth="1"/>
    <col min="15883" max="15883" width="21.140625" style="135" customWidth="1"/>
    <col min="15884" max="16128" width="11.42578125" style="135"/>
    <col min="16129" max="16129" width="13.28515625" style="135" customWidth="1"/>
    <col min="16130" max="16130" width="2.7109375" style="135" customWidth="1"/>
    <col min="16131" max="16131" width="13.28515625" style="135" customWidth="1"/>
    <col min="16132" max="16132" width="3.28515625" style="135" customWidth="1"/>
    <col min="16133" max="16133" width="1.7109375" style="135" customWidth="1"/>
    <col min="16134" max="16134" width="11.85546875" style="135" customWidth="1"/>
    <col min="16135" max="16135" width="3.28515625" style="135" customWidth="1"/>
    <col min="16136" max="16136" width="1.7109375" style="135" customWidth="1"/>
    <col min="16137" max="16137" width="11.85546875" style="135" customWidth="1"/>
    <col min="16138" max="16138" width="3.28515625" style="135" customWidth="1"/>
    <col min="16139" max="16139" width="21.140625" style="135" customWidth="1"/>
    <col min="16140" max="16384" width="11.42578125" style="135"/>
  </cols>
  <sheetData>
    <row r="1" spans="1:18" s="208" customFormat="1" x14ac:dyDescent="0.25">
      <c r="A1" s="755" t="s">
        <v>294</v>
      </c>
      <c r="B1" s="755"/>
      <c r="C1" s="755"/>
      <c r="D1" s="755"/>
      <c r="E1" s="755"/>
      <c r="F1" s="755"/>
      <c r="G1" s="755"/>
      <c r="H1" s="755"/>
      <c r="I1" s="755"/>
      <c r="J1" s="755"/>
      <c r="K1" s="755"/>
    </row>
    <row r="2" spans="1:18" s="208" customFormat="1" ht="12.6" customHeight="1" x14ac:dyDescent="0.25">
      <c r="A2" s="755"/>
      <c r="B2" s="755"/>
      <c r="C2" s="755"/>
      <c r="D2" s="755"/>
      <c r="E2" s="755"/>
      <c r="F2" s="755"/>
      <c r="G2" s="755"/>
      <c r="H2" s="755"/>
      <c r="I2" s="755"/>
      <c r="J2" s="755"/>
      <c r="K2" s="755"/>
    </row>
    <row r="3" spans="1:18" s="208" customFormat="1" ht="12.75" hidden="1" customHeight="1" x14ac:dyDescent="0.25">
      <c r="D3" s="247"/>
      <c r="E3" s="247"/>
      <c r="F3" s="247"/>
      <c r="G3" s="247"/>
      <c r="H3" s="247"/>
    </row>
    <row r="4" spans="1:18" s="208" customFormat="1" ht="12.2" customHeight="1" x14ac:dyDescent="0.3">
      <c r="A4" s="130"/>
      <c r="B4" s="130"/>
      <c r="C4" s="130"/>
      <c r="D4" s="130"/>
      <c r="E4" s="130"/>
      <c r="F4" s="130"/>
      <c r="G4" s="130"/>
      <c r="H4" s="130"/>
      <c r="I4" s="130"/>
      <c r="J4" s="130"/>
      <c r="K4" s="130"/>
    </row>
    <row r="5" spans="1:18" s="208" customFormat="1" ht="18.75" x14ac:dyDescent="0.3">
      <c r="A5" s="130"/>
      <c r="B5" s="130"/>
      <c r="C5" s="130"/>
      <c r="D5" s="130"/>
      <c r="E5" s="130"/>
      <c r="F5" s="130"/>
      <c r="G5" s="130"/>
      <c r="H5" s="130"/>
      <c r="I5" s="130"/>
      <c r="J5" s="130"/>
      <c r="K5" s="130"/>
    </row>
    <row r="6" spans="1:18" ht="18.75" x14ac:dyDescent="0.3">
      <c r="A6" s="130"/>
      <c r="B6" s="130"/>
      <c r="C6" s="130"/>
      <c r="D6" s="130"/>
      <c r="E6" s="130"/>
      <c r="F6" s="130"/>
      <c r="G6" s="130"/>
      <c r="H6" s="130"/>
      <c r="I6" s="130"/>
      <c r="J6" s="130"/>
      <c r="K6" s="130"/>
      <c r="L6" s="756"/>
      <c r="M6" s="756"/>
      <c r="N6" s="248"/>
      <c r="O6" s="248"/>
      <c r="P6" s="248"/>
    </row>
    <row r="7" spans="1:18" ht="18.75" x14ac:dyDescent="0.3">
      <c r="A7" s="260" t="s">
        <v>314</v>
      </c>
      <c r="B7" s="130"/>
      <c r="C7" s="758">
        <f>DONNEES!C14</f>
        <v>0</v>
      </c>
      <c r="D7" s="758"/>
      <c r="E7" s="758"/>
      <c r="F7" s="758"/>
      <c r="G7" s="758"/>
      <c r="H7" s="758"/>
      <c r="I7" s="758"/>
      <c r="J7" s="758"/>
      <c r="K7" s="758"/>
      <c r="L7" s="757"/>
      <c r="M7" s="757"/>
      <c r="N7" s="757"/>
      <c r="O7" s="757"/>
      <c r="P7" s="757"/>
      <c r="Q7" s="757"/>
      <c r="R7" s="757"/>
    </row>
    <row r="8" spans="1:18" s="249" customFormat="1" ht="15.75" customHeight="1" x14ac:dyDescent="0.3">
      <c r="A8" s="130"/>
      <c r="B8" s="130"/>
      <c r="C8" s="130"/>
      <c r="D8" s="130"/>
      <c r="E8" s="130"/>
      <c r="F8" s="130"/>
      <c r="G8" s="130"/>
      <c r="H8" s="130"/>
      <c r="I8" s="130"/>
      <c r="J8" s="130"/>
      <c r="K8" s="130"/>
      <c r="L8" s="250"/>
      <c r="M8" s="251"/>
      <c r="N8" s="251"/>
      <c r="O8" s="251"/>
      <c r="P8" s="251"/>
      <c r="Q8" s="251"/>
      <c r="R8" s="251"/>
    </row>
    <row r="9" spans="1:18" ht="9" customHeight="1" thickBot="1" x14ac:dyDescent="0.35">
      <c r="A9" s="130"/>
      <c r="B9" s="130"/>
      <c r="C9" s="130"/>
      <c r="D9" s="130"/>
      <c r="E9" s="130"/>
      <c r="F9" s="130"/>
      <c r="G9" s="130"/>
      <c r="H9" s="130"/>
      <c r="I9" s="130"/>
      <c r="J9" s="130"/>
      <c r="K9" s="130"/>
    </row>
    <row r="10" spans="1:18" s="208" customFormat="1" ht="14.1" customHeight="1" thickTop="1" x14ac:dyDescent="0.25">
      <c r="A10" s="778" t="s">
        <v>295</v>
      </c>
      <c r="B10" s="779"/>
      <c r="C10" s="779"/>
      <c r="D10" s="779"/>
      <c r="E10" s="779"/>
      <c r="F10" s="779"/>
      <c r="G10" s="779"/>
      <c r="H10" s="779"/>
      <c r="I10" s="779"/>
      <c r="J10" s="779"/>
      <c r="K10" s="780"/>
    </row>
    <row r="11" spans="1:18" s="256" customFormat="1" ht="6" customHeight="1" x14ac:dyDescent="0.2">
      <c r="A11" s="252"/>
      <c r="B11" s="345"/>
      <c r="C11" s="345"/>
      <c r="D11" s="254"/>
      <c r="E11" s="254"/>
      <c r="F11" s="254"/>
      <c r="G11" s="254"/>
      <c r="H11" s="254"/>
      <c r="I11" s="345"/>
      <c r="J11" s="345"/>
      <c r="K11" s="346"/>
    </row>
    <row r="12" spans="1:18" s="256" customFormat="1" x14ac:dyDescent="0.2">
      <c r="A12" s="258"/>
      <c r="B12" s="257"/>
      <c r="C12" s="257" t="s">
        <v>296</v>
      </c>
      <c r="D12" s="371" t="s">
        <v>239</v>
      </c>
      <c r="E12" s="254"/>
      <c r="F12" s="254" t="s">
        <v>297</v>
      </c>
      <c r="G12" s="371"/>
      <c r="H12" s="254"/>
      <c r="I12" s="345" t="s">
        <v>298</v>
      </c>
      <c r="J12" s="371"/>
      <c r="K12" s="346"/>
    </row>
    <row r="13" spans="1:18" s="259" customFormat="1" ht="18.75" x14ac:dyDescent="0.3">
      <c r="A13" s="258"/>
      <c r="B13" s="130"/>
      <c r="C13" s="257" t="s">
        <v>425</v>
      </c>
      <c r="D13" s="371" t="s">
        <v>426</v>
      </c>
      <c r="E13" s="130"/>
      <c r="F13" s="130"/>
      <c r="G13" s="130"/>
      <c r="H13" s="130"/>
      <c r="I13" s="130"/>
      <c r="J13" s="130"/>
      <c r="K13" s="346"/>
    </row>
    <row r="14" spans="1:18" s="256" customFormat="1" x14ac:dyDescent="0.2">
      <c r="A14" s="260" t="s">
        <v>299</v>
      </c>
      <c r="B14" s="261"/>
      <c r="C14" s="759" t="str">
        <f>IF(D12="OUI",DONNEES!C5,IF(J12="OUI",DONNEES!C6,""))</f>
        <v>yy</v>
      </c>
      <c r="D14" s="759"/>
      <c r="E14" s="759"/>
      <c r="F14" s="759"/>
      <c r="G14" s="759"/>
      <c r="H14" s="759"/>
      <c r="I14" s="759"/>
      <c r="J14" s="759"/>
      <c r="K14" s="760"/>
    </row>
    <row r="15" spans="1:18" s="267" customFormat="1" ht="6" customHeight="1" thickBot="1" x14ac:dyDescent="0.25">
      <c r="A15" s="262"/>
      <c r="B15" s="263"/>
      <c r="C15" s="264"/>
      <c r="D15" s="265"/>
      <c r="E15" s="265"/>
      <c r="F15" s="265"/>
      <c r="G15" s="265"/>
      <c r="H15" s="265"/>
      <c r="I15" s="263"/>
      <c r="J15" s="263"/>
      <c r="K15" s="266"/>
    </row>
    <row r="16" spans="1:18" ht="9" customHeight="1" thickTop="1" thickBot="1" x14ac:dyDescent="0.25"/>
    <row r="17" spans="1:13" s="208" customFormat="1" ht="14.1" customHeight="1" thickTop="1" x14ac:dyDescent="0.25">
      <c r="A17" s="778" t="s">
        <v>300</v>
      </c>
      <c r="B17" s="779"/>
      <c r="C17" s="779"/>
      <c r="D17" s="779"/>
      <c r="E17" s="779"/>
      <c r="F17" s="779"/>
      <c r="G17" s="779"/>
      <c r="H17" s="779"/>
      <c r="I17" s="779"/>
      <c r="J17" s="779"/>
      <c r="K17" s="780"/>
    </row>
    <row r="18" spans="1:13" ht="6" customHeight="1" x14ac:dyDescent="0.2">
      <c r="A18" s="781"/>
      <c r="B18" s="782"/>
      <c r="C18" s="782"/>
      <c r="D18" s="782"/>
      <c r="E18" s="782"/>
      <c r="F18" s="782"/>
      <c r="G18" s="782"/>
      <c r="H18" s="782"/>
      <c r="I18" s="782"/>
      <c r="J18" s="782"/>
      <c r="K18" s="783"/>
    </row>
    <row r="19" spans="1:13" x14ac:dyDescent="0.2">
      <c r="A19" s="784">
        <f>DONNEES!C4</f>
        <v>0</v>
      </c>
      <c r="B19" s="785"/>
      <c r="C19" s="785"/>
      <c r="D19" s="785"/>
      <c r="E19" s="785"/>
      <c r="F19" s="785"/>
      <c r="G19" s="785"/>
      <c r="H19" s="785"/>
      <c r="I19" s="785"/>
      <c r="J19" s="785"/>
      <c r="K19" s="786"/>
    </row>
    <row r="20" spans="1:13" ht="6" customHeight="1" thickBot="1" x14ac:dyDescent="0.25">
      <c r="A20" s="268"/>
      <c r="B20" s="269"/>
      <c r="C20" s="269"/>
      <c r="D20" s="270"/>
      <c r="E20" s="270"/>
      <c r="F20" s="270"/>
      <c r="G20" s="270"/>
      <c r="H20" s="270"/>
      <c r="I20" s="269"/>
      <c r="J20" s="269"/>
      <c r="K20" s="271"/>
    </row>
    <row r="21" spans="1:13" ht="9" customHeight="1" thickTop="1" thickBot="1" x14ac:dyDescent="0.25"/>
    <row r="22" spans="1:13" ht="14.1" customHeight="1" thickTop="1" x14ac:dyDescent="0.2">
      <c r="A22" s="775" t="s">
        <v>301</v>
      </c>
      <c r="B22" s="776"/>
      <c r="C22" s="776"/>
      <c r="D22" s="776"/>
      <c r="E22" s="776"/>
      <c r="F22" s="776"/>
      <c r="G22" s="776"/>
      <c r="H22" s="776"/>
      <c r="I22" s="776"/>
      <c r="J22" s="776"/>
      <c r="K22" s="777"/>
    </row>
    <row r="23" spans="1:13" s="256" customFormat="1" ht="12" customHeight="1" x14ac:dyDescent="0.2">
      <c r="A23" s="258"/>
      <c r="B23" s="253"/>
      <c r="C23" s="348" t="s">
        <v>329</v>
      </c>
      <c r="D23" s="348" t="s">
        <v>330</v>
      </c>
      <c r="E23" s="253"/>
      <c r="F23" s="253"/>
      <c r="G23" s="253"/>
      <c r="H23" s="253"/>
      <c r="I23" s="253"/>
      <c r="J23" s="253"/>
      <c r="K23" s="255"/>
    </row>
    <row r="24" spans="1:13" x14ac:dyDescent="0.2">
      <c r="A24" s="787" t="s">
        <v>302</v>
      </c>
      <c r="B24" s="788"/>
      <c r="C24" s="417"/>
      <c r="D24" s="417"/>
      <c r="E24" s="317"/>
      <c r="F24" s="317"/>
      <c r="G24" s="274"/>
      <c r="H24" s="274"/>
      <c r="I24" s="275"/>
      <c r="J24" s="276"/>
      <c r="K24" s="277"/>
    </row>
    <row r="25" spans="1:13" ht="5.45" customHeight="1" thickBot="1" x14ac:dyDescent="0.25">
      <c r="A25" s="272"/>
      <c r="B25" s="167"/>
      <c r="C25" s="167"/>
      <c r="D25" s="167"/>
      <c r="E25" s="167"/>
      <c r="F25" s="273"/>
      <c r="G25" s="274"/>
      <c r="H25" s="274"/>
      <c r="I25" s="275"/>
      <c r="J25" s="276"/>
      <c r="K25" s="277"/>
    </row>
    <row r="26" spans="1:13" s="208" customFormat="1" ht="13.5" thickTop="1" x14ac:dyDescent="0.25">
      <c r="A26" s="778" t="s">
        <v>303</v>
      </c>
      <c r="B26" s="779"/>
      <c r="C26" s="779"/>
      <c r="D26" s="779"/>
      <c r="E26" s="779"/>
      <c r="F26" s="779"/>
      <c r="G26" s="779"/>
      <c r="H26" s="779"/>
      <c r="I26" s="779"/>
      <c r="J26" s="779"/>
      <c r="K26" s="780"/>
    </row>
    <row r="27" spans="1:13" s="278" customFormat="1" ht="42.2" customHeight="1" thickBot="1" x14ac:dyDescent="0.25">
      <c r="A27" s="769" t="s">
        <v>315</v>
      </c>
      <c r="B27" s="770"/>
      <c r="C27" s="770"/>
      <c r="D27" s="768"/>
      <c r="E27" s="768"/>
      <c r="F27" s="768"/>
      <c r="G27" s="768"/>
      <c r="H27" s="768"/>
      <c r="I27" s="318" t="s">
        <v>316</v>
      </c>
      <c r="J27" s="318"/>
      <c r="K27" s="319"/>
    </row>
    <row r="28" spans="1:13" s="208" customFormat="1" ht="14.1" customHeight="1" thickTop="1" x14ac:dyDescent="0.25">
      <c r="A28" s="778" t="s">
        <v>304</v>
      </c>
      <c r="B28" s="779"/>
      <c r="C28" s="779"/>
      <c r="D28" s="779"/>
      <c r="E28" s="779"/>
      <c r="F28" s="779"/>
      <c r="G28" s="779"/>
      <c r="H28" s="779"/>
      <c r="I28" s="779"/>
      <c r="J28" s="779"/>
      <c r="K28" s="780"/>
    </row>
    <row r="29" spans="1:13" s="282" customFormat="1" ht="14.25" customHeight="1" x14ac:dyDescent="0.25">
      <c r="A29" s="279"/>
      <c r="B29" s="280"/>
      <c r="C29" s="280"/>
      <c r="D29" s="280"/>
      <c r="E29" s="280"/>
      <c r="F29" s="280"/>
      <c r="G29" s="280"/>
      <c r="H29" s="280"/>
      <c r="I29" s="280"/>
      <c r="J29" s="280"/>
      <c r="K29" s="281"/>
      <c r="M29" s="320" t="e">
        <f>SUM(D30+F30+D31+D32+D33+F31+F32+F33)</f>
        <v>#REF!</v>
      </c>
    </row>
    <row r="30" spans="1:13" s="282" customFormat="1" ht="25.5" customHeight="1" x14ac:dyDescent="0.25">
      <c r="A30" s="773" t="s">
        <v>427</v>
      </c>
      <c r="B30" s="774"/>
      <c r="C30" s="774"/>
      <c r="D30" s="494">
        <f>IF(AND(C14=DONNEES!C5,D13="Ferme",DONNEES!F52="OUI"),DONNEES!R56,IF(AND(C14=DONNEES!C6,D13="Ferme",DONNEES!F52="OUI"),DONNEES!R63,"0€"))</f>
        <v>0</v>
      </c>
      <c r="E30" s="495"/>
      <c r="F30" s="496">
        <f>IF(AND(C14=DONNEES!C5,D13="Ferme",DONNEES!F52="OUI"),DONNEES!S56,IF(AND(C14=DONNEES!C6,D13="Ferme",DONNEES!F52="OUI"),DONNEES!S63,"0€"))</f>
        <v>0</v>
      </c>
      <c r="G30" s="283"/>
      <c r="H30" s="284"/>
      <c r="J30" s="285"/>
      <c r="K30" s="286"/>
    </row>
    <row r="31" spans="1:13" s="282" customFormat="1" ht="25.5" hidden="1" customHeight="1" outlineLevel="1" x14ac:dyDescent="0.25">
      <c r="A31" s="773" t="s">
        <v>428</v>
      </c>
      <c r="B31" s="774"/>
      <c r="C31" s="774"/>
      <c r="D31" s="495" t="e">
        <f>IF(AND(C14=DONNEES!C5,D13="TO1",DONNEES!#REF!="OUI"),DONNEES!R76,IF(AND(C14=DONNEES!C6,D13="TO1",DONNEES!#REF!="OUI"),DONNEES!#REF!,"0€"))</f>
        <v>#REF!</v>
      </c>
      <c r="E31" s="495"/>
      <c r="F31" s="495" t="e">
        <f>IF(AND(C14=DONNEES!C5,D13="TO1",DONNEES!#REF!="OUI"),DONNEES!S76,IF(AND(C14=DONNEES!C6,D13="TO1",DONNEES!#REF!="OUI"),DONNEES!#REF!,"0€"))</f>
        <v>#REF!</v>
      </c>
      <c r="G31" s="283"/>
      <c r="H31" s="284"/>
      <c r="J31" s="285"/>
      <c r="K31" s="286"/>
    </row>
    <row r="32" spans="1:13" s="282" customFormat="1" ht="25.5" hidden="1" customHeight="1" outlineLevel="1" x14ac:dyDescent="0.25">
      <c r="A32" s="773" t="s">
        <v>429</v>
      </c>
      <c r="B32" s="774"/>
      <c r="C32" s="774"/>
      <c r="D32" s="465" t="e">
        <f>IF(AND(C14=DONNEES!C5,D13="TO2",DONNEES!#REF!="OUI"),DONNEES!#REF!,IF(AND(C14=DONNEES!C6,D13="TO2",DONNEES!#REF!="OUI"),DONNEES!#REF!,"0€"))</f>
        <v>#REF!</v>
      </c>
      <c r="E32" s="466"/>
      <c r="F32" s="467" t="e">
        <f>IF(AND(C14=DONNEES!C5,D13="TO2",DONNEES!#REF!="OUI"),DONNEES!#REF!,IF(AND(C14=DONNEES!C6,D13="TO2",DONNEES!#REF!="OUI"),DONNEES!#REF!,"0€"))</f>
        <v>#REF!</v>
      </c>
      <c r="G32" s="283"/>
      <c r="H32" s="284"/>
      <c r="J32" s="285"/>
      <c r="K32" s="286"/>
    </row>
    <row r="33" spans="1:12" s="282" customFormat="1" ht="25.5" hidden="1" customHeight="1" outlineLevel="1" x14ac:dyDescent="0.25">
      <c r="A33" s="773" t="s">
        <v>430</v>
      </c>
      <c r="B33" s="774"/>
      <c r="C33" s="774"/>
      <c r="D33" s="465" t="e">
        <f>IF(AND(C14=DONNEES!C5,D13="TO3",DONNEES!#REF!="OUI"),DONNEES!#REF!,IF(AND(C14=DONNEES!C6,D13="TO3",DONNEES!#REF!="OUI"),DONNEES!#REF!,"0€"))</f>
        <v>#REF!</v>
      </c>
      <c r="E33" s="466"/>
      <c r="F33" s="467" t="e">
        <f>IF(AND(C14=DONNEES!C5,D13="TO3",DONNEES!#REF!="OUI"),DONNEES!#REF!,IF(AND(C14=DONNEES!C6,D13="TO3",DONNEES!#REF!="OUI"),DONNEES!#REF!,"0€"))</f>
        <v>#REF!</v>
      </c>
      <c r="G33" s="283"/>
      <c r="H33" s="284"/>
      <c r="J33" s="285"/>
      <c r="K33" s="286"/>
    </row>
    <row r="34" spans="1:12" s="208" customFormat="1" collapsed="1" x14ac:dyDescent="0.25">
      <c r="A34" s="773" t="s">
        <v>305</v>
      </c>
      <c r="B34" s="774"/>
      <c r="C34" s="774"/>
      <c r="D34" s="468">
        <f>DONNEES!C24</f>
        <v>0.2</v>
      </c>
      <c r="E34" s="469"/>
      <c r="F34" s="470">
        <f>DONNEES!E24</f>
        <v>0.1</v>
      </c>
      <c r="G34" s="283"/>
      <c r="H34" s="284"/>
      <c r="J34" s="287"/>
      <c r="K34" s="286"/>
      <c r="L34" s="288"/>
    </row>
    <row r="35" spans="1:12" s="208" customFormat="1" ht="25.5" customHeight="1" x14ac:dyDescent="0.25">
      <c r="A35" s="773" t="s">
        <v>306</v>
      </c>
      <c r="B35" s="774"/>
      <c r="C35" s="774"/>
      <c r="D35" s="771" t="e">
        <f>IF(AND(M29&gt;=0,M29&lt;25000),"0",IF(AND(M29&gt;=25000,M29&lt;=149999),"30%",IF(AND(M29&gt;149999,M29&lt;=999999),"25%","20%")))</f>
        <v>#REF!</v>
      </c>
      <c r="E35" s="771"/>
      <c r="F35" s="771"/>
      <c r="G35" s="293"/>
      <c r="H35" s="294"/>
      <c r="J35" s="293"/>
      <c r="K35" s="286"/>
    </row>
    <row r="36" spans="1:12" s="208" customFormat="1" ht="22.5" customHeight="1" x14ac:dyDescent="0.25">
      <c r="A36" s="773" t="s">
        <v>317</v>
      </c>
      <c r="B36" s="774"/>
      <c r="C36" s="774"/>
      <c r="D36" s="772">
        <f>DONNEES!C17</f>
        <v>0</v>
      </c>
      <c r="E36" s="772"/>
      <c r="F36" s="772"/>
      <c r="G36" s="293"/>
      <c r="H36" s="294"/>
      <c r="K36" s="286"/>
    </row>
    <row r="37" spans="1:12" s="208" customFormat="1" x14ac:dyDescent="0.25">
      <c r="A37" s="279"/>
      <c r="B37" s="293"/>
      <c r="C37" s="291"/>
      <c r="D37" s="294"/>
      <c r="E37" s="294"/>
      <c r="F37" s="294"/>
      <c r="G37" s="293"/>
      <c r="H37" s="294"/>
      <c r="I37" s="295"/>
      <c r="J37" s="293"/>
      <c r="K37" s="286"/>
    </row>
    <row r="38" spans="1:12" s="208" customFormat="1" x14ac:dyDescent="0.2">
      <c r="A38" s="761"/>
      <c r="B38" s="762"/>
      <c r="C38" s="762"/>
      <c r="D38" s="762"/>
      <c r="E38" s="762"/>
      <c r="F38" s="762"/>
      <c r="G38" s="762"/>
      <c r="H38" s="762"/>
      <c r="I38" s="762"/>
      <c r="J38" s="762"/>
      <c r="K38" s="763"/>
    </row>
    <row r="39" spans="1:12" s="208" customFormat="1" x14ac:dyDescent="0.2">
      <c r="A39" s="761"/>
      <c r="B39" s="762"/>
      <c r="C39" s="762"/>
      <c r="D39" s="762"/>
      <c r="E39" s="762"/>
      <c r="F39" s="762"/>
      <c r="G39" s="762"/>
      <c r="H39" s="762"/>
      <c r="I39" s="762"/>
      <c r="J39" s="762"/>
      <c r="K39" s="763"/>
    </row>
    <row r="40" spans="1:12" s="208" customFormat="1" x14ac:dyDescent="0.2">
      <c r="A40" s="296"/>
      <c r="B40" s="297"/>
      <c r="C40" s="297"/>
      <c r="D40" s="297"/>
      <c r="E40" s="297"/>
      <c r="F40" s="297"/>
      <c r="G40" s="297"/>
      <c r="H40" s="297"/>
      <c r="I40" s="297"/>
      <c r="J40" s="297"/>
      <c r="K40" s="298"/>
    </row>
    <row r="41" spans="1:12" s="208" customFormat="1" x14ac:dyDescent="0.25">
      <c r="A41" s="292"/>
      <c r="B41" s="293"/>
      <c r="C41" s="294" t="s">
        <v>307</v>
      </c>
      <c r="D41" s="294"/>
      <c r="E41" s="294"/>
      <c r="F41" s="294"/>
      <c r="G41" s="293"/>
      <c r="H41" s="294"/>
      <c r="I41" s="418" t="e">
        <f>IF(D36&lt;=12,(M29*D35),((M29*D35)*(12/D36)))</f>
        <v>#REF!</v>
      </c>
      <c r="J41" s="293"/>
      <c r="K41" s="286"/>
    </row>
    <row r="42" spans="1:12" s="208" customFormat="1" x14ac:dyDescent="0.25">
      <c r="A42" s="292"/>
      <c r="B42" s="293"/>
      <c r="C42" s="294"/>
      <c r="D42" s="294"/>
      <c r="E42" s="294"/>
      <c r="F42" s="294"/>
      <c r="G42" s="293"/>
      <c r="H42" s="294"/>
      <c r="I42" s="293"/>
      <c r="J42" s="293"/>
      <c r="K42" s="286"/>
    </row>
    <row r="43" spans="1:12" s="208" customFormat="1" x14ac:dyDescent="0.25">
      <c r="A43" s="289"/>
      <c r="B43" s="290"/>
      <c r="C43" s="291" t="s">
        <v>308</v>
      </c>
      <c r="D43" s="291"/>
      <c r="E43" s="291"/>
      <c r="F43" s="291"/>
      <c r="G43" s="290"/>
      <c r="H43" s="291"/>
      <c r="I43" s="497"/>
      <c r="J43" s="300"/>
      <c r="K43" s="286"/>
    </row>
    <row r="44" spans="1:12" s="208" customFormat="1" x14ac:dyDescent="0.25">
      <c r="A44" s="289"/>
      <c r="B44" s="290"/>
      <c r="C44" s="291"/>
      <c r="D44" s="291"/>
      <c r="E44" s="291"/>
      <c r="F44" s="291"/>
      <c r="G44" s="290"/>
      <c r="H44" s="291"/>
      <c r="I44" s="299"/>
      <c r="J44" s="300"/>
      <c r="K44" s="286"/>
    </row>
    <row r="45" spans="1:12" s="208" customFormat="1" x14ac:dyDescent="0.25">
      <c r="A45" s="289"/>
      <c r="B45" s="290"/>
      <c r="C45" s="291" t="s">
        <v>309</v>
      </c>
      <c r="D45" s="291"/>
      <c r="E45" s="291"/>
      <c r="F45" s="291"/>
      <c r="G45" s="290"/>
      <c r="H45" s="291"/>
      <c r="I45" s="418" t="e">
        <f>M29-I43</f>
        <v>#REF!</v>
      </c>
      <c r="J45" s="300"/>
      <c r="K45" s="286"/>
    </row>
    <row r="46" spans="1:12" s="208" customFormat="1" x14ac:dyDescent="0.25">
      <c r="A46" s="289"/>
      <c r="B46" s="290"/>
      <c r="C46" s="291" t="s">
        <v>310</v>
      </c>
      <c r="D46" s="291"/>
      <c r="E46" s="291"/>
      <c r="F46" s="291"/>
      <c r="G46" s="290"/>
      <c r="H46" s="291"/>
      <c r="I46" s="418" t="e">
        <f>IF(D36&lt;=12,I45*D35,I45*D35*(12/D36))</f>
        <v>#REF!</v>
      </c>
      <c r="J46" s="300"/>
      <c r="K46" s="286"/>
    </row>
    <row r="47" spans="1:12" s="208" customFormat="1" x14ac:dyDescent="0.25">
      <c r="A47" s="289"/>
      <c r="B47" s="290"/>
      <c r="C47" s="291"/>
      <c r="D47" s="291"/>
      <c r="E47" s="291"/>
      <c r="F47" s="291"/>
      <c r="G47" s="290"/>
      <c r="H47" s="291"/>
      <c r="I47" s="301"/>
      <c r="J47" s="300"/>
      <c r="K47" s="286"/>
    </row>
    <row r="48" spans="1:12" s="208" customFormat="1" x14ac:dyDescent="0.25">
      <c r="A48" s="289"/>
      <c r="B48" s="290"/>
      <c r="C48" s="291"/>
      <c r="D48" s="291"/>
      <c r="E48" s="291"/>
      <c r="F48" s="291"/>
      <c r="G48" s="290"/>
      <c r="H48" s="291"/>
      <c r="I48" s="301"/>
      <c r="J48" s="300"/>
      <c r="K48" s="286"/>
    </row>
    <row r="49" spans="1:11" ht="13.5" thickBot="1" x14ac:dyDescent="0.25">
      <c r="A49" s="302"/>
      <c r="B49" s="303"/>
      <c r="C49" s="304"/>
      <c r="D49" s="305"/>
      <c r="E49" s="305"/>
      <c r="F49" s="305"/>
      <c r="G49" s="306"/>
      <c r="H49" s="305"/>
      <c r="I49" s="307"/>
      <c r="J49" s="308"/>
      <c r="K49" s="309"/>
    </row>
    <row r="50" spans="1:11" ht="14.25" thickTop="1" thickBot="1" x14ac:dyDescent="0.25">
      <c r="A50" s="310"/>
      <c r="B50" s="310"/>
      <c r="C50" s="291"/>
      <c r="D50" s="311"/>
      <c r="E50" s="311"/>
      <c r="F50" s="311"/>
      <c r="G50" s="290"/>
      <c r="H50" s="311"/>
      <c r="I50" s="312"/>
      <c r="J50" s="313"/>
      <c r="K50" s="314"/>
    </row>
    <row r="51" spans="1:11" s="208" customFormat="1" ht="17.25" thickTop="1" thickBot="1" x14ac:dyDescent="0.3">
      <c r="A51" s="764" t="s">
        <v>311</v>
      </c>
      <c r="B51" s="765"/>
      <c r="C51" s="765"/>
      <c r="D51" s="765"/>
      <c r="E51" s="765"/>
      <c r="F51" s="765"/>
      <c r="G51" s="765"/>
      <c r="H51" s="765"/>
      <c r="I51" s="765"/>
      <c r="J51" s="766"/>
      <c r="K51" s="315" t="e">
        <f>I41-I46</f>
        <v>#REF!</v>
      </c>
    </row>
    <row r="52" spans="1:11" ht="13.5" thickTop="1" x14ac:dyDescent="0.2">
      <c r="A52" s="316"/>
    </row>
    <row r="53" spans="1:11" x14ac:dyDescent="0.2">
      <c r="A53" s="135" t="s">
        <v>312</v>
      </c>
      <c r="D53" s="135"/>
    </row>
    <row r="54" spans="1:11" x14ac:dyDescent="0.2">
      <c r="A54" s="767" t="s">
        <v>313</v>
      </c>
      <c r="B54" s="767"/>
      <c r="C54" s="767"/>
      <c r="D54" s="767"/>
    </row>
  </sheetData>
  <sheetProtection algorithmName="SHA-512" hashValue="yTdU8JSnUp2fi3QsMFs6NGMboR/eTvpCj5CA7AoCXscKO5OsOyk8HVu0kQ0/5g6lmX+q0syrkUI4GJ9FtJPBuA==" saltValue="3C4/6pHz17eRO3iNB02aow==" spinCount="100000" sheet="1" objects="1" scenarios="1" autoFilter="0"/>
  <mergeCells count="28">
    <mergeCell ref="A22:K22"/>
    <mergeCell ref="A26:K26"/>
    <mergeCell ref="A28:K28"/>
    <mergeCell ref="A38:K38"/>
    <mergeCell ref="A10:K10"/>
    <mergeCell ref="A17:K17"/>
    <mergeCell ref="A18:K18"/>
    <mergeCell ref="A19:K19"/>
    <mergeCell ref="A24:B24"/>
    <mergeCell ref="A31:C31"/>
    <mergeCell ref="A32:C32"/>
    <mergeCell ref="A33:C33"/>
    <mergeCell ref="A39:K39"/>
    <mergeCell ref="A51:J51"/>
    <mergeCell ref="A54:D54"/>
    <mergeCell ref="D27:H27"/>
    <mergeCell ref="A27:C27"/>
    <mergeCell ref="D35:F35"/>
    <mergeCell ref="D36:F36"/>
    <mergeCell ref="A30:C30"/>
    <mergeCell ref="A34:C34"/>
    <mergeCell ref="A35:C35"/>
    <mergeCell ref="A36:C36"/>
    <mergeCell ref="A1:K2"/>
    <mergeCell ref="L6:M6"/>
    <mergeCell ref="L7:R7"/>
    <mergeCell ref="C7:K7"/>
    <mergeCell ref="C14:K14"/>
  </mergeCells>
  <pageMargins left="0.70866141732283472" right="0.70866141732283472" top="0.74803149606299213" bottom="0.74803149606299213" header="0.31496062992125984" footer="0.31496062992125984"/>
  <pageSetup paperSize="9" scale="83" fitToHeight="0" orientation="portrait" r:id="rId1"/>
  <headerFooter>
    <oddHeader>&amp;L&amp;G</oddHeader>
  </headerFooter>
  <legacyDrawing r:id="rId2"/>
  <legacyDrawingHF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LISTES!$H$1:$H$2</xm:f>
          </x14:formula1>
          <xm:sqref>J12 G12 D12</xm:sqref>
        </x14:dataValidation>
        <x14:dataValidation type="list" allowBlank="1" showInputMessage="1" showErrorMessage="1">
          <x14:formula1>
            <xm:f>LISTES!$E$35:$E$38</xm:f>
          </x14:formula1>
          <xm:sqref>D13</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4"/>
    <pageSetUpPr fitToPage="1"/>
  </sheetPr>
  <dimension ref="A1:AS270"/>
  <sheetViews>
    <sheetView zoomScale="80" zoomScaleNormal="80" workbookViewId="0">
      <selection activeCell="I131" sqref="I131"/>
    </sheetView>
  </sheetViews>
  <sheetFormatPr baseColWidth="10" defaultRowHeight="18" customHeight="1" x14ac:dyDescent="0.3"/>
  <cols>
    <col min="1" max="1" width="5.5703125" style="9" bestFit="1" customWidth="1"/>
    <col min="2" max="2" width="42.42578125" style="10" customWidth="1"/>
    <col min="3" max="3" width="17.42578125" style="10" customWidth="1"/>
    <col min="4" max="4" width="19.5703125" style="10" customWidth="1"/>
    <col min="5" max="5" width="17.5703125" style="10" customWidth="1"/>
    <col min="6" max="6" width="18.28515625" style="10" customWidth="1"/>
    <col min="7" max="7" width="17.7109375" style="10" customWidth="1"/>
    <col min="8" max="8" width="24.85546875" style="10" customWidth="1"/>
    <col min="9" max="9" width="17.85546875" style="10" bestFit="1" customWidth="1"/>
    <col min="10" max="10" width="17.85546875" style="10" customWidth="1"/>
    <col min="11" max="11" width="11.42578125" style="21"/>
    <col min="12" max="12" width="6.140625" style="21" customWidth="1"/>
    <col min="13" max="45" width="11.42578125" style="21"/>
    <col min="46" max="16384" width="11.42578125" style="10"/>
  </cols>
  <sheetData>
    <row r="1" spans="1:10" ht="18" customHeight="1" x14ac:dyDescent="0.3">
      <c r="A1" s="21"/>
      <c r="B1" s="21"/>
      <c r="C1" s="11" t="s">
        <v>0</v>
      </c>
      <c r="D1" s="11"/>
      <c r="E1" s="407"/>
      <c r="F1" s="21"/>
      <c r="G1" s="21"/>
      <c r="H1" s="21"/>
      <c r="I1" s="21"/>
      <c r="J1" s="21"/>
    </row>
    <row r="2" spans="1:10" ht="18" customHeight="1" x14ac:dyDescent="0.3">
      <c r="A2" s="21"/>
      <c r="B2" s="21"/>
      <c r="C2" s="11" t="s">
        <v>72</v>
      </c>
      <c r="D2" s="667">
        <f>DONNEES!C2</f>
        <v>0</v>
      </c>
      <c r="E2" s="667"/>
      <c r="F2" s="667"/>
      <c r="G2" s="667"/>
      <c r="H2" s="667"/>
      <c r="I2" s="667"/>
      <c r="J2" s="21"/>
    </row>
    <row r="3" spans="1:10" ht="18" customHeight="1" x14ac:dyDescent="0.3">
      <c r="A3" s="21"/>
      <c r="B3" s="21"/>
      <c r="C3" s="11" t="s">
        <v>2</v>
      </c>
      <c r="D3" s="792">
        <f>DONNEES!C3</f>
        <v>0</v>
      </c>
      <c r="E3" s="792"/>
      <c r="F3" s="792"/>
      <c r="G3" s="792"/>
      <c r="H3" s="792"/>
      <c r="I3" s="792"/>
      <c r="J3" s="21"/>
    </row>
    <row r="4" spans="1:10" ht="18" customHeight="1" x14ac:dyDescent="0.3">
      <c r="A4" s="21"/>
      <c r="B4" s="21"/>
      <c r="C4" s="11" t="s">
        <v>269</v>
      </c>
      <c r="D4" s="792">
        <f>DONNEES!C6</f>
        <v>0</v>
      </c>
      <c r="E4" s="792"/>
      <c r="F4" s="792"/>
      <c r="G4" s="792"/>
      <c r="H4" s="792"/>
      <c r="I4" s="792"/>
      <c r="J4" s="21"/>
    </row>
    <row r="5" spans="1:10" ht="18" customHeight="1" x14ac:dyDescent="0.3">
      <c r="A5" s="21"/>
      <c r="B5" s="21"/>
      <c r="C5" s="11" t="s">
        <v>4</v>
      </c>
      <c r="D5" s="792">
        <f>DONNEES!C14</f>
        <v>0</v>
      </c>
      <c r="E5" s="792"/>
      <c r="F5" s="792"/>
      <c r="G5" s="792"/>
      <c r="H5" s="792"/>
      <c r="I5" s="792"/>
      <c r="J5" s="21"/>
    </row>
    <row r="6" spans="1:10" ht="18" customHeight="1" x14ac:dyDescent="0.3">
      <c r="A6" s="21"/>
      <c r="B6" s="21"/>
      <c r="C6" s="11" t="s">
        <v>5</v>
      </c>
      <c r="D6" s="792">
        <f>DONNEES!C15</f>
        <v>0</v>
      </c>
      <c r="E6" s="792"/>
      <c r="F6" s="792"/>
      <c r="G6" s="792"/>
      <c r="H6" s="792"/>
      <c r="I6" s="792"/>
      <c r="J6" s="21"/>
    </row>
    <row r="7" spans="1:10" ht="18" customHeight="1" x14ac:dyDescent="0.3">
      <c r="A7" s="21"/>
      <c r="B7" s="21"/>
      <c r="C7" s="11" t="s">
        <v>6</v>
      </c>
      <c r="D7" s="11"/>
      <c r="E7" s="388" t="s">
        <v>42</v>
      </c>
      <c r="F7" s="126" t="s">
        <v>49</v>
      </c>
      <c r="G7" s="388">
        <v>2018</v>
      </c>
      <c r="I7" s="21"/>
      <c r="J7" s="21"/>
    </row>
    <row r="8" spans="1:10" ht="18" customHeight="1" x14ac:dyDescent="0.3">
      <c r="A8" s="21"/>
      <c r="B8" s="21"/>
      <c r="C8" s="21"/>
      <c r="D8" s="21"/>
      <c r="E8" s="21"/>
      <c r="F8" s="21"/>
      <c r="G8" s="15"/>
      <c r="H8" s="14"/>
      <c r="I8" s="21"/>
      <c r="J8" s="21"/>
    </row>
    <row r="9" spans="1:10" ht="18" customHeight="1" x14ac:dyDescent="0.3">
      <c r="B9" s="791" t="s">
        <v>7</v>
      </c>
      <c r="C9" s="791"/>
      <c r="D9" s="791"/>
      <c r="E9" s="21"/>
      <c r="F9" s="21"/>
      <c r="G9" s="21"/>
      <c r="H9" s="21"/>
      <c r="I9" s="21"/>
      <c r="J9" s="21"/>
    </row>
    <row r="10" spans="1:10" ht="18" customHeight="1" x14ac:dyDescent="0.3">
      <c r="A10" s="21"/>
      <c r="B10" s="11" t="s">
        <v>8</v>
      </c>
      <c r="C10" s="420">
        <f>DONNEES!C24</f>
        <v>0.2</v>
      </c>
      <c r="D10" s="420">
        <f>DONNEES!E24</f>
        <v>0.1</v>
      </c>
      <c r="E10" s="17" t="s">
        <v>65</v>
      </c>
      <c r="F10" s="18"/>
      <c r="G10" s="21"/>
      <c r="H10" s="21"/>
      <c r="I10" s="21"/>
      <c r="J10" s="21"/>
    </row>
    <row r="11" spans="1:10" ht="18" customHeight="1" x14ac:dyDescent="0.3">
      <c r="A11" s="21"/>
      <c r="B11" s="11" t="s">
        <v>9</v>
      </c>
      <c r="C11" s="125">
        <f>DONNEES!E68</f>
        <v>0</v>
      </c>
      <c r="D11" s="125">
        <f>DONNEES!F68</f>
        <v>0</v>
      </c>
      <c r="E11" s="20">
        <f>C11+D11</f>
        <v>0</v>
      </c>
      <c r="F11" s="21"/>
      <c r="G11" s="21"/>
      <c r="H11" s="21"/>
      <c r="I11" s="21"/>
      <c r="J11" s="21"/>
    </row>
    <row r="12" spans="1:10" ht="18" customHeight="1" x14ac:dyDescent="0.3">
      <c r="A12" s="21"/>
      <c r="B12" s="11" t="s">
        <v>10</v>
      </c>
      <c r="C12" s="125" t="e">
        <f>DONNEES!#REF!</f>
        <v>#REF!</v>
      </c>
      <c r="D12" s="125" t="e">
        <f>DONNEES!#REF!</f>
        <v>#REF!</v>
      </c>
      <c r="E12" s="20" t="e">
        <f t="shared" ref="E12:E19" si="0">C12+D12</f>
        <v>#REF!</v>
      </c>
      <c r="F12" s="21"/>
      <c r="G12" s="21"/>
      <c r="H12" s="21"/>
      <c r="I12" s="21"/>
      <c r="J12" s="21"/>
    </row>
    <row r="13" spans="1:10" ht="18" customHeight="1" x14ac:dyDescent="0.3">
      <c r="A13" s="21"/>
      <c r="B13" s="11" t="s">
        <v>11</v>
      </c>
      <c r="C13" s="125" t="e">
        <f>DONNEES!#REF!</f>
        <v>#REF!</v>
      </c>
      <c r="D13" s="125" t="e">
        <f>DONNEES!#REF!</f>
        <v>#REF!</v>
      </c>
      <c r="E13" s="20" t="e">
        <f t="shared" si="0"/>
        <v>#REF!</v>
      </c>
      <c r="F13" s="21"/>
      <c r="G13" s="21"/>
      <c r="H13" s="21"/>
      <c r="I13" s="21"/>
      <c r="J13" s="21"/>
    </row>
    <row r="14" spans="1:10" ht="18" customHeight="1" x14ac:dyDescent="0.3">
      <c r="A14" s="21"/>
      <c r="B14" s="11" t="s">
        <v>12</v>
      </c>
      <c r="C14" s="125" t="e">
        <f>DONNEES!#REF!</f>
        <v>#REF!</v>
      </c>
      <c r="D14" s="125" t="e">
        <f>DONNEES!#REF!</f>
        <v>#REF!</v>
      </c>
      <c r="E14" s="20" t="e">
        <f t="shared" si="0"/>
        <v>#REF!</v>
      </c>
      <c r="F14" s="21"/>
      <c r="G14" s="21"/>
      <c r="H14" s="21"/>
      <c r="I14" s="21"/>
      <c r="J14" s="21"/>
    </row>
    <row r="15" spans="1:10" ht="18" customHeight="1" x14ac:dyDescent="0.3">
      <c r="A15" s="21"/>
      <c r="B15" s="11" t="s">
        <v>478</v>
      </c>
      <c r="C15" s="546"/>
      <c r="D15" s="546"/>
      <c r="E15" s="20"/>
      <c r="F15" s="21"/>
      <c r="G15" s="21"/>
      <c r="H15" s="21"/>
      <c r="I15" s="21"/>
      <c r="J15" s="21"/>
    </row>
    <row r="16" spans="1:10" ht="18" customHeight="1" x14ac:dyDescent="0.3">
      <c r="A16" s="21"/>
      <c r="B16" s="11" t="s">
        <v>479</v>
      </c>
      <c r="C16" s="546"/>
      <c r="D16" s="546"/>
      <c r="E16" s="20"/>
      <c r="F16" s="21"/>
      <c r="G16" s="21"/>
      <c r="H16" s="21"/>
      <c r="I16" s="21"/>
      <c r="J16" s="21"/>
    </row>
    <row r="17" spans="1:10" ht="18" customHeight="1" x14ac:dyDescent="0.3">
      <c r="A17" s="21"/>
      <c r="B17" s="11" t="s">
        <v>480</v>
      </c>
      <c r="C17" s="546"/>
      <c r="D17" s="546"/>
      <c r="E17" s="20"/>
      <c r="F17" s="21"/>
      <c r="G17" s="21"/>
      <c r="H17" s="21"/>
      <c r="I17" s="21"/>
      <c r="J17" s="21"/>
    </row>
    <row r="18" spans="1:10" ht="18" customHeight="1" x14ac:dyDescent="0.3">
      <c r="A18" s="21"/>
      <c r="B18" s="11" t="s">
        <v>13</v>
      </c>
      <c r="C18" s="125" t="e">
        <f>DONNEES!#REF!</f>
        <v>#REF!</v>
      </c>
      <c r="D18" s="125" t="e">
        <f>DONNEES!#REF!</f>
        <v>#REF!</v>
      </c>
      <c r="E18" s="20" t="e">
        <f t="shared" si="0"/>
        <v>#REF!</v>
      </c>
      <c r="F18" s="21"/>
      <c r="G18" s="21"/>
      <c r="H18" s="21"/>
      <c r="I18" s="21"/>
      <c r="J18" s="21"/>
    </row>
    <row r="19" spans="1:10" ht="18" customHeight="1" x14ac:dyDescent="0.3">
      <c r="A19" s="21"/>
      <c r="B19" s="11" t="s">
        <v>73</v>
      </c>
      <c r="C19" s="381"/>
      <c r="D19" s="381"/>
      <c r="E19" s="20">
        <f t="shared" si="0"/>
        <v>0</v>
      </c>
      <c r="F19" s="21"/>
      <c r="G19" s="21"/>
      <c r="H19" s="21"/>
      <c r="I19" s="21"/>
      <c r="J19" s="21"/>
    </row>
    <row r="20" spans="1:10" ht="18" customHeight="1" x14ac:dyDescent="0.3">
      <c r="A20" s="21"/>
      <c r="B20" s="24" t="s">
        <v>14</v>
      </c>
      <c r="C20" s="125" t="e">
        <f>SUM(C11:C18)-C19</f>
        <v>#REF!</v>
      </c>
      <c r="D20" s="125" t="e">
        <f>SUM(D11:D18)-D19</f>
        <v>#REF!</v>
      </c>
      <c r="E20" s="20" t="e">
        <f>C20+D20</f>
        <v>#REF!</v>
      </c>
      <c r="F20" s="26"/>
      <c r="G20" s="21"/>
      <c r="H20" s="21"/>
      <c r="I20" s="21"/>
      <c r="J20" s="21"/>
    </row>
    <row r="21" spans="1:10" ht="18" customHeight="1" x14ac:dyDescent="0.3">
      <c r="A21" s="21"/>
      <c r="B21" s="24" t="s">
        <v>15</v>
      </c>
      <c r="C21" s="125" t="e">
        <f>C20*C10</f>
        <v>#REF!</v>
      </c>
      <c r="D21" s="125" t="e">
        <f>D20*D10</f>
        <v>#REF!</v>
      </c>
      <c r="E21" s="21"/>
      <c r="F21" s="21"/>
      <c r="G21" s="21"/>
      <c r="H21" s="21"/>
      <c r="I21" s="21"/>
      <c r="J21" s="21"/>
    </row>
    <row r="22" spans="1:10" ht="18" customHeight="1" x14ac:dyDescent="0.3">
      <c r="A22" s="21"/>
      <c r="B22" s="24" t="s">
        <v>16</v>
      </c>
      <c r="C22" s="125" t="e">
        <f>C20+C21</f>
        <v>#REF!</v>
      </c>
      <c r="D22" s="125" t="e">
        <f>D20+D21</f>
        <v>#REF!</v>
      </c>
      <c r="E22" s="21"/>
      <c r="F22" s="21"/>
      <c r="G22" s="21"/>
      <c r="H22" s="21"/>
      <c r="I22" s="21"/>
      <c r="J22" s="21"/>
    </row>
    <row r="23" spans="1:10" ht="18" customHeight="1" x14ac:dyDescent="0.3">
      <c r="A23" s="21"/>
      <c r="B23" s="24" t="s">
        <v>17</v>
      </c>
      <c r="C23" s="624" t="e">
        <f>C22+D22</f>
        <v>#REF!</v>
      </c>
      <c r="D23" s="624"/>
      <c r="E23" s="21"/>
      <c r="F23" s="21"/>
      <c r="G23" s="21"/>
      <c r="H23" s="21"/>
      <c r="I23" s="21"/>
      <c r="J23" s="21"/>
    </row>
    <row r="24" spans="1:10" ht="18" customHeight="1" x14ac:dyDescent="0.3">
      <c r="A24" s="21"/>
      <c r="B24" s="551"/>
      <c r="C24" s="552"/>
      <c r="D24" s="552"/>
      <c r="E24" s="21"/>
      <c r="F24" s="21"/>
      <c r="G24" s="21"/>
      <c r="H24" s="21"/>
      <c r="I24" s="21"/>
      <c r="J24" s="21"/>
    </row>
    <row r="25" spans="1:10" ht="18" customHeight="1" x14ac:dyDescent="0.3">
      <c r="A25" s="21"/>
      <c r="B25" s="666" t="s">
        <v>33</v>
      </c>
      <c r="C25" s="666"/>
      <c r="D25" s="666"/>
      <c r="E25" s="666"/>
      <c r="F25" s="21"/>
      <c r="G25" s="21"/>
      <c r="H25" s="21"/>
      <c r="I25" s="21"/>
      <c r="J25" s="21"/>
    </row>
    <row r="26" spans="1:10" ht="18" customHeight="1" x14ac:dyDescent="0.3">
      <c r="A26" s="21"/>
      <c r="B26" s="603" t="s">
        <v>34</v>
      </c>
      <c r="C26" s="603" t="s">
        <v>35</v>
      </c>
      <c r="D26" s="178" t="s">
        <v>15</v>
      </c>
      <c r="E26" s="178" t="s">
        <v>15</v>
      </c>
      <c r="F26" s="21"/>
      <c r="G26" s="21"/>
      <c r="H26" s="21"/>
      <c r="I26" s="21"/>
      <c r="J26" s="21"/>
    </row>
    <row r="27" spans="1:10" ht="18" customHeight="1" x14ac:dyDescent="0.3">
      <c r="A27" s="21"/>
      <c r="B27" s="603"/>
      <c r="C27" s="603"/>
      <c r="D27" s="242">
        <f>DONNEES!C24</f>
        <v>0.2</v>
      </c>
      <c r="E27" s="242">
        <f>DONNEES!E24</f>
        <v>0.1</v>
      </c>
      <c r="F27" s="21"/>
      <c r="G27" s="21"/>
      <c r="H27" s="21"/>
      <c r="I27" s="21"/>
      <c r="J27" s="21"/>
    </row>
    <row r="28" spans="1:10" ht="18" customHeight="1" x14ac:dyDescent="0.3">
      <c r="A28" s="21"/>
      <c r="B28" s="39" t="s">
        <v>247</v>
      </c>
      <c r="C28" s="224">
        <f>DONNEES!C68</f>
        <v>0</v>
      </c>
      <c r="D28" s="64">
        <f>DONNEES!AA127</f>
        <v>0</v>
      </c>
      <c r="E28" s="64">
        <f>DONNEES!AB127</f>
        <v>0</v>
      </c>
      <c r="F28" s="21"/>
      <c r="G28" s="21"/>
      <c r="H28" s="21"/>
      <c r="I28" s="21"/>
      <c r="J28" s="21"/>
    </row>
    <row r="29" spans="1:10" ht="18" customHeight="1" x14ac:dyDescent="0.3">
      <c r="A29" s="21"/>
      <c r="B29" s="62">
        <f>DONNEES!B69</f>
        <v>0</v>
      </c>
      <c r="C29" s="224">
        <f>DONNEES!C69</f>
        <v>0</v>
      </c>
      <c r="D29" s="64" t="e">
        <f>DONNEES!G69+DONNEES!#REF!+DONNEES!#REF!+DONNEES!#REF!+DONNEES!#REF!</f>
        <v>#REF!</v>
      </c>
      <c r="E29" s="64" t="e">
        <f>DONNEES!H69+DONNEES!#REF!+DONNEES!#REF!+DONNEES!#REF!+DONNEES!#REF!</f>
        <v>#REF!</v>
      </c>
      <c r="F29" s="21"/>
      <c r="G29" s="21"/>
      <c r="H29" s="21"/>
      <c r="I29" s="21"/>
      <c r="J29" s="21"/>
    </row>
    <row r="30" spans="1:10" ht="18" customHeight="1" x14ac:dyDescent="0.3">
      <c r="A30" s="21"/>
      <c r="B30" s="62">
        <f>DONNEES!B70</f>
        <v>0</v>
      </c>
      <c r="C30" s="224">
        <f>DONNEES!C70</f>
        <v>0</v>
      </c>
      <c r="D30" s="64" t="e">
        <f>DONNEES!G70+DONNEES!#REF!+DONNEES!#REF!+DONNEES!#REF!+DONNEES!#REF!</f>
        <v>#REF!</v>
      </c>
      <c r="E30" s="64" t="e">
        <f>DONNEES!H70+DONNEES!#REF!+DONNEES!#REF!+DONNEES!#REF!+DONNEES!#REF!</f>
        <v>#REF!</v>
      </c>
      <c r="F30" s="21"/>
      <c r="G30" s="21"/>
      <c r="H30" s="21"/>
      <c r="I30" s="21"/>
      <c r="J30" s="21"/>
    </row>
    <row r="31" spans="1:10" ht="18" customHeight="1" x14ac:dyDescent="0.3">
      <c r="A31" s="21"/>
      <c r="B31" s="62">
        <f>DONNEES!B71</f>
        <v>0</v>
      </c>
      <c r="C31" s="224">
        <f>DONNEES!C71</f>
        <v>0</v>
      </c>
      <c r="D31" s="64" t="e">
        <f>DONNEES!G71+DONNEES!#REF!+DONNEES!#REF!+DONNEES!#REF!+DONNEES!#REF!</f>
        <v>#REF!</v>
      </c>
      <c r="E31" s="64" t="e">
        <f>DONNEES!H71+DONNEES!#REF!+DONNEES!#REF!+DONNEES!#REF!+DONNEES!#REF!</f>
        <v>#REF!</v>
      </c>
      <c r="F31" s="21"/>
      <c r="G31" s="21"/>
      <c r="H31" s="21"/>
      <c r="I31" s="21"/>
      <c r="J31" s="21"/>
    </row>
    <row r="32" spans="1:10" ht="18" customHeight="1" x14ac:dyDescent="0.3">
      <c r="A32" s="21"/>
      <c r="B32" s="62">
        <f>DONNEES!B72</f>
        <v>0</v>
      </c>
      <c r="C32" s="224">
        <f>DONNEES!C72</f>
        <v>0</v>
      </c>
      <c r="D32" s="64" t="e">
        <f>DONNEES!G72+DONNEES!#REF!+DONNEES!#REF!+DONNEES!#REF!+DONNEES!#REF!</f>
        <v>#REF!</v>
      </c>
      <c r="E32" s="64" t="e">
        <f>DONNEES!H72+DONNEES!#REF!+DONNEES!#REF!+DONNEES!#REF!+DONNEES!#REF!</f>
        <v>#REF!</v>
      </c>
      <c r="F32" s="21"/>
      <c r="G32" s="21"/>
      <c r="H32" s="21"/>
      <c r="I32" s="21"/>
      <c r="J32" s="21"/>
    </row>
    <row r="33" spans="1:10" ht="18" customHeight="1" x14ac:dyDescent="0.3">
      <c r="A33" s="21"/>
      <c r="B33" s="62">
        <f>DONNEES!B77</f>
        <v>0</v>
      </c>
      <c r="C33" s="224">
        <f>DONNEES!C60</f>
        <v>0</v>
      </c>
      <c r="D33" s="64" t="e">
        <f>DONNEES!G77+DONNEES!#REF!+DONNEES!#REF!+DONNEES!#REF!+DONNEES!#REF!</f>
        <v>#REF!</v>
      </c>
      <c r="E33" s="64" t="e">
        <f>DONNEES!H77+DONNEES!#REF!+DONNEES!#REF!+DONNEES!#REF!+DONNEES!#REF!</f>
        <v>#REF!</v>
      </c>
      <c r="F33" s="21"/>
      <c r="G33" s="21"/>
      <c r="H33" s="21"/>
      <c r="I33" s="21"/>
      <c r="J33" s="21"/>
    </row>
    <row r="34" spans="1:10" ht="18" customHeight="1" x14ac:dyDescent="0.3">
      <c r="A34" s="21"/>
      <c r="B34" s="62">
        <f>DONNEES!B78</f>
        <v>0</v>
      </c>
      <c r="C34" s="224">
        <f>DONNEES!C65</f>
        <v>0</v>
      </c>
      <c r="D34" s="64" t="e">
        <f>DONNEES!G78+DONNEES!#REF!+DONNEES!#REF!+DONNEES!#REF!+DONNEES!#REF!</f>
        <v>#REF!</v>
      </c>
      <c r="E34" s="64" t="e">
        <f>DONNEES!H78+DONNEES!#REF!+DONNEES!#REF!+DONNEES!#REF!+DONNEES!#REF!</f>
        <v>#REF!</v>
      </c>
      <c r="F34" s="21"/>
      <c r="G34" s="21"/>
      <c r="H34" s="21"/>
      <c r="I34" s="21"/>
      <c r="J34" s="21"/>
    </row>
    <row r="35" spans="1:10" ht="18" customHeight="1" x14ac:dyDescent="0.3">
      <c r="A35" s="21"/>
      <c r="B35" s="21"/>
      <c r="C35" s="21"/>
      <c r="D35" s="64" t="e">
        <f>DONNEES!G169+DONNEES!#REF!+DONNEES!#REF!+DONNEES!#REF!+DONNEES!#REF!</f>
        <v>#REF!</v>
      </c>
      <c r="E35" s="64" t="e">
        <f>DONNEES!H169+DONNEES!#REF!+DONNEES!#REF!+DONNEES!#REF!+DONNEES!#REF!</f>
        <v>#REF!</v>
      </c>
      <c r="F35" s="21"/>
      <c r="G35" s="21"/>
      <c r="H35" s="21"/>
      <c r="I35" s="21"/>
      <c r="J35" s="21"/>
    </row>
    <row r="36" spans="1:10" ht="18" customHeight="1" x14ac:dyDescent="0.3">
      <c r="A36" s="21"/>
      <c r="B36" s="603" t="s">
        <v>34</v>
      </c>
      <c r="C36" s="603" t="s">
        <v>35</v>
      </c>
      <c r="D36" s="178" t="s">
        <v>15</v>
      </c>
      <c r="E36" s="178" t="s">
        <v>15</v>
      </c>
      <c r="F36" s="21"/>
      <c r="G36" s="21"/>
      <c r="H36" s="21"/>
      <c r="I36" s="21"/>
      <c r="J36" s="21"/>
    </row>
    <row r="37" spans="1:10" ht="18" customHeight="1" x14ac:dyDescent="0.3">
      <c r="A37" s="21"/>
      <c r="B37" s="603"/>
      <c r="C37" s="603"/>
      <c r="D37" s="242">
        <f>DONNEES!C24</f>
        <v>0.2</v>
      </c>
      <c r="E37" s="242">
        <f>DONNEES!E24</f>
        <v>0.1</v>
      </c>
      <c r="F37" s="21"/>
      <c r="G37" s="21"/>
      <c r="H37" s="21"/>
      <c r="I37" s="21"/>
      <c r="J37" s="21"/>
    </row>
    <row r="38" spans="1:10" ht="18" customHeight="1" x14ac:dyDescent="0.3">
      <c r="A38" s="21"/>
      <c r="B38" s="39" t="s">
        <v>470</v>
      </c>
      <c r="C38" s="224">
        <f>DONNEES!C81</f>
        <v>0</v>
      </c>
      <c r="D38" s="64">
        <f>DONNEES!AA128</f>
        <v>0</v>
      </c>
      <c r="E38" s="64">
        <f>DONNEES!AB128</f>
        <v>0</v>
      </c>
      <c r="F38" s="21"/>
      <c r="G38" s="21"/>
      <c r="H38" s="21"/>
      <c r="I38" s="21"/>
      <c r="J38" s="21"/>
    </row>
    <row r="39" spans="1:10" ht="18" customHeight="1" x14ac:dyDescent="0.3">
      <c r="A39" s="21"/>
      <c r="B39" s="62">
        <f>DONNEES!B82</f>
        <v>0</v>
      </c>
      <c r="C39" s="62">
        <f>DONNEES!C82</f>
        <v>0</v>
      </c>
      <c r="D39" s="64" t="e">
        <f>DONNEES!G87+DONNEES!#REF!+DONNEES!#REF!+DONNEES!#REF!+DONNEES!#REF!</f>
        <v>#REF!</v>
      </c>
      <c r="E39" s="64" t="e">
        <f>DONNEES!H87+DONNEES!#REF!+DONNEES!#REF!+DONNEES!#REF!+DONNEES!#REF!</f>
        <v>#REF!</v>
      </c>
      <c r="F39" s="21"/>
      <c r="G39" s="21"/>
      <c r="H39" s="21"/>
      <c r="I39" s="21"/>
      <c r="J39" s="21"/>
    </row>
    <row r="40" spans="1:10" ht="18" customHeight="1" x14ac:dyDescent="0.3">
      <c r="A40" s="21"/>
      <c r="B40" s="62">
        <f>DONNEES!B87</f>
        <v>0</v>
      </c>
      <c r="C40" s="62">
        <f>DONNEES!C87</f>
        <v>0</v>
      </c>
      <c r="D40" s="64" t="e">
        <f>DONNEES!G88+DONNEES!#REF!+DONNEES!#REF!+DONNEES!#REF!+DONNEES!#REF!</f>
        <v>#REF!</v>
      </c>
      <c r="E40" s="64" t="e">
        <f>DONNEES!H88+DONNEES!#REF!+DONNEES!#REF!+DONNEES!#REF!+DONNEES!#REF!</f>
        <v>#REF!</v>
      </c>
      <c r="F40" s="21"/>
      <c r="G40" s="21"/>
      <c r="H40" s="21"/>
      <c r="I40" s="21"/>
      <c r="J40" s="21"/>
    </row>
    <row r="41" spans="1:10" ht="18" customHeight="1" x14ac:dyDescent="0.3">
      <c r="A41" s="21"/>
      <c r="B41" s="62">
        <f>DONNEES!B88</f>
        <v>0</v>
      </c>
      <c r="C41" s="62">
        <f>DONNEES!C88</f>
        <v>0</v>
      </c>
      <c r="D41" s="64" t="e">
        <f>DONNEES!G89+DONNEES!#REF!+DONNEES!#REF!+DONNEES!#REF!+DONNEES!#REF!</f>
        <v>#REF!</v>
      </c>
      <c r="E41" s="64" t="e">
        <f>DONNEES!H89+DONNEES!#REF!+DONNEES!#REF!+DONNEES!#REF!+DONNEES!#REF!</f>
        <v>#REF!</v>
      </c>
      <c r="F41" s="21"/>
      <c r="G41" s="21"/>
      <c r="H41" s="21"/>
      <c r="I41" s="21"/>
      <c r="J41" s="21"/>
    </row>
    <row r="42" spans="1:10" ht="18" customHeight="1" x14ac:dyDescent="0.3">
      <c r="A42" s="21"/>
      <c r="B42" s="62">
        <f>DONNEES!B89</f>
        <v>0</v>
      </c>
      <c r="C42" s="62">
        <f>DONNEES!C89</f>
        <v>0</v>
      </c>
      <c r="D42" s="64" t="e">
        <f>DONNEES!G90+DONNEES!#REF!+DONNEES!#REF!+DONNEES!#REF!+DONNEES!#REF!</f>
        <v>#REF!</v>
      </c>
      <c r="E42" s="64" t="e">
        <f>DONNEES!H90+DONNEES!#REF!+DONNEES!#REF!+DONNEES!#REF!+DONNEES!#REF!</f>
        <v>#REF!</v>
      </c>
      <c r="F42" s="21"/>
      <c r="G42" s="21"/>
      <c r="H42" s="21"/>
      <c r="I42" s="21"/>
      <c r="J42" s="21"/>
    </row>
    <row r="43" spans="1:10" ht="18" customHeight="1" x14ac:dyDescent="0.3">
      <c r="A43" s="21"/>
      <c r="B43" s="62">
        <f>DONNEES!B90</f>
        <v>0</v>
      </c>
      <c r="C43" s="62">
        <f>DONNEES!C90</f>
        <v>0</v>
      </c>
      <c r="D43" s="64" t="e">
        <f>DONNEES!G91+DONNEES!#REF!+DONNEES!#REF!+DONNEES!#REF!+DONNEES!#REF!</f>
        <v>#REF!</v>
      </c>
      <c r="E43" s="64" t="e">
        <f>DONNEES!H91+DONNEES!#REF!+DONNEES!#REF!+DONNEES!#REF!+DONNEES!#REF!</f>
        <v>#REF!</v>
      </c>
      <c r="F43" s="21"/>
      <c r="G43" s="21"/>
      <c r="H43" s="21"/>
      <c r="I43" s="21"/>
      <c r="J43" s="21"/>
    </row>
    <row r="44" spans="1:10" ht="18" customHeight="1" x14ac:dyDescent="0.3">
      <c r="A44" s="21"/>
      <c r="B44" s="62">
        <f>DONNEES!B91</f>
        <v>0</v>
      </c>
      <c r="C44" s="62">
        <f>DONNEES!C91</f>
        <v>0</v>
      </c>
      <c r="D44" s="64" t="e">
        <f>DONNEES!G92+DONNEES!#REF!+DONNEES!#REF!+DONNEES!#REF!+DONNEES!#REF!</f>
        <v>#VALUE!</v>
      </c>
      <c r="E44" s="64" t="e">
        <f>DONNEES!H92+DONNEES!#REF!+DONNEES!#REF!+DONNEES!#REF!+DONNEES!#REF!</f>
        <v>#VALUE!</v>
      </c>
      <c r="F44" s="21"/>
      <c r="G44" s="21"/>
      <c r="H44" s="21"/>
      <c r="I44" s="21"/>
      <c r="J44" s="21"/>
    </row>
    <row r="45" spans="1:10" ht="18" customHeight="1" x14ac:dyDescent="0.3">
      <c r="A45" s="21"/>
      <c r="B45" s="21"/>
      <c r="C45" s="21"/>
      <c r="D45" s="64" t="e">
        <f>DONNEES!G183+DONNEES!#REF!+DONNEES!#REF!+DONNEES!#REF!+DONNEES!#REF!</f>
        <v>#REF!</v>
      </c>
      <c r="E45" s="64" t="e">
        <f>DONNEES!H183+DONNEES!#REF!+DONNEES!#REF!+DONNEES!#REF!+DONNEES!#REF!</f>
        <v>#REF!</v>
      </c>
      <c r="F45" s="21"/>
      <c r="G45" s="21"/>
      <c r="H45" s="21"/>
      <c r="I45" s="21"/>
      <c r="J45" s="21"/>
    </row>
    <row r="46" spans="1:10" ht="18" customHeight="1" x14ac:dyDescent="0.3">
      <c r="A46" s="21"/>
      <c r="B46" s="603" t="s">
        <v>34</v>
      </c>
      <c r="C46" s="603" t="s">
        <v>35</v>
      </c>
      <c r="D46" s="178" t="s">
        <v>15</v>
      </c>
      <c r="E46" s="178" t="s">
        <v>15</v>
      </c>
      <c r="F46" s="21"/>
      <c r="G46" s="21"/>
      <c r="H46" s="21"/>
      <c r="I46" s="21"/>
      <c r="J46" s="21"/>
    </row>
    <row r="47" spans="1:10" ht="18" customHeight="1" x14ac:dyDescent="0.3">
      <c r="A47" s="21"/>
      <c r="B47" s="603"/>
      <c r="C47" s="603"/>
      <c r="D47" s="242">
        <f>DONNEES!C24</f>
        <v>0.2</v>
      </c>
      <c r="E47" s="242">
        <f>DONNEES!E24</f>
        <v>0.1</v>
      </c>
      <c r="F47" s="21"/>
      <c r="G47" s="21"/>
      <c r="H47" s="21"/>
      <c r="I47" s="21"/>
      <c r="J47" s="21"/>
    </row>
    <row r="48" spans="1:10" ht="18" customHeight="1" x14ac:dyDescent="0.3">
      <c r="A48" s="21"/>
      <c r="B48" s="39" t="s">
        <v>471</v>
      </c>
      <c r="C48" s="224">
        <f>DONNEES!C94</f>
        <v>0</v>
      </c>
      <c r="D48" s="64">
        <f>DONNEES!AA129</f>
        <v>0</v>
      </c>
      <c r="E48" s="64">
        <f>DONNEES!AB129</f>
        <v>0</v>
      </c>
      <c r="F48" s="21"/>
      <c r="G48" s="21"/>
      <c r="H48" s="21"/>
      <c r="I48" s="21"/>
      <c r="J48" s="21"/>
    </row>
    <row r="49" spans="1:10" ht="18" customHeight="1" x14ac:dyDescent="0.3">
      <c r="A49" s="21"/>
      <c r="B49" s="62">
        <f>DONNEES!B95</f>
        <v>0</v>
      </c>
      <c r="C49" s="62">
        <f>DONNEES!C95</f>
        <v>0</v>
      </c>
      <c r="D49" s="64" t="e">
        <f>DONNEES!G101+DONNEES!#REF!+DONNEES!#REF!+DONNEES!#REF!+DONNEES!#REF!</f>
        <v>#REF!</v>
      </c>
      <c r="E49" s="64" t="e">
        <f>DONNEES!H101+DONNEES!#REF!+DONNEES!#REF!+DONNEES!#REF!+DONNEES!#REF!</f>
        <v>#REF!</v>
      </c>
      <c r="F49" s="21"/>
      <c r="G49" s="21"/>
      <c r="H49" s="21"/>
      <c r="I49" s="21"/>
      <c r="J49" s="21"/>
    </row>
    <row r="50" spans="1:10" ht="18" customHeight="1" x14ac:dyDescent="0.3">
      <c r="A50" s="21"/>
      <c r="B50" s="62">
        <f>DONNEES!B100</f>
        <v>0</v>
      </c>
      <c r="C50" s="62">
        <f>DONNEES!C100</f>
        <v>0</v>
      </c>
      <c r="D50" s="64" t="e">
        <f>DONNEES!G102+DONNEES!#REF!+DONNEES!#REF!+DONNEES!#REF!+DONNEES!#REF!</f>
        <v>#REF!</v>
      </c>
      <c r="E50" s="64" t="e">
        <f>DONNEES!H102+DONNEES!#REF!+DONNEES!#REF!+DONNEES!#REF!+DONNEES!#REF!</f>
        <v>#REF!</v>
      </c>
      <c r="F50" s="21"/>
      <c r="G50" s="21"/>
      <c r="H50" s="21"/>
      <c r="I50" s="21"/>
      <c r="J50" s="21"/>
    </row>
    <row r="51" spans="1:10" ht="18" customHeight="1" x14ac:dyDescent="0.3">
      <c r="A51" s="21"/>
      <c r="B51" s="62">
        <f>DONNEES!B101</f>
        <v>0</v>
      </c>
      <c r="C51" s="62">
        <f>DONNEES!C101</f>
        <v>0</v>
      </c>
      <c r="D51" s="64" t="e">
        <f>DONNEES!G103+DONNEES!#REF!+DONNEES!#REF!+DONNEES!#REF!+DONNEES!#REF!</f>
        <v>#REF!</v>
      </c>
      <c r="E51" s="64" t="e">
        <f>DONNEES!H103+DONNEES!#REF!+DONNEES!#REF!+DONNEES!#REF!+DONNEES!#REF!</f>
        <v>#REF!</v>
      </c>
      <c r="F51" s="21"/>
      <c r="G51" s="21"/>
      <c r="H51" s="21"/>
      <c r="I51" s="21"/>
      <c r="J51" s="21"/>
    </row>
    <row r="52" spans="1:10" ht="18" customHeight="1" x14ac:dyDescent="0.3">
      <c r="A52" s="21"/>
      <c r="B52" s="62">
        <f>DONNEES!B102</f>
        <v>0</v>
      </c>
      <c r="C52" s="62">
        <f>DONNEES!C102</f>
        <v>0</v>
      </c>
      <c r="D52" s="64" t="e">
        <f>DONNEES!G104+DONNEES!#REF!+DONNEES!#REF!+DONNEES!#REF!+DONNEES!#REF!</f>
        <v>#REF!</v>
      </c>
      <c r="E52" s="64" t="e">
        <f>DONNEES!H104+DONNEES!#REF!+DONNEES!#REF!+DONNEES!#REF!+DONNEES!#REF!</f>
        <v>#REF!</v>
      </c>
      <c r="F52" s="21"/>
      <c r="G52" s="21"/>
      <c r="H52" s="21"/>
      <c r="I52" s="21"/>
      <c r="J52" s="21"/>
    </row>
    <row r="53" spans="1:10" ht="18" customHeight="1" x14ac:dyDescent="0.3">
      <c r="A53" s="21"/>
      <c r="B53" s="62">
        <f>DONNEES!B103</f>
        <v>0</v>
      </c>
      <c r="C53" s="62">
        <f>DONNEES!C103</f>
        <v>0</v>
      </c>
      <c r="D53" s="64" t="e">
        <f>DONNEES!G105+DONNEES!#REF!+DONNEES!#REF!+DONNEES!#REF!+DONNEES!#REF!</f>
        <v>#VALUE!</v>
      </c>
      <c r="E53" s="64" t="e">
        <f>DONNEES!H105+DONNEES!#REF!+DONNEES!#REF!+DONNEES!#REF!+DONNEES!#REF!</f>
        <v>#VALUE!</v>
      </c>
      <c r="F53" s="21"/>
      <c r="G53" s="21"/>
      <c r="H53" s="21"/>
      <c r="I53" s="21"/>
      <c r="J53" s="21"/>
    </row>
    <row r="54" spans="1:10" ht="18" customHeight="1" x14ac:dyDescent="0.3">
      <c r="A54" s="21"/>
      <c r="B54" s="62">
        <f>DONNEES!B104</f>
        <v>0</v>
      </c>
      <c r="C54" s="62">
        <f>DONNEES!C104</f>
        <v>0</v>
      </c>
      <c r="D54" s="64" t="e">
        <f>DONNEES!G106+DONNEES!#REF!+DONNEES!#REF!+DONNEES!#REF!+DONNEES!#REF!</f>
        <v>#VALUE!</v>
      </c>
      <c r="E54" s="64" t="e">
        <f>DONNEES!H106+DONNEES!#REF!+DONNEES!#REF!+DONNEES!#REF!+DONNEES!#REF!</f>
        <v>#VALUE!</v>
      </c>
      <c r="F54" s="21"/>
      <c r="G54" s="21"/>
      <c r="H54" s="21"/>
      <c r="I54" s="21"/>
      <c r="J54" s="21"/>
    </row>
    <row r="55" spans="1:10" ht="18" customHeight="1" x14ac:dyDescent="0.3">
      <c r="A55" s="21"/>
      <c r="B55" s="21"/>
      <c r="C55" s="21"/>
      <c r="D55" s="64" t="e">
        <f>DONNEES!G197+DONNEES!#REF!+DONNEES!#REF!+DONNEES!#REF!+DONNEES!#REF!</f>
        <v>#REF!</v>
      </c>
      <c r="E55" s="64" t="e">
        <f>DONNEES!H197+DONNEES!#REF!+DONNEES!#REF!+DONNEES!#REF!+DONNEES!#REF!</f>
        <v>#REF!</v>
      </c>
      <c r="F55" s="21"/>
      <c r="G55" s="21"/>
      <c r="H55" s="21"/>
      <c r="I55" s="21"/>
      <c r="J55" s="21"/>
    </row>
    <row r="56" spans="1:10" ht="18" customHeight="1" x14ac:dyDescent="0.3">
      <c r="A56" s="21"/>
      <c r="B56" s="603" t="s">
        <v>34</v>
      </c>
      <c r="C56" s="603" t="s">
        <v>35</v>
      </c>
      <c r="D56" s="178" t="s">
        <v>15</v>
      </c>
      <c r="E56" s="178" t="s">
        <v>15</v>
      </c>
      <c r="F56" s="21"/>
      <c r="G56" s="21"/>
      <c r="H56" s="21"/>
      <c r="I56" s="21"/>
      <c r="J56" s="21"/>
    </row>
    <row r="57" spans="1:10" ht="18" customHeight="1" x14ac:dyDescent="0.3">
      <c r="A57" s="21"/>
      <c r="B57" s="603"/>
      <c r="C57" s="603"/>
      <c r="D57" s="242">
        <f>DONNEES!C24</f>
        <v>0.2</v>
      </c>
      <c r="E57" s="242">
        <f>DONNEES!E24</f>
        <v>0.1</v>
      </c>
      <c r="F57" s="21"/>
      <c r="G57" s="21"/>
      <c r="H57" s="21"/>
      <c r="I57" s="21"/>
      <c r="J57" s="21"/>
    </row>
    <row r="58" spans="1:10" ht="18" customHeight="1" x14ac:dyDescent="0.3">
      <c r="A58" s="21"/>
      <c r="B58" s="39" t="s">
        <v>472</v>
      </c>
      <c r="C58" s="224">
        <f>DONNEES!C107</f>
        <v>0</v>
      </c>
      <c r="D58" s="64">
        <f>DONNEES!AA130</f>
        <v>0</v>
      </c>
      <c r="E58" s="64">
        <f>DONNEES!AB130</f>
        <v>0</v>
      </c>
      <c r="F58" s="21"/>
      <c r="G58" s="21"/>
      <c r="H58" s="21"/>
      <c r="I58" s="21"/>
      <c r="J58" s="21"/>
    </row>
    <row r="59" spans="1:10" ht="18" customHeight="1" x14ac:dyDescent="0.3">
      <c r="A59" s="21"/>
      <c r="B59" s="62">
        <f>DONNEES!B108</f>
        <v>0</v>
      </c>
      <c r="C59" s="62">
        <f>DONNEES!C108</f>
        <v>0</v>
      </c>
      <c r="D59" s="64" t="e">
        <f>DONNEES!G115+DONNEES!#REF!+DONNEES!#REF!+DONNEES!#REF!+DONNEES!#REF!</f>
        <v>#REF!</v>
      </c>
      <c r="E59" s="64" t="e">
        <f>DONNEES!H115+DONNEES!#REF!+DONNEES!#REF!+DONNEES!#REF!+DONNEES!#REF!</f>
        <v>#REF!</v>
      </c>
      <c r="F59" s="21"/>
      <c r="G59" s="21"/>
      <c r="H59" s="21"/>
      <c r="I59" s="21"/>
      <c r="J59" s="21"/>
    </row>
    <row r="60" spans="1:10" ht="18" customHeight="1" x14ac:dyDescent="0.3">
      <c r="A60" s="21"/>
      <c r="B60" s="62">
        <f>DONNEES!B113</f>
        <v>0</v>
      </c>
      <c r="C60" s="62">
        <f>DONNEES!C113</f>
        <v>0</v>
      </c>
      <c r="D60" s="64" t="e">
        <f>DONNEES!G116+DONNEES!#REF!+DONNEES!#REF!+DONNEES!#REF!+DONNEES!#REF!</f>
        <v>#REF!</v>
      </c>
      <c r="E60" s="64" t="e">
        <f>DONNEES!H116+DONNEES!#REF!+DONNEES!#REF!+DONNEES!#REF!+DONNEES!#REF!</f>
        <v>#REF!</v>
      </c>
      <c r="F60" s="21"/>
      <c r="G60" s="21"/>
      <c r="H60" s="21"/>
      <c r="I60" s="21"/>
      <c r="J60" s="21"/>
    </row>
    <row r="61" spans="1:10" ht="18" customHeight="1" x14ac:dyDescent="0.3">
      <c r="A61" s="21"/>
      <c r="B61" s="62">
        <f>DONNEES!B114</f>
        <v>0</v>
      </c>
      <c r="C61" s="62">
        <f>DONNEES!C114</f>
        <v>0</v>
      </c>
      <c r="D61" s="64" t="e">
        <f>DONNEES!G117+DONNEES!#REF!+DONNEES!#REF!+DONNEES!#REF!+DONNEES!#REF!</f>
        <v>#REF!</v>
      </c>
      <c r="E61" s="64" t="e">
        <f>DONNEES!H117+DONNEES!#REF!+DONNEES!#REF!+DONNEES!#REF!+DONNEES!#REF!</f>
        <v>#REF!</v>
      </c>
      <c r="F61" s="21"/>
      <c r="G61" s="21"/>
      <c r="H61" s="21"/>
      <c r="I61" s="21"/>
      <c r="J61" s="21"/>
    </row>
    <row r="62" spans="1:10" ht="18" customHeight="1" x14ac:dyDescent="0.3">
      <c r="A62" s="21"/>
      <c r="B62" s="62">
        <f>DONNEES!B115</f>
        <v>0</v>
      </c>
      <c r="C62" s="62">
        <f>DONNEES!C115</f>
        <v>0</v>
      </c>
      <c r="D62" s="64" t="e">
        <f>DONNEES!G118+DONNEES!#REF!+DONNEES!#REF!+DONNEES!#REF!+DONNEES!#REF!</f>
        <v>#VALUE!</v>
      </c>
      <c r="E62" s="64" t="e">
        <f>DONNEES!H118+DONNEES!#REF!+DONNEES!#REF!+DONNEES!#REF!+DONNEES!#REF!</f>
        <v>#VALUE!</v>
      </c>
      <c r="F62" s="21"/>
      <c r="G62" s="21"/>
      <c r="H62" s="21"/>
      <c r="I62" s="21"/>
      <c r="J62" s="21"/>
    </row>
    <row r="63" spans="1:10" ht="18" customHeight="1" x14ac:dyDescent="0.3">
      <c r="A63" s="21"/>
      <c r="B63" s="62">
        <f>DONNEES!B116</f>
        <v>0</v>
      </c>
      <c r="C63" s="62">
        <f>DONNEES!C116</f>
        <v>0</v>
      </c>
      <c r="D63" s="64" t="e">
        <f>DONNEES!G119+DONNEES!#REF!+DONNEES!#REF!+DONNEES!#REF!+DONNEES!#REF!</f>
        <v>#VALUE!</v>
      </c>
      <c r="E63" s="64" t="e">
        <f>DONNEES!H119+DONNEES!#REF!+DONNEES!#REF!+DONNEES!#REF!+DONNEES!#REF!</f>
        <v>#VALUE!</v>
      </c>
      <c r="F63" s="21"/>
      <c r="G63" s="21"/>
      <c r="H63" s="21"/>
      <c r="I63" s="21"/>
      <c r="J63" s="21"/>
    </row>
    <row r="64" spans="1:10" ht="18" customHeight="1" x14ac:dyDescent="0.3">
      <c r="A64" s="21"/>
      <c r="B64" s="62">
        <f>DONNEES!B117</f>
        <v>0</v>
      </c>
      <c r="C64" s="62">
        <f>DONNEES!C117</f>
        <v>0</v>
      </c>
      <c r="D64" s="64" t="e">
        <f>DONNEES!G120+DONNEES!#REF!+DONNEES!#REF!+DONNEES!#REF!+DONNEES!#REF!</f>
        <v>#REF!</v>
      </c>
      <c r="E64" s="64" t="e">
        <f>DONNEES!H120+DONNEES!#REF!+DONNEES!#REF!+DONNEES!#REF!+DONNEES!#REF!</f>
        <v>#REF!</v>
      </c>
      <c r="F64" s="21"/>
      <c r="G64" s="21"/>
      <c r="H64" s="21"/>
      <c r="I64" s="21"/>
      <c r="J64" s="21"/>
    </row>
    <row r="65" spans="1:10" ht="18" customHeight="1" x14ac:dyDescent="0.3">
      <c r="A65" s="21"/>
      <c r="B65" s="21"/>
      <c r="C65" s="21"/>
      <c r="D65" s="64" t="e">
        <f>DONNEES!G211+DONNEES!#REF!+DONNEES!#REF!+DONNEES!#REF!+DONNEES!#REF!</f>
        <v>#REF!</v>
      </c>
      <c r="E65" s="64" t="e">
        <f>DONNEES!H211+DONNEES!#REF!+DONNEES!#REF!+DONNEES!#REF!+DONNEES!#REF!</f>
        <v>#REF!</v>
      </c>
      <c r="F65" s="21"/>
      <c r="G65" s="21"/>
      <c r="H65" s="21"/>
      <c r="I65" s="21"/>
      <c r="J65" s="21"/>
    </row>
    <row r="66" spans="1:10" ht="18" customHeight="1" x14ac:dyDescent="0.3">
      <c r="A66" s="21"/>
      <c r="B66" s="603" t="s">
        <v>34</v>
      </c>
      <c r="C66" s="603" t="s">
        <v>35</v>
      </c>
      <c r="D66" s="178" t="s">
        <v>15</v>
      </c>
      <c r="E66" s="178" t="s">
        <v>15</v>
      </c>
      <c r="F66" s="21"/>
      <c r="G66" s="21"/>
      <c r="H66" s="21"/>
      <c r="I66" s="21"/>
      <c r="J66" s="21"/>
    </row>
    <row r="67" spans="1:10" ht="18" customHeight="1" x14ac:dyDescent="0.3">
      <c r="A67" s="21"/>
      <c r="B67" s="603"/>
      <c r="C67" s="603"/>
      <c r="D67" s="242">
        <f>DONNEES!C24</f>
        <v>0.2</v>
      </c>
      <c r="E67" s="242">
        <f>DONNEES!E24</f>
        <v>0.1</v>
      </c>
      <c r="F67" s="21"/>
      <c r="G67" s="21"/>
      <c r="H67" s="21"/>
      <c r="I67" s="21"/>
      <c r="J67" s="21"/>
    </row>
    <row r="68" spans="1:10" ht="18" customHeight="1" x14ac:dyDescent="0.3">
      <c r="A68" s="21"/>
      <c r="B68" s="39" t="s">
        <v>473</v>
      </c>
      <c r="C68" s="224">
        <f>DONNEES!C120</f>
        <v>0</v>
      </c>
      <c r="D68" s="64">
        <f>DONNEES!AA131</f>
        <v>0</v>
      </c>
      <c r="E68" s="64">
        <f>DONNEES!AB131</f>
        <v>0</v>
      </c>
      <c r="F68" s="21"/>
      <c r="G68" s="21"/>
      <c r="H68" s="21"/>
      <c r="I68" s="21"/>
      <c r="J68" s="21"/>
    </row>
    <row r="69" spans="1:10" ht="18" customHeight="1" x14ac:dyDescent="0.3">
      <c r="A69" s="21"/>
      <c r="B69" s="62">
        <f>DONNEES!B121</f>
        <v>0</v>
      </c>
      <c r="C69" s="62">
        <f>DONNEES!C121</f>
        <v>0</v>
      </c>
      <c r="D69" s="64" t="e">
        <f>DONNEES!G129+DONNEES!#REF!+DONNEES!#REF!+DONNEES!#REF!+DONNEES!#REF!</f>
        <v>#REF!</v>
      </c>
      <c r="E69" s="64" t="e">
        <f>DONNEES!H129+DONNEES!#REF!+DONNEES!#REF!+DONNEES!#REF!+DONNEES!#REF!</f>
        <v>#REF!</v>
      </c>
      <c r="F69" s="21"/>
      <c r="G69" s="21"/>
      <c r="H69" s="21"/>
      <c r="I69" s="21"/>
      <c r="J69" s="21"/>
    </row>
    <row r="70" spans="1:10" ht="18" customHeight="1" x14ac:dyDescent="0.3">
      <c r="A70" s="21"/>
      <c r="B70" s="62">
        <f>DONNEES!B126</f>
        <v>0</v>
      </c>
      <c r="C70" s="62">
        <f>DONNEES!C126</f>
        <v>0</v>
      </c>
      <c r="D70" s="64" t="e">
        <f>DONNEES!G130+DONNEES!#REF!+DONNEES!#REF!+DONNEES!#REF!+DONNEES!#REF!</f>
        <v>#REF!</v>
      </c>
      <c r="E70" s="64" t="e">
        <f>DONNEES!H130+DONNEES!#REF!+DONNEES!#REF!+DONNEES!#REF!+DONNEES!#REF!</f>
        <v>#REF!</v>
      </c>
      <c r="F70" s="21"/>
      <c r="G70" s="21"/>
      <c r="H70" s="21"/>
      <c r="I70" s="21"/>
      <c r="J70" s="21"/>
    </row>
    <row r="71" spans="1:10" ht="18" customHeight="1" x14ac:dyDescent="0.3">
      <c r="A71" s="21"/>
      <c r="B71" s="62">
        <f>DONNEES!B127</f>
        <v>0</v>
      </c>
      <c r="C71" s="62">
        <f>DONNEES!C127</f>
        <v>0</v>
      </c>
      <c r="D71" s="64" t="e">
        <f>DONNEES!G131+DONNEES!#REF!+DONNEES!#REF!+DONNEES!#REF!+DONNEES!#REF!</f>
        <v>#VALUE!</v>
      </c>
      <c r="E71" s="64" t="e">
        <f>DONNEES!H131+DONNEES!#REF!+DONNEES!#REF!+DONNEES!#REF!+DONNEES!#REF!</f>
        <v>#VALUE!</v>
      </c>
      <c r="F71" s="21"/>
      <c r="G71" s="21"/>
      <c r="H71" s="21"/>
      <c r="I71" s="21"/>
      <c r="J71" s="21"/>
    </row>
    <row r="72" spans="1:10" ht="18" customHeight="1" x14ac:dyDescent="0.3">
      <c r="A72" s="21"/>
      <c r="B72" s="62">
        <f>DONNEES!B128</f>
        <v>0</v>
      </c>
      <c r="C72" s="62">
        <f>DONNEES!C128</f>
        <v>0</v>
      </c>
      <c r="D72" s="64" t="e">
        <f>DONNEES!G132+DONNEES!#REF!+DONNEES!#REF!+DONNEES!#REF!+DONNEES!#REF!</f>
        <v>#VALUE!</v>
      </c>
      <c r="E72" s="64" t="e">
        <f>DONNEES!H132+DONNEES!#REF!+DONNEES!#REF!+DONNEES!#REF!+DONNEES!#REF!</f>
        <v>#VALUE!</v>
      </c>
      <c r="F72" s="21"/>
      <c r="G72" s="21"/>
      <c r="H72" s="21"/>
      <c r="I72" s="21"/>
      <c r="J72" s="21"/>
    </row>
    <row r="73" spans="1:10" ht="18" customHeight="1" x14ac:dyDescent="0.3">
      <c r="A73" s="21"/>
      <c r="B73" s="62">
        <f>DONNEES!B129</f>
        <v>0</v>
      </c>
      <c r="C73" s="62">
        <f>DONNEES!C129</f>
        <v>0</v>
      </c>
      <c r="D73" s="64" t="e">
        <f>DONNEES!G133+DONNEES!#REF!+DONNEES!#REF!+DONNEES!#REF!+DONNEES!#REF!</f>
        <v>#REF!</v>
      </c>
      <c r="E73" s="64" t="e">
        <f>DONNEES!H133+DONNEES!#REF!+DONNEES!#REF!+DONNEES!#REF!+DONNEES!#REF!</f>
        <v>#REF!</v>
      </c>
      <c r="F73" s="21"/>
      <c r="G73" s="21"/>
      <c r="H73" s="21"/>
      <c r="I73" s="21"/>
      <c r="J73" s="21"/>
    </row>
    <row r="74" spans="1:10" ht="18" customHeight="1" x14ac:dyDescent="0.3">
      <c r="A74" s="21"/>
      <c r="B74" s="62">
        <f>DONNEES!B130</f>
        <v>0</v>
      </c>
      <c r="C74" s="62">
        <f>DONNEES!C130</f>
        <v>0</v>
      </c>
      <c r="D74" s="64" t="e">
        <f>DONNEES!G134+DONNEES!#REF!+DONNEES!#REF!+DONNEES!#REF!+DONNEES!#REF!</f>
        <v>#REF!</v>
      </c>
      <c r="E74" s="64" t="e">
        <f>DONNEES!H134+DONNEES!#REF!+DONNEES!#REF!+DONNEES!#REF!+DONNEES!#REF!</f>
        <v>#REF!</v>
      </c>
      <c r="F74" s="21"/>
      <c r="G74" s="21"/>
      <c r="H74" s="21"/>
      <c r="I74" s="21"/>
      <c r="J74" s="21"/>
    </row>
    <row r="75" spans="1:10" ht="18" customHeight="1" x14ac:dyDescent="0.3">
      <c r="A75" s="21"/>
      <c r="B75" s="21"/>
      <c r="C75" s="21"/>
      <c r="D75" s="64" t="e">
        <f>DONNEES!G225+DONNEES!#REF!+DONNEES!#REF!+DONNEES!#REF!+DONNEES!#REF!</f>
        <v>#VALUE!</v>
      </c>
      <c r="E75" s="64" t="e">
        <f>DONNEES!H225+DONNEES!#REF!+DONNEES!#REF!+DONNEES!#REF!+DONNEES!#REF!</f>
        <v>#VALUE!</v>
      </c>
      <c r="F75" s="21"/>
      <c r="G75" s="21"/>
      <c r="H75" s="21"/>
      <c r="I75" s="21"/>
      <c r="J75" s="21"/>
    </row>
    <row r="76" spans="1:10" ht="18" customHeight="1" x14ac:dyDescent="0.3">
      <c r="A76" s="21"/>
      <c r="B76" s="603" t="s">
        <v>34</v>
      </c>
      <c r="C76" s="603" t="s">
        <v>35</v>
      </c>
      <c r="D76" s="178" t="s">
        <v>15</v>
      </c>
      <c r="E76" s="178" t="s">
        <v>15</v>
      </c>
      <c r="F76" s="21"/>
      <c r="G76" s="21"/>
      <c r="H76" s="21"/>
      <c r="I76" s="21"/>
      <c r="J76" s="21"/>
    </row>
    <row r="77" spans="1:10" ht="18" customHeight="1" x14ac:dyDescent="0.3">
      <c r="A77" s="21"/>
      <c r="B77" s="603"/>
      <c r="C77" s="603"/>
      <c r="D77" s="242">
        <f>DONNEES!C24</f>
        <v>0.2</v>
      </c>
      <c r="E77" s="242">
        <f>DONNEES!E24</f>
        <v>0.1</v>
      </c>
      <c r="F77" s="21"/>
      <c r="G77" s="21"/>
      <c r="H77" s="21"/>
      <c r="I77" s="21"/>
      <c r="J77" s="21"/>
    </row>
    <row r="78" spans="1:10" ht="18" customHeight="1" x14ac:dyDescent="0.3">
      <c r="A78" s="21"/>
      <c r="B78" s="39" t="s">
        <v>474</v>
      </c>
      <c r="C78" s="224">
        <f>DONNEES!C133</f>
        <v>0</v>
      </c>
      <c r="D78" s="64">
        <f>DONNEES!AA132</f>
        <v>0</v>
      </c>
      <c r="E78" s="64">
        <f>DONNEES!AB132</f>
        <v>0</v>
      </c>
      <c r="F78" s="21"/>
      <c r="G78" s="21"/>
      <c r="H78" s="21"/>
      <c r="I78" s="21"/>
      <c r="J78" s="21"/>
    </row>
    <row r="79" spans="1:10" ht="18" customHeight="1" x14ac:dyDescent="0.3">
      <c r="A79" s="21"/>
      <c r="B79" s="62">
        <f>DONNEES!B134</f>
        <v>0</v>
      </c>
      <c r="C79" s="62">
        <f>DONNEES!C134</f>
        <v>0</v>
      </c>
      <c r="D79" s="64" t="e">
        <f>DONNEES!G143+DONNEES!#REF!+DONNEES!#REF!+DONNEES!#REF!+DONNEES!#REF!</f>
        <v>#REF!</v>
      </c>
      <c r="E79" s="64" t="e">
        <f>DONNEES!H143+DONNEES!#REF!+DONNEES!#REF!+DONNEES!#REF!+DONNEES!#REF!</f>
        <v>#REF!</v>
      </c>
      <c r="F79" s="21"/>
      <c r="G79" s="21"/>
      <c r="H79" s="21"/>
      <c r="I79" s="21"/>
      <c r="J79" s="21"/>
    </row>
    <row r="80" spans="1:10" ht="18" customHeight="1" x14ac:dyDescent="0.3">
      <c r="A80" s="21"/>
      <c r="B80" s="62">
        <f>DONNEES!B139</f>
        <v>0</v>
      </c>
      <c r="C80" s="62">
        <f>DONNEES!C139</f>
        <v>0</v>
      </c>
      <c r="D80" s="64" t="e">
        <f>DONNEES!G144+DONNEES!#REF!+DONNEES!#REF!+DONNEES!#REF!+DONNEES!#REF!</f>
        <v>#VALUE!</v>
      </c>
      <c r="E80" s="64" t="e">
        <f>DONNEES!H144+DONNEES!#REF!+DONNEES!#REF!+DONNEES!#REF!+DONNEES!#REF!</f>
        <v>#VALUE!</v>
      </c>
      <c r="F80" s="21"/>
      <c r="G80" s="21"/>
      <c r="H80" s="21"/>
      <c r="I80" s="21"/>
      <c r="J80" s="21"/>
    </row>
    <row r="81" spans="1:10" ht="18" customHeight="1" x14ac:dyDescent="0.3">
      <c r="A81" s="21"/>
      <c r="B81" s="62">
        <f>DONNEES!B140</f>
        <v>0</v>
      </c>
      <c r="C81" s="62">
        <f>DONNEES!C140</f>
        <v>0</v>
      </c>
      <c r="D81" s="64" t="e">
        <f>DONNEES!G145+DONNEES!#REF!+DONNEES!#REF!+DONNEES!#REF!+DONNEES!#REF!</f>
        <v>#VALUE!</v>
      </c>
      <c r="E81" s="64" t="e">
        <f>DONNEES!H145+DONNEES!#REF!+DONNEES!#REF!+DONNEES!#REF!+DONNEES!#REF!</f>
        <v>#VALUE!</v>
      </c>
      <c r="F81" s="21"/>
      <c r="G81" s="21"/>
      <c r="H81" s="21"/>
      <c r="I81" s="21"/>
      <c r="J81" s="21"/>
    </row>
    <row r="82" spans="1:10" ht="18" customHeight="1" x14ac:dyDescent="0.3">
      <c r="A82" s="21"/>
      <c r="B82" s="62">
        <f>DONNEES!B141</f>
        <v>0</v>
      </c>
      <c r="C82" s="62">
        <f>DONNEES!C141</f>
        <v>0</v>
      </c>
      <c r="D82" s="64" t="e">
        <f>DONNEES!G146+DONNEES!#REF!+DONNEES!#REF!+DONNEES!#REF!+DONNEES!#REF!</f>
        <v>#REF!</v>
      </c>
      <c r="E82" s="64" t="e">
        <f>DONNEES!H146+DONNEES!#REF!+DONNEES!#REF!+DONNEES!#REF!+DONNEES!#REF!</f>
        <v>#REF!</v>
      </c>
      <c r="F82" s="21"/>
      <c r="G82" s="21"/>
      <c r="H82" s="21"/>
      <c r="I82" s="21"/>
      <c r="J82" s="21"/>
    </row>
    <row r="83" spans="1:10" ht="18" customHeight="1" x14ac:dyDescent="0.3">
      <c r="A83" s="21"/>
      <c r="B83" s="62">
        <f>DONNEES!B142</f>
        <v>0</v>
      </c>
      <c r="C83" s="62">
        <f>DONNEES!C142</f>
        <v>0</v>
      </c>
      <c r="D83" s="64" t="e">
        <f>DONNEES!G147+DONNEES!#REF!+DONNEES!#REF!+DONNEES!#REF!+DONNEES!#REF!</f>
        <v>#REF!</v>
      </c>
      <c r="E83" s="64" t="e">
        <f>DONNEES!H147+DONNEES!#REF!+DONNEES!#REF!+DONNEES!#REF!+DONNEES!#REF!</f>
        <v>#REF!</v>
      </c>
      <c r="F83" s="21"/>
      <c r="G83" s="21"/>
      <c r="H83" s="21"/>
      <c r="I83" s="21"/>
      <c r="J83" s="21"/>
    </row>
    <row r="84" spans="1:10" ht="18" customHeight="1" x14ac:dyDescent="0.3">
      <c r="A84" s="21"/>
      <c r="B84" s="62">
        <f>DONNEES!B143</f>
        <v>0</v>
      </c>
      <c r="C84" s="62">
        <f>DONNEES!C143</f>
        <v>0</v>
      </c>
      <c r="D84" s="64" t="e">
        <f>DONNEES!G152+DONNEES!#REF!+DONNEES!#REF!+DONNEES!#REF!+DONNEES!#REF!</f>
        <v>#REF!</v>
      </c>
      <c r="E84" s="64" t="e">
        <f>DONNEES!H152+DONNEES!#REF!+DONNEES!#REF!+DONNEES!#REF!+DONNEES!#REF!</f>
        <v>#REF!</v>
      </c>
      <c r="F84" s="21"/>
      <c r="G84" s="21"/>
      <c r="H84" s="21"/>
      <c r="I84" s="21"/>
      <c r="J84" s="21"/>
    </row>
    <row r="85" spans="1:10" ht="18" customHeight="1" x14ac:dyDescent="0.3">
      <c r="A85" s="21"/>
      <c r="B85" s="21"/>
      <c r="C85" s="21"/>
      <c r="D85" s="64" t="e">
        <f>DONNEES!G239+DONNEES!#REF!+DONNEES!#REF!+DONNEES!#REF!+DONNEES!#REF!</f>
        <v>#VALUE!</v>
      </c>
      <c r="E85" s="64" t="e">
        <f>DONNEES!H239+DONNEES!#REF!+DONNEES!#REF!+DONNEES!#REF!+DONNEES!#REF!</f>
        <v>#VALUE!</v>
      </c>
      <c r="F85" s="21"/>
      <c r="G85" s="21"/>
      <c r="H85" s="21"/>
      <c r="I85" s="21"/>
      <c r="J85" s="21"/>
    </row>
    <row r="86" spans="1:10" ht="18" customHeight="1" x14ac:dyDescent="0.3">
      <c r="A86" s="21"/>
      <c r="B86" s="603" t="s">
        <v>34</v>
      </c>
      <c r="C86" s="603" t="s">
        <v>35</v>
      </c>
      <c r="D86" s="178" t="s">
        <v>15</v>
      </c>
      <c r="E86" s="178" t="s">
        <v>15</v>
      </c>
      <c r="F86" s="21"/>
      <c r="G86" s="21"/>
      <c r="H86" s="21"/>
      <c r="I86" s="21"/>
      <c r="J86" s="21"/>
    </row>
    <row r="87" spans="1:10" ht="18" customHeight="1" x14ac:dyDescent="0.3">
      <c r="A87" s="21"/>
      <c r="B87" s="603"/>
      <c r="C87" s="603"/>
      <c r="D87" s="242">
        <f>DONNEES!C24</f>
        <v>0.2</v>
      </c>
      <c r="E87" s="242">
        <f>DONNEES!E24</f>
        <v>0.1</v>
      </c>
      <c r="F87" s="21"/>
      <c r="G87" s="21"/>
      <c r="H87" s="21"/>
      <c r="I87" s="21"/>
      <c r="J87" s="21"/>
    </row>
    <row r="88" spans="1:10" ht="18" customHeight="1" x14ac:dyDescent="0.3">
      <c r="A88" s="21"/>
      <c r="B88" s="39" t="s">
        <v>475</v>
      </c>
      <c r="C88" s="224">
        <f>DONNEES!C146</f>
        <v>0</v>
      </c>
      <c r="D88" s="64">
        <f>DONNEES!AA133</f>
        <v>0</v>
      </c>
      <c r="E88" s="64">
        <f>DONNEES!AB133</f>
        <v>0</v>
      </c>
      <c r="F88" s="21"/>
      <c r="G88" s="21"/>
      <c r="H88" s="21"/>
      <c r="I88" s="21"/>
      <c r="J88" s="21"/>
    </row>
    <row r="89" spans="1:10" ht="18" customHeight="1" x14ac:dyDescent="0.3">
      <c r="A89" s="21"/>
      <c r="B89" s="62">
        <f>DONNEES!B147</f>
        <v>0</v>
      </c>
      <c r="C89" s="62">
        <f>DONNEES!C147</f>
        <v>0</v>
      </c>
      <c r="D89" s="64" t="e">
        <f>DONNEES!G157+DONNEES!#REF!+DONNEES!#REF!+DONNEES!#REF!+DONNEES!#REF!</f>
        <v>#VALUE!</v>
      </c>
      <c r="E89" s="64" t="e">
        <f>DONNEES!H157+DONNEES!#REF!+DONNEES!#REF!+DONNEES!#REF!+DONNEES!#REF!</f>
        <v>#VALUE!</v>
      </c>
      <c r="F89" s="21"/>
      <c r="G89" s="21"/>
      <c r="H89" s="21"/>
      <c r="I89" s="21"/>
      <c r="J89" s="21"/>
    </row>
    <row r="90" spans="1:10" ht="18" customHeight="1" x14ac:dyDescent="0.3">
      <c r="A90" s="21"/>
      <c r="B90" s="62">
        <f>DONNEES!B152</f>
        <v>0</v>
      </c>
      <c r="C90" s="62">
        <f>DONNEES!C152</f>
        <v>0</v>
      </c>
      <c r="D90" s="64" t="e">
        <f>DONNEES!G158+DONNEES!#REF!+DONNEES!#REF!+DONNEES!#REF!+DONNEES!#REF!</f>
        <v>#VALUE!</v>
      </c>
      <c r="E90" s="64" t="e">
        <f>DONNEES!H158+DONNEES!#REF!+DONNEES!#REF!+DONNEES!#REF!+DONNEES!#REF!</f>
        <v>#VALUE!</v>
      </c>
      <c r="F90" s="21"/>
      <c r="G90" s="21"/>
      <c r="H90" s="21"/>
      <c r="I90" s="21"/>
      <c r="J90" s="21"/>
    </row>
    <row r="91" spans="1:10" ht="18" customHeight="1" x14ac:dyDescent="0.3">
      <c r="A91" s="21"/>
      <c r="B91" s="62">
        <f>DONNEES!B153</f>
        <v>0</v>
      </c>
      <c r="C91" s="62">
        <f>DONNEES!C153</f>
        <v>0</v>
      </c>
      <c r="D91" s="64" t="e">
        <f>DONNEES!G159+DONNEES!#REF!+DONNEES!#REF!+DONNEES!#REF!+DONNEES!#REF!</f>
        <v>#REF!</v>
      </c>
      <c r="E91" s="64" t="e">
        <f>DONNEES!H159+DONNEES!#REF!+DONNEES!#REF!+DONNEES!#REF!+DONNEES!#REF!</f>
        <v>#REF!</v>
      </c>
      <c r="F91" s="21"/>
      <c r="G91" s="21"/>
      <c r="H91" s="21"/>
      <c r="I91" s="21"/>
      <c r="J91" s="21"/>
    </row>
    <row r="92" spans="1:10" ht="18" customHeight="1" x14ac:dyDescent="0.3">
      <c r="A92" s="21"/>
      <c r="B92" s="62">
        <f>DONNEES!B154</f>
        <v>0</v>
      </c>
      <c r="C92" s="62">
        <f>DONNEES!C154</f>
        <v>0</v>
      </c>
      <c r="D92" s="64" t="e">
        <f>DONNEES!G160+DONNEES!#REF!+DONNEES!#REF!+DONNEES!#REF!+DONNEES!#REF!</f>
        <v>#REF!</v>
      </c>
      <c r="E92" s="64" t="e">
        <f>DONNEES!H160+DONNEES!#REF!+DONNEES!#REF!+DONNEES!#REF!+DONNEES!#REF!</f>
        <v>#REF!</v>
      </c>
      <c r="F92" s="21"/>
      <c r="G92" s="21"/>
      <c r="H92" s="21"/>
      <c r="I92" s="21"/>
      <c r="J92" s="21"/>
    </row>
    <row r="93" spans="1:10" ht="18" customHeight="1" x14ac:dyDescent="0.3">
      <c r="A93" s="21"/>
      <c r="B93" s="62">
        <f>DONNEES!B155</f>
        <v>0</v>
      </c>
      <c r="C93" s="62">
        <f>DONNEES!C155</f>
        <v>0</v>
      </c>
      <c r="D93" s="64" t="e">
        <f>DONNEES!G165+DONNEES!#REF!+DONNEES!#REF!+DONNEES!#REF!+DONNEES!#REF!</f>
        <v>#REF!</v>
      </c>
      <c r="E93" s="64" t="e">
        <f>DONNEES!H165+DONNEES!#REF!+DONNEES!#REF!+DONNEES!#REF!+DONNEES!#REF!</f>
        <v>#REF!</v>
      </c>
      <c r="F93" s="21"/>
      <c r="G93" s="21"/>
      <c r="H93" s="21"/>
      <c r="I93" s="21"/>
      <c r="J93" s="21"/>
    </row>
    <row r="94" spans="1:10" ht="18" customHeight="1" x14ac:dyDescent="0.3">
      <c r="A94" s="21"/>
      <c r="B94" s="62">
        <f>DONNEES!B156</f>
        <v>0</v>
      </c>
      <c r="C94" s="62">
        <f>DONNEES!C156</f>
        <v>0</v>
      </c>
      <c r="D94" s="64" t="e">
        <f>DONNEES!G166+DONNEES!#REF!+DONNEES!#REF!+DONNEES!#REF!+DONNEES!#REF!</f>
        <v>#REF!</v>
      </c>
      <c r="E94" s="64" t="e">
        <f>DONNEES!H166+DONNEES!#REF!+DONNEES!#REF!+DONNEES!#REF!+DONNEES!#REF!</f>
        <v>#REF!</v>
      </c>
      <c r="F94" s="21"/>
      <c r="G94" s="21"/>
      <c r="H94" s="21"/>
      <c r="I94" s="21"/>
      <c r="J94" s="21"/>
    </row>
    <row r="95" spans="1:10" ht="18" customHeight="1" x14ac:dyDescent="0.3">
      <c r="A95" s="21"/>
      <c r="B95" s="21"/>
      <c r="C95" s="21"/>
      <c r="D95" s="64" t="e">
        <f>DONNEES!G253+DONNEES!#REF!+DONNEES!#REF!+DONNEES!#REF!+DONNEES!#REF!</f>
        <v>#REF!</v>
      </c>
      <c r="E95" s="64" t="e">
        <f>DONNEES!H253+DONNEES!#REF!+DONNEES!#REF!+DONNEES!#REF!+DONNEES!#REF!</f>
        <v>#REF!</v>
      </c>
      <c r="F95" s="21"/>
      <c r="G95" s="21"/>
      <c r="H95" s="21"/>
      <c r="I95" s="21"/>
      <c r="J95" s="21"/>
    </row>
    <row r="96" spans="1:10" ht="18" customHeight="1" x14ac:dyDescent="0.3">
      <c r="A96" s="21"/>
      <c r="B96" s="603" t="s">
        <v>34</v>
      </c>
      <c r="C96" s="603" t="s">
        <v>35</v>
      </c>
      <c r="D96" s="178" t="s">
        <v>15</v>
      </c>
      <c r="E96" s="178" t="s">
        <v>15</v>
      </c>
      <c r="F96" s="21"/>
      <c r="G96" s="21"/>
      <c r="H96" s="21"/>
      <c r="I96" s="21"/>
      <c r="J96" s="21"/>
    </row>
    <row r="97" spans="1:10" ht="18" customHeight="1" x14ac:dyDescent="0.3">
      <c r="A97" s="21"/>
      <c r="B97" s="603"/>
      <c r="C97" s="603"/>
      <c r="D97" s="242">
        <f>DONNEES!C24</f>
        <v>0.2</v>
      </c>
      <c r="E97" s="242">
        <f>DONNEES!E24</f>
        <v>0.1</v>
      </c>
      <c r="F97" s="21"/>
      <c r="G97" s="21"/>
      <c r="H97" s="21"/>
      <c r="I97" s="21"/>
      <c r="J97" s="21"/>
    </row>
    <row r="98" spans="1:10" ht="18" customHeight="1" x14ac:dyDescent="0.3">
      <c r="A98" s="21"/>
      <c r="B98" s="39" t="s">
        <v>476</v>
      </c>
      <c r="C98" s="224">
        <f>DONNEES!C159</f>
        <v>0</v>
      </c>
      <c r="D98" s="64">
        <f>DONNEES!AA134</f>
        <v>0</v>
      </c>
      <c r="E98" s="64">
        <f>DONNEES!AB134</f>
        <v>0</v>
      </c>
      <c r="F98" s="21"/>
      <c r="G98" s="21"/>
      <c r="H98" s="21"/>
      <c r="I98" s="21"/>
      <c r="J98" s="21"/>
    </row>
    <row r="99" spans="1:10" ht="18" customHeight="1" x14ac:dyDescent="0.3">
      <c r="A99" s="21"/>
      <c r="B99" s="62">
        <f>DONNEES!B160</f>
        <v>0</v>
      </c>
      <c r="C99" s="62">
        <f>DONNEES!C160</f>
        <v>0</v>
      </c>
      <c r="D99" s="64" t="e">
        <f>DONNEES!G171+DONNEES!#REF!+DONNEES!#REF!+DONNEES!#REF!+DONNEES!#REF!</f>
        <v>#VALUE!</v>
      </c>
      <c r="E99" s="64" t="e">
        <f>DONNEES!H171+DONNEES!#REF!+DONNEES!#REF!+DONNEES!#REF!+DONNEES!#REF!</f>
        <v>#REF!</v>
      </c>
      <c r="F99" s="21"/>
      <c r="G99" s="21"/>
      <c r="H99" s="21"/>
      <c r="I99" s="21"/>
      <c r="J99" s="21"/>
    </row>
    <row r="100" spans="1:10" ht="18" customHeight="1" x14ac:dyDescent="0.3">
      <c r="A100" s="21"/>
      <c r="B100" s="62">
        <f>DONNEES!B165</f>
        <v>0</v>
      </c>
      <c r="C100" s="62">
        <f>DONNEES!C165</f>
        <v>0</v>
      </c>
      <c r="D100" s="64" t="e">
        <f>DONNEES!G172+DONNEES!#REF!+DONNEES!#REF!+DONNEES!#REF!+DONNEES!#REF!</f>
        <v>#VALUE!</v>
      </c>
      <c r="E100" s="64" t="e">
        <f>DONNEES!H172+DONNEES!#REF!+DONNEES!#REF!+DONNEES!#REF!+DONNEES!#REF!</f>
        <v>#REF!</v>
      </c>
      <c r="F100" s="21"/>
      <c r="G100" s="21"/>
      <c r="H100" s="21"/>
      <c r="I100" s="21"/>
      <c r="J100" s="21"/>
    </row>
    <row r="101" spans="1:10" ht="18" customHeight="1" x14ac:dyDescent="0.3">
      <c r="A101" s="21"/>
      <c r="B101" s="62">
        <f>DONNEES!B166</f>
        <v>0</v>
      </c>
      <c r="C101" s="62">
        <f>DONNEES!C166</f>
        <v>0</v>
      </c>
      <c r="D101" s="64" t="e">
        <f>DONNEES!G173+DONNEES!#REF!+DONNEES!#REF!+DONNEES!#REF!+DONNEES!#REF!</f>
        <v>#VALUE!</v>
      </c>
      <c r="E101" s="64" t="e">
        <f>DONNEES!H173+DONNEES!#REF!+DONNEES!#REF!+DONNEES!#REF!+DONNEES!#REF!</f>
        <v>#VALUE!</v>
      </c>
      <c r="F101" s="21"/>
      <c r="G101" s="21"/>
      <c r="H101" s="21"/>
      <c r="I101" s="21"/>
      <c r="J101" s="21"/>
    </row>
    <row r="102" spans="1:10" ht="18" customHeight="1" x14ac:dyDescent="0.3">
      <c r="A102" s="21"/>
      <c r="B102" s="62">
        <f>DONNEES!B167</f>
        <v>0</v>
      </c>
      <c r="C102" s="62">
        <f>DONNEES!C167</f>
        <v>0</v>
      </c>
      <c r="D102" s="64" t="e">
        <f>DONNEES!G174+DONNEES!#REF!+DONNEES!#REF!+DONNEES!#REF!+DONNEES!#REF!</f>
        <v>#VALUE!</v>
      </c>
      <c r="E102" s="64" t="e">
        <f>DONNEES!H174+DONNEES!#REF!+DONNEES!#REF!+DONNEES!#REF!+DONNEES!#REF!</f>
        <v>#VALUE!</v>
      </c>
      <c r="F102" s="21"/>
      <c r="G102" s="21"/>
      <c r="H102" s="21"/>
      <c r="I102" s="21"/>
      <c r="J102" s="21"/>
    </row>
    <row r="103" spans="1:10" ht="18" customHeight="1" x14ac:dyDescent="0.3">
      <c r="A103" s="21"/>
      <c r="B103" s="62">
        <f>DONNEES!B168</f>
        <v>0</v>
      </c>
      <c r="C103" s="62">
        <f>DONNEES!C168</f>
        <v>0</v>
      </c>
      <c r="D103" s="64" t="e">
        <f>DONNEES!G175+DONNEES!#REF!+DONNEES!#REF!+DONNEES!#REF!+DONNEES!#REF!</f>
        <v>#REF!</v>
      </c>
      <c r="E103" s="64" t="e">
        <f>DONNEES!H175+DONNEES!#REF!+DONNEES!#REF!+DONNEES!#REF!+DONNEES!#REF!</f>
        <v>#REF!</v>
      </c>
      <c r="F103" s="21"/>
      <c r="G103" s="21"/>
      <c r="H103" s="21"/>
      <c r="I103" s="21"/>
      <c r="J103" s="21"/>
    </row>
    <row r="104" spans="1:10" ht="18" customHeight="1" x14ac:dyDescent="0.3">
      <c r="A104" s="21"/>
      <c r="B104" s="62">
        <f>DONNEES!B169</f>
        <v>0</v>
      </c>
      <c r="C104" s="62">
        <f>DONNEES!C169</f>
        <v>0</v>
      </c>
      <c r="D104" s="64" t="e">
        <f>DONNEES!G176+DONNEES!#REF!+DONNEES!#REF!+DONNEES!#REF!+DONNEES!#REF!</f>
        <v>#REF!</v>
      </c>
      <c r="E104" s="64" t="e">
        <f>DONNEES!H176+DONNEES!#REF!+DONNEES!#REF!+DONNEES!#REF!+DONNEES!#REF!</f>
        <v>#REF!</v>
      </c>
      <c r="F104" s="21"/>
      <c r="G104" s="21"/>
      <c r="H104" s="21"/>
      <c r="I104" s="21"/>
      <c r="J104" s="21"/>
    </row>
    <row r="105" spans="1:10" ht="18" customHeight="1" x14ac:dyDescent="0.3">
      <c r="A105" s="21"/>
      <c r="B105" s="21"/>
      <c r="C105" s="21"/>
      <c r="D105" s="64" t="e">
        <f>DONNEES!G267+DONNEES!#REF!+DONNEES!#REF!+DONNEES!#REF!+DONNEES!#REF!</f>
        <v>#REF!</v>
      </c>
      <c r="E105" s="64" t="e">
        <f>DONNEES!H267+DONNEES!#REF!+DONNEES!#REF!+DONNEES!#REF!+DONNEES!#REF!</f>
        <v>#REF!</v>
      </c>
      <c r="F105" s="21"/>
      <c r="G105" s="21"/>
      <c r="H105" s="21"/>
      <c r="I105" s="21"/>
      <c r="J105" s="21"/>
    </row>
    <row r="106" spans="1:10" ht="18" customHeight="1" x14ac:dyDescent="0.3">
      <c r="A106" s="21"/>
      <c r="B106" s="21"/>
      <c r="C106" s="21"/>
      <c r="D106" s="553"/>
      <c r="E106" s="64"/>
      <c r="F106" s="21"/>
      <c r="G106" s="21"/>
      <c r="H106" s="21"/>
      <c r="I106" s="21"/>
      <c r="J106" s="21"/>
    </row>
    <row r="107" spans="1:10" ht="18" customHeight="1" x14ac:dyDescent="0.3">
      <c r="A107" s="21"/>
      <c r="B107" s="690" t="s">
        <v>18</v>
      </c>
      <c r="C107" s="693"/>
      <c r="D107" s="694"/>
      <c r="E107" s="695" t="s">
        <v>172</v>
      </c>
      <c r="F107" s="695" t="s">
        <v>172</v>
      </c>
      <c r="G107" s="671" t="s">
        <v>71</v>
      </c>
      <c r="H107" s="671" t="s">
        <v>31</v>
      </c>
      <c r="I107" s="21"/>
      <c r="J107" s="21"/>
    </row>
    <row r="108" spans="1:10" ht="28.5" customHeight="1" x14ac:dyDescent="0.3">
      <c r="A108" s="21"/>
      <c r="B108" s="691"/>
      <c r="C108" s="672" t="s">
        <v>30</v>
      </c>
      <c r="D108" s="672"/>
      <c r="E108" s="696"/>
      <c r="F108" s="696"/>
      <c r="G108" s="671"/>
      <c r="H108" s="671"/>
      <c r="I108" s="21"/>
      <c r="J108" s="21"/>
    </row>
    <row r="109" spans="1:10" ht="18" customHeight="1" x14ac:dyDescent="0.3">
      <c r="A109" s="21"/>
      <c r="B109" s="692"/>
      <c r="C109" s="188">
        <f>C10</f>
        <v>0.2</v>
      </c>
      <c r="D109" s="188">
        <f>D10</f>
        <v>0.1</v>
      </c>
      <c r="E109" s="30">
        <f>C10</f>
        <v>0.2</v>
      </c>
      <c r="F109" s="30">
        <f>D10</f>
        <v>0.1</v>
      </c>
      <c r="G109" s="671"/>
      <c r="H109" s="671"/>
      <c r="I109" s="21"/>
      <c r="J109" s="21"/>
    </row>
    <row r="110" spans="1:10" ht="18" hidden="1" customHeight="1" x14ac:dyDescent="0.3">
      <c r="A110" s="124">
        <v>1</v>
      </c>
      <c r="B110" s="11" t="s">
        <v>19</v>
      </c>
      <c r="C110" s="380"/>
      <c r="D110" s="380"/>
      <c r="E110" s="411"/>
      <c r="F110" s="411"/>
      <c r="G110" s="33">
        <f>E110+F110</f>
        <v>0</v>
      </c>
      <c r="H110" s="34"/>
      <c r="I110" s="21"/>
      <c r="J110" s="21"/>
    </row>
    <row r="111" spans="1:10" ht="18" hidden="1" customHeight="1" x14ac:dyDescent="0.3">
      <c r="A111" s="124" t="s">
        <v>184</v>
      </c>
      <c r="B111" s="11" t="s">
        <v>185</v>
      </c>
      <c r="C111" s="419"/>
      <c r="D111" s="419"/>
      <c r="E111" s="411"/>
      <c r="F111" s="411"/>
      <c r="G111" s="33">
        <f>E111+F111</f>
        <v>0</v>
      </c>
      <c r="H111" s="34"/>
      <c r="I111" s="21"/>
      <c r="J111" s="21"/>
    </row>
    <row r="112" spans="1:10" ht="37.5" hidden="1" x14ac:dyDescent="0.3">
      <c r="A112" s="124" t="s">
        <v>186</v>
      </c>
      <c r="B112" s="72" t="s">
        <v>175</v>
      </c>
      <c r="C112" s="380"/>
      <c r="D112" s="380"/>
      <c r="E112" s="411"/>
      <c r="F112" s="411"/>
      <c r="G112" s="33">
        <f>E112+F112+C112+D112</f>
        <v>0</v>
      </c>
      <c r="H112" s="35">
        <f>IFERROR((C112+D112+E112+F112)/(G110-G111),0)</f>
        <v>0</v>
      </c>
      <c r="I112" s="21"/>
      <c r="J112" s="21"/>
    </row>
    <row r="113" spans="1:13" ht="18" customHeight="1" x14ac:dyDescent="0.3">
      <c r="A113" s="124" t="s">
        <v>20</v>
      </c>
      <c r="B113" s="11" t="s">
        <v>21</v>
      </c>
      <c r="C113" s="411"/>
      <c r="D113" s="411"/>
      <c r="E113" s="411"/>
      <c r="F113" s="411"/>
      <c r="G113" s="33">
        <f>E113+C113+D113+F113</f>
        <v>0</v>
      </c>
      <c r="H113" s="35">
        <f>IFERROR((E113+C113+D113+F113)/E11,0)</f>
        <v>0</v>
      </c>
      <c r="I113" s="789" t="e">
        <f>IF(AND($G$110&lt;&gt;0,H113&gt;='RECUP AVANCE CO-TRAITANT'!I19),"PENSEZ A VERIFIER SI IL FAUT FAIRE UN REMBOURSEMENT","")</f>
        <v>#VALUE!</v>
      </c>
      <c r="J113" s="790"/>
      <c r="K113" s="790"/>
      <c r="L113" s="790"/>
      <c r="M113" s="790"/>
    </row>
    <row r="114" spans="1:13" ht="18" hidden="1" customHeight="1" x14ac:dyDescent="0.3">
      <c r="A114" s="124" t="s">
        <v>25</v>
      </c>
      <c r="B114" s="11" t="s">
        <v>22</v>
      </c>
      <c r="C114" s="411"/>
      <c r="D114" s="411"/>
      <c r="E114" s="411"/>
      <c r="F114" s="411"/>
      <c r="G114" s="33">
        <f>E114+C114+D114+F114</f>
        <v>0</v>
      </c>
      <c r="H114" s="35">
        <f>IFERROR((E114+C114+D114+F114)/E12,0)</f>
        <v>0</v>
      </c>
      <c r="I114" s="789" t="e">
        <f>IF(AND($G$110&lt;&gt;0,H114&gt;='RECUP AVANCE CO-TRAITANT'!I19),"PENSEZ A VERIFIER SI IL FAUT FAIRE UN REMBOURSEMENT","")</f>
        <v>#VALUE!</v>
      </c>
      <c r="J114" s="790"/>
      <c r="K114" s="790"/>
      <c r="L114" s="790"/>
      <c r="M114" s="790"/>
    </row>
    <row r="115" spans="1:13" ht="18" hidden="1" customHeight="1" x14ac:dyDescent="0.3">
      <c r="A115" s="124" t="s">
        <v>26</v>
      </c>
      <c r="B115" s="11" t="s">
        <v>23</v>
      </c>
      <c r="C115" s="411"/>
      <c r="D115" s="411"/>
      <c r="E115" s="411"/>
      <c r="F115" s="411"/>
      <c r="G115" s="33">
        <f t="shared" ref="G115:G117" si="1">E115+C115+D115+F115</f>
        <v>0</v>
      </c>
      <c r="H115" s="35">
        <f>IFERROR((E115+C115+D115+F115)/E13,0)</f>
        <v>0</v>
      </c>
      <c r="I115" s="789" t="e">
        <f>IF(AND($G$110&lt;&gt;0,H115&gt;='RECUP AVANCE CO-TRAITANT'!I19),"PENSEZ A VERIFIER SI IL FAUT FAIRE UN REMBOURSEMENT","")</f>
        <v>#VALUE!</v>
      </c>
      <c r="J115" s="790"/>
      <c r="K115" s="790"/>
      <c r="L115" s="790"/>
      <c r="M115" s="790"/>
    </row>
    <row r="116" spans="1:13" ht="18" hidden="1" customHeight="1" x14ac:dyDescent="0.3">
      <c r="A116" s="124" t="s">
        <v>27</v>
      </c>
      <c r="B116" s="11" t="s">
        <v>24</v>
      </c>
      <c r="C116" s="411"/>
      <c r="D116" s="411"/>
      <c r="E116" s="411"/>
      <c r="F116" s="411"/>
      <c r="G116" s="33">
        <f t="shared" si="1"/>
        <v>0</v>
      </c>
      <c r="H116" s="35">
        <f>IFERROR((E116+C116+D116+F116)/E14,0)</f>
        <v>0</v>
      </c>
      <c r="I116" s="789" t="e">
        <f>IF(AND($G$110&lt;&gt;0,H116&gt;='RECUP AVANCE CO-TRAITANT'!I19),"PENSEZ A VERIFIER SI IL FAUT FAIRE UN REMBOURSEMENT","")</f>
        <v>#VALUE!</v>
      </c>
      <c r="J116" s="790"/>
      <c r="K116" s="790"/>
      <c r="L116" s="790"/>
      <c r="M116" s="790"/>
    </row>
    <row r="117" spans="1:13" ht="18" hidden="1" customHeight="1" x14ac:dyDescent="0.3">
      <c r="A117" s="124" t="s">
        <v>29</v>
      </c>
      <c r="B117" s="11" t="s">
        <v>28</v>
      </c>
      <c r="C117" s="411"/>
      <c r="D117" s="411"/>
      <c r="E117" s="411"/>
      <c r="F117" s="411"/>
      <c r="G117" s="33">
        <f t="shared" si="1"/>
        <v>0</v>
      </c>
      <c r="H117" s="35">
        <f>IFERROR((E117+C117+D117+F117)/E18,0)</f>
        <v>0</v>
      </c>
      <c r="I117" s="789"/>
      <c r="J117" s="790"/>
      <c r="K117" s="790"/>
      <c r="L117" s="790"/>
      <c r="M117" s="790"/>
    </row>
    <row r="118" spans="1:13" ht="18" customHeight="1" x14ac:dyDescent="0.3">
      <c r="A118" s="36" t="s">
        <v>177</v>
      </c>
      <c r="B118" s="37" t="s">
        <v>176</v>
      </c>
      <c r="C118" s="33">
        <f>SUM(C113:C117)</f>
        <v>0</v>
      </c>
      <c r="D118" s="33">
        <f>SUM(D113:D117)</f>
        <v>0</v>
      </c>
      <c r="E118" s="33">
        <f>SUM(E113:E117)</f>
        <v>0</v>
      </c>
      <c r="F118" s="33">
        <f>SUM(F113:F117)</f>
        <v>0</v>
      </c>
      <c r="G118" s="33">
        <f t="shared" ref="G118:G123" si="2">C118+D118+E118+F118</f>
        <v>0</v>
      </c>
      <c r="H118" s="35">
        <f>IFERROR((E118+D118+C118+F118)/(C20+D20),0)</f>
        <v>0</v>
      </c>
      <c r="I118" s="21"/>
      <c r="J118" s="21"/>
    </row>
    <row r="119" spans="1:13" ht="37.5" x14ac:dyDescent="0.3">
      <c r="A119" s="36" t="s">
        <v>178</v>
      </c>
      <c r="B119" s="73" t="s">
        <v>345</v>
      </c>
      <c r="C119" s="38">
        <f>IF(C118&lt;=0,C110,(C118-C110-C112))</f>
        <v>0</v>
      </c>
      <c r="D119" s="38">
        <f t="shared" ref="D119" si="3">IF(D118&lt;=0,D110,(D118-D110-D112))</f>
        <v>0</v>
      </c>
      <c r="E119" s="38">
        <f>(E110-E112)+E118</f>
        <v>0</v>
      </c>
      <c r="F119" s="38">
        <f>(F110-F112)+F118</f>
        <v>0</v>
      </c>
      <c r="G119" s="38">
        <f t="shared" si="2"/>
        <v>0</v>
      </c>
      <c r="H119" s="21"/>
      <c r="I119" s="21"/>
      <c r="J119" s="21"/>
    </row>
    <row r="120" spans="1:13" ht="18" customHeight="1" x14ac:dyDescent="0.3">
      <c r="A120" s="124">
        <v>4</v>
      </c>
      <c r="B120" s="12" t="str">
        <f>IF(DONNEES!C19="ACTUALISATION","ACTUALISATION",IF(DONNEES!C19="REVISION","REVISION","Sans Objet"))</f>
        <v>Sans Objet</v>
      </c>
      <c r="C120" s="411"/>
      <c r="D120" s="411"/>
      <c r="E120" s="411"/>
      <c r="F120" s="411"/>
      <c r="G120" s="33">
        <f t="shared" si="2"/>
        <v>0</v>
      </c>
      <c r="H120" s="21"/>
      <c r="I120" s="21"/>
      <c r="J120" s="21"/>
    </row>
    <row r="121" spans="1:13" ht="18" customHeight="1" x14ac:dyDescent="0.3">
      <c r="A121" s="36">
        <v>5</v>
      </c>
      <c r="B121" s="37" t="s">
        <v>249</v>
      </c>
      <c r="C121" s="38">
        <f>C119+C120</f>
        <v>0</v>
      </c>
      <c r="D121" s="38">
        <f t="shared" ref="D121:F121" si="4">D119+D120</f>
        <v>0</v>
      </c>
      <c r="E121" s="38">
        <f t="shared" si="4"/>
        <v>0</v>
      </c>
      <c r="F121" s="38">
        <f t="shared" si="4"/>
        <v>0</v>
      </c>
      <c r="G121" s="38">
        <f t="shared" si="2"/>
        <v>0</v>
      </c>
      <c r="H121" s="21"/>
      <c r="I121" s="21"/>
      <c r="J121" s="21"/>
    </row>
    <row r="122" spans="1:13" ht="18" hidden="1" customHeight="1" x14ac:dyDescent="0.3">
      <c r="A122" s="124">
        <v>6</v>
      </c>
      <c r="B122" s="40" t="s">
        <v>52</v>
      </c>
      <c r="C122" s="38">
        <f>C110*C10</f>
        <v>0</v>
      </c>
      <c r="D122" s="38">
        <f>D110*D10</f>
        <v>0</v>
      </c>
      <c r="E122" s="33">
        <f>E110*$C$10</f>
        <v>0</v>
      </c>
      <c r="F122" s="33">
        <f>F110*$D$10</f>
        <v>0</v>
      </c>
      <c r="G122" s="33">
        <f t="shared" si="2"/>
        <v>0</v>
      </c>
      <c r="H122" s="21"/>
      <c r="I122" s="21"/>
      <c r="J122" s="21"/>
    </row>
    <row r="123" spans="1:13" ht="18" customHeight="1" x14ac:dyDescent="0.3">
      <c r="A123" s="124" t="s">
        <v>188</v>
      </c>
      <c r="B123" s="40" t="s">
        <v>53</v>
      </c>
      <c r="C123" s="38">
        <f>C113*C10</f>
        <v>0</v>
      </c>
      <c r="D123" s="38">
        <f>D113*D10</f>
        <v>0</v>
      </c>
      <c r="E123" s="33">
        <f>E113*$C$10</f>
        <v>0</v>
      </c>
      <c r="F123" s="33">
        <f>F113*$D$10</f>
        <v>0</v>
      </c>
      <c r="G123" s="33">
        <f t="shared" si="2"/>
        <v>0</v>
      </c>
      <c r="H123" s="21"/>
      <c r="I123" s="21"/>
      <c r="J123" s="21"/>
    </row>
    <row r="124" spans="1:13" ht="18" hidden="1" customHeight="1" x14ac:dyDescent="0.3">
      <c r="A124" s="124" t="s">
        <v>189</v>
      </c>
      <c r="B124" s="40" t="s">
        <v>54</v>
      </c>
      <c r="C124" s="38">
        <f>C114*C10</f>
        <v>0</v>
      </c>
      <c r="D124" s="38">
        <f>D114*D10</f>
        <v>0</v>
      </c>
      <c r="E124" s="33">
        <f>E114*$C$10</f>
        <v>0</v>
      </c>
      <c r="F124" s="33">
        <f>F114*$D$10</f>
        <v>0</v>
      </c>
      <c r="G124" s="33">
        <f t="shared" ref="G124:G127" si="5">C124+D124+E124</f>
        <v>0</v>
      </c>
      <c r="H124" s="21"/>
      <c r="I124" s="21"/>
      <c r="J124" s="21"/>
    </row>
    <row r="125" spans="1:13" ht="18" hidden="1" customHeight="1" x14ac:dyDescent="0.3">
      <c r="A125" s="124" t="s">
        <v>190</v>
      </c>
      <c r="B125" s="40" t="s">
        <v>56</v>
      </c>
      <c r="C125" s="38">
        <f>C115*C10</f>
        <v>0</v>
      </c>
      <c r="D125" s="38">
        <f>D115*D10</f>
        <v>0</v>
      </c>
      <c r="E125" s="33">
        <f>E115*$C$10</f>
        <v>0</v>
      </c>
      <c r="F125" s="33">
        <f>F115*$D$10</f>
        <v>0</v>
      </c>
      <c r="G125" s="33">
        <f t="shared" si="5"/>
        <v>0</v>
      </c>
      <c r="H125" s="21"/>
      <c r="I125" s="21"/>
      <c r="J125" s="21"/>
    </row>
    <row r="126" spans="1:13" ht="18" hidden="1" customHeight="1" x14ac:dyDescent="0.3">
      <c r="A126" s="124" t="s">
        <v>191</v>
      </c>
      <c r="B126" s="40" t="s">
        <v>55</v>
      </c>
      <c r="C126" s="38">
        <f>C116*C10</f>
        <v>0</v>
      </c>
      <c r="D126" s="38">
        <f>D116*D10</f>
        <v>0</v>
      </c>
      <c r="E126" s="33">
        <f>E116*$C$10</f>
        <v>0</v>
      </c>
      <c r="F126" s="33">
        <f>F116*$D$10</f>
        <v>0</v>
      </c>
      <c r="G126" s="33">
        <f t="shared" si="5"/>
        <v>0</v>
      </c>
      <c r="H126" s="21"/>
      <c r="I126" s="21"/>
      <c r="J126" s="21"/>
    </row>
    <row r="127" spans="1:13" ht="18" hidden="1" customHeight="1" x14ac:dyDescent="0.3">
      <c r="A127" s="124" t="s">
        <v>192</v>
      </c>
      <c r="B127" s="40" t="s">
        <v>57</v>
      </c>
      <c r="C127" s="38">
        <f>C117*C10</f>
        <v>0</v>
      </c>
      <c r="D127" s="38">
        <f>D117*D10</f>
        <v>0</v>
      </c>
      <c r="E127" s="33">
        <f>E117*$C$10</f>
        <v>0</v>
      </c>
      <c r="F127" s="33">
        <f>F117*$D$10</f>
        <v>0</v>
      </c>
      <c r="G127" s="33">
        <f t="shared" si="5"/>
        <v>0</v>
      </c>
      <c r="H127" s="21"/>
      <c r="I127" s="21"/>
      <c r="J127" s="21"/>
    </row>
    <row r="128" spans="1:13" ht="18" customHeight="1" x14ac:dyDescent="0.3">
      <c r="A128" s="124" t="s">
        <v>193</v>
      </c>
      <c r="B128" s="12" t="str">
        <f>IF(B120="REVISION","TVA Révision",IF(B120="ACTUALISATION","TVA Actualisation","Sans Objet"))</f>
        <v>Sans Objet</v>
      </c>
      <c r="C128" s="33">
        <f>C120*C10</f>
        <v>0</v>
      </c>
      <c r="D128" s="33">
        <f>D120*D10</f>
        <v>0</v>
      </c>
      <c r="E128" s="33">
        <f>E120*C10</f>
        <v>0</v>
      </c>
      <c r="F128" s="33">
        <f>F120*D10</f>
        <v>0</v>
      </c>
      <c r="G128" s="33">
        <f>C128+D128+E128+F128</f>
        <v>0</v>
      </c>
      <c r="H128" s="21"/>
      <c r="I128" s="21"/>
      <c r="J128" s="21"/>
    </row>
    <row r="129" spans="1:10" ht="18" hidden="1" customHeight="1" x14ac:dyDescent="0.3">
      <c r="A129" s="124">
        <v>7</v>
      </c>
      <c r="B129" s="65" t="s">
        <v>174</v>
      </c>
      <c r="C129" s="38">
        <f>C112*C10</f>
        <v>0</v>
      </c>
      <c r="D129" s="38">
        <f>D112*D10</f>
        <v>0</v>
      </c>
      <c r="E129" s="38">
        <f>E112*C10</f>
        <v>0</v>
      </c>
      <c r="F129" s="38">
        <f>F112*D10</f>
        <v>0</v>
      </c>
      <c r="G129" s="33">
        <f>C129+D129+E129+F129</f>
        <v>0</v>
      </c>
      <c r="H129" s="21"/>
      <c r="I129" s="21"/>
      <c r="J129" s="21"/>
    </row>
    <row r="130" spans="1:10" ht="36" hidden="1" customHeight="1" x14ac:dyDescent="0.3">
      <c r="A130" s="124" t="s">
        <v>179</v>
      </c>
      <c r="B130" s="74" t="s">
        <v>194</v>
      </c>
      <c r="C130" s="38">
        <f>C111*C10</f>
        <v>0</v>
      </c>
      <c r="D130" s="38">
        <f>D111*D10</f>
        <v>0</v>
      </c>
      <c r="E130" s="38">
        <f>E111*E109</f>
        <v>0</v>
      </c>
      <c r="F130" s="38">
        <f>F111*F109</f>
        <v>0</v>
      </c>
      <c r="G130" s="33">
        <f>C130+D130+E130+F130</f>
        <v>0</v>
      </c>
      <c r="H130" s="21"/>
      <c r="I130" s="21"/>
      <c r="J130" s="21"/>
    </row>
    <row r="131" spans="1:10" ht="18" customHeight="1" x14ac:dyDescent="0.3">
      <c r="A131" s="36">
        <v>8</v>
      </c>
      <c r="B131" s="37" t="s">
        <v>331</v>
      </c>
      <c r="C131" s="38">
        <f>SUM(C122:C128)-C129</f>
        <v>0</v>
      </c>
      <c r="D131" s="38">
        <f>SUM(D122:D128)-D129</f>
        <v>0</v>
      </c>
      <c r="E131" s="38">
        <f>SUM(E122:E128)-E129</f>
        <v>0</v>
      </c>
      <c r="F131" s="38">
        <f>SUM(F122:F128)-F129</f>
        <v>0</v>
      </c>
      <c r="G131" s="38">
        <f>SUM(G122:G128)-G129-G130</f>
        <v>0</v>
      </c>
      <c r="H131" s="21"/>
      <c r="I131" s="21"/>
      <c r="J131" s="21"/>
    </row>
    <row r="132" spans="1:10" ht="18" customHeight="1" x14ac:dyDescent="0.3">
      <c r="A132" s="36">
        <v>9</v>
      </c>
      <c r="B132" s="37" t="s">
        <v>211</v>
      </c>
      <c r="C132" s="41">
        <f>C121+C131</f>
        <v>0</v>
      </c>
      <c r="D132" s="41">
        <f>D121+D131</f>
        <v>0</v>
      </c>
      <c r="E132" s="41">
        <f>E121+E131</f>
        <v>0</v>
      </c>
      <c r="F132" s="41">
        <f>F121+F131</f>
        <v>0</v>
      </c>
      <c r="G132" s="41">
        <f>G121+G131</f>
        <v>0</v>
      </c>
      <c r="H132" s="21"/>
      <c r="I132" s="21"/>
      <c r="J132" s="21"/>
    </row>
    <row r="133" spans="1:10" ht="34.5" customHeight="1" x14ac:dyDescent="0.3">
      <c r="A133" s="36">
        <v>10</v>
      </c>
      <c r="B133" s="175" t="s">
        <v>348</v>
      </c>
      <c r="C133" s="674">
        <f>C132+D132+E132+F132</f>
        <v>0</v>
      </c>
      <c r="D133" s="667"/>
      <c r="E133" s="43"/>
      <c r="F133" s="43"/>
      <c r="G133" s="43"/>
      <c r="H133" s="75" t="str">
        <f>IF(B134="Retenue de Garantie (4a x 5%)","RG MAXI",IF(B134="GAPD","",IF(B134="SANS OBJET","","0")))</f>
        <v>0</v>
      </c>
      <c r="I133" s="21"/>
      <c r="J133" s="21"/>
    </row>
    <row r="134" spans="1:10" ht="18" hidden="1" customHeight="1" x14ac:dyDescent="0.3">
      <c r="A134" s="124">
        <v>11</v>
      </c>
      <c r="B134" s="12">
        <f>DONNEES!G52</f>
        <v>0</v>
      </c>
      <c r="C134" s="45" t="str">
        <f>IF(B134="Retenue de Garantie (4a x 5%)",((C118+C123+C124+C125+C126+C127)*0.05),IF(B134="SANS OBJET"," ","0"))</f>
        <v>0</v>
      </c>
      <c r="D134" s="45" t="str">
        <f>IF(B134="Retenue de Garantie (4a x 5%)",((D118+D123+D124+D125+D126+D127)*0.05),IF(B134="SANS OBJET"," ","0"))</f>
        <v>0</v>
      </c>
      <c r="E134" s="32" t="str">
        <f>IF(B134="Retenue de Garantie (4a x 5%)",((E118+E123+E124+E125+E126+E127)*0.05),IF(B134="SANS OBJET"," ","0"))</f>
        <v>0</v>
      </c>
      <c r="F134" s="32" t="str">
        <f>IF(B134="Retenue de Garantie (4a x 5%)",((F118+F123+F124+F125+F126+F127)*0.05),IF(B134="SANS OBJET"," ","0"))</f>
        <v>0</v>
      </c>
      <c r="G134" s="32">
        <f>IFERROR(C134+D134+E134+F134,0)</f>
        <v>0</v>
      </c>
      <c r="H134" s="128" t="str">
        <f>IF(B134="Retenue de Garantie (4a x 5%)",(C23*0.05),IF(B134="SANS OBJET"," ","0"))</f>
        <v>0</v>
      </c>
      <c r="I134" s="21"/>
      <c r="J134" s="21"/>
    </row>
    <row r="135" spans="1:10" ht="18" hidden="1" customHeight="1" x14ac:dyDescent="0.3">
      <c r="A135" s="488" t="s">
        <v>403</v>
      </c>
      <c r="B135" s="12" t="str">
        <f>IF(DONNEES!I52="RG tranche ferme remplacée par GAPD","RG tranche ferme remplacée par GAPD","Sans Objet")</f>
        <v>Sans Objet</v>
      </c>
      <c r="C135" s="504"/>
      <c r="D135" s="505"/>
      <c r="E135" s="506"/>
      <c r="F135" s="507"/>
      <c r="G135" s="32"/>
      <c r="H135" s="484"/>
      <c r="I135" s="21"/>
      <c r="J135" s="21"/>
    </row>
    <row r="136" spans="1:10" ht="18" hidden="1" customHeight="1" x14ac:dyDescent="0.3">
      <c r="A136" s="488" t="s">
        <v>407</v>
      </c>
      <c r="B136" s="12" t="e">
        <f>DONNEES!#REF!</f>
        <v>#REF!</v>
      </c>
      <c r="C136" s="504"/>
      <c r="D136" s="505"/>
      <c r="E136" s="506"/>
      <c r="F136" s="507"/>
      <c r="G136" s="32"/>
      <c r="H136" s="484"/>
      <c r="I136" s="21"/>
      <c r="J136" s="21"/>
    </row>
    <row r="137" spans="1:10" ht="18" hidden="1" customHeight="1" x14ac:dyDescent="0.3">
      <c r="A137" s="488" t="s">
        <v>408</v>
      </c>
      <c r="B137" s="12" t="e">
        <f>IF(DONNEES!#REF!="RG TO1 remplacée par GAPD","RG TO1 remplacée par GAPD","Sans Objet")</f>
        <v>#REF!</v>
      </c>
      <c r="C137" s="504"/>
      <c r="D137" s="505"/>
      <c r="E137" s="506"/>
      <c r="F137" s="507"/>
      <c r="G137" s="32"/>
      <c r="H137" s="484"/>
      <c r="I137" s="21"/>
      <c r="J137" s="21"/>
    </row>
    <row r="138" spans="1:10" ht="18" hidden="1" customHeight="1" x14ac:dyDescent="0.3">
      <c r="A138" s="488" t="s">
        <v>412</v>
      </c>
      <c r="B138" s="12" t="e">
        <f>DONNEES!#REF!</f>
        <v>#REF!</v>
      </c>
      <c r="C138" s="504"/>
      <c r="D138" s="505"/>
      <c r="E138" s="506"/>
      <c r="F138" s="507"/>
      <c r="G138" s="32"/>
      <c r="H138" s="484"/>
      <c r="I138" s="21"/>
      <c r="J138" s="21"/>
    </row>
    <row r="139" spans="1:10" ht="18" hidden="1" customHeight="1" x14ac:dyDescent="0.3">
      <c r="A139" s="488" t="s">
        <v>413</v>
      </c>
      <c r="B139" s="12" t="e">
        <f>IF(DONNEES!#REF!="RG TO2 remplacée par GAPD","RG TO2 remplacée par GAPD","Sans Objet")</f>
        <v>#REF!</v>
      </c>
      <c r="C139" s="504"/>
      <c r="D139" s="505"/>
      <c r="E139" s="506"/>
      <c r="F139" s="507"/>
      <c r="G139" s="32"/>
      <c r="H139" s="484"/>
      <c r="I139" s="21"/>
      <c r="J139" s="21"/>
    </row>
    <row r="140" spans="1:10" ht="18" hidden="1" customHeight="1" x14ac:dyDescent="0.3">
      <c r="A140" s="488" t="s">
        <v>417</v>
      </c>
      <c r="B140" s="12" t="e">
        <f>DONNEES!#REF!</f>
        <v>#REF!</v>
      </c>
      <c r="C140" s="504"/>
      <c r="D140" s="505"/>
      <c r="E140" s="506"/>
      <c r="F140" s="507"/>
      <c r="G140" s="32"/>
      <c r="H140" s="484"/>
      <c r="I140" s="21"/>
      <c r="J140" s="21"/>
    </row>
    <row r="141" spans="1:10" ht="18" hidden="1" customHeight="1" x14ac:dyDescent="0.3">
      <c r="A141" s="488" t="s">
        <v>418</v>
      </c>
      <c r="B141" s="12" t="e">
        <f>IF(DONNEES!#REF!="RG TO3 remplacée par GAPD","RG TO3 remplacée par GAPD","Sans Objet")</f>
        <v>#REF!</v>
      </c>
      <c r="C141" s="504"/>
      <c r="D141" s="505"/>
      <c r="E141" s="506"/>
      <c r="F141" s="507"/>
      <c r="G141" s="32"/>
      <c r="H141" s="484"/>
      <c r="I141" s="21"/>
      <c r="J141" s="21"/>
    </row>
    <row r="142" spans="1:10" ht="18" hidden="1" customHeight="1" x14ac:dyDescent="0.3">
      <c r="A142" s="488" t="s">
        <v>419</v>
      </c>
      <c r="B142" s="12" t="e">
        <f>IF(DONNEES!#REF!="RG",DONNEES!#REF!&amp;" "&amp;"complémentaire sur avenant / OS",IF(DONNEES!#REF!="GAPD",DONNEES!#REF!&amp;" "&amp;"complémentaire sur avenant / OS",IF(DONNEES!#REF!="Sans Objet","Sans Objet")))</f>
        <v>#REF!</v>
      </c>
      <c r="C142" s="504"/>
      <c r="D142" s="505"/>
      <c r="E142" s="506"/>
      <c r="F142" s="507"/>
      <c r="G142" s="32"/>
      <c r="H142" s="484"/>
      <c r="I142" s="21"/>
      <c r="J142" s="21"/>
    </row>
    <row r="143" spans="1:10" ht="18" customHeight="1" x14ac:dyDescent="0.3">
      <c r="A143" s="124">
        <v>12</v>
      </c>
      <c r="B143" s="40" t="s">
        <v>61</v>
      </c>
      <c r="C143" s="675"/>
      <c r="D143" s="676"/>
      <c r="E143" s="675"/>
      <c r="F143" s="676"/>
      <c r="G143" s="33">
        <f>E143+C143</f>
        <v>0</v>
      </c>
      <c r="H143" s="21"/>
      <c r="I143" s="21"/>
      <c r="J143" s="21"/>
    </row>
    <row r="144" spans="1:10" ht="18" customHeight="1" x14ac:dyDescent="0.3">
      <c r="A144" s="124">
        <v>13</v>
      </c>
      <c r="B144" s="40" t="s">
        <v>187</v>
      </c>
      <c r="C144" s="673"/>
      <c r="D144" s="673"/>
      <c r="E144" s="675"/>
      <c r="F144" s="676"/>
      <c r="G144" s="33">
        <f>E144+C144</f>
        <v>0</v>
      </c>
      <c r="H144" s="21"/>
      <c r="I144" s="21"/>
      <c r="J144" s="21"/>
    </row>
    <row r="145" spans="1:10" ht="18" customHeight="1" x14ac:dyDescent="0.3">
      <c r="A145" s="124">
        <v>14</v>
      </c>
      <c r="B145" s="40" t="s">
        <v>180</v>
      </c>
      <c r="C145" s="697">
        <f>IFERROR(SUM(C134+D134+C143+C144+E134+F134),0)</f>
        <v>0</v>
      </c>
      <c r="D145" s="697"/>
      <c r="E145" s="675"/>
      <c r="F145" s="676"/>
      <c r="G145" s="33">
        <f>E145+C145</f>
        <v>0</v>
      </c>
      <c r="H145" s="21"/>
      <c r="I145" s="21"/>
      <c r="J145" s="21"/>
    </row>
    <row r="146" spans="1:10" ht="18" customHeight="1" x14ac:dyDescent="0.3">
      <c r="A146" s="124">
        <v>15</v>
      </c>
      <c r="B146" s="40" t="s">
        <v>62</v>
      </c>
      <c r="C146" s="674">
        <f>C133-C145</f>
        <v>0</v>
      </c>
      <c r="D146" s="667"/>
      <c r="E146" s="21"/>
      <c r="F146" s="21"/>
      <c r="G146" s="21"/>
      <c r="H146" s="21"/>
      <c r="I146" s="21"/>
      <c r="J146" s="21"/>
    </row>
    <row r="147" spans="1:10" ht="18" hidden="1" customHeight="1" x14ac:dyDescent="0.3">
      <c r="A147" s="124">
        <v>16</v>
      </c>
      <c r="B147" s="40" t="s">
        <v>63</v>
      </c>
      <c r="C147" s="684">
        <f>SUM(E165:E178)</f>
        <v>0</v>
      </c>
      <c r="D147" s="685"/>
      <c r="E147" s="21"/>
      <c r="F147" s="21"/>
      <c r="G147" s="21"/>
      <c r="H147" s="21"/>
      <c r="I147" s="21"/>
      <c r="J147" s="21"/>
    </row>
    <row r="148" spans="1:10" ht="18" hidden="1" customHeight="1" x14ac:dyDescent="0.3">
      <c r="A148" s="48">
        <v>17</v>
      </c>
      <c r="B148" s="49" t="s">
        <v>64</v>
      </c>
      <c r="C148" s="683">
        <f>IF(E1="DGD",(C146-C147-C153),(C146-C147))</f>
        <v>0</v>
      </c>
      <c r="D148" s="686"/>
      <c r="E148" s="21"/>
      <c r="F148" s="21"/>
      <c r="G148" s="21"/>
      <c r="H148" s="21"/>
      <c r="I148" s="21"/>
      <c r="J148" s="21"/>
    </row>
    <row r="149" spans="1:10" ht="18" hidden="1" customHeight="1" x14ac:dyDescent="0.3">
      <c r="A149" s="50">
        <v>18</v>
      </c>
      <c r="B149" s="51" t="s">
        <v>212</v>
      </c>
      <c r="C149" s="683" t="str">
        <f>IF(B134="Retenue de Garantie (4a x 5%)",(C134+D134),"Sans objet")</f>
        <v>Sans objet</v>
      </c>
      <c r="D149" s="683"/>
      <c r="E149" s="21"/>
      <c r="F149" s="21"/>
      <c r="G149" s="21"/>
      <c r="H149" s="21"/>
      <c r="I149" s="21"/>
      <c r="J149" s="21"/>
    </row>
    <row r="150" spans="1:10" ht="18" hidden="1" customHeight="1" x14ac:dyDescent="0.3">
      <c r="A150" s="50">
        <v>19</v>
      </c>
      <c r="B150" s="51" t="s">
        <v>241</v>
      </c>
      <c r="C150" s="683">
        <f>C111+D111+C130+D130</f>
        <v>0</v>
      </c>
      <c r="D150" s="683"/>
      <c r="E150" s="21"/>
      <c r="F150" s="21"/>
      <c r="G150" s="21"/>
      <c r="H150" s="21"/>
      <c r="I150" s="21"/>
      <c r="J150" s="21"/>
    </row>
    <row r="151" spans="1:10" ht="18" hidden="1" customHeight="1" x14ac:dyDescent="0.3">
      <c r="A151" s="50">
        <v>20</v>
      </c>
      <c r="B151" s="51" t="s">
        <v>338</v>
      </c>
      <c r="C151" s="683">
        <f>IF(C149="Sans Objet",C148,C148+C149)</f>
        <v>0</v>
      </c>
      <c r="D151" s="683"/>
      <c r="E151" s="21"/>
      <c r="F151" s="21"/>
      <c r="G151" s="21"/>
      <c r="H151" s="21"/>
      <c r="I151" s="21"/>
      <c r="J151" s="21"/>
    </row>
    <row r="152" spans="1:10" ht="18" hidden="1" customHeight="1" x14ac:dyDescent="0.3">
      <c r="A152" s="70"/>
      <c r="B152" s="71"/>
      <c r="C152" s="677" t="s">
        <v>74</v>
      </c>
      <c r="D152" s="677"/>
      <c r="E152" s="21"/>
      <c r="F152" s="21"/>
      <c r="G152" s="21"/>
      <c r="H152" s="21"/>
      <c r="I152" s="21"/>
      <c r="J152" s="21"/>
    </row>
    <row r="153" spans="1:10" ht="18" hidden="1" customHeight="1" x14ac:dyDescent="0.3">
      <c r="A153" s="124">
        <v>20</v>
      </c>
      <c r="B153" s="40" t="str">
        <f>IF(E1="DGD","Refaction","Ne rien inscrire avant le DGD")</f>
        <v>Ne rien inscrire avant le DGD</v>
      </c>
      <c r="C153" s="673"/>
      <c r="D153" s="673"/>
      <c r="E153" s="21"/>
      <c r="F153" s="21"/>
      <c r="G153" s="21"/>
      <c r="H153" s="21"/>
      <c r="I153" s="21"/>
      <c r="J153" s="21"/>
    </row>
    <row r="154" spans="1:10" ht="18" hidden="1" customHeight="1" x14ac:dyDescent="0.3">
      <c r="A154" s="21"/>
      <c r="B154" s="21"/>
      <c r="C154" s="21"/>
      <c r="D154" s="21"/>
      <c r="E154" s="21"/>
      <c r="F154" s="21"/>
      <c r="G154" s="21"/>
      <c r="H154" s="21"/>
      <c r="I154" s="21"/>
      <c r="J154" s="21"/>
    </row>
    <row r="155" spans="1:10" ht="31.5" customHeight="1" x14ac:dyDescent="0.3">
      <c r="A155" s="21"/>
      <c r="C155" s="53" t="s">
        <v>69</v>
      </c>
      <c r="D155" s="688" t="s">
        <v>75</v>
      </c>
      <c r="E155" s="688"/>
      <c r="F155" s="341" t="s">
        <v>76</v>
      </c>
      <c r="G155" s="127" t="s">
        <v>77</v>
      </c>
      <c r="H155" s="127" t="s">
        <v>78</v>
      </c>
      <c r="I155" s="124" t="s">
        <v>79</v>
      </c>
      <c r="J155" s="21"/>
    </row>
    <row r="156" spans="1:10" ht="18" customHeight="1" x14ac:dyDescent="0.3">
      <c r="A156" s="21"/>
      <c r="B156" s="55" t="str">
        <f t="shared" ref="B156:C161" si="6">B28</f>
        <v>Cotraitant</v>
      </c>
      <c r="C156" s="56">
        <f t="shared" si="6"/>
        <v>0</v>
      </c>
      <c r="D156" s="697">
        <f>C151-D157-D158-D159-D160-D161</f>
        <v>0</v>
      </c>
      <c r="E156" s="697"/>
      <c r="F156" s="128">
        <f>C119+D119-SUM(F157:F161)</f>
        <v>0</v>
      </c>
      <c r="G156" s="412"/>
      <c r="H156" s="342">
        <f>G156+F156</f>
        <v>0</v>
      </c>
      <c r="I156" s="57">
        <f t="shared" ref="I156:I161" si="7">D28+E28-H156</f>
        <v>0</v>
      </c>
      <c r="J156" s="21"/>
    </row>
    <row r="157" spans="1:10" ht="18" customHeight="1" x14ac:dyDescent="0.3">
      <c r="A157" s="21"/>
      <c r="B157" s="55">
        <f t="shared" si="6"/>
        <v>0</v>
      </c>
      <c r="C157" s="56">
        <f t="shared" si="6"/>
        <v>0</v>
      </c>
      <c r="D157" s="673"/>
      <c r="E157" s="673"/>
      <c r="F157" s="128" t="str">
        <f>IF(B157="ST TVA autoliquidée",D157,IF(B157="ST TVA non-autoliquidée",(D157/1.2),"0"))</f>
        <v>0</v>
      </c>
      <c r="G157" s="412"/>
      <c r="H157" s="128">
        <f>F157+G157</f>
        <v>0</v>
      </c>
      <c r="I157" s="57" t="e">
        <f t="shared" si="7"/>
        <v>#REF!</v>
      </c>
      <c r="J157" s="21"/>
    </row>
    <row r="158" spans="1:10" ht="18" customHeight="1" x14ac:dyDescent="0.3">
      <c r="A158" s="21"/>
      <c r="B158" s="55">
        <f t="shared" si="6"/>
        <v>0</v>
      </c>
      <c r="C158" s="56">
        <f t="shared" si="6"/>
        <v>0</v>
      </c>
      <c r="D158" s="673"/>
      <c r="E158" s="673"/>
      <c r="F158" s="128" t="str">
        <f t="shared" ref="F158:F161" si="8">IF(B158="ST TVA autoliquidée",D158,IF(B158="ST TVA non-autoliquidée",(D158/1.2),"0"))</f>
        <v>0</v>
      </c>
      <c r="G158" s="412"/>
      <c r="H158" s="128">
        <f>F158+G158</f>
        <v>0</v>
      </c>
      <c r="I158" s="57" t="e">
        <f t="shared" si="7"/>
        <v>#REF!</v>
      </c>
      <c r="J158" s="21"/>
    </row>
    <row r="159" spans="1:10" ht="18" customHeight="1" x14ac:dyDescent="0.3">
      <c r="A159" s="21"/>
      <c r="B159" s="55">
        <f t="shared" si="6"/>
        <v>0</v>
      </c>
      <c r="C159" s="56">
        <f t="shared" si="6"/>
        <v>0</v>
      </c>
      <c r="D159" s="673"/>
      <c r="E159" s="673"/>
      <c r="F159" s="128" t="str">
        <f t="shared" si="8"/>
        <v>0</v>
      </c>
      <c r="G159" s="412"/>
      <c r="H159" s="128">
        <f t="shared" ref="H159:H161" si="9">F159+G159</f>
        <v>0</v>
      </c>
      <c r="I159" s="57" t="e">
        <f t="shared" si="7"/>
        <v>#REF!</v>
      </c>
      <c r="J159" s="21"/>
    </row>
    <row r="160" spans="1:10" ht="18" customHeight="1" x14ac:dyDescent="0.3">
      <c r="A160" s="21"/>
      <c r="B160" s="55">
        <f t="shared" si="6"/>
        <v>0</v>
      </c>
      <c r="C160" s="56">
        <f t="shared" si="6"/>
        <v>0</v>
      </c>
      <c r="D160" s="673"/>
      <c r="E160" s="673"/>
      <c r="F160" s="128" t="str">
        <f t="shared" si="8"/>
        <v>0</v>
      </c>
      <c r="G160" s="412"/>
      <c r="H160" s="128">
        <f t="shared" si="9"/>
        <v>0</v>
      </c>
      <c r="I160" s="57" t="e">
        <f t="shared" si="7"/>
        <v>#REF!</v>
      </c>
      <c r="J160" s="21"/>
    </row>
    <row r="161" spans="1:10" ht="18" customHeight="1" x14ac:dyDescent="0.3">
      <c r="A161" s="21"/>
      <c r="B161" s="55">
        <f t="shared" si="6"/>
        <v>0</v>
      </c>
      <c r="C161" s="56">
        <f t="shared" si="6"/>
        <v>0</v>
      </c>
      <c r="D161" s="673"/>
      <c r="E161" s="673"/>
      <c r="F161" s="128" t="str">
        <f t="shared" si="8"/>
        <v>0</v>
      </c>
      <c r="G161" s="412"/>
      <c r="H161" s="128">
        <f t="shared" si="9"/>
        <v>0</v>
      </c>
      <c r="I161" s="57" t="e">
        <f t="shared" si="7"/>
        <v>#REF!</v>
      </c>
      <c r="J161" s="21"/>
    </row>
    <row r="162" spans="1:10" ht="18" customHeight="1" x14ac:dyDescent="0.3">
      <c r="A162" s="21"/>
      <c r="B162" s="21"/>
      <c r="I162" s="21"/>
      <c r="J162" s="21"/>
    </row>
    <row r="163" spans="1:10" ht="18" customHeight="1" x14ac:dyDescent="0.3">
      <c r="A163" s="21"/>
      <c r="B163" s="21"/>
      <c r="C163" s="129" t="s">
        <v>80</v>
      </c>
      <c r="D163" s="129"/>
      <c r="E163" s="129"/>
      <c r="F163" s="680" t="s">
        <v>84</v>
      </c>
      <c r="G163" s="680"/>
      <c r="H163" s="680"/>
      <c r="I163" s="21"/>
      <c r="J163" s="21"/>
    </row>
    <row r="164" spans="1:10" ht="18" customHeight="1" x14ac:dyDescent="0.3">
      <c r="A164" s="21"/>
      <c r="B164" s="21"/>
      <c r="C164" s="58" t="s">
        <v>81</v>
      </c>
      <c r="D164" s="58" t="s">
        <v>82</v>
      </c>
      <c r="E164" s="58" t="s">
        <v>83</v>
      </c>
      <c r="F164" s="58" t="s">
        <v>81</v>
      </c>
      <c r="G164" s="58" t="s">
        <v>85</v>
      </c>
      <c r="H164" s="58" t="s">
        <v>83</v>
      </c>
      <c r="I164" s="21"/>
      <c r="J164" s="21"/>
    </row>
    <row r="165" spans="1:10" ht="18" customHeight="1" x14ac:dyDescent="0.3">
      <c r="A165" s="21"/>
      <c r="B165" s="21"/>
      <c r="C165" s="413">
        <v>1</v>
      </c>
      <c r="D165" s="413"/>
      <c r="E165" s="414"/>
      <c r="F165" s="413"/>
      <c r="G165" s="413"/>
      <c r="H165" s="414"/>
      <c r="I165" s="21"/>
      <c r="J165" s="21"/>
    </row>
    <row r="166" spans="1:10" ht="18" customHeight="1" x14ac:dyDescent="0.3">
      <c r="A166" s="21"/>
      <c r="B166" s="21"/>
      <c r="C166" s="413">
        <v>2</v>
      </c>
      <c r="D166" s="413"/>
      <c r="E166" s="414"/>
      <c r="F166" s="413"/>
      <c r="G166" s="413"/>
      <c r="H166" s="414"/>
      <c r="I166" s="21"/>
      <c r="J166" s="21"/>
    </row>
    <row r="167" spans="1:10" ht="18" customHeight="1" x14ac:dyDescent="0.3">
      <c r="A167" s="21"/>
      <c r="B167" s="21"/>
      <c r="C167" s="413">
        <v>3</v>
      </c>
      <c r="D167" s="413"/>
      <c r="E167" s="414"/>
      <c r="F167" s="413"/>
      <c r="G167" s="413"/>
      <c r="H167" s="414"/>
      <c r="I167" s="21"/>
      <c r="J167" s="21"/>
    </row>
    <row r="168" spans="1:10" ht="18" customHeight="1" x14ac:dyDescent="0.3">
      <c r="A168" s="21"/>
      <c r="B168" s="21"/>
      <c r="C168" s="413"/>
      <c r="D168" s="413"/>
      <c r="E168" s="414"/>
      <c r="F168" s="413"/>
      <c r="G168" s="413"/>
      <c r="H168" s="414"/>
      <c r="I168" s="21"/>
      <c r="J168" s="21"/>
    </row>
    <row r="169" spans="1:10" ht="18" customHeight="1" x14ac:dyDescent="0.3">
      <c r="A169" s="21"/>
      <c r="B169" s="21"/>
      <c r="C169" s="413"/>
      <c r="D169" s="413"/>
      <c r="E169" s="414"/>
      <c r="F169" s="413"/>
      <c r="G169" s="413"/>
      <c r="H169" s="414"/>
      <c r="I169" s="21"/>
      <c r="J169" s="21"/>
    </row>
    <row r="170" spans="1:10" ht="18" customHeight="1" x14ac:dyDescent="0.3">
      <c r="A170" s="21"/>
      <c r="B170" s="21"/>
      <c r="C170" s="413"/>
      <c r="D170" s="413"/>
      <c r="E170" s="414"/>
      <c r="F170" s="413"/>
      <c r="G170" s="413"/>
      <c r="H170" s="414"/>
      <c r="I170" s="21"/>
      <c r="J170" s="21"/>
    </row>
    <row r="171" spans="1:10" ht="18" customHeight="1" x14ac:dyDescent="0.3">
      <c r="A171" s="21"/>
      <c r="B171" s="21"/>
      <c r="C171" s="413"/>
      <c r="D171" s="413"/>
      <c r="E171" s="414"/>
      <c r="F171" s="413"/>
      <c r="G171" s="413"/>
      <c r="H171" s="414"/>
      <c r="I171" s="21"/>
      <c r="J171" s="21"/>
    </row>
    <row r="172" spans="1:10" ht="18" customHeight="1" x14ac:dyDescent="0.3">
      <c r="A172" s="21"/>
      <c r="B172" s="21"/>
      <c r="C172" s="413"/>
      <c r="D172" s="413"/>
      <c r="E172" s="414"/>
      <c r="F172" s="413"/>
      <c r="G172" s="413"/>
      <c r="H172" s="414"/>
      <c r="I172" s="21"/>
      <c r="J172" s="21"/>
    </row>
    <row r="173" spans="1:10" ht="18" customHeight="1" x14ac:dyDescent="0.3">
      <c r="A173" s="21"/>
      <c r="B173" s="21"/>
      <c r="C173" s="413"/>
      <c r="D173" s="413"/>
      <c r="E173" s="414"/>
      <c r="F173" s="413"/>
      <c r="G173" s="413"/>
      <c r="H173" s="414"/>
      <c r="I173" s="21"/>
      <c r="J173" s="21"/>
    </row>
    <row r="174" spans="1:10" ht="18" customHeight="1" x14ac:dyDescent="0.3">
      <c r="A174" s="21"/>
      <c r="B174" s="21"/>
      <c r="C174" s="413"/>
      <c r="D174" s="413"/>
      <c r="E174" s="414"/>
      <c r="F174" s="413"/>
      <c r="G174" s="413"/>
      <c r="H174" s="414"/>
      <c r="I174" s="21"/>
      <c r="J174" s="21"/>
    </row>
    <row r="175" spans="1:10" ht="18" customHeight="1" x14ac:dyDescent="0.3">
      <c r="A175" s="21"/>
      <c r="B175" s="21"/>
      <c r="C175" s="413"/>
      <c r="D175" s="413"/>
      <c r="E175" s="414"/>
      <c r="F175" s="413"/>
      <c r="G175" s="413"/>
      <c r="H175" s="414"/>
      <c r="I175" s="21"/>
      <c r="J175" s="21"/>
    </row>
    <row r="176" spans="1:10" ht="18" customHeight="1" x14ac:dyDescent="0.3">
      <c r="A176" s="21"/>
      <c r="B176" s="21"/>
      <c r="C176" s="413"/>
      <c r="D176" s="413"/>
      <c r="E176" s="414"/>
      <c r="F176" s="413"/>
      <c r="G176" s="413"/>
      <c r="H176" s="414"/>
      <c r="I176" s="21"/>
      <c r="J176" s="21"/>
    </row>
    <row r="177" spans="1:10" ht="18" customHeight="1" x14ac:dyDescent="0.3">
      <c r="A177" s="21"/>
      <c r="B177" s="21"/>
      <c r="C177" s="413"/>
      <c r="D177" s="413"/>
      <c r="E177" s="414"/>
      <c r="F177" s="413"/>
      <c r="G177" s="413"/>
      <c r="H177" s="414"/>
      <c r="I177" s="21"/>
      <c r="J177" s="21"/>
    </row>
    <row r="178" spans="1:10" ht="18" customHeight="1" x14ac:dyDescent="0.3">
      <c r="A178" s="21"/>
      <c r="B178" s="21"/>
      <c r="C178" s="413"/>
      <c r="D178" s="413"/>
      <c r="E178" s="414"/>
      <c r="F178" s="413"/>
      <c r="G178" s="413"/>
      <c r="H178" s="414"/>
      <c r="I178" s="21"/>
      <c r="J178" s="21"/>
    </row>
    <row r="179" spans="1:10" ht="18" customHeight="1" x14ac:dyDescent="0.3">
      <c r="J179" s="21"/>
    </row>
    <row r="180" spans="1:10" ht="18" customHeight="1" x14ac:dyDescent="0.3">
      <c r="J180" s="21"/>
    </row>
    <row r="181" spans="1:10" ht="18" customHeight="1" x14ac:dyDescent="0.3">
      <c r="J181" s="21"/>
    </row>
    <row r="182" spans="1:10" ht="18" customHeight="1" x14ac:dyDescent="0.3">
      <c r="J182" s="21"/>
    </row>
    <row r="183" spans="1:10" ht="18" customHeight="1" x14ac:dyDescent="0.3">
      <c r="J183" s="21"/>
    </row>
    <row r="184" spans="1:10" ht="18" customHeight="1" x14ac:dyDescent="0.3">
      <c r="J184" s="21"/>
    </row>
    <row r="185" spans="1:10" ht="18" customHeight="1" x14ac:dyDescent="0.3">
      <c r="J185" s="21"/>
    </row>
    <row r="186" spans="1:10" ht="18" customHeight="1" x14ac:dyDescent="0.3">
      <c r="J186" s="21"/>
    </row>
    <row r="187" spans="1:10" ht="18" customHeight="1" x14ac:dyDescent="0.3">
      <c r="J187" s="21"/>
    </row>
    <row r="188" spans="1:10" ht="18" customHeight="1" x14ac:dyDescent="0.3">
      <c r="J188" s="21"/>
    </row>
    <row r="189" spans="1:10" ht="18" customHeight="1" x14ac:dyDescent="0.3">
      <c r="J189" s="21"/>
    </row>
    <row r="190" spans="1:10" ht="18" customHeight="1" x14ac:dyDescent="0.3">
      <c r="J190" s="21"/>
    </row>
    <row r="191" spans="1:10" ht="18" customHeight="1" x14ac:dyDescent="0.3">
      <c r="J191" s="21"/>
    </row>
    <row r="192" spans="1:10" ht="18" customHeight="1" x14ac:dyDescent="0.3">
      <c r="J192" s="21"/>
    </row>
    <row r="193" spans="10:10" ht="18" customHeight="1" x14ac:dyDescent="0.3">
      <c r="J193" s="21"/>
    </row>
    <row r="194" spans="10:10" ht="18" customHeight="1" x14ac:dyDescent="0.3">
      <c r="J194" s="21"/>
    </row>
    <row r="195" spans="10:10" ht="18" customHeight="1" x14ac:dyDescent="0.3">
      <c r="J195" s="21"/>
    </row>
    <row r="196" spans="10:10" ht="18" customHeight="1" x14ac:dyDescent="0.3">
      <c r="J196" s="21"/>
    </row>
    <row r="197" spans="10:10" ht="18" customHeight="1" x14ac:dyDescent="0.3">
      <c r="J197" s="21"/>
    </row>
    <row r="198" spans="10:10" ht="18" customHeight="1" x14ac:dyDescent="0.3">
      <c r="J198" s="21"/>
    </row>
    <row r="199" spans="10:10" ht="18" customHeight="1" x14ac:dyDescent="0.3">
      <c r="J199" s="21"/>
    </row>
    <row r="200" spans="10:10" ht="18" customHeight="1" x14ac:dyDescent="0.3">
      <c r="J200" s="21"/>
    </row>
    <row r="201" spans="10:10" ht="18" customHeight="1" x14ac:dyDescent="0.3">
      <c r="J201" s="21"/>
    </row>
    <row r="202" spans="10:10" ht="18" customHeight="1" x14ac:dyDescent="0.3">
      <c r="J202" s="21"/>
    </row>
    <row r="203" spans="10:10" ht="18" customHeight="1" x14ac:dyDescent="0.3">
      <c r="J203" s="21"/>
    </row>
    <row r="204" spans="10:10" ht="18" customHeight="1" x14ac:dyDescent="0.3">
      <c r="J204" s="21"/>
    </row>
    <row r="205" spans="10:10" ht="18" customHeight="1" x14ac:dyDescent="0.3">
      <c r="J205" s="21"/>
    </row>
    <row r="206" spans="10:10" ht="18" customHeight="1" x14ac:dyDescent="0.3">
      <c r="J206" s="21"/>
    </row>
    <row r="207" spans="10:10" ht="18" customHeight="1" x14ac:dyDescent="0.3">
      <c r="J207" s="21"/>
    </row>
    <row r="208" spans="10:10" ht="18" customHeight="1" x14ac:dyDescent="0.3">
      <c r="J208" s="21"/>
    </row>
    <row r="209" spans="10:10" ht="18" customHeight="1" x14ac:dyDescent="0.3">
      <c r="J209" s="21"/>
    </row>
    <row r="210" spans="10:10" ht="18" customHeight="1" x14ac:dyDescent="0.3">
      <c r="J210" s="21"/>
    </row>
    <row r="211" spans="10:10" ht="18" customHeight="1" x14ac:dyDescent="0.3">
      <c r="J211" s="21"/>
    </row>
    <row r="212" spans="10:10" ht="18" customHeight="1" x14ac:dyDescent="0.3">
      <c r="J212" s="21"/>
    </row>
    <row r="213" spans="10:10" ht="18" customHeight="1" x14ac:dyDescent="0.3">
      <c r="J213" s="21"/>
    </row>
    <row r="214" spans="10:10" ht="18" customHeight="1" x14ac:dyDescent="0.3">
      <c r="J214" s="21"/>
    </row>
    <row r="215" spans="10:10" ht="18" customHeight="1" x14ac:dyDescent="0.3">
      <c r="J215" s="21"/>
    </row>
    <row r="216" spans="10:10" ht="18" customHeight="1" x14ac:dyDescent="0.3">
      <c r="J216" s="21"/>
    </row>
    <row r="217" spans="10:10" ht="18" customHeight="1" x14ac:dyDescent="0.3">
      <c r="J217" s="21"/>
    </row>
    <row r="218" spans="10:10" ht="18" customHeight="1" x14ac:dyDescent="0.3">
      <c r="J218" s="21"/>
    </row>
    <row r="219" spans="10:10" ht="18" customHeight="1" x14ac:dyDescent="0.3">
      <c r="J219" s="21"/>
    </row>
    <row r="220" spans="10:10" ht="18" customHeight="1" x14ac:dyDescent="0.3">
      <c r="J220" s="21"/>
    </row>
    <row r="221" spans="10:10" ht="18" customHeight="1" x14ac:dyDescent="0.3">
      <c r="J221" s="21"/>
    </row>
    <row r="222" spans="10:10" ht="18" customHeight="1" x14ac:dyDescent="0.3">
      <c r="J222" s="21"/>
    </row>
    <row r="223" spans="10:10" ht="18" customHeight="1" x14ac:dyDescent="0.3">
      <c r="J223" s="21"/>
    </row>
    <row r="224" spans="10:10" ht="18" customHeight="1" x14ac:dyDescent="0.3">
      <c r="J224" s="21"/>
    </row>
    <row r="225" spans="10:10" ht="18" customHeight="1" x14ac:dyDescent="0.3">
      <c r="J225" s="21"/>
    </row>
    <row r="226" spans="10:10" ht="18" customHeight="1" x14ac:dyDescent="0.3">
      <c r="J226" s="21"/>
    </row>
    <row r="227" spans="10:10" ht="18" customHeight="1" x14ac:dyDescent="0.3">
      <c r="J227" s="21"/>
    </row>
    <row r="228" spans="10:10" ht="18" customHeight="1" x14ac:dyDescent="0.3">
      <c r="J228" s="21"/>
    </row>
    <row r="229" spans="10:10" ht="18" customHeight="1" x14ac:dyDescent="0.3">
      <c r="J229" s="21"/>
    </row>
    <row r="230" spans="10:10" ht="18" customHeight="1" x14ac:dyDescent="0.3">
      <c r="J230" s="21"/>
    </row>
    <row r="231" spans="10:10" ht="18" customHeight="1" x14ac:dyDescent="0.3">
      <c r="J231" s="21"/>
    </row>
    <row r="232" spans="10:10" ht="18" customHeight="1" x14ac:dyDescent="0.3">
      <c r="J232" s="21"/>
    </row>
    <row r="233" spans="10:10" ht="18" customHeight="1" x14ac:dyDescent="0.3">
      <c r="J233" s="21"/>
    </row>
    <row r="234" spans="10:10" ht="18" customHeight="1" x14ac:dyDescent="0.3">
      <c r="J234" s="21"/>
    </row>
    <row r="235" spans="10:10" ht="18" customHeight="1" x14ac:dyDescent="0.3">
      <c r="J235" s="21"/>
    </row>
    <row r="236" spans="10:10" ht="18" customHeight="1" x14ac:dyDescent="0.3">
      <c r="J236" s="21"/>
    </row>
    <row r="237" spans="10:10" ht="18" customHeight="1" x14ac:dyDescent="0.3">
      <c r="J237" s="21"/>
    </row>
    <row r="238" spans="10:10" ht="18" customHeight="1" x14ac:dyDescent="0.3">
      <c r="J238" s="21"/>
    </row>
    <row r="239" spans="10:10" ht="18" customHeight="1" x14ac:dyDescent="0.3">
      <c r="J239" s="21"/>
    </row>
    <row r="240" spans="10:10" ht="18" customHeight="1" x14ac:dyDescent="0.3">
      <c r="J240" s="21"/>
    </row>
    <row r="241" spans="10:10" ht="18" customHeight="1" x14ac:dyDescent="0.3">
      <c r="J241" s="21"/>
    </row>
    <row r="242" spans="10:10" ht="18" customHeight="1" x14ac:dyDescent="0.3">
      <c r="J242" s="21"/>
    </row>
    <row r="243" spans="10:10" ht="18" customHeight="1" x14ac:dyDescent="0.3">
      <c r="J243" s="21"/>
    </row>
    <row r="244" spans="10:10" ht="18" customHeight="1" x14ac:dyDescent="0.3">
      <c r="J244" s="21"/>
    </row>
    <row r="245" spans="10:10" ht="18" customHeight="1" x14ac:dyDescent="0.3">
      <c r="J245" s="21"/>
    </row>
    <row r="246" spans="10:10" ht="18" customHeight="1" x14ac:dyDescent="0.3">
      <c r="J246" s="21"/>
    </row>
    <row r="247" spans="10:10" ht="18" customHeight="1" x14ac:dyDescent="0.3">
      <c r="J247" s="21"/>
    </row>
    <row r="248" spans="10:10" ht="18" customHeight="1" x14ac:dyDescent="0.3">
      <c r="J248" s="21"/>
    </row>
    <row r="249" spans="10:10" ht="18" customHeight="1" x14ac:dyDescent="0.3">
      <c r="J249" s="21"/>
    </row>
    <row r="250" spans="10:10" ht="18" customHeight="1" x14ac:dyDescent="0.3">
      <c r="J250" s="21"/>
    </row>
    <row r="251" spans="10:10" ht="18" customHeight="1" x14ac:dyDescent="0.3">
      <c r="J251" s="21"/>
    </row>
    <row r="252" spans="10:10" ht="18" customHeight="1" x14ac:dyDescent="0.3">
      <c r="J252" s="21"/>
    </row>
    <row r="253" spans="10:10" ht="18" customHeight="1" x14ac:dyDescent="0.3">
      <c r="J253" s="21"/>
    </row>
    <row r="254" spans="10:10" ht="18" customHeight="1" x14ac:dyDescent="0.3">
      <c r="J254" s="21"/>
    </row>
    <row r="255" spans="10:10" ht="18" customHeight="1" x14ac:dyDescent="0.3">
      <c r="J255" s="21"/>
    </row>
    <row r="256" spans="10:10" ht="18" customHeight="1" x14ac:dyDescent="0.3">
      <c r="J256" s="21"/>
    </row>
    <row r="257" spans="10:10" ht="18" customHeight="1" x14ac:dyDescent="0.3">
      <c r="J257" s="21"/>
    </row>
    <row r="258" spans="10:10" ht="18" customHeight="1" x14ac:dyDescent="0.3">
      <c r="J258" s="21"/>
    </row>
    <row r="259" spans="10:10" ht="18" customHeight="1" x14ac:dyDescent="0.3">
      <c r="J259" s="21"/>
    </row>
    <row r="260" spans="10:10" ht="18" customHeight="1" x14ac:dyDescent="0.3">
      <c r="J260" s="21"/>
    </row>
    <row r="261" spans="10:10" ht="18" customHeight="1" x14ac:dyDescent="0.3">
      <c r="J261" s="21"/>
    </row>
    <row r="262" spans="10:10" ht="18" customHeight="1" x14ac:dyDescent="0.3">
      <c r="J262" s="21"/>
    </row>
    <row r="263" spans="10:10" ht="18" customHeight="1" x14ac:dyDescent="0.3">
      <c r="J263" s="21"/>
    </row>
    <row r="264" spans="10:10" ht="18" customHeight="1" x14ac:dyDescent="0.3">
      <c r="J264" s="21"/>
    </row>
    <row r="265" spans="10:10" ht="18" customHeight="1" x14ac:dyDescent="0.3">
      <c r="J265" s="21"/>
    </row>
    <row r="266" spans="10:10" ht="18" customHeight="1" x14ac:dyDescent="0.3">
      <c r="J266" s="21"/>
    </row>
    <row r="267" spans="10:10" ht="18" customHeight="1" x14ac:dyDescent="0.3">
      <c r="J267" s="21"/>
    </row>
    <row r="268" spans="10:10" ht="18" customHeight="1" x14ac:dyDescent="0.3">
      <c r="J268" s="21"/>
    </row>
    <row r="269" spans="10:10" ht="18" customHeight="1" x14ac:dyDescent="0.3">
      <c r="J269" s="21"/>
    </row>
    <row r="270" spans="10:10" ht="18" customHeight="1" x14ac:dyDescent="0.3">
      <c r="J270" s="21"/>
    </row>
  </sheetData>
  <sheetProtection algorithmName="SHA-512" hashValue="1LK/GtErj1RMeDlv/9/Vrzt34caBVzi91mgVkoH/cBPNDnmuh7EzLAUq9dtQqOcMtoqllQCbMevhdtWz1yDdxA==" saltValue="J6fg+955KIKILmgN9WBKrw==" spinCount="100000" sheet="1" objects="1" scenarios="1" autoFilter="0"/>
  <mergeCells count="59">
    <mergeCell ref="F163:H163"/>
    <mergeCell ref="D156:E156"/>
    <mergeCell ref="D157:E157"/>
    <mergeCell ref="D158:E158"/>
    <mergeCell ref="D159:E159"/>
    <mergeCell ref="D160:E160"/>
    <mergeCell ref="D161:E161"/>
    <mergeCell ref="D155:E155"/>
    <mergeCell ref="C145:D145"/>
    <mergeCell ref="E145:F145"/>
    <mergeCell ref="C146:D146"/>
    <mergeCell ref="C147:D147"/>
    <mergeCell ref="C148:D148"/>
    <mergeCell ref="C149:D149"/>
    <mergeCell ref="C150:D150"/>
    <mergeCell ref="C152:D152"/>
    <mergeCell ref="C153:D153"/>
    <mergeCell ref="C151:D151"/>
    <mergeCell ref="C133:D133"/>
    <mergeCell ref="C143:D143"/>
    <mergeCell ref="E143:F143"/>
    <mergeCell ref="C144:D144"/>
    <mergeCell ref="E144:F144"/>
    <mergeCell ref="B66:B67"/>
    <mergeCell ref="C66:C67"/>
    <mergeCell ref="B76:B77"/>
    <mergeCell ref="E107:E108"/>
    <mergeCell ref="F107:F108"/>
    <mergeCell ref="C108:D108"/>
    <mergeCell ref="D2:I2"/>
    <mergeCell ref="D3:I3"/>
    <mergeCell ref="D4:I4"/>
    <mergeCell ref="D5:I5"/>
    <mergeCell ref="D6:I6"/>
    <mergeCell ref="I115:M115"/>
    <mergeCell ref="I116:M116"/>
    <mergeCell ref="I117:M117"/>
    <mergeCell ref="B9:D9"/>
    <mergeCell ref="B25:E25"/>
    <mergeCell ref="B26:B27"/>
    <mergeCell ref="C26:C27"/>
    <mergeCell ref="C23:D23"/>
    <mergeCell ref="B107:B109"/>
    <mergeCell ref="C107:D107"/>
    <mergeCell ref="B36:B37"/>
    <mergeCell ref="C36:C37"/>
    <mergeCell ref="B46:B47"/>
    <mergeCell ref="C46:C47"/>
    <mergeCell ref="B56:B57"/>
    <mergeCell ref="C56:C57"/>
    <mergeCell ref="C76:C77"/>
    <mergeCell ref="B86:B87"/>
    <mergeCell ref="C86:C87"/>
    <mergeCell ref="I113:M113"/>
    <mergeCell ref="I114:M114"/>
    <mergeCell ref="B96:B97"/>
    <mergeCell ref="C96:C97"/>
    <mergeCell ref="G107:G109"/>
    <mergeCell ref="H107:H109"/>
  </mergeCells>
  <conditionalFormatting sqref="I113:M117">
    <cfRule type="cellIs" dxfId="0" priority="1" operator="equal">
      <formula>"PENSEZ A VERIFIER SI IL FAUT FAIRE UN REMBOURSEMENT"</formula>
    </cfRule>
  </conditionalFormatting>
  <dataValidations disablePrompts="1" count="2">
    <dataValidation type="decimal" operator="greaterThanOrEqual" allowBlank="1" showInputMessage="1" showErrorMessage="1" sqref="C111:F116">
      <formula1>0</formula1>
    </dataValidation>
    <dataValidation type="list" allowBlank="1" showInputMessage="1" showErrorMessage="1" sqref="D2:I2">
      <formula1>LYCEES1</formula1>
    </dataValidation>
  </dataValidations>
  <pageMargins left="0.7" right="0.7" top="0.75" bottom="0.75" header="0.3" footer="0.3"/>
  <pageSetup paperSize="9" scale="43" orientation="portrait" r:id="rId1"/>
  <drawing r:id="rId2"/>
  <legacyDrawing r:id="rId3"/>
  <extLst>
    <ext xmlns:x14="http://schemas.microsoft.com/office/spreadsheetml/2009/9/main" uri="{CCE6A557-97BC-4b89-ADB6-D9C93CAAB3DF}">
      <x14:dataValidations xmlns:xm="http://schemas.microsoft.com/office/excel/2006/main" disablePrompts="1" count="5">
        <x14:dataValidation type="list" allowBlank="1" showInputMessage="1" showErrorMessage="1">
          <x14:formula1>
            <xm:f>LISTES!$E$1:$E$31</xm:f>
          </x14:formula1>
          <xm:sqref>E1</xm:sqref>
        </x14:dataValidation>
        <x14:dataValidation type="list" allowBlank="1" showInputMessage="1" showErrorMessage="1">
          <x14:formula1>
            <xm:f>LISTES!$D$4:$D$5</xm:f>
          </x14:formula1>
          <xm:sqref>B128</xm:sqref>
        </x14:dataValidation>
        <x14:dataValidation type="list" allowBlank="1" showInputMessage="1" showErrorMessage="1">
          <x14:formula1>
            <xm:f>LISTES!$G$1:$G$8</xm:f>
          </x14:formula1>
          <xm:sqref>G7</xm:sqref>
        </x14:dataValidation>
        <x14:dataValidation type="list" allowBlank="1" showInputMessage="1" showErrorMessage="1">
          <x14:formula1>
            <xm:f>LISTES!$F$1:$F$12</xm:f>
          </x14:formula1>
          <xm:sqref>E7</xm:sqref>
        </x14:dataValidation>
        <x14:dataValidation type="list" allowBlank="1" showInputMessage="1" showErrorMessage="1">
          <x14:formula1>
            <xm:f>LISTES!$A$1:$A$6</xm:f>
          </x14:formula1>
          <xm:sqref>C10:D10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4"/>
    <pageSetUpPr fitToPage="1"/>
  </sheetPr>
  <dimension ref="A1:R40"/>
  <sheetViews>
    <sheetView showGridLines="0" topLeftCell="A19" zoomScale="85" zoomScaleNormal="85" workbookViewId="0">
      <selection activeCell="B52" sqref="B52"/>
    </sheetView>
  </sheetViews>
  <sheetFormatPr baseColWidth="10" defaultRowHeight="18" outlineLevelCol="1" x14ac:dyDescent="0.25"/>
  <cols>
    <col min="1" max="1" width="30.140625" style="77" customWidth="1"/>
    <col min="2" max="2" width="51.85546875" style="77" customWidth="1"/>
    <col min="3" max="3" width="7.7109375" style="78" customWidth="1"/>
    <col min="4" max="4" width="19.5703125" style="78" customWidth="1"/>
    <col min="5" max="5" width="4.140625" style="78" customWidth="1"/>
    <col min="6" max="6" width="26.140625" style="79" customWidth="1"/>
    <col min="7" max="7" width="8.5703125" style="77" customWidth="1"/>
    <col min="8" max="8" width="56.28515625" style="77" hidden="1" customWidth="1" outlineLevel="1"/>
    <col min="9" max="9" width="28.85546875" style="77" bestFit="1" customWidth="1" collapsed="1"/>
    <col min="10" max="10" width="12.7109375" style="77" bestFit="1" customWidth="1"/>
    <col min="11" max="16384" width="11.42578125" style="77"/>
  </cols>
  <sheetData>
    <row r="1" spans="1:18" ht="59.25" customHeight="1" thickBot="1" x14ac:dyDescent="0.3">
      <c r="A1" s="700" t="s">
        <v>328</v>
      </c>
      <c r="B1" s="700"/>
      <c r="C1" s="700"/>
      <c r="D1" s="700"/>
      <c r="E1" s="700"/>
      <c r="F1" s="700"/>
    </row>
    <row r="2" spans="1:18" ht="38.25" customHeight="1" thickBot="1" x14ac:dyDescent="0.3">
      <c r="A2" s="701" t="s">
        <v>252</v>
      </c>
      <c r="B2" s="703"/>
      <c r="C2" s="703"/>
      <c r="D2" s="703"/>
      <c r="E2" s="703"/>
      <c r="F2" s="704"/>
      <c r="G2" s="76"/>
      <c r="H2" s="243" t="e">
        <f>C7+F7</f>
        <v>#VALUE!</v>
      </c>
    </row>
    <row r="3" spans="1:18" ht="44.25" customHeight="1" thickBot="1" x14ac:dyDescent="0.3"/>
    <row r="4" spans="1:18" ht="30" customHeight="1" thickBot="1" x14ac:dyDescent="0.3">
      <c r="A4" s="80" t="s">
        <v>196</v>
      </c>
      <c r="B4" s="81">
        <f>DONNEES!C14</f>
        <v>0</v>
      </c>
      <c r="C4" s="82"/>
      <c r="D4" s="82"/>
      <c r="E4" s="105"/>
      <c r="F4" s="83"/>
      <c r="G4" s="84"/>
    </row>
    <row r="5" spans="1:18" ht="15" customHeight="1" thickBot="1" x14ac:dyDescent="0.3">
      <c r="A5" s="436"/>
      <c r="B5" s="436"/>
      <c r="C5" s="710" t="s">
        <v>235</v>
      </c>
      <c r="D5" s="711"/>
      <c r="E5" s="443"/>
      <c r="F5" s="91" t="s">
        <v>235</v>
      </c>
    </row>
    <row r="6" spans="1:18" ht="24.95" customHeight="1" x14ac:dyDescent="0.25">
      <c r="A6" s="88"/>
      <c r="B6" s="89"/>
      <c r="C6" s="705">
        <f>DONNEES!C24</f>
        <v>0.2</v>
      </c>
      <c r="D6" s="705"/>
      <c r="E6" s="90"/>
      <c r="F6" s="240">
        <f>DONNEES!E24</f>
        <v>0.1</v>
      </c>
      <c r="G6" s="202"/>
      <c r="H6" s="706"/>
      <c r="I6" s="706"/>
    </row>
    <row r="7" spans="1:18" ht="15" customHeight="1" x14ac:dyDescent="0.25">
      <c r="A7" s="799" t="s">
        <v>342</v>
      </c>
      <c r="B7" s="800"/>
      <c r="C7" s="708">
        <f>DONNEES!M53</f>
        <v>0.1</v>
      </c>
      <c r="D7" s="708"/>
      <c r="E7" s="349"/>
      <c r="F7" s="437" t="str">
        <f>DONNEES!N53</f>
        <v>somme HT</v>
      </c>
      <c r="G7" s="92"/>
      <c r="H7" s="709" t="s">
        <v>332</v>
      </c>
      <c r="I7" s="709"/>
      <c r="J7" s="709"/>
      <c r="K7" s="709"/>
      <c r="L7" s="709"/>
      <c r="M7" s="709"/>
      <c r="N7" s="709"/>
    </row>
    <row r="8" spans="1:18" ht="15" customHeight="1" x14ac:dyDescent="0.25">
      <c r="A8" s="799" t="s">
        <v>197</v>
      </c>
      <c r="B8" s="800"/>
      <c r="C8" s="719" t="e">
        <f>IF(AND($H$2&gt;=25000,$H$2&lt;=149999),"30%",IF(AND($H$2&gt;149999,$H$2&lt;=999999),"25%",IF($H$2&gt;999999,"20"%," ")))</f>
        <v>#VALUE!</v>
      </c>
      <c r="D8" s="720"/>
      <c r="E8" s="720"/>
      <c r="F8" s="721"/>
      <c r="H8" s="717"/>
      <c r="I8" s="717"/>
      <c r="J8" s="717"/>
      <c r="K8" s="717"/>
      <c r="L8" s="717"/>
      <c r="M8" s="717"/>
      <c r="N8" s="717"/>
      <c r="O8" s="717"/>
      <c r="P8" s="717"/>
      <c r="Q8" s="717"/>
      <c r="R8" s="717"/>
    </row>
    <row r="9" spans="1:18" ht="15" customHeight="1" x14ac:dyDescent="0.25">
      <c r="A9" s="77" t="s">
        <v>327</v>
      </c>
      <c r="C9" s="708">
        <f>IFERROR(IF(DONNEES!C17&lt;=12,C7*C8,C7*C8*(12/DONNEES!C17)),0)</f>
        <v>0</v>
      </c>
      <c r="D9" s="708"/>
      <c r="E9" s="350"/>
      <c r="F9" s="437">
        <f>IFERROR(IF(DONNEES!C17&lt;=12,F7*C8,F7*C8*(12/DONNEES!C17)),0)</f>
        <v>0</v>
      </c>
      <c r="H9" s="718"/>
      <c r="I9" s="718"/>
      <c r="J9" s="718"/>
      <c r="K9" s="718"/>
      <c r="L9" s="718"/>
      <c r="M9" s="718"/>
      <c r="N9" s="718"/>
    </row>
    <row r="10" spans="1:18" ht="30" customHeight="1" x14ac:dyDescent="0.25">
      <c r="A10" s="245" t="s">
        <v>292</v>
      </c>
      <c r="B10" s="246"/>
      <c r="C10" s="714"/>
      <c r="D10" s="715"/>
      <c r="E10" s="95"/>
      <c r="F10" s="438">
        <v>0</v>
      </c>
    </row>
    <row r="11" spans="1:18" ht="45" customHeight="1" x14ac:dyDescent="0.25">
      <c r="A11" s="801" t="s">
        <v>293</v>
      </c>
      <c r="B11" s="802"/>
      <c r="C11" s="712">
        <f>C9-C10</f>
        <v>0</v>
      </c>
      <c r="D11" s="713"/>
      <c r="E11" s="95"/>
      <c r="F11" s="437">
        <f>F9-F10</f>
        <v>0</v>
      </c>
      <c r="I11" s="447"/>
    </row>
    <row r="12" spans="1:18" ht="15" customHeight="1" x14ac:dyDescent="0.25">
      <c r="A12" s="799" t="s">
        <v>198</v>
      </c>
      <c r="B12" s="800"/>
      <c r="C12" s="722"/>
      <c r="D12" s="722"/>
      <c r="E12" s="95"/>
      <c r="F12" s="438"/>
      <c r="G12" s="92"/>
    </row>
    <row r="13" spans="1:18" ht="30" customHeight="1" x14ac:dyDescent="0.25">
      <c r="A13" s="439"/>
      <c r="B13" s="440"/>
      <c r="C13" s="723"/>
      <c r="D13" s="724"/>
      <c r="E13" s="95"/>
      <c r="F13" s="91"/>
    </row>
    <row r="14" spans="1:18" ht="15" customHeight="1" x14ac:dyDescent="0.25">
      <c r="A14" s="799" t="s">
        <v>199</v>
      </c>
      <c r="B14" s="800"/>
      <c r="C14" s="722"/>
      <c r="D14" s="722"/>
      <c r="E14" s="95"/>
      <c r="F14" s="438"/>
      <c r="G14" s="92"/>
    </row>
    <row r="15" spans="1:18" ht="30" customHeight="1" x14ac:dyDescent="0.25">
      <c r="A15" s="439"/>
      <c r="B15" s="440"/>
      <c r="C15" s="723"/>
      <c r="D15" s="724"/>
      <c r="E15" s="95"/>
      <c r="F15" s="91"/>
    </row>
    <row r="16" spans="1:18" ht="15" customHeight="1" x14ac:dyDescent="0.25">
      <c r="A16" s="795" t="s">
        <v>200</v>
      </c>
      <c r="B16" s="796"/>
      <c r="C16" s="708">
        <f>+C12+C14</f>
        <v>0</v>
      </c>
      <c r="D16" s="708"/>
      <c r="E16" s="350"/>
      <c r="F16" s="437">
        <f>F14+F12</f>
        <v>0</v>
      </c>
      <c r="G16" s="725"/>
      <c r="H16" s="726"/>
    </row>
    <row r="17" spans="1:11" ht="30" customHeight="1" x14ac:dyDescent="0.25">
      <c r="A17" s="727"/>
      <c r="B17" s="728"/>
      <c r="C17" s="723"/>
      <c r="D17" s="724"/>
      <c r="E17" s="95"/>
      <c r="F17" s="91"/>
      <c r="I17" s="449"/>
      <c r="J17" s="449"/>
      <c r="K17" s="449"/>
    </row>
    <row r="18" spans="1:11" ht="30" customHeight="1" x14ac:dyDescent="0.25">
      <c r="A18" s="797" t="s">
        <v>201</v>
      </c>
      <c r="B18" s="798"/>
      <c r="C18" s="730">
        <f>IFERROR(C16/C7*100,0)</f>
        <v>0</v>
      </c>
      <c r="D18" s="730"/>
      <c r="E18" s="352"/>
      <c r="F18" s="441">
        <f>IFERROR(F16/F7*100,0)</f>
        <v>0</v>
      </c>
      <c r="G18" s="725"/>
      <c r="H18" s="726"/>
      <c r="I18" s="450">
        <f>C16/C7</f>
        <v>0</v>
      </c>
      <c r="J18" s="450">
        <f>F18/100</f>
        <v>0</v>
      </c>
      <c r="K18" s="450"/>
    </row>
    <row r="19" spans="1:11" ht="15" customHeight="1" x14ac:dyDescent="0.25">
      <c r="A19" s="799" t="s">
        <v>208</v>
      </c>
      <c r="B19" s="800"/>
      <c r="C19" s="741" t="e">
        <f>IF(C8="30%","40",IF(C8="25%","45",IF(C8="20%","50%"," ")))</f>
        <v>#VALUE!</v>
      </c>
      <c r="D19" s="742"/>
      <c r="E19" s="97"/>
      <c r="F19" s="448" t="e">
        <f>IF(C8="30%","40",IF(C8="25%","45",IF(C8="20%","50%"," ")))</f>
        <v>#VALUE!</v>
      </c>
      <c r="G19" s="98"/>
      <c r="I19" s="476" t="e">
        <f>C19/100</f>
        <v>#VALUE!</v>
      </c>
      <c r="J19" s="450" t="e">
        <f>F19/100</f>
        <v>#VALUE!</v>
      </c>
      <c r="K19" s="450"/>
    </row>
    <row r="20" spans="1:11" ht="30" customHeight="1" x14ac:dyDescent="0.25">
      <c r="A20" s="435"/>
      <c r="B20" s="436"/>
      <c r="C20" s="723"/>
      <c r="D20" s="724"/>
      <c r="E20" s="95"/>
      <c r="F20" s="91"/>
      <c r="G20" s="98"/>
      <c r="I20" s="449">
        <v>0.8</v>
      </c>
      <c r="J20" s="449">
        <v>0.8</v>
      </c>
      <c r="K20" s="449"/>
    </row>
    <row r="21" spans="1:11" ht="15" customHeight="1" x14ac:dyDescent="0.25">
      <c r="A21" s="793" t="s">
        <v>209</v>
      </c>
      <c r="B21" s="794"/>
      <c r="C21" s="730">
        <f>IFERROR(C18-C19,0)</f>
        <v>0</v>
      </c>
      <c r="D21" s="730"/>
      <c r="E21" s="355"/>
      <c r="F21" s="441">
        <f>IFERROR(F18-F19,0)</f>
        <v>0</v>
      </c>
      <c r="G21" s="110"/>
      <c r="I21" s="449"/>
      <c r="J21" s="449"/>
      <c r="K21" s="449"/>
    </row>
    <row r="22" spans="1:11" ht="15" customHeight="1" x14ac:dyDescent="0.25">
      <c r="A22" s="343"/>
      <c r="B22" s="189" t="s">
        <v>250</v>
      </c>
      <c r="C22" s="730">
        <f>IFERROR(C18-C19,0)</f>
        <v>0</v>
      </c>
      <c r="D22" s="730"/>
      <c r="E22" s="355"/>
      <c r="F22" s="441">
        <f>IFERROR(F18-F19,0)</f>
        <v>0</v>
      </c>
      <c r="G22" s="113"/>
      <c r="K22" s="449"/>
    </row>
    <row r="23" spans="1:11" ht="24.95" customHeight="1" thickBot="1" x14ac:dyDescent="0.3">
      <c r="A23" s="101"/>
      <c r="B23" s="190" t="s">
        <v>251</v>
      </c>
      <c r="C23" s="746">
        <f>IFERROR(80-C19,0)</f>
        <v>0</v>
      </c>
      <c r="D23" s="747"/>
      <c r="E23" s="355"/>
      <c r="F23" s="354">
        <f>IFERROR(80-F19,0)</f>
        <v>0</v>
      </c>
      <c r="G23" s="115"/>
    </row>
    <row r="24" spans="1:11" ht="24.95" customHeight="1" x14ac:dyDescent="0.25">
      <c r="A24" s="344"/>
      <c r="B24" s="344"/>
      <c r="C24" s="748"/>
      <c r="D24" s="748"/>
      <c r="E24" s="445"/>
      <c r="F24" s="446"/>
    </row>
    <row r="25" spans="1:11" ht="15" customHeight="1" thickBot="1" x14ac:dyDescent="0.3">
      <c r="A25" s="436"/>
      <c r="B25" s="436"/>
      <c r="C25" s="86"/>
      <c r="D25" s="86"/>
      <c r="E25" s="86"/>
      <c r="F25" s="87"/>
    </row>
    <row r="26" spans="1:11" ht="24.95" customHeight="1" x14ac:dyDescent="0.25">
      <c r="A26" s="103"/>
      <c r="B26" s="104"/>
      <c r="C26" s="105"/>
      <c r="D26" s="105"/>
      <c r="E26" s="105"/>
      <c r="F26" s="106"/>
    </row>
    <row r="27" spans="1:11" ht="15" customHeight="1" x14ac:dyDescent="0.25">
      <c r="A27" s="744" t="s">
        <v>202</v>
      </c>
      <c r="B27" s="745"/>
      <c r="C27" s="745"/>
      <c r="D27" s="745"/>
      <c r="E27" s="442"/>
      <c r="F27" s="108"/>
    </row>
    <row r="28" spans="1:11" ht="30" customHeight="1" x14ac:dyDescent="0.25">
      <c r="A28" s="435"/>
      <c r="B28" s="436"/>
      <c r="C28" s="731">
        <f>IFERROR(IF(AND(I18&lt;=I20,I18&gt;=I19,C12=""),C11*(C22/C23),IF(AND(I18&lt;=I20,I18&gt;=I19,C12&lt;&gt;""),C11*(C22/C23),IF(AND(I18&gt;=I20,C12&lt;&gt;""),C11,IF(AND(I18&gt;=I20,C12=""),C11,"PAS DE REMBOURSEMENT")))),0)</f>
        <v>0</v>
      </c>
      <c r="D28" s="732"/>
      <c r="E28" s="90"/>
      <c r="F28" s="737">
        <f>IFERROR(IF(AND(J18&lt;=J20,J18&gt;=J19,F12=""),F11*(F22/F23),IF(AND(J18&lt;=J20,J18&gt;=J19,F12&lt;&gt;""),F11*(F22/F23),IF(AND(J18&gt;=J20,F12&lt;&gt;""),F11,IF(AND(J18&gt;=J20,F12=""),F11,"PAS DE REMBOURSEMENT")))),0)</f>
        <v>0</v>
      </c>
    </row>
    <row r="29" spans="1:11" ht="15" customHeight="1" x14ac:dyDescent="0.25">
      <c r="A29" s="435" t="s">
        <v>203</v>
      </c>
      <c r="B29" s="111"/>
      <c r="C29" s="733"/>
      <c r="D29" s="734"/>
      <c r="E29" s="112"/>
      <c r="F29" s="738"/>
    </row>
    <row r="30" spans="1:11" ht="18" customHeight="1" x14ac:dyDescent="0.25">
      <c r="A30" s="435"/>
      <c r="B30" s="114" t="s">
        <v>204</v>
      </c>
      <c r="C30" s="733"/>
      <c r="D30" s="734"/>
      <c r="E30" s="356"/>
      <c r="F30" s="738"/>
    </row>
    <row r="31" spans="1:11" ht="30" customHeight="1" x14ac:dyDescent="0.25">
      <c r="A31" s="435"/>
      <c r="B31" s="436" t="s">
        <v>205</v>
      </c>
      <c r="C31" s="735"/>
      <c r="D31" s="736"/>
      <c r="E31" s="116"/>
      <c r="F31" s="739"/>
    </row>
    <row r="32" spans="1:11" ht="24.95" customHeight="1" x14ac:dyDescent="0.25">
      <c r="A32" s="435"/>
      <c r="B32" s="117" t="s">
        <v>206</v>
      </c>
      <c r="C32" s="751"/>
      <c r="D32" s="751"/>
      <c r="E32" s="350"/>
      <c r="F32" s="416"/>
      <c r="G32" s="244"/>
    </row>
    <row r="33" spans="1:8" ht="24.95" customHeight="1" x14ac:dyDescent="0.25">
      <c r="A33" s="118"/>
      <c r="B33" s="119" t="s">
        <v>207</v>
      </c>
      <c r="C33" s="752">
        <f>IFERROR(C28-C32,0)</f>
        <v>0</v>
      </c>
      <c r="D33" s="752"/>
      <c r="E33" s="350"/>
      <c r="F33" s="357">
        <f>IFERROR(F28-F32,0)</f>
        <v>0</v>
      </c>
      <c r="G33" s="725"/>
      <c r="H33" s="726"/>
    </row>
    <row r="34" spans="1:8" ht="24.95" customHeight="1" thickBot="1" x14ac:dyDescent="0.3">
      <c r="A34" s="120"/>
      <c r="B34" s="121"/>
      <c r="C34" s="358"/>
      <c r="D34" s="358"/>
      <c r="E34" s="358"/>
      <c r="F34" s="443"/>
      <c r="G34" s="122"/>
    </row>
    <row r="35" spans="1:8" ht="15" customHeight="1" x14ac:dyDescent="0.25">
      <c r="F35" s="78"/>
      <c r="G35" s="123"/>
    </row>
    <row r="36" spans="1:8" ht="15" customHeight="1" x14ac:dyDescent="0.25">
      <c r="G36" s="122"/>
    </row>
    <row r="37" spans="1:8" ht="15" customHeight="1" x14ac:dyDescent="0.25">
      <c r="A37" s="753"/>
      <c r="B37" s="753"/>
      <c r="G37" s="122"/>
    </row>
    <row r="38" spans="1:8" ht="15" customHeight="1" x14ac:dyDescent="0.25">
      <c r="A38" s="754"/>
      <c r="B38" s="754"/>
      <c r="G38" s="122"/>
    </row>
    <row r="39" spans="1:8" ht="30" customHeight="1" x14ac:dyDescent="0.25">
      <c r="A39" s="749"/>
      <c r="B39" s="749"/>
      <c r="C39" s="749"/>
      <c r="D39" s="749"/>
      <c r="E39" s="749"/>
      <c r="F39" s="749"/>
      <c r="G39" s="122"/>
    </row>
    <row r="40" spans="1:8" ht="15" customHeight="1" x14ac:dyDescent="0.25">
      <c r="A40" s="750"/>
      <c r="B40" s="750"/>
      <c r="G40" s="122"/>
    </row>
  </sheetData>
  <sheetProtection algorithmName="SHA-512" hashValue="KefBk65BUXnt3iUJ1N8RsEeCWV9YKGOesaqlewWThy7lZVjwLcKcUHqZMyiUZvh7P36NlCRy8ueuB1h226ebLQ==" saltValue="FB6GFVvkm0phjWpZX/PK0g==" spinCount="100000" sheet="1" objects="1" scenarios="1" autoFilter="0"/>
  <mergeCells count="48">
    <mergeCell ref="A7:B7"/>
    <mergeCell ref="C7:D7"/>
    <mergeCell ref="H7:N7"/>
    <mergeCell ref="A1:F1"/>
    <mergeCell ref="A2:F2"/>
    <mergeCell ref="C5:D5"/>
    <mergeCell ref="C6:D6"/>
    <mergeCell ref="H6:I6"/>
    <mergeCell ref="A14:B14"/>
    <mergeCell ref="C14:D14"/>
    <mergeCell ref="A8:B8"/>
    <mergeCell ref="C8:F8"/>
    <mergeCell ref="H8:R8"/>
    <mergeCell ref="C9:D9"/>
    <mergeCell ref="H9:N9"/>
    <mergeCell ref="C10:D10"/>
    <mergeCell ref="A11:B11"/>
    <mergeCell ref="C11:D11"/>
    <mergeCell ref="A12:B12"/>
    <mergeCell ref="C12:D12"/>
    <mergeCell ref="C13:D13"/>
    <mergeCell ref="C20:D20"/>
    <mergeCell ref="C15:D15"/>
    <mergeCell ref="A16:B16"/>
    <mergeCell ref="C16:D16"/>
    <mergeCell ref="G16:H16"/>
    <mergeCell ref="A17:B17"/>
    <mergeCell ref="C17:D17"/>
    <mergeCell ref="A18:B18"/>
    <mergeCell ref="C18:D18"/>
    <mergeCell ref="G18:H18"/>
    <mergeCell ref="A19:B19"/>
    <mergeCell ref="C19:D19"/>
    <mergeCell ref="G33:H33"/>
    <mergeCell ref="A37:B37"/>
    <mergeCell ref="A21:B21"/>
    <mergeCell ref="C21:D21"/>
    <mergeCell ref="C22:D22"/>
    <mergeCell ref="C23:D23"/>
    <mergeCell ref="C24:D24"/>
    <mergeCell ref="A27:D27"/>
    <mergeCell ref="A38:B38"/>
    <mergeCell ref="A39:F39"/>
    <mergeCell ref="A40:B40"/>
    <mergeCell ref="C28:D31"/>
    <mergeCell ref="F28:F31"/>
    <mergeCell ref="C32:D32"/>
    <mergeCell ref="C33:D33"/>
  </mergeCells>
  <pageMargins left="0.78740157499999996" right="0.78740157499999996" top="0.984251969" bottom="0.984251969" header="0.4921259845" footer="0.4921259845"/>
  <pageSetup paperSize="9" scale="63"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FF00"/>
  </sheetPr>
  <dimension ref="A2:I32"/>
  <sheetViews>
    <sheetView topLeftCell="A3" zoomScale="90" zoomScaleNormal="90" workbookViewId="0">
      <selection activeCell="E18" sqref="E18"/>
    </sheetView>
  </sheetViews>
  <sheetFormatPr baseColWidth="10" defaultRowHeight="12.75" x14ac:dyDescent="0.2"/>
  <cols>
    <col min="1" max="1" width="12.28515625" style="135" bestFit="1" customWidth="1"/>
    <col min="2" max="2" width="32.28515625" style="135" customWidth="1"/>
    <col min="3" max="3" width="20.7109375" style="135" customWidth="1"/>
    <col min="4" max="4" width="11.5703125" style="135" customWidth="1"/>
    <col min="5" max="5" width="33" style="135" customWidth="1"/>
    <col min="6" max="6" width="36.5703125" style="135" customWidth="1"/>
    <col min="7" max="7" width="11.5703125" style="135" customWidth="1"/>
    <col min="8" max="8" width="20.7109375" style="135" customWidth="1"/>
    <col min="9" max="9" width="20.140625" style="135" customWidth="1"/>
    <col min="10" max="257" width="11.42578125" style="135"/>
    <col min="258" max="259" width="20.7109375" style="135" customWidth="1"/>
    <col min="260" max="260" width="11.5703125" style="135" customWidth="1"/>
    <col min="261" max="261" width="19.7109375" style="135" customWidth="1"/>
    <col min="262" max="263" width="11.5703125" style="135" customWidth="1"/>
    <col min="264" max="264" width="20.7109375" style="135" customWidth="1"/>
    <col min="265" max="265" width="20.140625" style="135" customWidth="1"/>
    <col min="266" max="513" width="11.42578125" style="135"/>
    <col min="514" max="515" width="20.7109375" style="135" customWidth="1"/>
    <col min="516" max="516" width="11.5703125" style="135" customWidth="1"/>
    <col min="517" max="517" width="19.7109375" style="135" customWidth="1"/>
    <col min="518" max="519" width="11.5703125" style="135" customWidth="1"/>
    <col min="520" max="520" width="20.7109375" style="135" customWidth="1"/>
    <col min="521" max="521" width="20.140625" style="135" customWidth="1"/>
    <col min="522" max="769" width="11.42578125" style="135"/>
    <col min="770" max="771" width="20.7109375" style="135" customWidth="1"/>
    <col min="772" max="772" width="11.5703125" style="135" customWidth="1"/>
    <col min="773" max="773" width="19.7109375" style="135" customWidth="1"/>
    <col min="774" max="775" width="11.5703125" style="135" customWidth="1"/>
    <col min="776" max="776" width="20.7109375" style="135" customWidth="1"/>
    <col min="777" max="777" width="20.140625" style="135" customWidth="1"/>
    <col min="778" max="1025" width="11.42578125" style="135"/>
    <col min="1026" max="1027" width="20.7109375" style="135" customWidth="1"/>
    <col min="1028" max="1028" width="11.5703125" style="135" customWidth="1"/>
    <col min="1029" max="1029" width="19.7109375" style="135" customWidth="1"/>
    <col min="1030" max="1031" width="11.5703125" style="135" customWidth="1"/>
    <col min="1032" max="1032" width="20.7109375" style="135" customWidth="1"/>
    <col min="1033" max="1033" width="20.140625" style="135" customWidth="1"/>
    <col min="1034" max="1281" width="11.42578125" style="135"/>
    <col min="1282" max="1283" width="20.7109375" style="135" customWidth="1"/>
    <col min="1284" max="1284" width="11.5703125" style="135" customWidth="1"/>
    <col min="1285" max="1285" width="19.7109375" style="135" customWidth="1"/>
    <col min="1286" max="1287" width="11.5703125" style="135" customWidth="1"/>
    <col min="1288" max="1288" width="20.7109375" style="135" customWidth="1"/>
    <col min="1289" max="1289" width="20.140625" style="135" customWidth="1"/>
    <col min="1290" max="1537" width="11.42578125" style="135"/>
    <col min="1538" max="1539" width="20.7109375" style="135" customWidth="1"/>
    <col min="1540" max="1540" width="11.5703125" style="135" customWidth="1"/>
    <col min="1541" max="1541" width="19.7109375" style="135" customWidth="1"/>
    <col min="1542" max="1543" width="11.5703125" style="135" customWidth="1"/>
    <col min="1544" max="1544" width="20.7109375" style="135" customWidth="1"/>
    <col min="1545" max="1545" width="20.140625" style="135" customWidth="1"/>
    <col min="1546" max="1793" width="11.42578125" style="135"/>
    <col min="1794" max="1795" width="20.7109375" style="135" customWidth="1"/>
    <col min="1796" max="1796" width="11.5703125" style="135" customWidth="1"/>
    <col min="1797" max="1797" width="19.7109375" style="135" customWidth="1"/>
    <col min="1798" max="1799" width="11.5703125" style="135" customWidth="1"/>
    <col min="1800" max="1800" width="20.7109375" style="135" customWidth="1"/>
    <col min="1801" max="1801" width="20.140625" style="135" customWidth="1"/>
    <col min="1802" max="2049" width="11.42578125" style="135"/>
    <col min="2050" max="2051" width="20.7109375" style="135" customWidth="1"/>
    <col min="2052" max="2052" width="11.5703125" style="135" customWidth="1"/>
    <col min="2053" max="2053" width="19.7109375" style="135" customWidth="1"/>
    <col min="2054" max="2055" width="11.5703125" style="135" customWidth="1"/>
    <col min="2056" max="2056" width="20.7109375" style="135" customWidth="1"/>
    <col min="2057" max="2057" width="20.140625" style="135" customWidth="1"/>
    <col min="2058" max="2305" width="11.42578125" style="135"/>
    <col min="2306" max="2307" width="20.7109375" style="135" customWidth="1"/>
    <col min="2308" max="2308" width="11.5703125" style="135" customWidth="1"/>
    <col min="2309" max="2309" width="19.7109375" style="135" customWidth="1"/>
    <col min="2310" max="2311" width="11.5703125" style="135" customWidth="1"/>
    <col min="2312" max="2312" width="20.7109375" style="135" customWidth="1"/>
    <col min="2313" max="2313" width="20.140625" style="135" customWidth="1"/>
    <col min="2314" max="2561" width="11.42578125" style="135"/>
    <col min="2562" max="2563" width="20.7109375" style="135" customWidth="1"/>
    <col min="2564" max="2564" width="11.5703125" style="135" customWidth="1"/>
    <col min="2565" max="2565" width="19.7109375" style="135" customWidth="1"/>
    <col min="2566" max="2567" width="11.5703125" style="135" customWidth="1"/>
    <col min="2568" max="2568" width="20.7109375" style="135" customWidth="1"/>
    <col min="2569" max="2569" width="20.140625" style="135" customWidth="1"/>
    <col min="2570" max="2817" width="11.42578125" style="135"/>
    <col min="2818" max="2819" width="20.7109375" style="135" customWidth="1"/>
    <col min="2820" max="2820" width="11.5703125" style="135" customWidth="1"/>
    <col min="2821" max="2821" width="19.7109375" style="135" customWidth="1"/>
    <col min="2822" max="2823" width="11.5703125" style="135" customWidth="1"/>
    <col min="2824" max="2824" width="20.7109375" style="135" customWidth="1"/>
    <col min="2825" max="2825" width="20.140625" style="135" customWidth="1"/>
    <col min="2826" max="3073" width="11.42578125" style="135"/>
    <col min="3074" max="3075" width="20.7109375" style="135" customWidth="1"/>
    <col min="3076" max="3076" width="11.5703125" style="135" customWidth="1"/>
    <col min="3077" max="3077" width="19.7109375" style="135" customWidth="1"/>
    <col min="3078" max="3079" width="11.5703125" style="135" customWidth="1"/>
    <col min="3080" max="3080" width="20.7109375" style="135" customWidth="1"/>
    <col min="3081" max="3081" width="20.140625" style="135" customWidth="1"/>
    <col min="3082" max="3329" width="11.42578125" style="135"/>
    <col min="3330" max="3331" width="20.7109375" style="135" customWidth="1"/>
    <col min="3332" max="3332" width="11.5703125" style="135" customWidth="1"/>
    <col min="3333" max="3333" width="19.7109375" style="135" customWidth="1"/>
    <col min="3334" max="3335" width="11.5703125" style="135" customWidth="1"/>
    <col min="3336" max="3336" width="20.7109375" style="135" customWidth="1"/>
    <col min="3337" max="3337" width="20.140625" style="135" customWidth="1"/>
    <col min="3338" max="3585" width="11.42578125" style="135"/>
    <col min="3586" max="3587" width="20.7109375" style="135" customWidth="1"/>
    <col min="3588" max="3588" width="11.5703125" style="135" customWidth="1"/>
    <col min="3589" max="3589" width="19.7109375" style="135" customWidth="1"/>
    <col min="3590" max="3591" width="11.5703125" style="135" customWidth="1"/>
    <col min="3592" max="3592" width="20.7109375" style="135" customWidth="1"/>
    <col min="3593" max="3593" width="20.140625" style="135" customWidth="1"/>
    <col min="3594" max="3841" width="11.42578125" style="135"/>
    <col min="3842" max="3843" width="20.7109375" style="135" customWidth="1"/>
    <col min="3844" max="3844" width="11.5703125" style="135" customWidth="1"/>
    <col min="3845" max="3845" width="19.7109375" style="135" customWidth="1"/>
    <col min="3846" max="3847" width="11.5703125" style="135" customWidth="1"/>
    <col min="3848" max="3848" width="20.7109375" style="135" customWidth="1"/>
    <col min="3849" max="3849" width="20.140625" style="135" customWidth="1"/>
    <col min="3850" max="4097" width="11.42578125" style="135"/>
    <col min="4098" max="4099" width="20.7109375" style="135" customWidth="1"/>
    <col min="4100" max="4100" width="11.5703125" style="135" customWidth="1"/>
    <col min="4101" max="4101" width="19.7109375" style="135" customWidth="1"/>
    <col min="4102" max="4103" width="11.5703125" style="135" customWidth="1"/>
    <col min="4104" max="4104" width="20.7109375" style="135" customWidth="1"/>
    <col min="4105" max="4105" width="20.140625" style="135" customWidth="1"/>
    <col min="4106" max="4353" width="11.42578125" style="135"/>
    <col min="4354" max="4355" width="20.7109375" style="135" customWidth="1"/>
    <col min="4356" max="4356" width="11.5703125" style="135" customWidth="1"/>
    <col min="4357" max="4357" width="19.7109375" style="135" customWidth="1"/>
    <col min="4358" max="4359" width="11.5703125" style="135" customWidth="1"/>
    <col min="4360" max="4360" width="20.7109375" style="135" customWidth="1"/>
    <col min="4361" max="4361" width="20.140625" style="135" customWidth="1"/>
    <col min="4362" max="4609" width="11.42578125" style="135"/>
    <col min="4610" max="4611" width="20.7109375" style="135" customWidth="1"/>
    <col min="4612" max="4612" width="11.5703125" style="135" customWidth="1"/>
    <col min="4613" max="4613" width="19.7109375" style="135" customWidth="1"/>
    <col min="4614" max="4615" width="11.5703125" style="135" customWidth="1"/>
    <col min="4616" max="4616" width="20.7109375" style="135" customWidth="1"/>
    <col min="4617" max="4617" width="20.140625" style="135" customWidth="1"/>
    <col min="4618" max="4865" width="11.42578125" style="135"/>
    <col min="4866" max="4867" width="20.7109375" style="135" customWidth="1"/>
    <col min="4868" max="4868" width="11.5703125" style="135" customWidth="1"/>
    <col min="4869" max="4869" width="19.7109375" style="135" customWidth="1"/>
    <col min="4870" max="4871" width="11.5703125" style="135" customWidth="1"/>
    <col min="4872" max="4872" width="20.7109375" style="135" customWidth="1"/>
    <col min="4873" max="4873" width="20.140625" style="135" customWidth="1"/>
    <col min="4874" max="5121" width="11.42578125" style="135"/>
    <col min="5122" max="5123" width="20.7109375" style="135" customWidth="1"/>
    <col min="5124" max="5124" width="11.5703125" style="135" customWidth="1"/>
    <col min="5125" max="5125" width="19.7109375" style="135" customWidth="1"/>
    <col min="5126" max="5127" width="11.5703125" style="135" customWidth="1"/>
    <col min="5128" max="5128" width="20.7109375" style="135" customWidth="1"/>
    <col min="5129" max="5129" width="20.140625" style="135" customWidth="1"/>
    <col min="5130" max="5377" width="11.42578125" style="135"/>
    <col min="5378" max="5379" width="20.7109375" style="135" customWidth="1"/>
    <col min="5380" max="5380" width="11.5703125" style="135" customWidth="1"/>
    <col min="5381" max="5381" width="19.7109375" style="135" customWidth="1"/>
    <col min="5382" max="5383" width="11.5703125" style="135" customWidth="1"/>
    <col min="5384" max="5384" width="20.7109375" style="135" customWidth="1"/>
    <col min="5385" max="5385" width="20.140625" style="135" customWidth="1"/>
    <col min="5386" max="5633" width="11.42578125" style="135"/>
    <col min="5634" max="5635" width="20.7109375" style="135" customWidth="1"/>
    <col min="5636" max="5636" width="11.5703125" style="135" customWidth="1"/>
    <col min="5637" max="5637" width="19.7109375" style="135" customWidth="1"/>
    <col min="5638" max="5639" width="11.5703125" style="135" customWidth="1"/>
    <col min="5640" max="5640" width="20.7109375" style="135" customWidth="1"/>
    <col min="5641" max="5641" width="20.140625" style="135" customWidth="1"/>
    <col min="5642" max="5889" width="11.42578125" style="135"/>
    <col min="5890" max="5891" width="20.7109375" style="135" customWidth="1"/>
    <col min="5892" max="5892" width="11.5703125" style="135" customWidth="1"/>
    <col min="5893" max="5893" width="19.7109375" style="135" customWidth="1"/>
    <col min="5894" max="5895" width="11.5703125" style="135" customWidth="1"/>
    <col min="5896" max="5896" width="20.7109375" style="135" customWidth="1"/>
    <col min="5897" max="5897" width="20.140625" style="135" customWidth="1"/>
    <col min="5898" max="6145" width="11.42578125" style="135"/>
    <col min="6146" max="6147" width="20.7109375" style="135" customWidth="1"/>
    <col min="6148" max="6148" width="11.5703125" style="135" customWidth="1"/>
    <col min="6149" max="6149" width="19.7109375" style="135" customWidth="1"/>
    <col min="6150" max="6151" width="11.5703125" style="135" customWidth="1"/>
    <col min="6152" max="6152" width="20.7109375" style="135" customWidth="1"/>
    <col min="6153" max="6153" width="20.140625" style="135" customWidth="1"/>
    <col min="6154" max="6401" width="11.42578125" style="135"/>
    <col min="6402" max="6403" width="20.7109375" style="135" customWidth="1"/>
    <col min="6404" max="6404" width="11.5703125" style="135" customWidth="1"/>
    <col min="6405" max="6405" width="19.7109375" style="135" customWidth="1"/>
    <col min="6406" max="6407" width="11.5703125" style="135" customWidth="1"/>
    <col min="6408" max="6408" width="20.7109375" style="135" customWidth="1"/>
    <col min="6409" max="6409" width="20.140625" style="135" customWidth="1"/>
    <col min="6410" max="6657" width="11.42578125" style="135"/>
    <col min="6658" max="6659" width="20.7109375" style="135" customWidth="1"/>
    <col min="6660" max="6660" width="11.5703125" style="135" customWidth="1"/>
    <col min="6661" max="6661" width="19.7109375" style="135" customWidth="1"/>
    <col min="6662" max="6663" width="11.5703125" style="135" customWidth="1"/>
    <col min="6664" max="6664" width="20.7109375" style="135" customWidth="1"/>
    <col min="6665" max="6665" width="20.140625" style="135" customWidth="1"/>
    <col min="6666" max="6913" width="11.42578125" style="135"/>
    <col min="6914" max="6915" width="20.7109375" style="135" customWidth="1"/>
    <col min="6916" max="6916" width="11.5703125" style="135" customWidth="1"/>
    <col min="6917" max="6917" width="19.7109375" style="135" customWidth="1"/>
    <col min="6918" max="6919" width="11.5703125" style="135" customWidth="1"/>
    <col min="6920" max="6920" width="20.7109375" style="135" customWidth="1"/>
    <col min="6921" max="6921" width="20.140625" style="135" customWidth="1"/>
    <col min="6922" max="7169" width="11.42578125" style="135"/>
    <col min="7170" max="7171" width="20.7109375" style="135" customWidth="1"/>
    <col min="7172" max="7172" width="11.5703125" style="135" customWidth="1"/>
    <col min="7173" max="7173" width="19.7109375" style="135" customWidth="1"/>
    <col min="7174" max="7175" width="11.5703125" style="135" customWidth="1"/>
    <col min="7176" max="7176" width="20.7109375" style="135" customWidth="1"/>
    <col min="7177" max="7177" width="20.140625" style="135" customWidth="1"/>
    <col min="7178" max="7425" width="11.42578125" style="135"/>
    <col min="7426" max="7427" width="20.7109375" style="135" customWidth="1"/>
    <col min="7428" max="7428" width="11.5703125" style="135" customWidth="1"/>
    <col min="7429" max="7429" width="19.7109375" style="135" customWidth="1"/>
    <col min="7430" max="7431" width="11.5703125" style="135" customWidth="1"/>
    <col min="7432" max="7432" width="20.7109375" style="135" customWidth="1"/>
    <col min="7433" max="7433" width="20.140625" style="135" customWidth="1"/>
    <col min="7434" max="7681" width="11.42578125" style="135"/>
    <col min="7682" max="7683" width="20.7109375" style="135" customWidth="1"/>
    <col min="7684" max="7684" width="11.5703125" style="135" customWidth="1"/>
    <col min="7685" max="7685" width="19.7109375" style="135" customWidth="1"/>
    <col min="7686" max="7687" width="11.5703125" style="135" customWidth="1"/>
    <col min="7688" max="7688" width="20.7109375" style="135" customWidth="1"/>
    <col min="7689" max="7689" width="20.140625" style="135" customWidth="1"/>
    <col min="7690" max="7937" width="11.42578125" style="135"/>
    <col min="7938" max="7939" width="20.7109375" style="135" customWidth="1"/>
    <col min="7940" max="7940" width="11.5703125" style="135" customWidth="1"/>
    <col min="7941" max="7941" width="19.7109375" style="135" customWidth="1"/>
    <col min="7942" max="7943" width="11.5703125" style="135" customWidth="1"/>
    <col min="7944" max="7944" width="20.7109375" style="135" customWidth="1"/>
    <col min="7945" max="7945" width="20.140625" style="135" customWidth="1"/>
    <col min="7946" max="8193" width="11.42578125" style="135"/>
    <col min="8194" max="8195" width="20.7109375" style="135" customWidth="1"/>
    <col min="8196" max="8196" width="11.5703125" style="135" customWidth="1"/>
    <col min="8197" max="8197" width="19.7109375" style="135" customWidth="1"/>
    <col min="8198" max="8199" width="11.5703125" style="135" customWidth="1"/>
    <col min="8200" max="8200" width="20.7109375" style="135" customWidth="1"/>
    <col min="8201" max="8201" width="20.140625" style="135" customWidth="1"/>
    <col min="8202" max="8449" width="11.42578125" style="135"/>
    <col min="8450" max="8451" width="20.7109375" style="135" customWidth="1"/>
    <col min="8452" max="8452" width="11.5703125" style="135" customWidth="1"/>
    <col min="8453" max="8453" width="19.7109375" style="135" customWidth="1"/>
    <col min="8454" max="8455" width="11.5703125" style="135" customWidth="1"/>
    <col min="8456" max="8456" width="20.7109375" style="135" customWidth="1"/>
    <col min="8457" max="8457" width="20.140625" style="135" customWidth="1"/>
    <col min="8458" max="8705" width="11.42578125" style="135"/>
    <col min="8706" max="8707" width="20.7109375" style="135" customWidth="1"/>
    <col min="8708" max="8708" width="11.5703125" style="135" customWidth="1"/>
    <col min="8709" max="8709" width="19.7109375" style="135" customWidth="1"/>
    <col min="8710" max="8711" width="11.5703125" style="135" customWidth="1"/>
    <col min="8712" max="8712" width="20.7109375" style="135" customWidth="1"/>
    <col min="8713" max="8713" width="20.140625" style="135" customWidth="1"/>
    <col min="8714" max="8961" width="11.42578125" style="135"/>
    <col min="8962" max="8963" width="20.7109375" style="135" customWidth="1"/>
    <col min="8964" max="8964" width="11.5703125" style="135" customWidth="1"/>
    <col min="8965" max="8965" width="19.7109375" style="135" customWidth="1"/>
    <col min="8966" max="8967" width="11.5703125" style="135" customWidth="1"/>
    <col min="8968" max="8968" width="20.7109375" style="135" customWidth="1"/>
    <col min="8969" max="8969" width="20.140625" style="135" customWidth="1"/>
    <col min="8970" max="9217" width="11.42578125" style="135"/>
    <col min="9218" max="9219" width="20.7109375" style="135" customWidth="1"/>
    <col min="9220" max="9220" width="11.5703125" style="135" customWidth="1"/>
    <col min="9221" max="9221" width="19.7109375" style="135" customWidth="1"/>
    <col min="9222" max="9223" width="11.5703125" style="135" customWidth="1"/>
    <col min="9224" max="9224" width="20.7109375" style="135" customWidth="1"/>
    <col min="9225" max="9225" width="20.140625" style="135" customWidth="1"/>
    <col min="9226" max="9473" width="11.42578125" style="135"/>
    <col min="9474" max="9475" width="20.7109375" style="135" customWidth="1"/>
    <col min="9476" max="9476" width="11.5703125" style="135" customWidth="1"/>
    <col min="9477" max="9477" width="19.7109375" style="135" customWidth="1"/>
    <col min="9478" max="9479" width="11.5703125" style="135" customWidth="1"/>
    <col min="9480" max="9480" width="20.7109375" style="135" customWidth="1"/>
    <col min="9481" max="9481" width="20.140625" style="135" customWidth="1"/>
    <col min="9482" max="9729" width="11.42578125" style="135"/>
    <col min="9730" max="9731" width="20.7109375" style="135" customWidth="1"/>
    <col min="9732" max="9732" width="11.5703125" style="135" customWidth="1"/>
    <col min="9733" max="9733" width="19.7109375" style="135" customWidth="1"/>
    <col min="9734" max="9735" width="11.5703125" style="135" customWidth="1"/>
    <col min="9736" max="9736" width="20.7109375" style="135" customWidth="1"/>
    <col min="9737" max="9737" width="20.140625" style="135" customWidth="1"/>
    <col min="9738" max="9985" width="11.42578125" style="135"/>
    <col min="9986" max="9987" width="20.7109375" style="135" customWidth="1"/>
    <col min="9988" max="9988" width="11.5703125" style="135" customWidth="1"/>
    <col min="9989" max="9989" width="19.7109375" style="135" customWidth="1"/>
    <col min="9990" max="9991" width="11.5703125" style="135" customWidth="1"/>
    <col min="9992" max="9992" width="20.7109375" style="135" customWidth="1"/>
    <col min="9993" max="9993" width="20.140625" style="135" customWidth="1"/>
    <col min="9994" max="10241" width="11.42578125" style="135"/>
    <col min="10242" max="10243" width="20.7109375" style="135" customWidth="1"/>
    <col min="10244" max="10244" width="11.5703125" style="135" customWidth="1"/>
    <col min="10245" max="10245" width="19.7109375" style="135" customWidth="1"/>
    <col min="10246" max="10247" width="11.5703125" style="135" customWidth="1"/>
    <col min="10248" max="10248" width="20.7109375" style="135" customWidth="1"/>
    <col min="10249" max="10249" width="20.140625" style="135" customWidth="1"/>
    <col min="10250" max="10497" width="11.42578125" style="135"/>
    <col min="10498" max="10499" width="20.7109375" style="135" customWidth="1"/>
    <col min="10500" max="10500" width="11.5703125" style="135" customWidth="1"/>
    <col min="10501" max="10501" width="19.7109375" style="135" customWidth="1"/>
    <col min="10502" max="10503" width="11.5703125" style="135" customWidth="1"/>
    <col min="10504" max="10504" width="20.7109375" style="135" customWidth="1"/>
    <col min="10505" max="10505" width="20.140625" style="135" customWidth="1"/>
    <col min="10506" max="10753" width="11.42578125" style="135"/>
    <col min="10754" max="10755" width="20.7109375" style="135" customWidth="1"/>
    <col min="10756" max="10756" width="11.5703125" style="135" customWidth="1"/>
    <col min="10757" max="10757" width="19.7109375" style="135" customWidth="1"/>
    <col min="10758" max="10759" width="11.5703125" style="135" customWidth="1"/>
    <col min="10760" max="10760" width="20.7109375" style="135" customWidth="1"/>
    <col min="10761" max="10761" width="20.140625" style="135" customWidth="1"/>
    <col min="10762" max="11009" width="11.42578125" style="135"/>
    <col min="11010" max="11011" width="20.7109375" style="135" customWidth="1"/>
    <col min="11012" max="11012" width="11.5703125" style="135" customWidth="1"/>
    <col min="11013" max="11013" width="19.7109375" style="135" customWidth="1"/>
    <col min="11014" max="11015" width="11.5703125" style="135" customWidth="1"/>
    <col min="11016" max="11016" width="20.7109375" style="135" customWidth="1"/>
    <col min="11017" max="11017" width="20.140625" style="135" customWidth="1"/>
    <col min="11018" max="11265" width="11.42578125" style="135"/>
    <col min="11266" max="11267" width="20.7109375" style="135" customWidth="1"/>
    <col min="11268" max="11268" width="11.5703125" style="135" customWidth="1"/>
    <col min="11269" max="11269" width="19.7109375" style="135" customWidth="1"/>
    <col min="11270" max="11271" width="11.5703125" style="135" customWidth="1"/>
    <col min="11272" max="11272" width="20.7109375" style="135" customWidth="1"/>
    <col min="11273" max="11273" width="20.140625" style="135" customWidth="1"/>
    <col min="11274" max="11521" width="11.42578125" style="135"/>
    <col min="11522" max="11523" width="20.7109375" style="135" customWidth="1"/>
    <col min="11524" max="11524" width="11.5703125" style="135" customWidth="1"/>
    <col min="11525" max="11525" width="19.7109375" style="135" customWidth="1"/>
    <col min="11526" max="11527" width="11.5703125" style="135" customWidth="1"/>
    <col min="11528" max="11528" width="20.7109375" style="135" customWidth="1"/>
    <col min="11529" max="11529" width="20.140625" style="135" customWidth="1"/>
    <col min="11530" max="11777" width="11.42578125" style="135"/>
    <col min="11778" max="11779" width="20.7109375" style="135" customWidth="1"/>
    <col min="11780" max="11780" width="11.5703125" style="135" customWidth="1"/>
    <col min="11781" max="11781" width="19.7109375" style="135" customWidth="1"/>
    <col min="11782" max="11783" width="11.5703125" style="135" customWidth="1"/>
    <col min="11784" max="11784" width="20.7109375" style="135" customWidth="1"/>
    <col min="11785" max="11785" width="20.140625" style="135" customWidth="1"/>
    <col min="11786" max="12033" width="11.42578125" style="135"/>
    <col min="12034" max="12035" width="20.7109375" style="135" customWidth="1"/>
    <col min="12036" max="12036" width="11.5703125" style="135" customWidth="1"/>
    <col min="12037" max="12037" width="19.7109375" style="135" customWidth="1"/>
    <col min="12038" max="12039" width="11.5703125" style="135" customWidth="1"/>
    <col min="12040" max="12040" width="20.7109375" style="135" customWidth="1"/>
    <col min="12041" max="12041" width="20.140625" style="135" customWidth="1"/>
    <col min="12042" max="12289" width="11.42578125" style="135"/>
    <col min="12290" max="12291" width="20.7109375" style="135" customWidth="1"/>
    <col min="12292" max="12292" width="11.5703125" style="135" customWidth="1"/>
    <col min="12293" max="12293" width="19.7109375" style="135" customWidth="1"/>
    <col min="12294" max="12295" width="11.5703125" style="135" customWidth="1"/>
    <col min="12296" max="12296" width="20.7109375" style="135" customWidth="1"/>
    <col min="12297" max="12297" width="20.140625" style="135" customWidth="1"/>
    <col min="12298" max="12545" width="11.42578125" style="135"/>
    <col min="12546" max="12547" width="20.7109375" style="135" customWidth="1"/>
    <col min="12548" max="12548" width="11.5703125" style="135" customWidth="1"/>
    <col min="12549" max="12549" width="19.7109375" style="135" customWidth="1"/>
    <col min="12550" max="12551" width="11.5703125" style="135" customWidth="1"/>
    <col min="12552" max="12552" width="20.7109375" style="135" customWidth="1"/>
    <col min="12553" max="12553" width="20.140625" style="135" customWidth="1"/>
    <col min="12554" max="12801" width="11.42578125" style="135"/>
    <col min="12802" max="12803" width="20.7109375" style="135" customWidth="1"/>
    <col min="12804" max="12804" width="11.5703125" style="135" customWidth="1"/>
    <col min="12805" max="12805" width="19.7109375" style="135" customWidth="1"/>
    <col min="12806" max="12807" width="11.5703125" style="135" customWidth="1"/>
    <col min="12808" max="12808" width="20.7109375" style="135" customWidth="1"/>
    <col min="12809" max="12809" width="20.140625" style="135" customWidth="1"/>
    <col min="12810" max="13057" width="11.42578125" style="135"/>
    <col min="13058" max="13059" width="20.7109375" style="135" customWidth="1"/>
    <col min="13060" max="13060" width="11.5703125" style="135" customWidth="1"/>
    <col min="13061" max="13061" width="19.7109375" style="135" customWidth="1"/>
    <col min="13062" max="13063" width="11.5703125" style="135" customWidth="1"/>
    <col min="13064" max="13064" width="20.7109375" style="135" customWidth="1"/>
    <col min="13065" max="13065" width="20.140625" style="135" customWidth="1"/>
    <col min="13066" max="13313" width="11.42578125" style="135"/>
    <col min="13314" max="13315" width="20.7109375" style="135" customWidth="1"/>
    <col min="13316" max="13316" width="11.5703125" style="135" customWidth="1"/>
    <col min="13317" max="13317" width="19.7109375" style="135" customWidth="1"/>
    <col min="13318" max="13319" width="11.5703125" style="135" customWidth="1"/>
    <col min="13320" max="13320" width="20.7109375" style="135" customWidth="1"/>
    <col min="13321" max="13321" width="20.140625" style="135" customWidth="1"/>
    <col min="13322" max="13569" width="11.42578125" style="135"/>
    <col min="13570" max="13571" width="20.7109375" style="135" customWidth="1"/>
    <col min="13572" max="13572" width="11.5703125" style="135" customWidth="1"/>
    <col min="13573" max="13573" width="19.7109375" style="135" customWidth="1"/>
    <col min="13574" max="13575" width="11.5703125" style="135" customWidth="1"/>
    <col min="13576" max="13576" width="20.7109375" style="135" customWidth="1"/>
    <col min="13577" max="13577" width="20.140625" style="135" customWidth="1"/>
    <col min="13578" max="13825" width="11.42578125" style="135"/>
    <col min="13826" max="13827" width="20.7109375" style="135" customWidth="1"/>
    <col min="13828" max="13828" width="11.5703125" style="135" customWidth="1"/>
    <col min="13829" max="13829" width="19.7109375" style="135" customWidth="1"/>
    <col min="13830" max="13831" width="11.5703125" style="135" customWidth="1"/>
    <col min="13832" max="13832" width="20.7109375" style="135" customWidth="1"/>
    <col min="13833" max="13833" width="20.140625" style="135" customWidth="1"/>
    <col min="13834" max="14081" width="11.42578125" style="135"/>
    <col min="14082" max="14083" width="20.7109375" style="135" customWidth="1"/>
    <col min="14084" max="14084" width="11.5703125" style="135" customWidth="1"/>
    <col min="14085" max="14085" width="19.7109375" style="135" customWidth="1"/>
    <col min="14086" max="14087" width="11.5703125" style="135" customWidth="1"/>
    <col min="14088" max="14088" width="20.7109375" style="135" customWidth="1"/>
    <col min="14089" max="14089" width="20.140625" style="135" customWidth="1"/>
    <col min="14090" max="14337" width="11.42578125" style="135"/>
    <col min="14338" max="14339" width="20.7109375" style="135" customWidth="1"/>
    <col min="14340" max="14340" width="11.5703125" style="135" customWidth="1"/>
    <col min="14341" max="14341" width="19.7109375" style="135" customWidth="1"/>
    <col min="14342" max="14343" width="11.5703125" style="135" customWidth="1"/>
    <col min="14344" max="14344" width="20.7109375" style="135" customWidth="1"/>
    <col min="14345" max="14345" width="20.140625" style="135" customWidth="1"/>
    <col min="14346" max="14593" width="11.42578125" style="135"/>
    <col min="14594" max="14595" width="20.7109375" style="135" customWidth="1"/>
    <col min="14596" max="14596" width="11.5703125" style="135" customWidth="1"/>
    <col min="14597" max="14597" width="19.7109375" style="135" customWidth="1"/>
    <col min="14598" max="14599" width="11.5703125" style="135" customWidth="1"/>
    <col min="14600" max="14600" width="20.7109375" style="135" customWidth="1"/>
    <col min="14601" max="14601" width="20.140625" style="135" customWidth="1"/>
    <col min="14602" max="14849" width="11.42578125" style="135"/>
    <col min="14850" max="14851" width="20.7109375" style="135" customWidth="1"/>
    <col min="14852" max="14852" width="11.5703125" style="135" customWidth="1"/>
    <col min="14853" max="14853" width="19.7109375" style="135" customWidth="1"/>
    <col min="14854" max="14855" width="11.5703125" style="135" customWidth="1"/>
    <col min="14856" max="14856" width="20.7109375" style="135" customWidth="1"/>
    <col min="14857" max="14857" width="20.140625" style="135" customWidth="1"/>
    <col min="14858" max="15105" width="11.42578125" style="135"/>
    <col min="15106" max="15107" width="20.7109375" style="135" customWidth="1"/>
    <col min="15108" max="15108" width="11.5703125" style="135" customWidth="1"/>
    <col min="15109" max="15109" width="19.7109375" style="135" customWidth="1"/>
    <col min="15110" max="15111" width="11.5703125" style="135" customWidth="1"/>
    <col min="15112" max="15112" width="20.7109375" style="135" customWidth="1"/>
    <col min="15113" max="15113" width="20.140625" style="135" customWidth="1"/>
    <col min="15114" max="15361" width="11.42578125" style="135"/>
    <col min="15362" max="15363" width="20.7109375" style="135" customWidth="1"/>
    <col min="15364" max="15364" width="11.5703125" style="135" customWidth="1"/>
    <col min="15365" max="15365" width="19.7109375" style="135" customWidth="1"/>
    <col min="15366" max="15367" width="11.5703125" style="135" customWidth="1"/>
    <col min="15368" max="15368" width="20.7109375" style="135" customWidth="1"/>
    <col min="15369" max="15369" width="20.140625" style="135" customWidth="1"/>
    <col min="15370" max="15617" width="11.42578125" style="135"/>
    <col min="15618" max="15619" width="20.7109375" style="135" customWidth="1"/>
    <col min="15620" max="15620" width="11.5703125" style="135" customWidth="1"/>
    <col min="15621" max="15621" width="19.7109375" style="135" customWidth="1"/>
    <col min="15622" max="15623" width="11.5703125" style="135" customWidth="1"/>
    <col min="15624" max="15624" width="20.7109375" style="135" customWidth="1"/>
    <col min="15625" max="15625" width="20.140625" style="135" customWidth="1"/>
    <col min="15626" max="15873" width="11.42578125" style="135"/>
    <col min="15874" max="15875" width="20.7109375" style="135" customWidth="1"/>
    <col min="15876" max="15876" width="11.5703125" style="135" customWidth="1"/>
    <col min="15877" max="15877" width="19.7109375" style="135" customWidth="1"/>
    <col min="15878" max="15879" width="11.5703125" style="135" customWidth="1"/>
    <col min="15880" max="15880" width="20.7109375" style="135" customWidth="1"/>
    <col min="15881" max="15881" width="20.140625" style="135" customWidth="1"/>
    <col min="15882" max="16129" width="11.42578125" style="135"/>
    <col min="16130" max="16131" width="20.7109375" style="135" customWidth="1"/>
    <col min="16132" max="16132" width="11.5703125" style="135" customWidth="1"/>
    <col min="16133" max="16133" width="19.7109375" style="135" customWidth="1"/>
    <col min="16134" max="16135" width="11.5703125" style="135" customWidth="1"/>
    <col min="16136" max="16136" width="20.7109375" style="135" customWidth="1"/>
    <col min="16137" max="16137" width="20.140625" style="135" customWidth="1"/>
    <col min="16138" max="16384" width="11.42578125" style="135"/>
  </cols>
  <sheetData>
    <row r="2" spans="2:8" ht="13.5" thickBot="1" x14ac:dyDescent="0.25"/>
    <row r="3" spans="2:8" ht="33" customHeight="1" thickTop="1" thickBot="1" x14ac:dyDescent="0.25">
      <c r="B3" s="807" t="s">
        <v>222</v>
      </c>
      <c r="C3" s="807"/>
      <c r="D3" s="807"/>
      <c r="E3" s="807"/>
      <c r="F3" s="807"/>
      <c r="G3" s="807"/>
      <c r="H3" s="807"/>
    </row>
    <row r="4" spans="2:8" ht="15.75" customHeight="1" thickTop="1" x14ac:dyDescent="0.2">
      <c r="B4" s="205"/>
      <c r="C4" s="205"/>
      <c r="D4" s="205"/>
      <c r="E4" s="205"/>
      <c r="F4" s="205"/>
      <c r="G4" s="205"/>
      <c r="H4" s="205"/>
    </row>
    <row r="5" spans="2:8" s="208" customFormat="1" ht="21.75" customHeight="1" x14ac:dyDescent="0.25">
      <c r="B5" s="206" t="s">
        <v>273</v>
      </c>
      <c r="C5" s="206"/>
      <c r="D5" s="207"/>
      <c r="E5" s="207"/>
      <c r="F5" s="207"/>
      <c r="G5" s="207"/>
      <c r="H5" s="207"/>
    </row>
    <row r="6" spans="2:8" s="208" customFormat="1" ht="21.75" customHeight="1" x14ac:dyDescent="0.25">
      <c r="B6" s="365" t="s">
        <v>2</v>
      </c>
      <c r="C6" s="809">
        <f>DONNEES!C3</f>
        <v>0</v>
      </c>
      <c r="D6" s="809"/>
      <c r="E6" s="809"/>
      <c r="F6" s="809"/>
      <c r="G6" s="809"/>
      <c r="H6" s="809"/>
    </row>
    <row r="7" spans="2:8" s="208" customFormat="1" ht="21.75" customHeight="1" x14ac:dyDescent="0.25">
      <c r="B7" s="365" t="s">
        <v>274</v>
      </c>
      <c r="C7" s="810">
        <f>DONNEES!C14</f>
        <v>0</v>
      </c>
      <c r="D7" s="810"/>
      <c r="E7" s="810"/>
      <c r="F7" s="810"/>
      <c r="G7" s="810"/>
      <c r="H7" s="810"/>
    </row>
    <row r="8" spans="2:8" s="208" customFormat="1" ht="21.75" customHeight="1" x14ac:dyDescent="0.25">
      <c r="B8" s="365" t="s">
        <v>285</v>
      </c>
      <c r="C8" s="809" t="str">
        <f>DONNEES!C5</f>
        <v>yy</v>
      </c>
      <c r="D8" s="809"/>
      <c r="E8" s="809"/>
      <c r="F8" s="809"/>
      <c r="G8" s="809"/>
      <c r="H8" s="809"/>
    </row>
    <row r="9" spans="2:8" s="208" customFormat="1" ht="21.75" customHeight="1" x14ac:dyDescent="0.25">
      <c r="B9" s="365" t="str">
        <f>IF(COUNTBLANK(C9),"","Entreprise Cotraitante")</f>
        <v>Entreprise Cotraitante</v>
      </c>
      <c r="C9" s="809">
        <f>DONNEES!C6</f>
        <v>0</v>
      </c>
      <c r="D9" s="809"/>
      <c r="E9" s="809"/>
      <c r="F9" s="809"/>
      <c r="G9" s="809"/>
      <c r="H9" s="809"/>
    </row>
    <row r="10" spans="2:8" s="208" customFormat="1" ht="9.9499999999999993" customHeight="1" x14ac:dyDescent="0.25">
      <c r="B10" s="207"/>
      <c r="C10" s="207"/>
      <c r="D10" s="207"/>
      <c r="E10" s="207"/>
      <c r="F10" s="207"/>
      <c r="G10" s="207"/>
      <c r="H10" s="207"/>
    </row>
    <row r="11" spans="2:8" s="208" customFormat="1" ht="21.95" customHeight="1" x14ac:dyDescent="0.25">
      <c r="B11" s="209" t="s">
        <v>275</v>
      </c>
      <c r="C11" s="209"/>
      <c r="D11" s="207"/>
      <c r="E11" s="207"/>
      <c r="F11" s="207"/>
      <c r="G11" s="207"/>
      <c r="H11" s="207"/>
    </row>
    <row r="12" spans="2:8" s="208" customFormat="1" ht="9.75" customHeight="1" x14ac:dyDescent="0.25">
      <c r="B12" s="209"/>
      <c r="C12" s="209"/>
      <c r="D12" s="207"/>
      <c r="E12" s="207"/>
      <c r="F12" s="207"/>
      <c r="G12" s="207"/>
      <c r="H12" s="207"/>
    </row>
    <row r="13" spans="2:8" s="208" customFormat="1" ht="35.25" customHeight="1" x14ac:dyDescent="0.25">
      <c r="B13" s="207"/>
      <c r="C13" s="207"/>
      <c r="D13" s="207"/>
      <c r="E13" s="363" t="s">
        <v>287</v>
      </c>
      <c r="F13" s="363" t="s">
        <v>288</v>
      </c>
      <c r="G13" s="207"/>
      <c r="H13" s="207"/>
    </row>
    <row r="14" spans="2:8" s="208" customFormat="1" ht="35.25" customHeight="1" x14ac:dyDescent="0.25">
      <c r="B14" s="207"/>
      <c r="C14" s="207"/>
      <c r="D14" s="207"/>
      <c r="E14" s="360" t="str">
        <f>DONNEES!C5</f>
        <v>yy</v>
      </c>
      <c r="F14" s="360">
        <f>DONNEES!C6</f>
        <v>0</v>
      </c>
      <c r="G14" s="207"/>
      <c r="H14" s="207"/>
    </row>
    <row r="15" spans="2:8" s="208" customFormat="1" ht="21.95" customHeight="1" x14ac:dyDescent="0.25">
      <c r="B15" s="364" t="s">
        <v>289</v>
      </c>
      <c r="C15" s="814">
        <f>DONNEES!C24</f>
        <v>0.2</v>
      </c>
      <c r="D15" s="815"/>
      <c r="E15" s="361">
        <f>DONNEES!F41</f>
        <v>260000</v>
      </c>
      <c r="F15" s="362">
        <f>DONNEES!F42</f>
        <v>0</v>
      </c>
      <c r="G15" s="207"/>
      <c r="H15" s="207"/>
    </row>
    <row r="16" spans="2:8" s="208" customFormat="1" ht="21.95" customHeight="1" x14ac:dyDescent="0.25">
      <c r="B16" s="364" t="s">
        <v>289</v>
      </c>
      <c r="C16" s="814">
        <f>DONNEES!E24</f>
        <v>0.1</v>
      </c>
      <c r="D16" s="815"/>
      <c r="E16" s="361">
        <f>DONNEES!G41</f>
        <v>0</v>
      </c>
      <c r="F16" s="362">
        <f>DONNEES!G42</f>
        <v>0</v>
      </c>
      <c r="G16" s="207"/>
      <c r="H16" s="207"/>
    </row>
    <row r="17" spans="1:9" s="208" customFormat="1" ht="21.95" customHeight="1" x14ac:dyDescent="0.25">
      <c r="B17" s="811" t="s">
        <v>333</v>
      </c>
      <c r="C17" s="811"/>
      <c r="D17" s="812"/>
      <c r="E17" s="421"/>
      <c r="F17" s="207"/>
      <c r="G17" s="207"/>
      <c r="H17" s="207"/>
    </row>
    <row r="18" spans="1:9" s="208" customFormat="1" ht="21.95" customHeight="1" x14ac:dyDescent="0.25">
      <c r="C18" s="813" t="s">
        <v>276</v>
      </c>
      <c r="D18" s="813"/>
      <c r="E18" s="359">
        <f>DONNEES!G20</f>
        <v>0</v>
      </c>
      <c r="F18" s="207"/>
      <c r="G18" s="207"/>
      <c r="H18" s="207"/>
    </row>
    <row r="19" spans="1:9" s="208" customFormat="1" ht="21.95" customHeight="1" x14ac:dyDescent="0.25">
      <c r="C19" s="207" t="s">
        <v>277</v>
      </c>
      <c r="D19" s="221">
        <f>IFERROR(EDATE(E17,-3),0)</f>
        <v>0</v>
      </c>
      <c r="E19" s="422"/>
      <c r="F19" s="207"/>
      <c r="G19" s="207"/>
      <c r="H19" s="207"/>
    </row>
    <row r="20" spans="1:9" s="208" customFormat="1" ht="21.95" customHeight="1" x14ac:dyDescent="0.25">
      <c r="C20" s="207" t="s">
        <v>278</v>
      </c>
      <c r="D20" s="222">
        <f>DONNEES!E20</f>
        <v>0</v>
      </c>
      <c r="E20" s="422"/>
      <c r="F20" s="207"/>
      <c r="G20" s="207"/>
      <c r="H20" s="207"/>
    </row>
    <row r="21" spans="1:9" s="208" customFormat="1" ht="13.5" customHeight="1" x14ac:dyDescent="0.25">
      <c r="B21" s="207"/>
      <c r="C21" s="207"/>
      <c r="D21" s="207"/>
      <c r="E21" s="210"/>
      <c r="F21" s="207"/>
      <c r="G21" s="207"/>
      <c r="H21" s="207"/>
    </row>
    <row r="22" spans="1:9" s="208" customFormat="1" ht="27" customHeight="1" x14ac:dyDescent="0.25">
      <c r="D22" s="808" t="s">
        <v>279</v>
      </c>
      <c r="E22" s="808"/>
      <c r="F22" s="808"/>
      <c r="G22" s="808"/>
      <c r="H22" s="212" t="s">
        <v>290</v>
      </c>
      <c r="I22" s="212" t="s">
        <v>290</v>
      </c>
    </row>
    <row r="23" spans="1:9" s="208" customFormat="1" ht="51" customHeight="1" x14ac:dyDescent="0.25">
      <c r="B23" s="211" t="s">
        <v>286</v>
      </c>
      <c r="C23" s="211" t="s">
        <v>280</v>
      </c>
      <c r="D23" s="211" t="s">
        <v>281</v>
      </c>
      <c r="E23" s="211" t="s">
        <v>282</v>
      </c>
      <c r="F23" s="211" t="s">
        <v>283</v>
      </c>
      <c r="G23" s="230" t="s">
        <v>284</v>
      </c>
      <c r="H23" s="233">
        <f>C15</f>
        <v>0.2</v>
      </c>
      <c r="I23" s="233">
        <f>C16</f>
        <v>0.1</v>
      </c>
    </row>
    <row r="24" spans="1:9" s="208" customFormat="1" ht="21.95" customHeight="1" x14ac:dyDescent="0.25">
      <c r="A24" s="208" t="s">
        <v>287</v>
      </c>
      <c r="B24" s="225">
        <f>SUM(E15)</f>
        <v>260000</v>
      </c>
      <c r="C24" s="225">
        <f>E16</f>
        <v>0</v>
      </c>
      <c r="D24" s="226">
        <f>E19</f>
        <v>0</v>
      </c>
      <c r="E24" s="226">
        <f>E20</f>
        <v>0</v>
      </c>
      <c r="F24" s="227">
        <f>IFERROR(SUM(D24/E24),0)</f>
        <v>0</v>
      </c>
      <c r="G24" s="213">
        <f>ROUND(F24,3)-1</f>
        <v>-1</v>
      </c>
      <c r="H24" s="231">
        <f>SUM(B24*G24)</f>
        <v>-260000</v>
      </c>
      <c r="I24" s="232">
        <f>C24*G24</f>
        <v>0</v>
      </c>
    </row>
    <row r="25" spans="1:9" ht="21.95" customHeight="1" x14ac:dyDescent="0.2">
      <c r="B25" s="803"/>
      <c r="C25" s="803"/>
      <c r="D25" s="803"/>
      <c r="E25" s="803"/>
      <c r="F25" s="804"/>
      <c r="G25" s="216" t="s">
        <v>235</v>
      </c>
      <c r="H25" s="217">
        <f>SUM(H24*H23)</f>
        <v>-52000</v>
      </c>
      <c r="I25" s="217">
        <f>SUM(I24*I23)</f>
        <v>0</v>
      </c>
    </row>
    <row r="26" spans="1:9" ht="21.95" customHeight="1" x14ac:dyDescent="0.2">
      <c r="B26" s="805"/>
      <c r="C26" s="805"/>
      <c r="D26" s="805"/>
      <c r="E26" s="805"/>
      <c r="F26" s="806"/>
      <c r="G26" s="219" t="s">
        <v>17</v>
      </c>
      <c r="H26" s="220">
        <f>SUM(H24:H25)</f>
        <v>-312000</v>
      </c>
      <c r="I26" s="215">
        <f>I24+I25</f>
        <v>0</v>
      </c>
    </row>
    <row r="27" spans="1:9" ht="21.95" customHeight="1" x14ac:dyDescent="0.2">
      <c r="B27" s="228"/>
      <c r="C27" s="228"/>
      <c r="D27" s="228"/>
      <c r="E27" s="228"/>
      <c r="F27" s="234"/>
      <c r="G27" s="235"/>
      <c r="H27" s="236"/>
      <c r="I27" s="237"/>
    </row>
    <row r="28" spans="1:9" ht="41.25" customHeight="1" x14ac:dyDescent="0.2">
      <c r="B28" s="228"/>
      <c r="C28" s="228"/>
      <c r="D28" s="228"/>
      <c r="E28" s="228"/>
      <c r="F28" s="229"/>
      <c r="G28" s="219"/>
      <c r="H28" s="212" t="s">
        <v>290</v>
      </c>
      <c r="I28" s="212" t="s">
        <v>290</v>
      </c>
    </row>
    <row r="29" spans="1:9" ht="45" x14ac:dyDescent="0.2">
      <c r="B29" s="211" t="s">
        <v>286</v>
      </c>
      <c r="C29" s="211" t="s">
        <v>280</v>
      </c>
      <c r="D29" s="211" t="s">
        <v>281</v>
      </c>
      <c r="E29" s="211" t="s">
        <v>282</v>
      </c>
      <c r="F29" s="211" t="s">
        <v>283</v>
      </c>
      <c r="G29" s="211" t="s">
        <v>284</v>
      </c>
      <c r="H29" s="233">
        <f>C15</f>
        <v>0.2</v>
      </c>
      <c r="I29" s="233">
        <f>C16</f>
        <v>0.1</v>
      </c>
    </row>
    <row r="30" spans="1:9" ht="15.75" x14ac:dyDescent="0.2">
      <c r="A30" s="135" t="s">
        <v>288</v>
      </c>
      <c r="B30" s="225">
        <f>F15</f>
        <v>0</v>
      </c>
      <c r="C30" s="225">
        <f>F16</f>
        <v>0</v>
      </c>
      <c r="D30" s="226">
        <f>E19</f>
        <v>0</v>
      </c>
      <c r="E30" s="226">
        <f>E24</f>
        <v>0</v>
      </c>
      <c r="F30" s="227">
        <f>IFERROR(SUM(D30/E30),0)</f>
        <v>0</v>
      </c>
      <c r="G30" s="213">
        <f>ROUND(F30,3)-1</f>
        <v>-1</v>
      </c>
      <c r="H30" s="214">
        <f>SUM(B30*G30)</f>
        <v>0</v>
      </c>
      <c r="I30" s="215">
        <f>C30*G30</f>
        <v>0</v>
      </c>
    </row>
    <row r="31" spans="1:9" ht="15" x14ac:dyDescent="0.2">
      <c r="B31" s="803"/>
      <c r="C31" s="803"/>
      <c r="D31" s="803"/>
      <c r="E31" s="803"/>
      <c r="F31" s="804"/>
      <c r="G31" s="216" t="s">
        <v>235</v>
      </c>
      <c r="H31" s="217">
        <f>SUM(H30*H29)</f>
        <v>0</v>
      </c>
      <c r="I31" s="217">
        <f>SUM(I30*I29)</f>
        <v>0</v>
      </c>
    </row>
    <row r="32" spans="1:9" ht="15" x14ac:dyDescent="0.2">
      <c r="B32" s="805"/>
      <c r="C32" s="805"/>
      <c r="D32" s="805"/>
      <c r="E32" s="805"/>
      <c r="F32" s="806"/>
      <c r="G32" s="219" t="s">
        <v>17</v>
      </c>
      <c r="H32" s="220">
        <f>SUM(H30:H31)</f>
        <v>0</v>
      </c>
      <c r="I32" s="218">
        <f>I30+I31</f>
        <v>0</v>
      </c>
    </row>
  </sheetData>
  <sheetProtection algorithmName="SHA-512" hashValue="JPkhFcdkCQtZWb+XduwXSp508oPs/gGSBTTFrTVB0jDK3xCpdoM3+3TxS+gr09auVegUdPNdi3JAvtI6EOu9/Q==" saltValue="mvewd3NFkdQdPAP/iatdew==" spinCount="100000" sheet="1" objects="1" scenarios="1" autoFilter="0"/>
  <mergeCells count="12">
    <mergeCell ref="B25:F26"/>
    <mergeCell ref="B31:F32"/>
    <mergeCell ref="B3:H3"/>
    <mergeCell ref="D22:G22"/>
    <mergeCell ref="C6:H6"/>
    <mergeCell ref="C7:H7"/>
    <mergeCell ref="C8:H8"/>
    <mergeCell ref="C9:H9"/>
    <mergeCell ref="B17:D17"/>
    <mergeCell ref="C18:D18"/>
    <mergeCell ref="C15:D15"/>
    <mergeCell ref="C16:D16"/>
  </mergeCells>
  <printOptions horizontalCentered="1"/>
  <pageMargins left="0.25" right="0.25" top="0.75" bottom="0.75" header="0.3" footer="0.3"/>
  <pageSetup paperSize="9" scale="68" firstPageNumber="0"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FFFF00"/>
  </sheetPr>
  <dimension ref="A1:K95"/>
  <sheetViews>
    <sheetView zoomScaleNormal="100" workbookViewId="0">
      <selection activeCell="M32" sqref="M32"/>
    </sheetView>
  </sheetViews>
  <sheetFormatPr baseColWidth="10" defaultRowHeight="12.75" x14ac:dyDescent="0.2"/>
  <cols>
    <col min="1" max="1" width="12.7109375" style="138" customWidth="1"/>
    <col min="2" max="2" width="15.7109375" style="138" customWidth="1"/>
    <col min="3" max="4" width="15.7109375" style="136" customWidth="1"/>
    <col min="5" max="5" width="10.7109375" style="139" customWidth="1"/>
    <col min="6" max="6" width="10.7109375" style="135" customWidth="1"/>
    <col min="7" max="8" width="11.5703125" style="135" customWidth="1"/>
    <col min="9" max="9" width="14" style="135" customWidth="1"/>
    <col min="10" max="10" width="11.42578125" style="135"/>
    <col min="11" max="11" width="4.140625" style="135" bestFit="1" customWidth="1"/>
    <col min="12" max="256" width="11.42578125" style="135"/>
    <col min="257" max="257" width="12.7109375" style="135" customWidth="1"/>
    <col min="258" max="260" width="15.7109375" style="135" customWidth="1"/>
    <col min="261" max="262" width="10.7109375" style="135" customWidth="1"/>
    <col min="263" max="264" width="11.5703125" style="135" customWidth="1"/>
    <col min="265" max="265" width="14" style="135" customWidth="1"/>
    <col min="266" max="512" width="11.42578125" style="135"/>
    <col min="513" max="513" width="12.7109375" style="135" customWidth="1"/>
    <col min="514" max="516" width="15.7109375" style="135" customWidth="1"/>
    <col min="517" max="518" width="10.7109375" style="135" customWidth="1"/>
    <col min="519" max="520" width="11.5703125" style="135" customWidth="1"/>
    <col min="521" max="521" width="14" style="135" customWidth="1"/>
    <col min="522" max="768" width="11.42578125" style="135"/>
    <col min="769" max="769" width="12.7109375" style="135" customWidth="1"/>
    <col min="770" max="772" width="15.7109375" style="135" customWidth="1"/>
    <col min="773" max="774" width="10.7109375" style="135" customWidth="1"/>
    <col min="775" max="776" width="11.5703125" style="135" customWidth="1"/>
    <col min="777" max="777" width="14" style="135" customWidth="1"/>
    <col min="778" max="1024" width="11.42578125" style="135"/>
    <col min="1025" max="1025" width="12.7109375" style="135" customWidth="1"/>
    <col min="1026" max="1028" width="15.7109375" style="135" customWidth="1"/>
    <col min="1029" max="1030" width="10.7109375" style="135" customWidth="1"/>
    <col min="1031" max="1032" width="11.5703125" style="135" customWidth="1"/>
    <col min="1033" max="1033" width="14" style="135" customWidth="1"/>
    <col min="1034" max="1280" width="11.42578125" style="135"/>
    <col min="1281" max="1281" width="12.7109375" style="135" customWidth="1"/>
    <col min="1282" max="1284" width="15.7109375" style="135" customWidth="1"/>
    <col min="1285" max="1286" width="10.7109375" style="135" customWidth="1"/>
    <col min="1287" max="1288" width="11.5703125" style="135" customWidth="1"/>
    <col min="1289" max="1289" width="14" style="135" customWidth="1"/>
    <col min="1290" max="1536" width="11.42578125" style="135"/>
    <col min="1537" max="1537" width="12.7109375" style="135" customWidth="1"/>
    <col min="1538" max="1540" width="15.7109375" style="135" customWidth="1"/>
    <col min="1541" max="1542" width="10.7109375" style="135" customWidth="1"/>
    <col min="1543" max="1544" width="11.5703125" style="135" customWidth="1"/>
    <col min="1545" max="1545" width="14" style="135" customWidth="1"/>
    <col min="1546" max="1792" width="11.42578125" style="135"/>
    <col min="1793" max="1793" width="12.7109375" style="135" customWidth="1"/>
    <col min="1794" max="1796" width="15.7109375" style="135" customWidth="1"/>
    <col min="1797" max="1798" width="10.7109375" style="135" customWidth="1"/>
    <col min="1799" max="1800" width="11.5703125" style="135" customWidth="1"/>
    <col min="1801" max="1801" width="14" style="135" customWidth="1"/>
    <col min="1802" max="2048" width="11.42578125" style="135"/>
    <col min="2049" max="2049" width="12.7109375" style="135" customWidth="1"/>
    <col min="2050" max="2052" width="15.7109375" style="135" customWidth="1"/>
    <col min="2053" max="2054" width="10.7109375" style="135" customWidth="1"/>
    <col min="2055" max="2056" width="11.5703125" style="135" customWidth="1"/>
    <col min="2057" max="2057" width="14" style="135" customWidth="1"/>
    <col min="2058" max="2304" width="11.42578125" style="135"/>
    <col min="2305" max="2305" width="12.7109375" style="135" customWidth="1"/>
    <col min="2306" max="2308" width="15.7109375" style="135" customWidth="1"/>
    <col min="2309" max="2310" width="10.7109375" style="135" customWidth="1"/>
    <col min="2311" max="2312" width="11.5703125" style="135" customWidth="1"/>
    <col min="2313" max="2313" width="14" style="135" customWidth="1"/>
    <col min="2314" max="2560" width="11.42578125" style="135"/>
    <col min="2561" max="2561" width="12.7109375" style="135" customWidth="1"/>
    <col min="2562" max="2564" width="15.7109375" style="135" customWidth="1"/>
    <col min="2565" max="2566" width="10.7109375" style="135" customWidth="1"/>
    <col min="2567" max="2568" width="11.5703125" style="135" customWidth="1"/>
    <col min="2569" max="2569" width="14" style="135" customWidth="1"/>
    <col min="2570" max="2816" width="11.42578125" style="135"/>
    <col min="2817" max="2817" width="12.7109375" style="135" customWidth="1"/>
    <col min="2818" max="2820" width="15.7109375" style="135" customWidth="1"/>
    <col min="2821" max="2822" width="10.7109375" style="135" customWidth="1"/>
    <col min="2823" max="2824" width="11.5703125" style="135" customWidth="1"/>
    <col min="2825" max="2825" width="14" style="135" customWidth="1"/>
    <col min="2826" max="3072" width="11.42578125" style="135"/>
    <col min="3073" max="3073" width="12.7109375" style="135" customWidth="1"/>
    <col min="3074" max="3076" width="15.7109375" style="135" customWidth="1"/>
    <col min="3077" max="3078" width="10.7109375" style="135" customWidth="1"/>
    <col min="3079" max="3080" width="11.5703125" style="135" customWidth="1"/>
    <col min="3081" max="3081" width="14" style="135" customWidth="1"/>
    <col min="3082" max="3328" width="11.42578125" style="135"/>
    <col min="3329" max="3329" width="12.7109375" style="135" customWidth="1"/>
    <col min="3330" max="3332" width="15.7109375" style="135" customWidth="1"/>
    <col min="3333" max="3334" width="10.7109375" style="135" customWidth="1"/>
    <col min="3335" max="3336" width="11.5703125" style="135" customWidth="1"/>
    <col min="3337" max="3337" width="14" style="135" customWidth="1"/>
    <col min="3338" max="3584" width="11.42578125" style="135"/>
    <col min="3585" max="3585" width="12.7109375" style="135" customWidth="1"/>
    <col min="3586" max="3588" width="15.7109375" style="135" customWidth="1"/>
    <col min="3589" max="3590" width="10.7109375" style="135" customWidth="1"/>
    <col min="3591" max="3592" width="11.5703125" style="135" customWidth="1"/>
    <col min="3593" max="3593" width="14" style="135" customWidth="1"/>
    <col min="3594" max="3840" width="11.42578125" style="135"/>
    <col min="3841" max="3841" width="12.7109375" style="135" customWidth="1"/>
    <col min="3842" max="3844" width="15.7109375" style="135" customWidth="1"/>
    <col min="3845" max="3846" width="10.7109375" style="135" customWidth="1"/>
    <col min="3847" max="3848" width="11.5703125" style="135" customWidth="1"/>
    <col min="3849" max="3849" width="14" style="135" customWidth="1"/>
    <col min="3850" max="4096" width="11.42578125" style="135"/>
    <col min="4097" max="4097" width="12.7109375" style="135" customWidth="1"/>
    <col min="4098" max="4100" width="15.7109375" style="135" customWidth="1"/>
    <col min="4101" max="4102" width="10.7109375" style="135" customWidth="1"/>
    <col min="4103" max="4104" width="11.5703125" style="135" customWidth="1"/>
    <col min="4105" max="4105" width="14" style="135" customWidth="1"/>
    <col min="4106" max="4352" width="11.42578125" style="135"/>
    <col min="4353" max="4353" width="12.7109375" style="135" customWidth="1"/>
    <col min="4354" max="4356" width="15.7109375" style="135" customWidth="1"/>
    <col min="4357" max="4358" width="10.7109375" style="135" customWidth="1"/>
    <col min="4359" max="4360" width="11.5703125" style="135" customWidth="1"/>
    <col min="4361" max="4361" width="14" style="135" customWidth="1"/>
    <col min="4362" max="4608" width="11.42578125" style="135"/>
    <col min="4609" max="4609" width="12.7109375" style="135" customWidth="1"/>
    <col min="4610" max="4612" width="15.7109375" style="135" customWidth="1"/>
    <col min="4613" max="4614" width="10.7109375" style="135" customWidth="1"/>
    <col min="4615" max="4616" width="11.5703125" style="135" customWidth="1"/>
    <col min="4617" max="4617" width="14" style="135" customWidth="1"/>
    <col min="4618" max="4864" width="11.42578125" style="135"/>
    <col min="4865" max="4865" width="12.7109375" style="135" customWidth="1"/>
    <col min="4866" max="4868" width="15.7109375" style="135" customWidth="1"/>
    <col min="4869" max="4870" width="10.7109375" style="135" customWidth="1"/>
    <col min="4871" max="4872" width="11.5703125" style="135" customWidth="1"/>
    <col min="4873" max="4873" width="14" style="135" customWidth="1"/>
    <col min="4874" max="5120" width="11.42578125" style="135"/>
    <col min="5121" max="5121" width="12.7109375" style="135" customWidth="1"/>
    <col min="5122" max="5124" width="15.7109375" style="135" customWidth="1"/>
    <col min="5125" max="5126" width="10.7109375" style="135" customWidth="1"/>
    <col min="5127" max="5128" width="11.5703125" style="135" customWidth="1"/>
    <col min="5129" max="5129" width="14" style="135" customWidth="1"/>
    <col min="5130" max="5376" width="11.42578125" style="135"/>
    <col min="5377" max="5377" width="12.7109375" style="135" customWidth="1"/>
    <col min="5378" max="5380" width="15.7109375" style="135" customWidth="1"/>
    <col min="5381" max="5382" width="10.7109375" style="135" customWidth="1"/>
    <col min="5383" max="5384" width="11.5703125" style="135" customWidth="1"/>
    <col min="5385" max="5385" width="14" style="135" customWidth="1"/>
    <col min="5386" max="5632" width="11.42578125" style="135"/>
    <col min="5633" max="5633" width="12.7109375" style="135" customWidth="1"/>
    <col min="5634" max="5636" width="15.7109375" style="135" customWidth="1"/>
    <col min="5637" max="5638" width="10.7109375" style="135" customWidth="1"/>
    <col min="5639" max="5640" width="11.5703125" style="135" customWidth="1"/>
    <col min="5641" max="5641" width="14" style="135" customWidth="1"/>
    <col min="5642" max="5888" width="11.42578125" style="135"/>
    <col min="5889" max="5889" width="12.7109375" style="135" customWidth="1"/>
    <col min="5890" max="5892" width="15.7109375" style="135" customWidth="1"/>
    <col min="5893" max="5894" width="10.7109375" style="135" customWidth="1"/>
    <col min="5895" max="5896" width="11.5703125" style="135" customWidth="1"/>
    <col min="5897" max="5897" width="14" style="135" customWidth="1"/>
    <col min="5898" max="6144" width="11.42578125" style="135"/>
    <col min="6145" max="6145" width="12.7109375" style="135" customWidth="1"/>
    <col min="6146" max="6148" width="15.7109375" style="135" customWidth="1"/>
    <col min="6149" max="6150" width="10.7109375" style="135" customWidth="1"/>
    <col min="6151" max="6152" width="11.5703125" style="135" customWidth="1"/>
    <col min="6153" max="6153" width="14" style="135" customWidth="1"/>
    <col min="6154" max="6400" width="11.42578125" style="135"/>
    <col min="6401" max="6401" width="12.7109375" style="135" customWidth="1"/>
    <col min="6402" max="6404" width="15.7109375" style="135" customWidth="1"/>
    <col min="6405" max="6406" width="10.7109375" style="135" customWidth="1"/>
    <col min="6407" max="6408" width="11.5703125" style="135" customWidth="1"/>
    <col min="6409" max="6409" width="14" style="135" customWidth="1"/>
    <col min="6410" max="6656" width="11.42578125" style="135"/>
    <col min="6657" max="6657" width="12.7109375" style="135" customWidth="1"/>
    <col min="6658" max="6660" width="15.7109375" style="135" customWidth="1"/>
    <col min="6661" max="6662" width="10.7109375" style="135" customWidth="1"/>
    <col min="6663" max="6664" width="11.5703125" style="135" customWidth="1"/>
    <col min="6665" max="6665" width="14" style="135" customWidth="1"/>
    <col min="6666" max="6912" width="11.42578125" style="135"/>
    <col min="6913" max="6913" width="12.7109375" style="135" customWidth="1"/>
    <col min="6914" max="6916" width="15.7109375" style="135" customWidth="1"/>
    <col min="6917" max="6918" width="10.7109375" style="135" customWidth="1"/>
    <col min="6919" max="6920" width="11.5703125" style="135" customWidth="1"/>
    <col min="6921" max="6921" width="14" style="135" customWidth="1"/>
    <col min="6922" max="7168" width="11.42578125" style="135"/>
    <col min="7169" max="7169" width="12.7109375" style="135" customWidth="1"/>
    <col min="7170" max="7172" width="15.7109375" style="135" customWidth="1"/>
    <col min="7173" max="7174" width="10.7109375" style="135" customWidth="1"/>
    <col min="7175" max="7176" width="11.5703125" style="135" customWidth="1"/>
    <col min="7177" max="7177" width="14" style="135" customWidth="1"/>
    <col min="7178" max="7424" width="11.42578125" style="135"/>
    <col min="7425" max="7425" width="12.7109375" style="135" customWidth="1"/>
    <col min="7426" max="7428" width="15.7109375" style="135" customWidth="1"/>
    <col min="7429" max="7430" width="10.7109375" style="135" customWidth="1"/>
    <col min="7431" max="7432" width="11.5703125" style="135" customWidth="1"/>
    <col min="7433" max="7433" width="14" style="135" customWidth="1"/>
    <col min="7434" max="7680" width="11.42578125" style="135"/>
    <col min="7681" max="7681" width="12.7109375" style="135" customWidth="1"/>
    <col min="7682" max="7684" width="15.7109375" style="135" customWidth="1"/>
    <col min="7685" max="7686" width="10.7109375" style="135" customWidth="1"/>
    <col min="7687" max="7688" width="11.5703125" style="135" customWidth="1"/>
    <col min="7689" max="7689" width="14" style="135" customWidth="1"/>
    <col min="7690" max="7936" width="11.42578125" style="135"/>
    <col min="7937" max="7937" width="12.7109375" style="135" customWidth="1"/>
    <col min="7938" max="7940" width="15.7109375" style="135" customWidth="1"/>
    <col min="7941" max="7942" width="10.7109375" style="135" customWidth="1"/>
    <col min="7943" max="7944" width="11.5703125" style="135" customWidth="1"/>
    <col min="7945" max="7945" width="14" style="135" customWidth="1"/>
    <col min="7946" max="8192" width="11.42578125" style="135"/>
    <col min="8193" max="8193" width="12.7109375" style="135" customWidth="1"/>
    <col min="8194" max="8196" width="15.7109375" style="135" customWidth="1"/>
    <col min="8197" max="8198" width="10.7109375" style="135" customWidth="1"/>
    <col min="8199" max="8200" width="11.5703125" style="135" customWidth="1"/>
    <col min="8201" max="8201" width="14" style="135" customWidth="1"/>
    <col min="8202" max="8448" width="11.42578125" style="135"/>
    <col min="8449" max="8449" width="12.7109375" style="135" customWidth="1"/>
    <col min="8450" max="8452" width="15.7109375" style="135" customWidth="1"/>
    <col min="8453" max="8454" width="10.7109375" style="135" customWidth="1"/>
    <col min="8455" max="8456" width="11.5703125" style="135" customWidth="1"/>
    <col min="8457" max="8457" width="14" style="135" customWidth="1"/>
    <col min="8458" max="8704" width="11.42578125" style="135"/>
    <col min="8705" max="8705" width="12.7109375" style="135" customWidth="1"/>
    <col min="8706" max="8708" width="15.7109375" style="135" customWidth="1"/>
    <col min="8709" max="8710" width="10.7109375" style="135" customWidth="1"/>
    <col min="8711" max="8712" width="11.5703125" style="135" customWidth="1"/>
    <col min="8713" max="8713" width="14" style="135" customWidth="1"/>
    <col min="8714" max="8960" width="11.42578125" style="135"/>
    <col min="8961" max="8961" width="12.7109375" style="135" customWidth="1"/>
    <col min="8962" max="8964" width="15.7109375" style="135" customWidth="1"/>
    <col min="8965" max="8966" width="10.7109375" style="135" customWidth="1"/>
    <col min="8967" max="8968" width="11.5703125" style="135" customWidth="1"/>
    <col min="8969" max="8969" width="14" style="135" customWidth="1"/>
    <col min="8970" max="9216" width="11.42578125" style="135"/>
    <col min="9217" max="9217" width="12.7109375" style="135" customWidth="1"/>
    <col min="9218" max="9220" width="15.7109375" style="135" customWidth="1"/>
    <col min="9221" max="9222" width="10.7109375" style="135" customWidth="1"/>
    <col min="9223" max="9224" width="11.5703125" style="135" customWidth="1"/>
    <col min="9225" max="9225" width="14" style="135" customWidth="1"/>
    <col min="9226" max="9472" width="11.42578125" style="135"/>
    <col min="9473" max="9473" width="12.7109375" style="135" customWidth="1"/>
    <col min="9474" max="9476" width="15.7109375" style="135" customWidth="1"/>
    <col min="9477" max="9478" width="10.7109375" style="135" customWidth="1"/>
    <col min="9479" max="9480" width="11.5703125" style="135" customWidth="1"/>
    <col min="9481" max="9481" width="14" style="135" customWidth="1"/>
    <col min="9482" max="9728" width="11.42578125" style="135"/>
    <col min="9729" max="9729" width="12.7109375" style="135" customWidth="1"/>
    <col min="9730" max="9732" width="15.7109375" style="135" customWidth="1"/>
    <col min="9733" max="9734" width="10.7109375" style="135" customWidth="1"/>
    <col min="9735" max="9736" width="11.5703125" style="135" customWidth="1"/>
    <col min="9737" max="9737" width="14" style="135" customWidth="1"/>
    <col min="9738" max="9984" width="11.42578125" style="135"/>
    <col min="9985" max="9985" width="12.7109375" style="135" customWidth="1"/>
    <col min="9986" max="9988" width="15.7109375" style="135" customWidth="1"/>
    <col min="9989" max="9990" width="10.7109375" style="135" customWidth="1"/>
    <col min="9991" max="9992" width="11.5703125" style="135" customWidth="1"/>
    <col min="9993" max="9993" width="14" style="135" customWidth="1"/>
    <col min="9994" max="10240" width="11.42578125" style="135"/>
    <col min="10241" max="10241" width="12.7109375" style="135" customWidth="1"/>
    <col min="10242" max="10244" width="15.7109375" style="135" customWidth="1"/>
    <col min="10245" max="10246" width="10.7109375" style="135" customWidth="1"/>
    <col min="10247" max="10248" width="11.5703125" style="135" customWidth="1"/>
    <col min="10249" max="10249" width="14" style="135" customWidth="1"/>
    <col min="10250" max="10496" width="11.42578125" style="135"/>
    <col min="10497" max="10497" width="12.7109375" style="135" customWidth="1"/>
    <col min="10498" max="10500" width="15.7109375" style="135" customWidth="1"/>
    <col min="10501" max="10502" width="10.7109375" style="135" customWidth="1"/>
    <col min="10503" max="10504" width="11.5703125" style="135" customWidth="1"/>
    <col min="10505" max="10505" width="14" style="135" customWidth="1"/>
    <col min="10506" max="10752" width="11.42578125" style="135"/>
    <col min="10753" max="10753" width="12.7109375" style="135" customWidth="1"/>
    <col min="10754" max="10756" width="15.7109375" style="135" customWidth="1"/>
    <col min="10757" max="10758" width="10.7109375" style="135" customWidth="1"/>
    <col min="10759" max="10760" width="11.5703125" style="135" customWidth="1"/>
    <col min="10761" max="10761" width="14" style="135" customWidth="1"/>
    <col min="10762" max="11008" width="11.42578125" style="135"/>
    <col min="11009" max="11009" width="12.7109375" style="135" customWidth="1"/>
    <col min="11010" max="11012" width="15.7109375" style="135" customWidth="1"/>
    <col min="11013" max="11014" width="10.7109375" style="135" customWidth="1"/>
    <col min="11015" max="11016" width="11.5703125" style="135" customWidth="1"/>
    <col min="11017" max="11017" width="14" style="135" customWidth="1"/>
    <col min="11018" max="11264" width="11.42578125" style="135"/>
    <col min="11265" max="11265" width="12.7109375" style="135" customWidth="1"/>
    <col min="11266" max="11268" width="15.7109375" style="135" customWidth="1"/>
    <col min="11269" max="11270" width="10.7109375" style="135" customWidth="1"/>
    <col min="11271" max="11272" width="11.5703125" style="135" customWidth="1"/>
    <col min="11273" max="11273" width="14" style="135" customWidth="1"/>
    <col min="11274" max="11520" width="11.42578125" style="135"/>
    <col min="11521" max="11521" width="12.7109375" style="135" customWidth="1"/>
    <col min="11522" max="11524" width="15.7109375" style="135" customWidth="1"/>
    <col min="11525" max="11526" width="10.7109375" style="135" customWidth="1"/>
    <col min="11527" max="11528" width="11.5703125" style="135" customWidth="1"/>
    <col min="11529" max="11529" width="14" style="135" customWidth="1"/>
    <col min="11530" max="11776" width="11.42578125" style="135"/>
    <col min="11777" max="11777" width="12.7109375" style="135" customWidth="1"/>
    <col min="11778" max="11780" width="15.7109375" style="135" customWidth="1"/>
    <col min="11781" max="11782" width="10.7109375" style="135" customWidth="1"/>
    <col min="11783" max="11784" width="11.5703125" style="135" customWidth="1"/>
    <col min="11785" max="11785" width="14" style="135" customWidth="1"/>
    <col min="11786" max="12032" width="11.42578125" style="135"/>
    <col min="12033" max="12033" width="12.7109375" style="135" customWidth="1"/>
    <col min="12034" max="12036" width="15.7109375" style="135" customWidth="1"/>
    <col min="12037" max="12038" width="10.7109375" style="135" customWidth="1"/>
    <col min="12039" max="12040" width="11.5703125" style="135" customWidth="1"/>
    <col min="12041" max="12041" width="14" style="135" customWidth="1"/>
    <col min="12042" max="12288" width="11.42578125" style="135"/>
    <col min="12289" max="12289" width="12.7109375" style="135" customWidth="1"/>
    <col min="12290" max="12292" width="15.7109375" style="135" customWidth="1"/>
    <col min="12293" max="12294" width="10.7109375" style="135" customWidth="1"/>
    <col min="12295" max="12296" width="11.5703125" style="135" customWidth="1"/>
    <col min="12297" max="12297" width="14" style="135" customWidth="1"/>
    <col min="12298" max="12544" width="11.42578125" style="135"/>
    <col min="12545" max="12545" width="12.7109375" style="135" customWidth="1"/>
    <col min="12546" max="12548" width="15.7109375" style="135" customWidth="1"/>
    <col min="12549" max="12550" width="10.7109375" style="135" customWidth="1"/>
    <col min="12551" max="12552" width="11.5703125" style="135" customWidth="1"/>
    <col min="12553" max="12553" width="14" style="135" customWidth="1"/>
    <col min="12554" max="12800" width="11.42578125" style="135"/>
    <col min="12801" max="12801" width="12.7109375" style="135" customWidth="1"/>
    <col min="12802" max="12804" width="15.7109375" style="135" customWidth="1"/>
    <col min="12805" max="12806" width="10.7109375" style="135" customWidth="1"/>
    <col min="12807" max="12808" width="11.5703125" style="135" customWidth="1"/>
    <col min="12809" max="12809" width="14" style="135" customWidth="1"/>
    <col min="12810" max="13056" width="11.42578125" style="135"/>
    <col min="13057" max="13057" width="12.7109375" style="135" customWidth="1"/>
    <col min="13058" max="13060" width="15.7109375" style="135" customWidth="1"/>
    <col min="13061" max="13062" width="10.7109375" style="135" customWidth="1"/>
    <col min="13063" max="13064" width="11.5703125" style="135" customWidth="1"/>
    <col min="13065" max="13065" width="14" style="135" customWidth="1"/>
    <col min="13066" max="13312" width="11.42578125" style="135"/>
    <col min="13313" max="13313" width="12.7109375" style="135" customWidth="1"/>
    <col min="13314" max="13316" width="15.7109375" style="135" customWidth="1"/>
    <col min="13317" max="13318" width="10.7109375" style="135" customWidth="1"/>
    <col min="13319" max="13320" width="11.5703125" style="135" customWidth="1"/>
    <col min="13321" max="13321" width="14" style="135" customWidth="1"/>
    <col min="13322" max="13568" width="11.42578125" style="135"/>
    <col min="13569" max="13569" width="12.7109375" style="135" customWidth="1"/>
    <col min="13570" max="13572" width="15.7109375" style="135" customWidth="1"/>
    <col min="13573" max="13574" width="10.7109375" style="135" customWidth="1"/>
    <col min="13575" max="13576" width="11.5703125" style="135" customWidth="1"/>
    <col min="13577" max="13577" width="14" style="135" customWidth="1"/>
    <col min="13578" max="13824" width="11.42578125" style="135"/>
    <col min="13825" max="13825" width="12.7109375" style="135" customWidth="1"/>
    <col min="13826" max="13828" width="15.7109375" style="135" customWidth="1"/>
    <col min="13829" max="13830" width="10.7109375" style="135" customWidth="1"/>
    <col min="13831" max="13832" width="11.5703125" style="135" customWidth="1"/>
    <col min="13833" max="13833" width="14" style="135" customWidth="1"/>
    <col min="13834" max="14080" width="11.42578125" style="135"/>
    <col min="14081" max="14081" width="12.7109375" style="135" customWidth="1"/>
    <col min="14082" max="14084" width="15.7109375" style="135" customWidth="1"/>
    <col min="14085" max="14086" width="10.7109375" style="135" customWidth="1"/>
    <col min="14087" max="14088" width="11.5703125" style="135" customWidth="1"/>
    <col min="14089" max="14089" width="14" style="135" customWidth="1"/>
    <col min="14090" max="14336" width="11.42578125" style="135"/>
    <col min="14337" max="14337" width="12.7109375" style="135" customWidth="1"/>
    <col min="14338" max="14340" width="15.7109375" style="135" customWidth="1"/>
    <col min="14341" max="14342" width="10.7109375" style="135" customWidth="1"/>
    <col min="14343" max="14344" width="11.5703125" style="135" customWidth="1"/>
    <col min="14345" max="14345" width="14" style="135" customWidth="1"/>
    <col min="14346" max="14592" width="11.42578125" style="135"/>
    <col min="14593" max="14593" width="12.7109375" style="135" customWidth="1"/>
    <col min="14594" max="14596" width="15.7109375" style="135" customWidth="1"/>
    <col min="14597" max="14598" width="10.7109375" style="135" customWidth="1"/>
    <col min="14599" max="14600" width="11.5703125" style="135" customWidth="1"/>
    <col min="14601" max="14601" width="14" style="135" customWidth="1"/>
    <col min="14602" max="14848" width="11.42578125" style="135"/>
    <col min="14849" max="14849" width="12.7109375" style="135" customWidth="1"/>
    <col min="14850" max="14852" width="15.7109375" style="135" customWidth="1"/>
    <col min="14853" max="14854" width="10.7109375" style="135" customWidth="1"/>
    <col min="14855" max="14856" width="11.5703125" style="135" customWidth="1"/>
    <col min="14857" max="14857" width="14" style="135" customWidth="1"/>
    <col min="14858" max="15104" width="11.42578125" style="135"/>
    <col min="15105" max="15105" width="12.7109375" style="135" customWidth="1"/>
    <col min="15106" max="15108" width="15.7109375" style="135" customWidth="1"/>
    <col min="15109" max="15110" width="10.7109375" style="135" customWidth="1"/>
    <col min="15111" max="15112" width="11.5703125" style="135" customWidth="1"/>
    <col min="15113" max="15113" width="14" style="135" customWidth="1"/>
    <col min="15114" max="15360" width="11.42578125" style="135"/>
    <col min="15361" max="15361" width="12.7109375" style="135" customWidth="1"/>
    <col min="15362" max="15364" width="15.7109375" style="135" customWidth="1"/>
    <col min="15365" max="15366" width="10.7109375" style="135" customWidth="1"/>
    <col min="15367" max="15368" width="11.5703125" style="135" customWidth="1"/>
    <col min="15369" max="15369" width="14" style="135" customWidth="1"/>
    <col min="15370" max="15616" width="11.42578125" style="135"/>
    <col min="15617" max="15617" width="12.7109375" style="135" customWidth="1"/>
    <col min="15618" max="15620" width="15.7109375" style="135" customWidth="1"/>
    <col min="15621" max="15622" width="10.7109375" style="135" customWidth="1"/>
    <col min="15623" max="15624" width="11.5703125" style="135" customWidth="1"/>
    <col min="15625" max="15625" width="14" style="135" customWidth="1"/>
    <col min="15626" max="15872" width="11.42578125" style="135"/>
    <col min="15873" max="15873" width="12.7109375" style="135" customWidth="1"/>
    <col min="15874" max="15876" width="15.7109375" style="135" customWidth="1"/>
    <col min="15877" max="15878" width="10.7109375" style="135" customWidth="1"/>
    <col min="15879" max="15880" width="11.5703125" style="135" customWidth="1"/>
    <col min="15881" max="15881" width="14" style="135" customWidth="1"/>
    <col min="15882" max="16128" width="11.42578125" style="135"/>
    <col min="16129" max="16129" width="12.7109375" style="135" customWidth="1"/>
    <col min="16130" max="16132" width="15.7109375" style="135" customWidth="1"/>
    <col min="16133" max="16134" width="10.7109375" style="135" customWidth="1"/>
    <col min="16135" max="16136" width="11.5703125" style="135" customWidth="1"/>
    <col min="16137" max="16137" width="14" style="135" customWidth="1"/>
    <col min="16138" max="16384" width="11.42578125" style="135"/>
  </cols>
  <sheetData>
    <row r="1" spans="1:11" x14ac:dyDescent="0.2">
      <c r="A1" s="822" t="s">
        <v>224</v>
      </c>
      <c r="B1" s="822"/>
      <c r="C1" s="822"/>
      <c r="D1" s="822"/>
      <c r="E1" s="822"/>
      <c r="F1" s="822"/>
      <c r="G1" s="822"/>
      <c r="H1" s="822"/>
      <c r="I1" s="822"/>
      <c r="J1" s="822"/>
    </row>
    <row r="2" spans="1:11" x14ac:dyDescent="0.2">
      <c r="A2" s="332" t="s">
        <v>322</v>
      </c>
      <c r="B2" s="332" t="s">
        <v>324</v>
      </c>
      <c r="C2" s="332" t="s">
        <v>323</v>
      </c>
    </row>
    <row r="3" spans="1:11" ht="15" customHeight="1" x14ac:dyDescent="0.2">
      <c r="A3" s="501">
        <f>DONNEES!E20</f>
        <v>0</v>
      </c>
      <c r="B3" s="333">
        <f>DONNEES!G20</f>
        <v>0</v>
      </c>
      <c r="C3" s="423">
        <f>DONNEES!G21</f>
        <v>107</v>
      </c>
      <c r="D3" s="136" t="s">
        <v>225</v>
      </c>
      <c r="E3" s="137"/>
      <c r="F3" s="137"/>
    </row>
    <row r="4" spans="1:11" ht="9.75" customHeight="1" thickBot="1" x14ac:dyDescent="0.25"/>
    <row r="5" spans="1:11" ht="38.25" customHeight="1" thickBot="1" x14ac:dyDescent="0.25">
      <c r="A5" s="818" t="s">
        <v>226</v>
      </c>
      <c r="B5" s="140" t="s">
        <v>334</v>
      </c>
      <c r="C5" s="140" t="s">
        <v>334</v>
      </c>
      <c r="D5" s="818" t="s">
        <v>227</v>
      </c>
      <c r="E5" s="818" t="s">
        <v>228</v>
      </c>
      <c r="F5" s="820" t="s">
        <v>229</v>
      </c>
      <c r="G5" s="816" t="s">
        <v>230</v>
      </c>
      <c r="H5" s="816" t="s">
        <v>231</v>
      </c>
      <c r="I5" s="367" t="s">
        <v>335</v>
      </c>
      <c r="J5" s="369" t="s">
        <v>335</v>
      </c>
    </row>
    <row r="6" spans="1:11" ht="13.5" thickBot="1" x14ac:dyDescent="0.25">
      <c r="A6" s="819"/>
      <c r="B6" s="366">
        <f>DONNEES!C24</f>
        <v>0.2</v>
      </c>
      <c r="C6" s="366">
        <f>DONNEES!E24</f>
        <v>0.1</v>
      </c>
      <c r="D6" s="819"/>
      <c r="E6" s="819"/>
      <c r="F6" s="821"/>
      <c r="G6" s="817"/>
      <c r="H6" s="817"/>
      <c r="I6" s="368">
        <f>DONNEES!C24</f>
        <v>0.2</v>
      </c>
      <c r="J6" s="431">
        <f>DONNEES!E24</f>
        <v>0.1</v>
      </c>
      <c r="K6" s="433" t="s">
        <v>336</v>
      </c>
    </row>
    <row r="7" spans="1:11" ht="21.75" customHeight="1" x14ac:dyDescent="0.2">
      <c r="A7" s="141">
        <v>1</v>
      </c>
      <c r="B7" s="424"/>
      <c r="C7" s="425"/>
      <c r="D7" s="479"/>
      <c r="E7" s="142">
        <f>$C$3</f>
        <v>107</v>
      </c>
      <c r="F7" s="428">
        <v>119</v>
      </c>
      <c r="G7" s="143">
        <f>IFERROR(SUM(0.15+(0.85*F7/E7)),0)</f>
        <v>1.0953271028037381</v>
      </c>
      <c r="H7" s="144">
        <f>ROUND(G7,3)</f>
        <v>1.095</v>
      </c>
      <c r="I7" s="145">
        <f>IF(K7="P","",(B7*(H7))-B7)</f>
        <v>0</v>
      </c>
      <c r="J7" s="432">
        <f>(C7*(H7))-C7</f>
        <v>0</v>
      </c>
      <c r="K7" s="434"/>
    </row>
    <row r="8" spans="1:11" ht="21.75" customHeight="1" x14ac:dyDescent="0.2">
      <c r="A8" s="141">
        <v>2</v>
      </c>
      <c r="B8" s="424"/>
      <c r="C8" s="425"/>
      <c r="D8" s="479"/>
      <c r="E8" s="142">
        <f t="shared" ref="E8:E15" si="0">$C$3</f>
        <v>107</v>
      </c>
      <c r="F8" s="428"/>
      <c r="G8" s="143">
        <f t="shared" ref="G8:G15" si="1">IFERROR(SUM(0.15+(0.85*F8/E8)),0)</f>
        <v>0.15</v>
      </c>
      <c r="H8" s="144">
        <f t="shared" ref="H8:H15" si="2">ROUND(G8,3)</f>
        <v>0.15</v>
      </c>
      <c r="I8" s="145">
        <f t="shared" ref="I8:I15" si="3">IF(K8="P","",(B8*(H8))-B8)</f>
        <v>0</v>
      </c>
      <c r="J8" s="432">
        <f t="shared" ref="J8:J15" si="4">(C8*(H8))-C8</f>
        <v>0</v>
      </c>
      <c r="K8" s="434"/>
    </row>
    <row r="9" spans="1:11" ht="21.75" customHeight="1" x14ac:dyDescent="0.2">
      <c r="A9" s="141">
        <v>3</v>
      </c>
      <c r="B9" s="424"/>
      <c r="C9" s="425"/>
      <c r="D9" s="479"/>
      <c r="E9" s="142">
        <f t="shared" si="0"/>
        <v>107</v>
      </c>
      <c r="F9" s="428"/>
      <c r="G9" s="143">
        <f t="shared" si="1"/>
        <v>0.15</v>
      </c>
      <c r="H9" s="144">
        <f t="shared" si="2"/>
        <v>0.15</v>
      </c>
      <c r="I9" s="145">
        <f t="shared" si="3"/>
        <v>0</v>
      </c>
      <c r="J9" s="432">
        <f t="shared" si="4"/>
        <v>0</v>
      </c>
      <c r="K9" s="434"/>
    </row>
    <row r="10" spans="1:11" ht="21.75" customHeight="1" x14ac:dyDescent="0.2">
      <c r="A10" s="141">
        <v>4</v>
      </c>
      <c r="B10" s="424"/>
      <c r="C10" s="425"/>
      <c r="D10" s="479"/>
      <c r="E10" s="142">
        <f t="shared" si="0"/>
        <v>107</v>
      </c>
      <c r="F10" s="428"/>
      <c r="G10" s="143">
        <f t="shared" si="1"/>
        <v>0.15</v>
      </c>
      <c r="H10" s="144">
        <f t="shared" si="2"/>
        <v>0.15</v>
      </c>
      <c r="I10" s="145">
        <f t="shared" si="3"/>
        <v>0</v>
      </c>
      <c r="J10" s="432">
        <f t="shared" si="4"/>
        <v>0</v>
      </c>
      <c r="K10" s="434"/>
    </row>
    <row r="11" spans="1:11" ht="21.75" customHeight="1" x14ac:dyDescent="0.2">
      <c r="A11" s="141">
        <v>5</v>
      </c>
      <c r="B11" s="424"/>
      <c r="C11" s="425"/>
      <c r="D11" s="479"/>
      <c r="E11" s="142">
        <f t="shared" si="0"/>
        <v>107</v>
      </c>
      <c r="F11" s="428"/>
      <c r="G11" s="143">
        <f t="shared" si="1"/>
        <v>0.15</v>
      </c>
      <c r="H11" s="144">
        <f t="shared" si="2"/>
        <v>0.15</v>
      </c>
      <c r="I11" s="145">
        <f t="shared" si="3"/>
        <v>0</v>
      </c>
      <c r="J11" s="432">
        <f t="shared" si="4"/>
        <v>0</v>
      </c>
      <c r="K11" s="434"/>
    </row>
    <row r="12" spans="1:11" ht="21.75" customHeight="1" x14ac:dyDescent="0.2">
      <c r="A12" s="141">
        <v>6</v>
      </c>
      <c r="B12" s="424"/>
      <c r="C12" s="425"/>
      <c r="D12" s="479"/>
      <c r="E12" s="142">
        <f t="shared" si="0"/>
        <v>107</v>
      </c>
      <c r="F12" s="428"/>
      <c r="G12" s="143">
        <f t="shared" si="1"/>
        <v>0.15</v>
      </c>
      <c r="H12" s="144">
        <f t="shared" si="2"/>
        <v>0.15</v>
      </c>
      <c r="I12" s="145">
        <f t="shared" si="3"/>
        <v>0</v>
      </c>
      <c r="J12" s="432">
        <f t="shared" si="4"/>
        <v>0</v>
      </c>
      <c r="K12" s="434"/>
    </row>
    <row r="13" spans="1:11" ht="21.75" customHeight="1" x14ac:dyDescent="0.2">
      <c r="A13" s="146">
        <v>7</v>
      </c>
      <c r="B13" s="426"/>
      <c r="C13" s="427"/>
      <c r="D13" s="480"/>
      <c r="E13" s="142">
        <f t="shared" si="0"/>
        <v>107</v>
      </c>
      <c r="F13" s="429"/>
      <c r="G13" s="143">
        <f t="shared" si="1"/>
        <v>0.15</v>
      </c>
      <c r="H13" s="144">
        <f t="shared" si="2"/>
        <v>0.15</v>
      </c>
      <c r="I13" s="145">
        <f t="shared" si="3"/>
        <v>0</v>
      </c>
      <c r="J13" s="432">
        <f t="shared" si="4"/>
        <v>0</v>
      </c>
      <c r="K13" s="434"/>
    </row>
    <row r="14" spans="1:11" ht="21.75" customHeight="1" x14ac:dyDescent="0.2">
      <c r="A14" s="146">
        <v>8</v>
      </c>
      <c r="B14" s="426"/>
      <c r="C14" s="427"/>
      <c r="D14" s="480"/>
      <c r="E14" s="142">
        <f t="shared" si="0"/>
        <v>107</v>
      </c>
      <c r="F14" s="429"/>
      <c r="G14" s="143">
        <f t="shared" si="1"/>
        <v>0.15</v>
      </c>
      <c r="H14" s="144">
        <f t="shared" si="2"/>
        <v>0.15</v>
      </c>
      <c r="I14" s="145">
        <f t="shared" si="3"/>
        <v>0</v>
      </c>
      <c r="J14" s="432">
        <f t="shared" si="4"/>
        <v>0</v>
      </c>
      <c r="K14" s="434"/>
    </row>
    <row r="15" spans="1:11" ht="21.75" customHeight="1" thickBot="1" x14ac:dyDescent="0.25">
      <c r="A15" s="141">
        <v>9</v>
      </c>
      <c r="B15" s="424"/>
      <c r="C15" s="425"/>
      <c r="D15" s="479"/>
      <c r="E15" s="142">
        <f t="shared" si="0"/>
        <v>107</v>
      </c>
      <c r="F15" s="428"/>
      <c r="G15" s="143">
        <f t="shared" si="1"/>
        <v>0.15</v>
      </c>
      <c r="H15" s="144">
        <f t="shared" si="2"/>
        <v>0.15</v>
      </c>
      <c r="I15" s="145">
        <f t="shared" si="3"/>
        <v>0</v>
      </c>
      <c r="J15" s="432">
        <f t="shared" si="4"/>
        <v>0</v>
      </c>
      <c r="K15" s="434"/>
    </row>
    <row r="16" spans="1:11" s="154" customFormat="1" ht="19.5" customHeight="1" thickBot="1" x14ac:dyDescent="0.25">
      <c r="A16" s="147" t="s">
        <v>234</v>
      </c>
      <c r="B16" s="148">
        <f>SUM(B7:B15)</f>
        <v>0</v>
      </c>
      <c r="C16" s="149">
        <f>SUM(C7:C15)</f>
        <v>0</v>
      </c>
      <c r="D16" s="150"/>
      <c r="E16" s="151"/>
      <c r="F16" s="152"/>
      <c r="G16" s="135"/>
      <c r="H16" s="147" t="s">
        <v>234</v>
      </c>
      <c r="I16" s="148">
        <f>SUM(I7:I15)</f>
        <v>0</v>
      </c>
      <c r="J16" s="153">
        <f>SUM(J7:J15)</f>
        <v>0</v>
      </c>
      <c r="K16" s="135"/>
    </row>
    <row r="17" spans="1:11" ht="18" customHeight="1" thickBot="1" x14ac:dyDescent="0.25">
      <c r="A17" s="155" t="s">
        <v>235</v>
      </c>
      <c r="B17" s="156">
        <f>B16*20/100</f>
        <v>0</v>
      </c>
      <c r="C17" s="157">
        <f>C16*10/100</f>
        <v>0</v>
      </c>
      <c r="E17" s="158"/>
      <c r="F17" s="159"/>
      <c r="H17" s="155" t="s">
        <v>235</v>
      </c>
      <c r="I17" s="160">
        <f>I16*20/100</f>
        <v>0</v>
      </c>
      <c r="J17" s="161">
        <f>J16*10/100</f>
        <v>0</v>
      </c>
    </row>
    <row r="18" spans="1:11" ht="18" customHeight="1" thickBot="1" x14ac:dyDescent="0.25">
      <c r="A18" s="155" t="s">
        <v>17</v>
      </c>
      <c r="B18" s="162">
        <f>B16+B17</f>
        <v>0</v>
      </c>
      <c r="C18" s="163">
        <f>SUM(C16:C17)</f>
        <v>0</v>
      </c>
      <c r="E18" s="158"/>
      <c r="F18" s="159"/>
      <c r="H18" s="155" t="s">
        <v>17</v>
      </c>
      <c r="I18" s="162">
        <f>SUM(I16:I17)</f>
        <v>0</v>
      </c>
      <c r="J18" s="164">
        <f>SUM(J16:J17)</f>
        <v>0</v>
      </c>
    </row>
    <row r="19" spans="1:11" ht="18" customHeight="1" x14ac:dyDescent="0.2">
      <c r="A19" s="165"/>
      <c r="B19" s="165"/>
      <c r="C19" s="159"/>
      <c r="E19" s="158"/>
      <c r="F19" s="159"/>
    </row>
    <row r="20" spans="1:11" ht="17.100000000000001" customHeight="1" x14ac:dyDescent="0.2">
      <c r="A20" s="166" t="s">
        <v>236</v>
      </c>
      <c r="B20" s="166"/>
      <c r="D20" s="167" t="s">
        <v>237</v>
      </c>
      <c r="E20" s="167"/>
    </row>
    <row r="21" spans="1:11" ht="17.100000000000001" customHeight="1" x14ac:dyDescent="0.2">
      <c r="A21" s="166"/>
      <c r="B21" s="166"/>
      <c r="D21" s="167"/>
      <c r="E21" s="167"/>
    </row>
    <row r="22" spans="1:11" ht="17.100000000000001" customHeight="1" x14ac:dyDescent="0.2">
      <c r="A22" s="166"/>
      <c r="B22" s="166"/>
      <c r="D22" s="167"/>
      <c r="E22" s="167"/>
    </row>
    <row r="23" spans="1:11" ht="17.100000000000001" customHeight="1" x14ac:dyDescent="0.2">
      <c r="A23" s="166"/>
      <c r="B23" s="166"/>
      <c r="D23" s="167"/>
      <c r="E23" s="167"/>
    </row>
    <row r="24" spans="1:11" ht="17.100000000000001" customHeight="1" x14ac:dyDescent="0.2">
      <c r="A24" s="166"/>
      <c r="B24" s="166"/>
      <c r="D24" s="167"/>
      <c r="E24" s="167"/>
    </row>
    <row r="25" spans="1:11" ht="17.100000000000001" customHeight="1" x14ac:dyDescent="0.2">
      <c r="A25" s="166"/>
      <c r="B25" s="166"/>
      <c r="D25" s="167"/>
      <c r="E25" s="167"/>
    </row>
    <row r="26" spans="1:11" ht="17.100000000000001" customHeight="1" x14ac:dyDescent="0.2">
      <c r="A26" s="166"/>
      <c r="B26" s="166"/>
      <c r="D26" s="167"/>
      <c r="E26" s="167"/>
    </row>
    <row r="27" spans="1:11" ht="20.25" customHeight="1" x14ac:dyDescent="0.2">
      <c r="C27" s="168"/>
      <c r="D27" s="169"/>
      <c r="E27" s="170"/>
    </row>
    <row r="28" spans="1:11" ht="19.5" customHeight="1" x14ac:dyDescent="0.2">
      <c r="A28" s="823" t="s">
        <v>238</v>
      </c>
      <c r="B28" s="823"/>
      <c r="C28" s="823"/>
      <c r="D28" s="823"/>
      <c r="E28" s="823"/>
      <c r="F28" s="823"/>
      <c r="G28" s="823"/>
      <c r="H28" s="823"/>
      <c r="I28" s="823"/>
      <c r="J28" s="823"/>
    </row>
    <row r="29" spans="1:11" ht="19.5" customHeight="1" thickBot="1" x14ac:dyDescent="0.25">
      <c r="A29" s="171"/>
      <c r="B29" s="170"/>
      <c r="C29" s="172"/>
      <c r="D29" s="173"/>
      <c r="E29" s="135"/>
    </row>
    <row r="30" spans="1:11" ht="45" customHeight="1" thickBot="1" x14ac:dyDescent="0.25">
      <c r="A30" s="818" t="s">
        <v>226</v>
      </c>
      <c r="B30" s="140" t="s">
        <v>334</v>
      </c>
      <c r="C30" s="140" t="s">
        <v>334</v>
      </c>
      <c r="D30" s="818" t="s">
        <v>227</v>
      </c>
      <c r="E30" s="818" t="s">
        <v>228</v>
      </c>
      <c r="F30" s="820" t="s">
        <v>229</v>
      </c>
      <c r="G30" s="816" t="s">
        <v>230</v>
      </c>
      <c r="H30" s="816" t="s">
        <v>231</v>
      </c>
      <c r="I30" s="367" t="s">
        <v>335</v>
      </c>
      <c r="J30" s="369" t="s">
        <v>335</v>
      </c>
    </row>
    <row r="31" spans="1:11" ht="19.5" customHeight="1" thickBot="1" x14ac:dyDescent="0.25">
      <c r="A31" s="819"/>
      <c r="B31" s="366">
        <f>DONNEES!C24</f>
        <v>0.2</v>
      </c>
      <c r="C31" s="366">
        <f>DONNEES!E24</f>
        <v>0.1</v>
      </c>
      <c r="D31" s="819"/>
      <c r="E31" s="819"/>
      <c r="F31" s="821"/>
      <c r="G31" s="817"/>
      <c r="H31" s="817"/>
      <c r="I31" s="368">
        <f>DONNEES!C24</f>
        <v>0.2</v>
      </c>
      <c r="J31" s="368">
        <f>DONNEES!E24</f>
        <v>0.1</v>
      </c>
      <c r="K31" s="433" t="s">
        <v>336</v>
      </c>
    </row>
    <row r="32" spans="1:11" ht="19.5" customHeight="1" x14ac:dyDescent="0.2">
      <c r="A32" s="141">
        <v>1</v>
      </c>
      <c r="B32" s="424">
        <v>890</v>
      </c>
      <c r="C32" s="425"/>
      <c r="D32" s="479"/>
      <c r="E32" s="142">
        <f>$C$3</f>
        <v>107</v>
      </c>
      <c r="F32" s="428">
        <v>108</v>
      </c>
      <c r="G32" s="143">
        <f>IFERROR(SUM(0.15+(0.85*F32/E32)),0)</f>
        <v>1.0079439252336448</v>
      </c>
      <c r="H32" s="144">
        <f>ROUND(G32,3)</f>
        <v>1.008</v>
      </c>
      <c r="I32" s="145">
        <f>IF(K32="P","",(B32*(H32))-B32)</f>
        <v>7.1200000000000045</v>
      </c>
      <c r="J32" s="145">
        <f>(C32*(H32))-C32</f>
        <v>0</v>
      </c>
      <c r="K32" s="434"/>
    </row>
    <row r="33" spans="1:11" ht="19.5" customHeight="1" x14ac:dyDescent="0.2">
      <c r="A33" s="141">
        <v>2</v>
      </c>
      <c r="B33" s="424"/>
      <c r="C33" s="425"/>
      <c r="D33" s="479"/>
      <c r="E33" s="142">
        <f t="shared" ref="E33:E40" si="5">$C$3</f>
        <v>107</v>
      </c>
      <c r="F33" s="428"/>
      <c r="G33" s="143">
        <f t="shared" ref="G33:G40" si="6">IFERROR(SUM(0.15+(0.85*F33/E33)),0)</f>
        <v>0.15</v>
      </c>
      <c r="H33" s="144">
        <f t="shared" ref="H33:H40" si="7">ROUND(G33,3)</f>
        <v>0.15</v>
      </c>
      <c r="I33" s="145">
        <f t="shared" ref="I33:I40" si="8">(B33*(H33))-B33</f>
        <v>0</v>
      </c>
      <c r="J33" s="145">
        <f t="shared" ref="J33:J40" si="9">(C33*(H33))-C33</f>
        <v>0</v>
      </c>
      <c r="K33" s="434"/>
    </row>
    <row r="34" spans="1:11" ht="19.5" customHeight="1" x14ac:dyDescent="0.2">
      <c r="A34" s="141">
        <v>3</v>
      </c>
      <c r="B34" s="424"/>
      <c r="C34" s="425"/>
      <c r="D34" s="479"/>
      <c r="E34" s="142">
        <f t="shared" si="5"/>
        <v>107</v>
      </c>
      <c r="F34" s="428"/>
      <c r="G34" s="143">
        <f t="shared" si="6"/>
        <v>0.15</v>
      </c>
      <c r="H34" s="144">
        <f t="shared" si="7"/>
        <v>0.15</v>
      </c>
      <c r="I34" s="145">
        <f t="shared" si="8"/>
        <v>0</v>
      </c>
      <c r="J34" s="145">
        <f t="shared" si="9"/>
        <v>0</v>
      </c>
      <c r="K34" s="434"/>
    </row>
    <row r="35" spans="1:11" ht="19.5" customHeight="1" x14ac:dyDescent="0.2">
      <c r="A35" s="141">
        <v>4</v>
      </c>
      <c r="B35" s="424"/>
      <c r="C35" s="425"/>
      <c r="D35" s="479"/>
      <c r="E35" s="142">
        <f t="shared" si="5"/>
        <v>107</v>
      </c>
      <c r="F35" s="428"/>
      <c r="G35" s="143">
        <f t="shared" si="6"/>
        <v>0.15</v>
      </c>
      <c r="H35" s="144">
        <f t="shared" si="7"/>
        <v>0.15</v>
      </c>
      <c r="I35" s="145">
        <f t="shared" si="8"/>
        <v>0</v>
      </c>
      <c r="J35" s="145">
        <f t="shared" si="9"/>
        <v>0</v>
      </c>
      <c r="K35" s="434"/>
    </row>
    <row r="36" spans="1:11" ht="19.5" customHeight="1" x14ac:dyDescent="0.2">
      <c r="A36" s="141">
        <v>5</v>
      </c>
      <c r="B36" s="424"/>
      <c r="C36" s="425"/>
      <c r="D36" s="479"/>
      <c r="E36" s="142">
        <f t="shared" si="5"/>
        <v>107</v>
      </c>
      <c r="F36" s="428"/>
      <c r="G36" s="143">
        <f t="shared" si="6"/>
        <v>0.15</v>
      </c>
      <c r="H36" s="144">
        <f t="shared" si="7"/>
        <v>0.15</v>
      </c>
      <c r="I36" s="145">
        <f t="shared" si="8"/>
        <v>0</v>
      </c>
      <c r="J36" s="145">
        <f t="shared" si="9"/>
        <v>0</v>
      </c>
      <c r="K36" s="434"/>
    </row>
    <row r="37" spans="1:11" ht="19.5" customHeight="1" x14ac:dyDescent="0.2">
      <c r="A37" s="141">
        <v>6</v>
      </c>
      <c r="B37" s="424"/>
      <c r="C37" s="425"/>
      <c r="D37" s="479"/>
      <c r="E37" s="142">
        <f t="shared" si="5"/>
        <v>107</v>
      </c>
      <c r="F37" s="428"/>
      <c r="G37" s="143">
        <f t="shared" si="6"/>
        <v>0.15</v>
      </c>
      <c r="H37" s="144">
        <f t="shared" si="7"/>
        <v>0.15</v>
      </c>
      <c r="I37" s="145">
        <f t="shared" si="8"/>
        <v>0</v>
      </c>
      <c r="J37" s="145">
        <f t="shared" si="9"/>
        <v>0</v>
      </c>
      <c r="K37" s="434"/>
    </row>
    <row r="38" spans="1:11" ht="19.5" customHeight="1" x14ac:dyDescent="0.2">
      <c r="A38" s="146">
        <v>7</v>
      </c>
      <c r="B38" s="426"/>
      <c r="C38" s="427"/>
      <c r="D38" s="480"/>
      <c r="E38" s="142">
        <f t="shared" si="5"/>
        <v>107</v>
      </c>
      <c r="F38" s="429"/>
      <c r="G38" s="143">
        <f t="shared" si="6"/>
        <v>0.15</v>
      </c>
      <c r="H38" s="144">
        <f t="shared" si="7"/>
        <v>0.15</v>
      </c>
      <c r="I38" s="145">
        <f t="shared" si="8"/>
        <v>0</v>
      </c>
      <c r="J38" s="145">
        <f t="shared" si="9"/>
        <v>0</v>
      </c>
      <c r="K38" s="434"/>
    </row>
    <row r="39" spans="1:11" ht="18.75" customHeight="1" x14ac:dyDescent="0.2">
      <c r="A39" s="146">
        <v>8</v>
      </c>
      <c r="B39" s="426"/>
      <c r="C39" s="427"/>
      <c r="D39" s="480"/>
      <c r="E39" s="142">
        <f t="shared" si="5"/>
        <v>107</v>
      </c>
      <c r="F39" s="429"/>
      <c r="G39" s="143">
        <f t="shared" si="6"/>
        <v>0.15</v>
      </c>
      <c r="H39" s="144">
        <f t="shared" si="7"/>
        <v>0.15</v>
      </c>
      <c r="I39" s="145">
        <f t="shared" si="8"/>
        <v>0</v>
      </c>
      <c r="J39" s="145">
        <f t="shared" si="9"/>
        <v>0</v>
      </c>
      <c r="K39" s="434"/>
    </row>
    <row r="40" spans="1:11" ht="24" customHeight="1" thickBot="1" x14ac:dyDescent="0.25">
      <c r="A40" s="141">
        <v>9</v>
      </c>
      <c r="B40" s="424"/>
      <c r="C40" s="425"/>
      <c r="D40" s="479"/>
      <c r="E40" s="142">
        <f t="shared" si="5"/>
        <v>107</v>
      </c>
      <c r="F40" s="428"/>
      <c r="G40" s="143">
        <f t="shared" si="6"/>
        <v>0.15</v>
      </c>
      <c r="H40" s="144">
        <f t="shared" si="7"/>
        <v>0.15</v>
      </c>
      <c r="I40" s="145">
        <f t="shared" si="8"/>
        <v>0</v>
      </c>
      <c r="J40" s="145">
        <f t="shared" si="9"/>
        <v>0</v>
      </c>
      <c r="K40" s="434"/>
    </row>
    <row r="41" spans="1:11" ht="13.5" thickBot="1" x14ac:dyDescent="0.25">
      <c r="A41" s="147" t="s">
        <v>234</v>
      </c>
      <c r="B41" s="148">
        <f>SUM(B32:B40)</f>
        <v>890</v>
      </c>
      <c r="C41" s="149">
        <f>SUM(C32:C40)</f>
        <v>0</v>
      </c>
      <c r="D41" s="150"/>
      <c r="E41" s="151"/>
      <c r="F41" s="152"/>
      <c r="H41" s="147" t="s">
        <v>234</v>
      </c>
      <c r="I41" s="148">
        <f>SUM(I32:I40)</f>
        <v>7.1200000000000045</v>
      </c>
      <c r="J41" s="153">
        <f>SUM(J32:J40)</f>
        <v>0</v>
      </c>
    </row>
    <row r="42" spans="1:11" ht="13.5" thickBot="1" x14ac:dyDescent="0.25">
      <c r="A42" s="155" t="s">
        <v>235</v>
      </c>
      <c r="B42" s="156">
        <f>B41*20/100</f>
        <v>178</v>
      </c>
      <c r="C42" s="157">
        <f>C41*10/100</f>
        <v>0</v>
      </c>
      <c r="E42" s="158"/>
      <c r="F42" s="159"/>
      <c r="H42" s="155" t="s">
        <v>235</v>
      </c>
      <c r="I42" s="160">
        <f>I41*20/100</f>
        <v>1.4240000000000008</v>
      </c>
      <c r="J42" s="161">
        <f>J41*10/100</f>
        <v>0</v>
      </c>
    </row>
    <row r="43" spans="1:11" ht="13.5" thickBot="1" x14ac:dyDescent="0.25">
      <c r="A43" s="155" t="s">
        <v>17</v>
      </c>
      <c r="B43" s="162">
        <f>B41+B42</f>
        <v>1068</v>
      </c>
      <c r="C43" s="163">
        <f>SUM(C41:C42)</f>
        <v>0</v>
      </c>
      <c r="E43" s="158"/>
      <c r="F43" s="159"/>
      <c r="H43" s="155" t="s">
        <v>17</v>
      </c>
      <c r="I43" s="162">
        <f>SUM(I41:I42)</f>
        <v>8.5440000000000058</v>
      </c>
      <c r="J43" s="164">
        <f>SUM(J41:J42)</f>
        <v>0</v>
      </c>
    </row>
    <row r="44" spans="1:11" x14ac:dyDescent="0.2">
      <c r="A44" s="174"/>
    </row>
    <row r="45" spans="1:11" x14ac:dyDescent="0.2">
      <c r="A45" s="166" t="s">
        <v>236</v>
      </c>
      <c r="B45" s="166"/>
      <c r="D45" s="167" t="s">
        <v>237</v>
      </c>
    </row>
    <row r="46" spans="1:11" x14ac:dyDescent="0.2">
      <c r="A46" s="174"/>
    </row>
    <row r="47" spans="1:11" x14ac:dyDescent="0.2">
      <c r="A47" s="174"/>
    </row>
    <row r="48" spans="1:11" x14ac:dyDescent="0.2">
      <c r="A48" s="174"/>
    </row>
    <row r="49" spans="1:1" x14ac:dyDescent="0.2">
      <c r="A49" s="174"/>
    </row>
    <row r="50" spans="1:1" x14ac:dyDescent="0.2">
      <c r="A50" s="174"/>
    </row>
    <row r="51" spans="1:1" x14ac:dyDescent="0.2">
      <c r="A51" s="174"/>
    </row>
    <row r="52" spans="1:1" x14ac:dyDescent="0.2">
      <c r="A52" s="174"/>
    </row>
    <row r="53" spans="1:1" x14ac:dyDescent="0.2">
      <c r="A53" s="174"/>
    </row>
    <row r="54" spans="1:1" x14ac:dyDescent="0.2">
      <c r="A54" s="174"/>
    </row>
    <row r="55" spans="1:1" x14ac:dyDescent="0.2">
      <c r="A55" s="174"/>
    </row>
    <row r="56" spans="1:1" x14ac:dyDescent="0.2">
      <c r="A56" s="174"/>
    </row>
    <row r="57" spans="1:1" x14ac:dyDescent="0.2">
      <c r="A57" s="174"/>
    </row>
    <row r="58" spans="1:1" x14ac:dyDescent="0.2">
      <c r="A58" s="174"/>
    </row>
    <row r="59" spans="1:1" x14ac:dyDescent="0.2">
      <c r="A59" s="174"/>
    </row>
    <row r="60" spans="1:1" x14ac:dyDescent="0.2">
      <c r="A60" s="174"/>
    </row>
    <row r="61" spans="1:1" x14ac:dyDescent="0.2">
      <c r="A61" s="174"/>
    </row>
    <row r="62" spans="1:1" x14ac:dyDescent="0.2">
      <c r="A62" s="174"/>
    </row>
    <row r="63" spans="1:1" x14ac:dyDescent="0.2">
      <c r="A63" s="174"/>
    </row>
    <row r="64" spans="1:1" x14ac:dyDescent="0.2">
      <c r="A64" s="174"/>
    </row>
    <row r="65" spans="1:1" x14ac:dyDescent="0.2">
      <c r="A65" s="174"/>
    </row>
    <row r="66" spans="1:1" x14ac:dyDescent="0.2">
      <c r="A66" s="174"/>
    </row>
    <row r="67" spans="1:1" x14ac:dyDescent="0.2">
      <c r="A67" s="174"/>
    </row>
    <row r="68" spans="1:1" x14ac:dyDescent="0.2">
      <c r="A68" s="174"/>
    </row>
    <row r="69" spans="1:1" x14ac:dyDescent="0.2">
      <c r="A69" s="174"/>
    </row>
    <row r="70" spans="1:1" x14ac:dyDescent="0.2">
      <c r="A70" s="174"/>
    </row>
    <row r="71" spans="1:1" x14ac:dyDescent="0.2">
      <c r="A71" s="174"/>
    </row>
    <row r="72" spans="1:1" x14ac:dyDescent="0.2">
      <c r="A72" s="174"/>
    </row>
    <row r="73" spans="1:1" x14ac:dyDescent="0.2">
      <c r="A73" s="174"/>
    </row>
    <row r="74" spans="1:1" x14ac:dyDescent="0.2">
      <c r="A74" s="174"/>
    </row>
    <row r="75" spans="1:1" x14ac:dyDescent="0.2">
      <c r="A75" s="174"/>
    </row>
    <row r="76" spans="1:1" x14ac:dyDescent="0.2">
      <c r="A76" s="174"/>
    </row>
    <row r="77" spans="1:1" x14ac:dyDescent="0.2">
      <c r="A77" s="174"/>
    </row>
    <row r="78" spans="1:1" x14ac:dyDescent="0.2">
      <c r="A78" s="174"/>
    </row>
    <row r="79" spans="1:1" x14ac:dyDescent="0.2">
      <c r="A79" s="174"/>
    </row>
    <row r="80" spans="1:1" x14ac:dyDescent="0.2">
      <c r="A80" s="174"/>
    </row>
    <row r="81" spans="1:1" x14ac:dyDescent="0.2">
      <c r="A81" s="174"/>
    </row>
    <row r="82" spans="1:1" x14ac:dyDescent="0.2">
      <c r="A82" s="174"/>
    </row>
    <row r="83" spans="1:1" x14ac:dyDescent="0.2">
      <c r="A83" s="174"/>
    </row>
    <row r="84" spans="1:1" x14ac:dyDescent="0.2">
      <c r="A84" s="174"/>
    </row>
    <row r="85" spans="1:1" x14ac:dyDescent="0.2">
      <c r="A85" s="174"/>
    </row>
    <row r="86" spans="1:1" x14ac:dyDescent="0.2">
      <c r="A86" s="174"/>
    </row>
    <row r="87" spans="1:1" x14ac:dyDescent="0.2">
      <c r="A87" s="174"/>
    </row>
    <row r="88" spans="1:1" x14ac:dyDescent="0.2">
      <c r="A88" s="174"/>
    </row>
    <row r="89" spans="1:1" x14ac:dyDescent="0.2">
      <c r="A89" s="174"/>
    </row>
    <row r="90" spans="1:1" x14ac:dyDescent="0.2">
      <c r="A90" s="174"/>
    </row>
    <row r="91" spans="1:1" x14ac:dyDescent="0.2">
      <c r="A91" s="174"/>
    </row>
    <row r="92" spans="1:1" x14ac:dyDescent="0.2">
      <c r="A92" s="174"/>
    </row>
    <row r="93" spans="1:1" x14ac:dyDescent="0.2">
      <c r="A93" s="174"/>
    </row>
    <row r="94" spans="1:1" x14ac:dyDescent="0.2">
      <c r="A94" s="174"/>
    </row>
    <row r="95" spans="1:1" x14ac:dyDescent="0.2">
      <c r="A95" s="174"/>
    </row>
  </sheetData>
  <sheetProtection algorithmName="SHA-512" hashValue="hQIlVv8/KMawtBGDInfnDQAyxIrh825B3SY/N/ZNprXkenTOOX5wrMrKE0GBR++uGZ4MHyn5kk1rPlw9tX+xyw==" saltValue="jLCtsPOWviZdwNE331b48A==" spinCount="100000" sheet="1" objects="1" scenarios="1" autoFilter="0"/>
  <mergeCells count="14">
    <mergeCell ref="A1:J1"/>
    <mergeCell ref="A28:J28"/>
    <mergeCell ref="A5:A6"/>
    <mergeCell ref="D5:D6"/>
    <mergeCell ref="E5:E6"/>
    <mergeCell ref="F5:F6"/>
    <mergeCell ref="G5:G6"/>
    <mergeCell ref="H5:H6"/>
    <mergeCell ref="H30:H31"/>
    <mergeCell ref="A30:A31"/>
    <mergeCell ref="D30:D31"/>
    <mergeCell ref="E30:E31"/>
    <mergeCell ref="F30:F31"/>
    <mergeCell ref="G30:G31"/>
  </mergeCells>
  <printOptions horizontalCentered="1"/>
  <pageMargins left="0.39374999999999999" right="0.31527777777777777" top="1.3402777777777779" bottom="0.39374999999999999" header="0.51180555555555562" footer="0.51180555555555562"/>
  <pageSetup paperSize="9" scale="94" firstPageNumber="0" orientation="landscape" horizontalDpi="300" verticalDpi="300" r:id="rId1"/>
  <headerFooter alignWithMargins="0">
    <oddHeader>&amp;CREVISIONS</oddHeader>
  </headerFooter>
  <rowBreaks count="1" manualBreakCount="1">
    <brk id="25" max="10"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LISTES!$I$1:$I$2</xm:f>
          </x14:formula1>
          <xm:sqref>K7:K15 K32:K40</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rgb="FF92D050"/>
    <pageSetUpPr fitToPage="1"/>
  </sheetPr>
  <dimension ref="A1:AL87"/>
  <sheetViews>
    <sheetView topLeftCell="A31" zoomScale="90" zoomScaleNormal="90" workbookViewId="0">
      <selection activeCell="B52" sqref="B52"/>
    </sheetView>
  </sheetViews>
  <sheetFormatPr baseColWidth="10" defaultRowHeight="18" customHeight="1" x14ac:dyDescent="0.3"/>
  <cols>
    <col min="1" max="1" width="5.42578125" style="9" customWidth="1"/>
    <col min="2" max="2" width="43.42578125" style="10" customWidth="1"/>
    <col min="3" max="3" width="17.85546875" style="10" customWidth="1"/>
    <col min="4" max="4" width="19" style="10" customWidth="1"/>
    <col min="5" max="5" width="19.5703125" style="10" customWidth="1"/>
    <col min="6" max="6" width="21" style="10" customWidth="1"/>
    <col min="7" max="7" width="17.85546875" style="10" bestFit="1" customWidth="1"/>
    <col min="8" max="8" width="20.7109375" style="10" bestFit="1" customWidth="1"/>
    <col min="9" max="9" width="17.85546875" style="10" bestFit="1" customWidth="1"/>
    <col min="10" max="10" width="14.5703125" style="21" customWidth="1"/>
    <col min="11" max="11" width="11.85546875" style="21" bestFit="1" customWidth="1"/>
    <col min="12" max="12" width="6.140625" style="21" customWidth="1"/>
    <col min="13" max="38" width="11.42578125" style="21"/>
    <col min="39" max="16384" width="11.42578125" style="10"/>
  </cols>
  <sheetData>
    <row r="1" spans="1:9" ht="18" customHeight="1" x14ac:dyDescent="0.3">
      <c r="A1" s="21"/>
      <c r="B1" s="21"/>
      <c r="C1" s="11" t="s">
        <v>0</v>
      </c>
      <c r="D1" s="59"/>
      <c r="E1" s="374">
        <f>'CPP TITULAIRE-ST'!E1</f>
        <v>0</v>
      </c>
      <c r="F1" s="827"/>
      <c r="G1" s="828"/>
      <c r="H1" s="828"/>
      <c r="I1" s="828"/>
    </row>
    <row r="2" spans="1:9" ht="18" customHeight="1" x14ac:dyDescent="0.3">
      <c r="A2" s="21"/>
      <c r="B2" s="21"/>
      <c r="C2" s="11" t="s">
        <v>72</v>
      </c>
      <c r="D2" s="667">
        <f>DONNEES!C2</f>
        <v>0</v>
      </c>
      <c r="E2" s="667"/>
      <c r="F2" s="667"/>
      <c r="G2" s="667"/>
      <c r="H2" s="667"/>
      <c r="I2" s="667"/>
    </row>
    <row r="3" spans="1:9" ht="18" customHeight="1" x14ac:dyDescent="0.3">
      <c r="A3" s="21"/>
      <c r="B3" s="21"/>
      <c r="C3" s="11" t="s">
        <v>2</v>
      </c>
      <c r="D3" s="667">
        <f>DONNEES!C3</f>
        <v>0</v>
      </c>
      <c r="E3" s="667"/>
      <c r="F3" s="667"/>
      <c r="G3" s="667"/>
      <c r="H3" s="667"/>
      <c r="I3" s="667"/>
    </row>
    <row r="4" spans="1:9" ht="18" customHeight="1" x14ac:dyDescent="0.3">
      <c r="A4" s="21"/>
      <c r="B4" s="21"/>
      <c r="C4" s="11" t="s">
        <v>3</v>
      </c>
      <c r="D4" s="667" t="str">
        <f>DONNEES!C5</f>
        <v>yy</v>
      </c>
      <c r="E4" s="667"/>
      <c r="F4" s="667"/>
      <c r="G4" s="667"/>
      <c r="H4" s="667"/>
      <c r="I4" s="667"/>
    </row>
    <row r="5" spans="1:9" ht="18" customHeight="1" x14ac:dyDescent="0.3">
      <c r="A5" s="21"/>
      <c r="B5" s="21"/>
      <c r="C5" s="11" t="s">
        <v>4</v>
      </c>
      <c r="D5" s="667">
        <f>DONNEES!C14</f>
        <v>0</v>
      </c>
      <c r="E5" s="667"/>
      <c r="F5" s="667"/>
      <c r="G5" s="667"/>
      <c r="H5" s="667"/>
      <c r="I5" s="667"/>
    </row>
    <row r="6" spans="1:9" ht="18" customHeight="1" x14ac:dyDescent="0.3">
      <c r="A6" s="21"/>
      <c r="B6" s="21"/>
      <c r="C6" s="11" t="s">
        <v>5</v>
      </c>
      <c r="D6" s="667">
        <f>DONNEES!C15</f>
        <v>0</v>
      </c>
      <c r="E6" s="667"/>
      <c r="F6" s="667"/>
      <c r="G6" s="667"/>
      <c r="H6" s="667"/>
      <c r="I6" s="667"/>
    </row>
    <row r="7" spans="1:9" ht="18" customHeight="1" x14ac:dyDescent="0.3">
      <c r="A7" s="21"/>
      <c r="B7" s="21"/>
      <c r="C7" s="11" t="s">
        <v>6</v>
      </c>
      <c r="D7" s="11"/>
      <c r="E7" s="224">
        <f>'CPP TITULAIRE-ST'!E7</f>
        <v>0</v>
      </c>
      <c r="F7" s="13" t="s">
        <v>49</v>
      </c>
      <c r="G7" s="224">
        <f>'CPP TITULAIRE-ST'!G7</f>
        <v>0</v>
      </c>
      <c r="H7" s="21"/>
      <c r="I7" s="60"/>
    </row>
    <row r="8" spans="1:9" ht="18" customHeight="1" x14ac:dyDescent="0.3">
      <c r="A8" s="21"/>
      <c r="B8" s="21"/>
      <c r="C8" s="21"/>
      <c r="D8" s="21"/>
      <c r="E8" s="21"/>
      <c r="F8" s="21"/>
      <c r="G8" s="21"/>
      <c r="H8" s="21"/>
      <c r="I8" s="21"/>
    </row>
    <row r="9" spans="1:9" ht="18" customHeight="1" x14ac:dyDescent="0.3">
      <c r="B9" s="791" t="s">
        <v>7</v>
      </c>
      <c r="C9" s="791"/>
      <c r="D9" s="791"/>
      <c r="E9" s="21"/>
      <c r="F9" s="21"/>
      <c r="G9" s="21"/>
      <c r="H9" s="21"/>
      <c r="I9" s="21"/>
    </row>
    <row r="10" spans="1:9" ht="18" customHeight="1" x14ac:dyDescent="0.3">
      <c r="A10" s="21"/>
      <c r="B10" s="11" t="s">
        <v>8</v>
      </c>
      <c r="C10" s="375">
        <v>0.2</v>
      </c>
      <c r="D10" s="375">
        <v>0.1</v>
      </c>
      <c r="E10" s="17" t="s">
        <v>65</v>
      </c>
      <c r="F10" s="21"/>
      <c r="G10" s="21"/>
      <c r="H10" s="21"/>
      <c r="I10" s="21"/>
    </row>
    <row r="11" spans="1:9" ht="18" customHeight="1" x14ac:dyDescent="0.3">
      <c r="A11" s="21"/>
      <c r="B11" s="11" t="s">
        <v>9</v>
      </c>
      <c r="C11" s="339">
        <f>'CPP TITULAIRE-ST'!C11+'CPP CO-TRAITANT-ST'!C11</f>
        <v>260000</v>
      </c>
      <c r="D11" s="339">
        <f>'CPP TITULAIRE-ST'!D11+'CPP CO-TRAITANT-ST'!D11</f>
        <v>0</v>
      </c>
      <c r="E11" s="20">
        <f>C11+D11</f>
        <v>260000</v>
      </c>
      <c r="F11" s="21"/>
      <c r="G11" s="21"/>
      <c r="H11" s="21"/>
      <c r="I11" s="21"/>
    </row>
    <row r="12" spans="1:9" ht="18" customHeight="1" x14ac:dyDescent="0.3">
      <c r="A12" s="21"/>
      <c r="B12" s="11" t="s">
        <v>10</v>
      </c>
      <c r="C12" s="339" t="e">
        <f>'CPP TITULAIRE-ST'!C12+'CPP CO-TRAITANT-ST'!C12</f>
        <v>#REF!</v>
      </c>
      <c r="D12" s="339" t="e">
        <f>'CPP TITULAIRE-ST'!D12+'CPP CO-TRAITANT-ST'!D12</f>
        <v>#REF!</v>
      </c>
      <c r="E12" s="20" t="e">
        <f t="shared" ref="E12:E16" si="0">C12+D12</f>
        <v>#REF!</v>
      </c>
      <c r="F12" s="21"/>
      <c r="G12" s="21"/>
      <c r="H12" s="21"/>
      <c r="I12" s="21"/>
    </row>
    <row r="13" spans="1:9" ht="18" customHeight="1" x14ac:dyDescent="0.3">
      <c r="A13" s="21"/>
      <c r="B13" s="11" t="s">
        <v>11</v>
      </c>
      <c r="C13" s="339" t="e">
        <f>'CPP TITULAIRE-ST'!C13+'CPP CO-TRAITANT-ST'!C13</f>
        <v>#REF!</v>
      </c>
      <c r="D13" s="339" t="e">
        <f>'CPP TITULAIRE-ST'!D13+'CPP CO-TRAITANT-ST'!D13</f>
        <v>#REF!</v>
      </c>
      <c r="E13" s="20" t="e">
        <f t="shared" si="0"/>
        <v>#REF!</v>
      </c>
      <c r="F13" s="21"/>
      <c r="G13" s="21"/>
      <c r="H13" s="21"/>
      <c r="I13" s="21"/>
    </row>
    <row r="14" spans="1:9" ht="18" customHeight="1" x14ac:dyDescent="0.3">
      <c r="A14" s="21"/>
      <c r="B14" s="11" t="s">
        <v>12</v>
      </c>
      <c r="C14" s="339" t="e">
        <f>'CPP TITULAIRE-ST'!C14+'CPP CO-TRAITANT-ST'!C14</f>
        <v>#REF!</v>
      </c>
      <c r="D14" s="339" t="e">
        <f>'CPP TITULAIRE-ST'!D14+'CPP CO-TRAITANT-ST'!D14</f>
        <v>#REF!</v>
      </c>
      <c r="E14" s="20" t="e">
        <f t="shared" si="0"/>
        <v>#REF!</v>
      </c>
      <c r="F14" s="21"/>
      <c r="G14" s="21"/>
      <c r="H14" s="21"/>
      <c r="I14" s="21"/>
    </row>
    <row r="15" spans="1:9" ht="18" customHeight="1" x14ac:dyDescent="0.3">
      <c r="A15" s="21"/>
      <c r="B15" s="11" t="s">
        <v>13</v>
      </c>
      <c r="C15" s="339" t="e">
        <f>'CPP TITULAIRE-ST'!C18+'CPP CO-TRAITANT-ST'!C18</f>
        <v>#REF!</v>
      </c>
      <c r="D15" s="339" t="e">
        <f>'CPP TITULAIRE-ST'!D18+'CPP CO-TRAITANT-ST'!D18</f>
        <v>#REF!</v>
      </c>
      <c r="E15" s="20" t="e">
        <f t="shared" si="0"/>
        <v>#REF!</v>
      </c>
      <c r="F15" s="21"/>
      <c r="G15" s="21"/>
      <c r="H15" s="21"/>
      <c r="I15" s="21"/>
    </row>
    <row r="16" spans="1:9" ht="18" customHeight="1" x14ac:dyDescent="0.3">
      <c r="A16" s="21"/>
      <c r="B16" s="11" t="s">
        <v>73</v>
      </c>
      <c r="C16" s="339">
        <f>'CPP TITULAIRE-ST'!C19+'CPP CO-TRAITANT-ST'!C19</f>
        <v>0</v>
      </c>
      <c r="D16" s="339">
        <f>'CPP TITULAIRE-ST'!D19+'CPP CO-TRAITANT-ST'!D19</f>
        <v>0</v>
      </c>
      <c r="E16" s="20">
        <f t="shared" si="0"/>
        <v>0</v>
      </c>
      <c r="F16" s="21"/>
      <c r="G16" s="21"/>
      <c r="H16" s="21"/>
      <c r="I16" s="21"/>
    </row>
    <row r="17" spans="1:9" ht="18" customHeight="1" x14ac:dyDescent="0.3">
      <c r="A17" s="21"/>
      <c r="B17" s="24" t="s">
        <v>14</v>
      </c>
      <c r="C17" s="25" t="e">
        <f>SUM(C11:C15)-C16</f>
        <v>#REF!</v>
      </c>
      <c r="D17" s="25" t="e">
        <f>SUM(D11:D15)-D16</f>
        <v>#REF!</v>
      </c>
      <c r="E17" s="20" t="e">
        <f>C17+D17</f>
        <v>#REF!</v>
      </c>
      <c r="F17" s="21"/>
      <c r="G17" s="21"/>
      <c r="H17" s="21"/>
      <c r="I17" s="21"/>
    </row>
    <row r="18" spans="1:9" ht="18" customHeight="1" x14ac:dyDescent="0.3">
      <c r="A18" s="21"/>
      <c r="B18" s="24" t="s">
        <v>15</v>
      </c>
      <c r="C18" s="25" t="e">
        <f>C17*C10</f>
        <v>#REF!</v>
      </c>
      <c r="D18" s="25" t="e">
        <f>D17*D10</f>
        <v>#REF!</v>
      </c>
      <c r="E18" s="21"/>
      <c r="F18" s="21"/>
      <c r="G18" s="21"/>
      <c r="H18" s="21"/>
      <c r="I18" s="21"/>
    </row>
    <row r="19" spans="1:9" ht="18" customHeight="1" x14ac:dyDescent="0.3">
      <c r="A19" s="21"/>
      <c r="B19" s="24" t="s">
        <v>16</v>
      </c>
      <c r="C19" s="25" t="e">
        <f>C17+C18</f>
        <v>#REF!</v>
      </c>
      <c r="D19" s="25" t="e">
        <f>D17+D18</f>
        <v>#REF!</v>
      </c>
      <c r="E19" s="21"/>
      <c r="F19" s="21"/>
      <c r="G19" s="21"/>
      <c r="H19" s="21"/>
      <c r="I19" s="21"/>
    </row>
    <row r="20" spans="1:9" ht="18" customHeight="1" x14ac:dyDescent="0.3">
      <c r="A20" s="21"/>
      <c r="B20" s="24" t="s">
        <v>17</v>
      </c>
      <c r="C20" s="624" t="e">
        <f>C19+D19</f>
        <v>#REF!</v>
      </c>
      <c r="D20" s="624"/>
      <c r="E20" s="21"/>
      <c r="F20" s="21"/>
      <c r="G20" s="21"/>
      <c r="H20" s="21"/>
      <c r="I20" s="21"/>
    </row>
    <row r="21" spans="1:9" ht="18" customHeight="1" x14ac:dyDescent="0.3">
      <c r="A21" s="21"/>
      <c r="B21" s="21"/>
      <c r="C21" s="21"/>
      <c r="D21" s="21"/>
      <c r="E21" s="21"/>
      <c r="F21" s="21"/>
      <c r="G21" s="21"/>
      <c r="H21" s="21"/>
      <c r="I21" s="21"/>
    </row>
    <row r="22" spans="1:9" ht="18" customHeight="1" x14ac:dyDescent="0.3">
      <c r="A22" s="21"/>
      <c r="B22" s="829" t="s">
        <v>33</v>
      </c>
      <c r="C22" s="829"/>
      <c r="D22" s="829"/>
      <c r="E22" s="665" t="s">
        <v>33</v>
      </c>
      <c r="F22" s="665"/>
      <c r="G22" s="665"/>
      <c r="H22" s="21"/>
      <c r="I22" s="21"/>
    </row>
    <row r="23" spans="1:9" ht="18" customHeight="1" x14ac:dyDescent="0.3">
      <c r="A23" s="21"/>
      <c r="B23" s="19" t="s">
        <v>34</v>
      </c>
      <c r="C23" s="19" t="s">
        <v>35</v>
      </c>
      <c r="D23" s="19" t="s">
        <v>36</v>
      </c>
      <c r="E23" s="19" t="s">
        <v>34</v>
      </c>
      <c r="F23" s="19" t="s">
        <v>35</v>
      </c>
      <c r="G23" s="19" t="s">
        <v>36</v>
      </c>
      <c r="H23" s="21"/>
      <c r="I23" s="21"/>
    </row>
    <row r="24" spans="1:9" ht="18" customHeight="1" x14ac:dyDescent="0.3">
      <c r="A24" s="21"/>
      <c r="B24" s="62" t="e">
        <f>'CPP TITULAIRE-ST'!#REF!</f>
        <v>#REF!</v>
      </c>
      <c r="C24" s="224" t="e">
        <f>'CPP TITULAIRE-ST'!#REF!</f>
        <v>#REF!</v>
      </c>
      <c r="D24" s="340" t="e">
        <f>'CPP TITULAIRE-ST'!#REF!</f>
        <v>#REF!</v>
      </c>
      <c r="E24" s="224" t="str">
        <f>'CPP CO-TRAITANT-ST'!B28</f>
        <v>Cotraitant</v>
      </c>
      <c r="F24" s="224">
        <f>'CPP CO-TRAITANT-ST'!C28</f>
        <v>0</v>
      </c>
      <c r="G24" s="33">
        <f>'CPP CO-TRAITANT-ST'!D28+'CPP CO-TRAITANT-ST'!E28</f>
        <v>0</v>
      </c>
      <c r="H24" s="21"/>
      <c r="I24" s="21"/>
    </row>
    <row r="25" spans="1:9" ht="18" customHeight="1" x14ac:dyDescent="0.3">
      <c r="A25" s="21"/>
      <c r="B25" s="62" t="e">
        <f>'CPP TITULAIRE-ST'!#REF!</f>
        <v>#REF!</v>
      </c>
      <c r="C25" s="224" t="e">
        <f>'CPP TITULAIRE-ST'!#REF!</f>
        <v>#REF!</v>
      </c>
      <c r="D25" s="340" t="e">
        <f>'CPP TITULAIRE-ST'!#REF!</f>
        <v>#REF!</v>
      </c>
      <c r="E25" s="224">
        <f>'CPP CO-TRAITANT-ST'!B29</f>
        <v>0</v>
      </c>
      <c r="F25" s="224">
        <f>'CPP CO-TRAITANT-ST'!C29</f>
        <v>0</v>
      </c>
      <c r="G25" s="33" t="e">
        <f>'CPP CO-TRAITANT-ST'!D29+'CPP CO-TRAITANT-ST'!E29</f>
        <v>#REF!</v>
      </c>
      <c r="H25" s="21"/>
      <c r="I25" s="21"/>
    </row>
    <row r="26" spans="1:9" ht="18" customHeight="1" x14ac:dyDescent="0.3">
      <c r="A26" s="21"/>
      <c r="B26" s="62" t="e">
        <f>'CPP TITULAIRE-ST'!#REF!</f>
        <v>#REF!</v>
      </c>
      <c r="C26" s="224" t="e">
        <f>'CPP TITULAIRE-ST'!#REF!</f>
        <v>#REF!</v>
      </c>
      <c r="D26" s="340" t="e">
        <f>'CPP TITULAIRE-ST'!#REF!</f>
        <v>#REF!</v>
      </c>
      <c r="E26" s="224">
        <f>'CPP CO-TRAITANT-ST'!B30</f>
        <v>0</v>
      </c>
      <c r="F26" s="224">
        <f>'CPP CO-TRAITANT-ST'!C30</f>
        <v>0</v>
      </c>
      <c r="G26" s="33" t="e">
        <f>'CPP CO-TRAITANT-ST'!D30+'CPP CO-TRAITANT-ST'!E30</f>
        <v>#REF!</v>
      </c>
      <c r="H26" s="21"/>
      <c r="I26" s="21"/>
    </row>
    <row r="27" spans="1:9" ht="18" customHeight="1" x14ac:dyDescent="0.3">
      <c r="A27" s="21"/>
      <c r="B27" s="62" t="str">
        <f>'CPP TITULAIRE-ST'!B28</f>
        <v>Titulaire</v>
      </c>
      <c r="C27" s="224" t="str">
        <f>'CPP TITULAIRE-ST'!C28</f>
        <v>yy</v>
      </c>
      <c r="D27" s="340">
        <f>'CPP TITULAIRE-ST'!D28</f>
        <v>260000</v>
      </c>
      <c r="E27" s="224">
        <f>'CPP CO-TRAITANT-ST'!B31</f>
        <v>0</v>
      </c>
      <c r="F27" s="224">
        <f>'CPP CO-TRAITANT-ST'!C31</f>
        <v>0</v>
      </c>
      <c r="G27" s="33" t="e">
        <f>'CPP CO-TRAITANT-ST'!D31+'CPP CO-TRAITANT-ST'!E31</f>
        <v>#REF!</v>
      </c>
      <c r="H27" s="21"/>
      <c r="I27" s="21"/>
    </row>
    <row r="28" spans="1:9" ht="18" customHeight="1" x14ac:dyDescent="0.3">
      <c r="A28" s="21"/>
      <c r="B28" s="62" t="str">
        <f>'CPP TITULAIRE-ST'!B29</f>
        <v>ST TVA autoliquidée</v>
      </c>
      <c r="C28" s="224" t="str">
        <f>'CPP TITULAIRE-ST'!C29</f>
        <v>tt</v>
      </c>
      <c r="D28" s="340">
        <f>'CPP TITULAIRE-ST'!D29</f>
        <v>0</v>
      </c>
      <c r="E28" s="224">
        <f>'CPP CO-TRAITANT-ST'!B32</f>
        <v>0</v>
      </c>
      <c r="F28" s="224">
        <f>'CPP CO-TRAITANT-ST'!C32</f>
        <v>0</v>
      </c>
      <c r="G28" s="33" t="e">
        <f>'CPP CO-TRAITANT-ST'!D32+'CPP CO-TRAITANT-ST'!E32</f>
        <v>#REF!</v>
      </c>
      <c r="H28" s="21"/>
      <c r="I28" s="21"/>
    </row>
    <row r="29" spans="1:9" ht="18" customHeight="1" x14ac:dyDescent="0.3">
      <c r="A29" s="21"/>
      <c r="B29" s="62">
        <f>'CPP TITULAIRE-ST'!B37</f>
        <v>0</v>
      </c>
      <c r="C29" s="224">
        <f>'CPP TITULAIRE-ST'!C37</f>
        <v>0</v>
      </c>
      <c r="D29" s="340">
        <f>'CPP TITULAIRE-ST'!D37</f>
        <v>0</v>
      </c>
      <c r="E29" s="224">
        <f>'CPP CO-TRAITANT-ST'!B33</f>
        <v>0</v>
      </c>
      <c r="F29" s="224">
        <f>'CPP CO-TRAITANT-ST'!C33</f>
        <v>0</v>
      </c>
      <c r="G29" s="33" t="e">
        <f>'CPP CO-TRAITANT-ST'!D33+'CPP CO-TRAITANT-ST'!E33</f>
        <v>#REF!</v>
      </c>
      <c r="H29" s="21"/>
      <c r="I29" s="21"/>
    </row>
    <row r="30" spans="1:9" ht="18" customHeight="1" x14ac:dyDescent="0.3">
      <c r="A30" s="21"/>
      <c r="B30" s="62" t="e">
        <f>'CPP TITULAIRE-ST'!#REF!</f>
        <v>#REF!</v>
      </c>
      <c r="C30" s="224" t="e">
        <f>'CPP TITULAIRE-ST'!#REF!</f>
        <v>#REF!</v>
      </c>
      <c r="D30" s="340" t="e">
        <f>'CPP TITULAIRE-ST'!#REF!</f>
        <v>#REF!</v>
      </c>
      <c r="E30" s="224">
        <f>'CPP CO-TRAITANT-ST'!B34</f>
        <v>0</v>
      </c>
      <c r="F30" s="224">
        <f>'CPP CO-TRAITANT-ST'!C34</f>
        <v>0</v>
      </c>
      <c r="G30" s="33" t="e">
        <f>'CPP CO-TRAITANT-ST'!D34+'CPP CO-TRAITANT-ST'!E34</f>
        <v>#REF!</v>
      </c>
      <c r="H30" s="21"/>
      <c r="I30" s="21"/>
    </row>
    <row r="31" spans="1:9" ht="18" customHeight="1" x14ac:dyDescent="0.3">
      <c r="A31" s="21"/>
      <c r="H31" s="21"/>
      <c r="I31" s="21"/>
    </row>
    <row r="32" spans="1:9" ht="18" customHeight="1" x14ac:dyDescent="0.3">
      <c r="A32" s="21"/>
      <c r="B32" s="830" t="s">
        <v>18</v>
      </c>
      <c r="C32" s="830"/>
      <c r="D32" s="830"/>
      <c r="E32" s="695" t="s">
        <v>172</v>
      </c>
      <c r="F32" s="833" t="s">
        <v>172</v>
      </c>
      <c r="G32" s="671" t="s">
        <v>71</v>
      </c>
      <c r="H32" s="671" t="s">
        <v>31</v>
      </c>
      <c r="I32" s="21"/>
    </row>
    <row r="33" spans="1:9" ht="18" customHeight="1" x14ac:dyDescent="0.3">
      <c r="A33" s="21"/>
      <c r="B33" s="831" t="s">
        <v>32</v>
      </c>
      <c r="C33" s="831"/>
      <c r="D33" s="831"/>
      <c r="E33" s="695"/>
      <c r="F33" s="833"/>
      <c r="G33" s="671"/>
      <c r="H33" s="671"/>
      <c r="I33" s="21"/>
    </row>
    <row r="34" spans="1:9" ht="18" customHeight="1" x14ac:dyDescent="0.3">
      <c r="A34" s="21"/>
      <c r="B34" s="29"/>
      <c r="C34" s="832" t="s">
        <v>30</v>
      </c>
      <c r="D34" s="832"/>
      <c r="E34" s="63">
        <f>C10</f>
        <v>0.2</v>
      </c>
      <c r="F34" s="63">
        <f>D10</f>
        <v>0.1</v>
      </c>
      <c r="G34" s="671"/>
      <c r="H34" s="671"/>
      <c r="I34" s="21"/>
    </row>
    <row r="35" spans="1:9" ht="18" customHeight="1" x14ac:dyDescent="0.3">
      <c r="A35" s="67">
        <f>'CPP TITULAIRE-ST'!A104</f>
        <v>1</v>
      </c>
      <c r="B35" s="67" t="str">
        <f>'CPP TITULAIRE-ST'!B104</f>
        <v>Avance TF HT</v>
      </c>
      <c r="C35" s="31"/>
      <c r="D35" s="31"/>
      <c r="E35" s="33">
        <f>'CPP TITULAIRE-ST'!E104+'CPP CO-TRAITANT-ST'!E110</f>
        <v>0</v>
      </c>
      <c r="F35" s="33">
        <f>'CPP TITULAIRE-ST'!F104+'CPP CO-TRAITANT-ST'!F110</f>
        <v>0</v>
      </c>
      <c r="G35" s="33">
        <f>E35+F35</f>
        <v>0</v>
      </c>
      <c r="H35" s="34"/>
      <c r="I35" s="21"/>
    </row>
    <row r="36" spans="1:9" ht="18" customHeight="1" x14ac:dyDescent="0.3">
      <c r="A36" s="67" t="str">
        <f>'CPP TITULAIRE-ST'!A111</f>
        <v>1aa</v>
      </c>
      <c r="B36" s="67" t="str">
        <f>'CPP TITULAIRE-ST'!B111</f>
        <v xml:space="preserve">restitution avance suite DC4 </v>
      </c>
      <c r="C36" s="33">
        <f>'CPP TITULAIRE-ST'!C111+'CPP CO-TRAITANT-ST'!C111</f>
        <v>0</v>
      </c>
      <c r="D36" s="33">
        <f>'CPP TITULAIRE-ST'!D111+'CPP CO-TRAITANT-ST'!D111</f>
        <v>0</v>
      </c>
      <c r="E36" s="33">
        <f>'CPP TITULAIRE-ST'!E111+'CPP CO-TRAITANT-ST'!E111</f>
        <v>0</v>
      </c>
      <c r="F36" s="33">
        <f>'CPP TITULAIRE-ST'!F111+'CPP CO-TRAITANT-ST'!F111</f>
        <v>0</v>
      </c>
      <c r="G36" s="33">
        <f>E36+F36</f>
        <v>0</v>
      </c>
      <c r="H36" s="34"/>
      <c r="I36" s="21"/>
    </row>
    <row r="37" spans="1:9" ht="39" customHeight="1" x14ac:dyDescent="0.3">
      <c r="A37" s="67" t="str">
        <f>'CPP TITULAIRE-ST'!A112</f>
        <v>1b</v>
      </c>
      <c r="B37" s="67" t="str">
        <f>'CPP TITULAIRE-ST'!B112</f>
        <v>Remboursement avance TF HT</v>
      </c>
      <c r="C37" s="33">
        <f>'CPP TITULAIRE-ST'!C112+'CPP CO-TRAITANT-ST'!C112</f>
        <v>0</v>
      </c>
      <c r="D37" s="33">
        <f>'CPP TITULAIRE-ST'!D112+'CPP CO-TRAITANT-ST'!D112</f>
        <v>0</v>
      </c>
      <c r="E37" s="33">
        <f>'CPP TITULAIRE-ST'!E112+'CPP CO-TRAITANT-ST'!E112</f>
        <v>0</v>
      </c>
      <c r="F37" s="33">
        <f>'CPP TITULAIRE-ST'!F112+'CPP CO-TRAITANT-ST'!F112</f>
        <v>0</v>
      </c>
      <c r="G37" s="33">
        <f>E37+F37</f>
        <v>0</v>
      </c>
      <c r="H37" s="34"/>
      <c r="I37" s="21"/>
    </row>
    <row r="38" spans="1:9" ht="18" customHeight="1" x14ac:dyDescent="0.3">
      <c r="A38" s="67" t="str">
        <f>'CPP TITULAIRE-ST'!A119</f>
        <v>2a</v>
      </c>
      <c r="B38" s="67" t="str">
        <f>'CPP TITULAIRE-ST'!B119</f>
        <v>Tranche Ferme HT</v>
      </c>
      <c r="C38" s="33">
        <f>'CPP TITULAIRE-ST'!C119+'CPP CO-TRAITANT-ST'!C113</f>
        <v>0</v>
      </c>
      <c r="D38" s="33">
        <f>'CPP TITULAIRE-ST'!D119+'CPP CO-TRAITANT-ST'!D113</f>
        <v>0</v>
      </c>
      <c r="E38" s="33">
        <f>'CPP TITULAIRE-ST'!E119+'CPP CO-TRAITANT-ST'!E113</f>
        <v>0</v>
      </c>
      <c r="F38" s="33">
        <f>'CPP TITULAIRE-ST'!F119+'CPP CO-TRAITANT-ST'!F113</f>
        <v>0</v>
      </c>
      <c r="G38" s="33">
        <f>E38+C38+D38+F38</f>
        <v>0</v>
      </c>
      <c r="H38" s="35">
        <f>IFERROR((E38+C38+D38+F38)/E11,0)</f>
        <v>0</v>
      </c>
      <c r="I38" s="21"/>
    </row>
    <row r="39" spans="1:9" ht="18" customHeight="1" x14ac:dyDescent="0.3">
      <c r="A39" s="67" t="str">
        <f>'CPP TITULAIRE-ST'!A120</f>
        <v>2b</v>
      </c>
      <c r="B39" s="67" t="str">
        <f>'CPP TITULAIRE-ST'!B120</f>
        <v>TO 1 HT</v>
      </c>
      <c r="C39" s="33">
        <f>'CPP TITULAIRE-ST'!C120+'CPP CO-TRAITANT-ST'!C114</f>
        <v>0</v>
      </c>
      <c r="D39" s="33">
        <f>'CPP TITULAIRE-ST'!D120+'CPP CO-TRAITANT-ST'!D114</f>
        <v>0</v>
      </c>
      <c r="E39" s="33">
        <f>'CPP TITULAIRE-ST'!E120+'CPP CO-TRAITANT-ST'!E114</f>
        <v>0</v>
      </c>
      <c r="F39" s="33">
        <f>'CPP TITULAIRE-ST'!F120+'CPP CO-TRAITANT-ST'!F114</f>
        <v>0</v>
      </c>
      <c r="G39" s="33">
        <f>E39+C39+D39+F39</f>
        <v>0</v>
      </c>
      <c r="H39" s="35">
        <f>IFERROR((E39+C39+D39+F39)/E12,0)</f>
        <v>0</v>
      </c>
      <c r="I39" s="21"/>
    </row>
    <row r="40" spans="1:9" ht="18" customHeight="1" x14ac:dyDescent="0.3">
      <c r="A40" s="67" t="str">
        <f>'CPP TITULAIRE-ST'!A121</f>
        <v>2c</v>
      </c>
      <c r="B40" s="67" t="str">
        <f>'CPP TITULAIRE-ST'!B121</f>
        <v>TO 2 HT</v>
      </c>
      <c r="C40" s="33">
        <f>'CPP TITULAIRE-ST'!C121+'CPP CO-TRAITANT-ST'!C115</f>
        <v>0</v>
      </c>
      <c r="D40" s="33">
        <f>'CPP TITULAIRE-ST'!D121+'CPP CO-TRAITANT-ST'!D115</f>
        <v>0</v>
      </c>
      <c r="E40" s="33">
        <f>'CPP TITULAIRE-ST'!E121+'CPP CO-TRAITANT-ST'!E115</f>
        <v>0</v>
      </c>
      <c r="F40" s="33">
        <f>'CPP TITULAIRE-ST'!F121+'CPP CO-TRAITANT-ST'!F115</f>
        <v>0</v>
      </c>
      <c r="G40" s="33">
        <f>E40+C40+D40+F40</f>
        <v>0</v>
      </c>
      <c r="H40" s="35">
        <f>IFERROR((E40+C40+D40+F40)/E13,0)</f>
        <v>0</v>
      </c>
      <c r="I40" s="21"/>
    </row>
    <row r="41" spans="1:9" ht="18" customHeight="1" x14ac:dyDescent="0.3">
      <c r="A41" s="67" t="str">
        <f>'CPP TITULAIRE-ST'!A122</f>
        <v>2d</v>
      </c>
      <c r="B41" s="67" t="str">
        <f>'CPP TITULAIRE-ST'!B122</f>
        <v>TO 3 HT</v>
      </c>
      <c r="C41" s="33">
        <f>'CPP TITULAIRE-ST'!C122+'CPP CO-TRAITANT-ST'!C116</f>
        <v>0</v>
      </c>
      <c r="D41" s="33">
        <f>'CPP TITULAIRE-ST'!D122+'CPP CO-TRAITANT-ST'!D116</f>
        <v>0</v>
      </c>
      <c r="E41" s="33">
        <f>'CPP TITULAIRE-ST'!E122+'CPP CO-TRAITANT-ST'!E116</f>
        <v>0</v>
      </c>
      <c r="F41" s="33">
        <f>'CPP TITULAIRE-ST'!F122+'CPP CO-TRAITANT-ST'!F116</f>
        <v>0</v>
      </c>
      <c r="G41" s="33">
        <f>E41+C41+D41+F41</f>
        <v>0</v>
      </c>
      <c r="H41" s="35">
        <f>IFERROR((E41+C41+D41+F41)/E14,0)</f>
        <v>0</v>
      </c>
      <c r="I41" s="21"/>
    </row>
    <row r="42" spans="1:9" ht="18" customHeight="1" x14ac:dyDescent="0.3">
      <c r="A42" s="67" t="str">
        <f>'CPP TITULAIRE-ST'!A126</f>
        <v>2e</v>
      </c>
      <c r="B42" s="67" t="str">
        <f>'CPP TITULAIRE-ST'!B126</f>
        <v>avenants et OS</v>
      </c>
      <c r="C42" s="33">
        <f>'CPP TITULAIRE-ST'!C126+'CPP CO-TRAITANT-ST'!C117</f>
        <v>0</v>
      </c>
      <c r="D42" s="33">
        <f>'CPP TITULAIRE-ST'!D126+'CPP CO-TRAITANT-ST'!D117</f>
        <v>0</v>
      </c>
      <c r="E42" s="33">
        <f>'CPP TITULAIRE-ST'!E126+'CPP CO-TRAITANT-ST'!E117</f>
        <v>0</v>
      </c>
      <c r="F42" s="33">
        <f>'CPP TITULAIRE-ST'!F126+'CPP CO-TRAITANT-ST'!F117</f>
        <v>0</v>
      </c>
      <c r="G42" s="33">
        <f>E42+C42+D42+F42</f>
        <v>0</v>
      </c>
      <c r="H42" s="35">
        <f>IFERROR((E42+C42+D42+F42)/E15,0)</f>
        <v>0</v>
      </c>
      <c r="I42" s="21"/>
    </row>
    <row r="43" spans="1:9" ht="18" customHeight="1" x14ac:dyDescent="0.3">
      <c r="A43" s="372" t="str">
        <f>'CPP TITULAIRE-ST'!A127</f>
        <v>3a</v>
      </c>
      <c r="B43" s="372" t="str">
        <f>'CPP TITULAIRE-ST'!B127</f>
        <v>Sous-Total travaux (S2 HT)</v>
      </c>
      <c r="C43" s="33">
        <f>'CPP TITULAIRE-ST'!C127+'CPP CO-TRAITANT-ST'!C118</f>
        <v>0</v>
      </c>
      <c r="D43" s="33">
        <f>'CPP TITULAIRE-ST'!D127+'CPP CO-TRAITANT-ST'!D118</f>
        <v>0</v>
      </c>
      <c r="E43" s="33">
        <f>'CPP TITULAIRE-ST'!E127+'CPP CO-TRAITANT-ST'!E118</f>
        <v>0</v>
      </c>
      <c r="F43" s="33">
        <f>'CPP TITULAIRE-ST'!F127+'CPP CO-TRAITANT-ST'!F118</f>
        <v>0</v>
      </c>
      <c r="G43" s="33">
        <f t="shared" ref="G43:G44" si="1">E43+C43+D43+F43</f>
        <v>0</v>
      </c>
      <c r="H43" s="66">
        <f>IFERROR((E43+D43+C43)/(C17+D17),0)</f>
        <v>0</v>
      </c>
      <c r="I43" s="21"/>
    </row>
    <row r="44" spans="1:9" ht="40.5" customHeight="1" x14ac:dyDescent="0.3">
      <c r="A44" s="372" t="str">
        <f>'CPP TITULAIRE-ST'!A128</f>
        <v>3b</v>
      </c>
      <c r="B44" s="471" t="str">
        <f>'CPP TITULAIRE-ST'!B128</f>
        <v>Sous-Total avance +
travaux (somme 3a - 1 - 1b) HT</v>
      </c>
      <c r="C44" s="33">
        <f>'CPP TITULAIRE-ST'!C128+'CPP CO-TRAITANT-ST'!C119</f>
        <v>0</v>
      </c>
      <c r="D44" s="33">
        <f>'CPP TITULAIRE-ST'!D128+'CPP CO-TRAITANT-ST'!D119</f>
        <v>0</v>
      </c>
      <c r="E44" s="33">
        <f>'CPP TITULAIRE-ST'!E128+'CPP CO-TRAITANT-ST'!E119</f>
        <v>0</v>
      </c>
      <c r="F44" s="33">
        <f>'CPP TITULAIRE-ST'!F128+'CPP CO-TRAITANT-ST'!F119</f>
        <v>0</v>
      </c>
      <c r="G44" s="33">
        <f t="shared" si="1"/>
        <v>0</v>
      </c>
      <c r="H44" s="376"/>
      <c r="I44" s="21"/>
    </row>
    <row r="45" spans="1:9" ht="18" customHeight="1" x14ac:dyDescent="0.3">
      <c r="A45" s="67">
        <f>'CPP TITULAIRE-ST'!A129</f>
        <v>4</v>
      </c>
      <c r="B45" s="67">
        <f>'CPP TITULAIRE-ST'!B129</f>
        <v>0</v>
      </c>
      <c r="C45" s="33">
        <f>'CPP TITULAIRE-ST'!C129+'CPP CO-TRAITANT-ST'!C120</f>
        <v>0</v>
      </c>
      <c r="D45" s="33">
        <f>'CPP TITULAIRE-ST'!D129+'CPP CO-TRAITANT-ST'!D120</f>
        <v>0</v>
      </c>
      <c r="E45" s="33">
        <f>'CPP TITULAIRE-ST'!E129+'CPP CO-TRAITANT-ST'!E120</f>
        <v>0</v>
      </c>
      <c r="F45" s="33">
        <f>'CPP TITULAIRE-ST'!F129+'CPP CO-TRAITANT-ST'!F120</f>
        <v>0</v>
      </c>
      <c r="G45" s="33">
        <f t="shared" ref="G45:G57" si="2">E45+C45+D45+F45</f>
        <v>0</v>
      </c>
      <c r="H45" s="21"/>
      <c r="I45" s="21"/>
    </row>
    <row r="46" spans="1:9" ht="18" customHeight="1" x14ac:dyDescent="0.3">
      <c r="A46" s="67">
        <f>'CPP TITULAIRE-ST'!A130</f>
        <v>5</v>
      </c>
      <c r="B46" s="67" t="str">
        <f>'CPP TITULAIRE-ST'!B130</f>
        <v>TOTAL (3b + 4)</v>
      </c>
      <c r="C46" s="33">
        <f>'CPP TITULAIRE-ST'!C130+'CPP CO-TRAITANT-ST'!C121</f>
        <v>0</v>
      </c>
      <c r="D46" s="33">
        <f>'CPP TITULAIRE-ST'!D130+'CPP CO-TRAITANT-ST'!D121</f>
        <v>0</v>
      </c>
      <c r="E46" s="33">
        <f>'CPP TITULAIRE-ST'!E130+'CPP CO-TRAITANT-ST'!E121</f>
        <v>0</v>
      </c>
      <c r="F46" s="33">
        <f>'CPP TITULAIRE-ST'!F130+'CPP CO-TRAITANT-ST'!F121</f>
        <v>0</v>
      </c>
      <c r="G46" s="33">
        <f t="shared" si="2"/>
        <v>0</v>
      </c>
      <c r="H46" s="21"/>
      <c r="I46" s="21"/>
    </row>
    <row r="47" spans="1:9" ht="18" customHeight="1" x14ac:dyDescent="0.3">
      <c r="A47" s="67">
        <f>'CPP TITULAIRE-ST'!A131</f>
        <v>6</v>
      </c>
      <c r="B47" s="67" t="str">
        <f>'CPP TITULAIRE-ST'!B131</f>
        <v>TVA avance TF</v>
      </c>
      <c r="C47" s="33">
        <f>'CPP TITULAIRE-ST'!C131+'CPP CO-TRAITANT-ST'!C122</f>
        <v>0</v>
      </c>
      <c r="D47" s="33">
        <f>'CPP TITULAIRE-ST'!D131+'CPP CO-TRAITANT-ST'!D122</f>
        <v>0</v>
      </c>
      <c r="E47" s="33">
        <f>'CPP TITULAIRE-ST'!E131+'CPP CO-TRAITANT-ST'!E122</f>
        <v>0</v>
      </c>
      <c r="F47" s="33">
        <f>'CPP TITULAIRE-ST'!F131+'CPP CO-TRAITANT-ST'!F122</f>
        <v>0</v>
      </c>
      <c r="G47" s="33">
        <f t="shared" si="2"/>
        <v>0</v>
      </c>
      <c r="H47" s="21"/>
      <c r="I47" s="21"/>
    </row>
    <row r="48" spans="1:9" ht="18" customHeight="1" x14ac:dyDescent="0.3">
      <c r="A48" s="67" t="str">
        <f>'CPP TITULAIRE-ST'!A138</f>
        <v>6a</v>
      </c>
      <c r="B48" s="67" t="str">
        <f>'CPP TITULAIRE-ST'!B138</f>
        <v>TVA Tranche ferme</v>
      </c>
      <c r="C48" s="33">
        <f>'CPP TITULAIRE-ST'!C138+'CPP CO-TRAITANT-ST'!C123</f>
        <v>0</v>
      </c>
      <c r="D48" s="33">
        <f>'CPP TITULAIRE-ST'!D138+'CPP CO-TRAITANT-ST'!D123</f>
        <v>0</v>
      </c>
      <c r="E48" s="33">
        <f>'CPP TITULAIRE-ST'!E138+'CPP CO-TRAITANT-ST'!E123</f>
        <v>0</v>
      </c>
      <c r="F48" s="33">
        <f>'CPP TITULAIRE-ST'!F138+'CPP CO-TRAITANT-ST'!F123</f>
        <v>0</v>
      </c>
      <c r="G48" s="33">
        <f t="shared" si="2"/>
        <v>0</v>
      </c>
      <c r="H48" s="21"/>
      <c r="I48" s="21"/>
    </row>
    <row r="49" spans="1:9" ht="18" customHeight="1" x14ac:dyDescent="0.3">
      <c r="A49" s="67" t="str">
        <f>'CPP TITULAIRE-ST'!A139</f>
        <v>6b</v>
      </c>
      <c r="B49" s="67" t="str">
        <f>'CPP TITULAIRE-ST'!B139</f>
        <v>TVA TO 1</v>
      </c>
      <c r="C49" s="33">
        <f>'CPP TITULAIRE-ST'!C139+'CPP CO-TRAITANT-ST'!C124</f>
        <v>0</v>
      </c>
      <c r="D49" s="33">
        <f>'CPP TITULAIRE-ST'!D139+'CPP CO-TRAITANT-ST'!D124</f>
        <v>0</v>
      </c>
      <c r="E49" s="33">
        <f>'CPP TITULAIRE-ST'!E139+'CPP CO-TRAITANT-ST'!E124</f>
        <v>0</v>
      </c>
      <c r="F49" s="33">
        <f>'CPP TITULAIRE-ST'!F139+'CPP CO-TRAITANT-ST'!F124</f>
        <v>0</v>
      </c>
      <c r="G49" s="33">
        <f t="shared" si="2"/>
        <v>0</v>
      </c>
      <c r="H49" s="21"/>
      <c r="I49" s="21"/>
    </row>
    <row r="50" spans="1:9" ht="18" customHeight="1" x14ac:dyDescent="0.3">
      <c r="A50" s="67" t="str">
        <f>'CPP TITULAIRE-ST'!A140</f>
        <v>6c</v>
      </c>
      <c r="B50" s="67" t="str">
        <f>'CPP TITULAIRE-ST'!B140</f>
        <v>TVA TO 2</v>
      </c>
      <c r="C50" s="33">
        <f>'CPP TITULAIRE-ST'!C140+'CPP CO-TRAITANT-ST'!C125</f>
        <v>0</v>
      </c>
      <c r="D50" s="33">
        <f>'CPP TITULAIRE-ST'!D140+'CPP CO-TRAITANT-ST'!D125</f>
        <v>0</v>
      </c>
      <c r="E50" s="33">
        <f>'CPP TITULAIRE-ST'!E140+'CPP CO-TRAITANT-ST'!E125</f>
        <v>0</v>
      </c>
      <c r="F50" s="33">
        <f>'CPP TITULAIRE-ST'!F140+'CPP CO-TRAITANT-ST'!F125</f>
        <v>0</v>
      </c>
      <c r="G50" s="33">
        <f t="shared" si="2"/>
        <v>0</v>
      </c>
      <c r="H50" s="21"/>
      <c r="I50" s="21"/>
    </row>
    <row r="51" spans="1:9" ht="18" customHeight="1" x14ac:dyDescent="0.3">
      <c r="A51" s="67" t="str">
        <f>'CPP TITULAIRE-ST'!A141</f>
        <v>6d</v>
      </c>
      <c r="B51" s="67" t="str">
        <f>'CPP TITULAIRE-ST'!B141</f>
        <v>TVA TO 3</v>
      </c>
      <c r="C51" s="33">
        <f>'CPP TITULAIRE-ST'!C141+'CPP CO-TRAITANT-ST'!C126</f>
        <v>0</v>
      </c>
      <c r="D51" s="33">
        <f>'CPP TITULAIRE-ST'!D141+'CPP CO-TRAITANT-ST'!D126</f>
        <v>0</v>
      </c>
      <c r="E51" s="33">
        <f>'CPP TITULAIRE-ST'!E141+'CPP CO-TRAITANT-ST'!E126</f>
        <v>0</v>
      </c>
      <c r="F51" s="33">
        <f>'CPP TITULAIRE-ST'!F141+'CPP CO-TRAITANT-ST'!F126</f>
        <v>0</v>
      </c>
      <c r="G51" s="33">
        <f t="shared" si="2"/>
        <v>0</v>
      </c>
      <c r="H51" s="21"/>
      <c r="I51" s="21"/>
    </row>
    <row r="52" spans="1:9" ht="18" customHeight="1" x14ac:dyDescent="0.3">
      <c r="A52" s="67" t="str">
        <f>'CPP TITULAIRE-ST'!A145</f>
        <v>6e</v>
      </c>
      <c r="B52" s="67" t="str">
        <f>'CPP TITULAIRE-ST'!B145</f>
        <v>TVA avenants et OS</v>
      </c>
      <c r="C52" s="33">
        <f>'CPP TITULAIRE-ST'!C145+'CPP CO-TRAITANT-ST'!C127</f>
        <v>0</v>
      </c>
      <c r="D52" s="33">
        <f>'CPP TITULAIRE-ST'!D145+'CPP CO-TRAITANT-ST'!D127</f>
        <v>0</v>
      </c>
      <c r="E52" s="33">
        <f>'CPP TITULAIRE-ST'!E145+'CPP CO-TRAITANT-ST'!E127</f>
        <v>0</v>
      </c>
      <c r="F52" s="33">
        <f>'CPP TITULAIRE-ST'!F145+'CPP CO-TRAITANT-ST'!F127</f>
        <v>0</v>
      </c>
      <c r="G52" s="33">
        <f t="shared" si="2"/>
        <v>0</v>
      </c>
      <c r="H52" s="21"/>
      <c r="I52" s="21"/>
    </row>
    <row r="53" spans="1:9" ht="18" customHeight="1" x14ac:dyDescent="0.3">
      <c r="A53" s="67" t="str">
        <f>'CPP TITULAIRE-ST'!A146</f>
        <v>6f</v>
      </c>
      <c r="B53" s="67" t="b">
        <f>'CPP TITULAIRE-ST'!B146</f>
        <v>0</v>
      </c>
      <c r="C53" s="33">
        <f>'CPP TITULAIRE-ST'!C146+'CPP CO-TRAITANT-ST'!C128</f>
        <v>0</v>
      </c>
      <c r="D53" s="33">
        <f>'CPP TITULAIRE-ST'!D146+'CPP CO-TRAITANT-ST'!D128</f>
        <v>0</v>
      </c>
      <c r="E53" s="33">
        <f>'CPP TITULAIRE-ST'!E146+'CPP CO-TRAITANT-ST'!E128</f>
        <v>0</v>
      </c>
      <c r="F53" s="33">
        <f>'CPP TITULAIRE-ST'!F146+'CPP CO-TRAITANT-ST'!F128</f>
        <v>0</v>
      </c>
      <c r="G53" s="33">
        <f t="shared" si="2"/>
        <v>0</v>
      </c>
      <c r="H53" s="21"/>
      <c r="I53" s="21"/>
    </row>
    <row r="54" spans="1:9" ht="39" customHeight="1" x14ac:dyDescent="0.3">
      <c r="A54" s="67">
        <f>'CPP TITULAIRE-ST'!A147</f>
        <v>7</v>
      </c>
      <c r="B54" s="472" t="str">
        <f>'CPP TITULAIRE-ST'!B147</f>
        <v>TVA remboursement avance TF</v>
      </c>
      <c r="C54" s="33">
        <f>'CPP TITULAIRE-ST'!C147+'CPP CO-TRAITANT-ST'!C129</f>
        <v>0</v>
      </c>
      <c r="D54" s="33">
        <f>'CPP TITULAIRE-ST'!D147+'CPP CO-TRAITANT-ST'!D129</f>
        <v>0</v>
      </c>
      <c r="E54" s="33">
        <f>'CPP TITULAIRE-ST'!E147+'CPP CO-TRAITANT-ST'!E129</f>
        <v>0</v>
      </c>
      <c r="F54" s="33">
        <f>'CPP TITULAIRE-ST'!F147+'CPP CO-TRAITANT-ST'!F129</f>
        <v>0</v>
      </c>
      <c r="G54" s="33">
        <f t="shared" si="2"/>
        <v>0</v>
      </c>
      <c r="H54" s="21"/>
      <c r="I54" s="21"/>
    </row>
    <row r="55" spans="1:9" ht="18" customHeight="1" x14ac:dyDescent="0.3">
      <c r="A55" s="67" t="str">
        <f>'CPP TITULAIRE-ST'!A154</f>
        <v>7a</v>
      </c>
      <c r="B55" s="472" t="str">
        <f>'CPP TITULAIRE-ST'!B154</f>
        <v>TVA restitution avance suite DC4 (pour info)</v>
      </c>
      <c r="C55" s="33">
        <f>'CPP TITULAIRE-ST'!C154+'CPP CO-TRAITANT-ST'!C130</f>
        <v>0</v>
      </c>
      <c r="D55" s="33">
        <f>'CPP TITULAIRE-ST'!D154+'CPP CO-TRAITANT-ST'!D130</f>
        <v>0</v>
      </c>
      <c r="E55" s="33">
        <f>'CPP TITULAIRE-ST'!E154+'CPP CO-TRAITANT-ST'!E130</f>
        <v>0</v>
      </c>
      <c r="F55" s="33">
        <f>'CPP TITULAIRE-ST'!F154+'CPP CO-TRAITANT-ST'!F130</f>
        <v>0</v>
      </c>
      <c r="G55" s="33">
        <f t="shared" si="2"/>
        <v>0</v>
      </c>
      <c r="H55" s="21"/>
      <c r="I55" s="21"/>
    </row>
    <row r="56" spans="1:9" ht="18" customHeight="1" x14ac:dyDescent="0.3">
      <c r="A56" s="372">
        <f>'CPP TITULAIRE-ST'!A155</f>
        <v>8</v>
      </c>
      <c r="B56" s="471" t="str">
        <f>'CPP TITULAIRE-ST'!B155</f>
        <v>Sous-Total TVA (S 6 - 7)</v>
      </c>
      <c r="C56" s="33">
        <f>'CPP TITULAIRE-ST'!C155+'CPP CO-TRAITANT-ST'!C131</f>
        <v>0</v>
      </c>
      <c r="D56" s="33">
        <f>'CPP TITULAIRE-ST'!D155+'CPP CO-TRAITANT-ST'!D131</f>
        <v>0</v>
      </c>
      <c r="E56" s="33">
        <f>'CPP TITULAIRE-ST'!E155+'CPP CO-TRAITANT-ST'!E131</f>
        <v>0</v>
      </c>
      <c r="F56" s="33">
        <f>'CPP TITULAIRE-ST'!F155+'CPP CO-TRAITANT-ST'!F131</f>
        <v>0</v>
      </c>
      <c r="G56" s="33">
        <f t="shared" si="2"/>
        <v>0</v>
      </c>
      <c r="H56" s="21"/>
      <c r="I56" s="21"/>
    </row>
    <row r="57" spans="1:9" ht="18.75" x14ac:dyDescent="0.3">
      <c r="A57" s="372">
        <f>'CPP TITULAIRE-ST'!A156</f>
        <v>9</v>
      </c>
      <c r="B57" s="471" t="str">
        <f>'CPP TITULAIRE-ST'!B156</f>
        <v>Sous-Total TTC 5 + 8</v>
      </c>
      <c r="C57" s="41">
        <f>'CPP TITULAIRE-ST'!C156+'CPP CO-TRAITANT-ST'!C132</f>
        <v>0</v>
      </c>
      <c r="D57" s="41">
        <f>'CPP TITULAIRE-ST'!D156+'CPP CO-TRAITANT-ST'!D132</f>
        <v>0</v>
      </c>
      <c r="E57" s="41">
        <f>'CPP TITULAIRE-ST'!E156+'CPP CO-TRAITANT-ST'!E132</f>
        <v>0</v>
      </c>
      <c r="F57" s="41">
        <f>'CPP TITULAIRE-ST'!F156+'CPP CO-TRAITANT-ST'!F132</f>
        <v>0</v>
      </c>
      <c r="G57" s="33">
        <f t="shared" si="2"/>
        <v>0</v>
      </c>
      <c r="H57" s="21"/>
      <c r="I57" s="21"/>
    </row>
    <row r="58" spans="1:9" ht="18" customHeight="1" x14ac:dyDescent="0.3">
      <c r="A58" s="372">
        <f>'CPP TITULAIRE-ST'!A157</f>
        <v>10</v>
      </c>
      <c r="B58" s="471" t="str">
        <f>'CPP TITULAIRE-ST'!B157</f>
        <v>TOTAL (S 9 mensuel + antérieur) TTC</v>
      </c>
      <c r="C58" s="824">
        <f>IFERROR('CPP TITULAIRE-ST'!C158+'CPP CO-TRAITANT-ST'!C134,0)</f>
        <v>0</v>
      </c>
      <c r="D58" s="825"/>
      <c r="E58" s="834"/>
      <c r="F58" s="835"/>
      <c r="G58" s="836"/>
      <c r="H58" s="44" t="str">
        <f>IF(B59="Retenue de Garantie (4a x 5%)","RG MAXI",IF(B59="SANS OBJET","0","0"))</f>
        <v>0</v>
      </c>
      <c r="I58" s="21"/>
    </row>
    <row r="59" spans="1:9" ht="18" customHeight="1" x14ac:dyDescent="0.3">
      <c r="A59" s="67">
        <f>'CPP TITULAIRE-ST'!A158</f>
        <v>11</v>
      </c>
      <c r="B59" s="472">
        <f>'CPP TITULAIRE-ST'!B158</f>
        <v>0</v>
      </c>
      <c r="C59" s="824">
        <f>IFERROR('CPP TITULAIRE-ST'!C158+'CPP TITULAIRE-ST'!D158+'CPP CO-TRAITANT-ST'!C134+'CPP CO-TRAITANT-ST'!D134,0)</f>
        <v>0</v>
      </c>
      <c r="D59" s="825"/>
      <c r="E59" s="824">
        <f>IFERROR('CPP TITULAIRE-ST'!E158+'CPP TITULAIRE-ST'!F158+'CPP CO-TRAITANT-ST'!E134+'CPP CO-TRAITANT-ST'!F134,0)</f>
        <v>0</v>
      </c>
      <c r="F59" s="825"/>
      <c r="G59" s="33">
        <f>C59+E59</f>
        <v>0</v>
      </c>
      <c r="H59" s="46" t="str">
        <f>IF(B58="Retenue de Garantie (4a x 5%)",(C20*0.05),IF(B58="SANS OBJET","0","0"))</f>
        <v>0</v>
      </c>
      <c r="I59" s="21"/>
    </row>
    <row r="60" spans="1:9" ht="18" customHeight="1" x14ac:dyDescent="0.3">
      <c r="A60" s="67">
        <f>'CPP TITULAIRE-ST'!A167</f>
        <v>12</v>
      </c>
      <c r="B60" s="472" t="str">
        <f>'CPP TITULAIRE-ST'!B167</f>
        <v>Retenue de pénalités provisoires TTC</v>
      </c>
      <c r="C60" s="824">
        <f>'CPP TITULAIRE-ST'!C167:D167+'CPP CO-TRAITANT-ST'!C143:D143</f>
        <v>0</v>
      </c>
      <c r="D60" s="825"/>
      <c r="E60" s="824">
        <f>'CPP TITULAIRE-ST'!E167:F167+'CPP CO-TRAITANT-ST'!E143:F143</f>
        <v>0</v>
      </c>
      <c r="F60" s="825"/>
      <c r="G60" s="33">
        <f>C60+E60</f>
        <v>0</v>
      </c>
      <c r="H60" s="21"/>
      <c r="I60" s="21"/>
    </row>
    <row r="61" spans="1:9" ht="18" customHeight="1" x14ac:dyDescent="0.3">
      <c r="A61" s="67">
        <f>'CPP TITULAIRE-ST'!A168</f>
        <v>13</v>
      </c>
      <c r="B61" s="472" t="str">
        <f>'CPP TITULAIRE-ST'!B168</f>
        <v>Autres retenues provisoires TTC</v>
      </c>
      <c r="C61" s="824">
        <f>'CPP TITULAIRE-ST'!C168:D168+'CPP CO-TRAITANT-ST'!C144:D144</f>
        <v>0</v>
      </c>
      <c r="D61" s="825"/>
      <c r="E61" s="824">
        <f>'CPP TITULAIRE-ST'!E168:F168+'CPP CO-TRAITANT-ST'!E144:F144</f>
        <v>0</v>
      </c>
      <c r="F61" s="825"/>
      <c r="G61" s="33">
        <f>C61+E61</f>
        <v>0</v>
      </c>
      <c r="H61" s="21"/>
      <c r="I61" s="21"/>
    </row>
    <row r="62" spans="1:9" ht="18" customHeight="1" x14ac:dyDescent="0.3">
      <c r="A62" s="67">
        <f>'CPP TITULAIRE-ST'!A169</f>
        <v>14</v>
      </c>
      <c r="B62" s="472" t="str">
        <f>'CPP TITULAIRE-ST'!B169</f>
        <v>Total des retenues TTC (S 12 13+14)</v>
      </c>
      <c r="C62" s="824">
        <f>'CPP TITULAIRE-ST'!C169:D169+'CPP CO-TRAITANT-ST'!C145:D145</f>
        <v>0</v>
      </c>
      <c r="D62" s="825"/>
      <c r="E62" s="21"/>
      <c r="F62" s="21"/>
      <c r="G62" s="21"/>
      <c r="H62" s="21"/>
      <c r="I62" s="21"/>
    </row>
    <row r="63" spans="1:9" ht="18" customHeight="1" x14ac:dyDescent="0.3">
      <c r="A63" s="67">
        <f>'CPP TITULAIRE-ST'!A170</f>
        <v>15</v>
      </c>
      <c r="B63" s="472" t="str">
        <f>'CPP TITULAIRE-ST'!B170</f>
        <v>Cumul général</v>
      </c>
      <c r="C63" s="824">
        <f>'CPP TITULAIRE-ST'!C170:D170+'CPP CO-TRAITANT-ST'!C146:D146</f>
        <v>0</v>
      </c>
      <c r="D63" s="825"/>
      <c r="E63" s="21"/>
      <c r="F63" s="21"/>
      <c r="G63" s="21"/>
      <c r="H63" s="21"/>
      <c r="I63" s="21"/>
    </row>
    <row r="64" spans="1:9" ht="18" customHeight="1" x14ac:dyDescent="0.3">
      <c r="A64" s="67">
        <f>'CPP TITULAIRE-ST'!A171</f>
        <v>16</v>
      </c>
      <c r="B64" s="472" t="str">
        <f>'CPP TITULAIRE-ST'!B171</f>
        <v>Mandats émis antérieurement</v>
      </c>
      <c r="C64" s="824">
        <f>'CPP TITULAIRE-ST'!C171:D171+'CPP CO-TRAITANT-ST'!C147:D147</f>
        <v>0</v>
      </c>
      <c r="D64" s="825"/>
      <c r="E64" s="21"/>
      <c r="F64" s="21"/>
      <c r="G64" s="21"/>
      <c r="H64" s="21"/>
      <c r="I64" s="21"/>
    </row>
    <row r="65" spans="1:9" ht="18" customHeight="1" x14ac:dyDescent="0.3">
      <c r="A65" s="373">
        <f>'CPP TITULAIRE-ST'!A172</f>
        <v>17</v>
      </c>
      <c r="B65" s="473" t="str">
        <f>'CPP TITULAIRE-ST'!B172</f>
        <v>Acompte à payer</v>
      </c>
      <c r="C65" s="824">
        <f>C63-C64</f>
        <v>0</v>
      </c>
      <c r="D65" s="825"/>
      <c r="E65" s="21"/>
      <c r="F65" s="21"/>
      <c r="G65" s="21"/>
      <c r="H65" s="21"/>
      <c r="I65" s="21"/>
    </row>
    <row r="66" spans="1:9" ht="18" customHeight="1" x14ac:dyDescent="0.3">
      <c r="A66" s="373">
        <f>'CPP TITULAIRE-ST'!A173</f>
        <v>18</v>
      </c>
      <c r="B66" s="473" t="str">
        <f>'CPP TITULAIRE-ST'!B173</f>
        <v>info RG à mandater en ligne 2</v>
      </c>
      <c r="C66" s="824">
        <f>IFERROR('CPP TITULAIRE-ST'!C173:D173+'CPP CO-TRAITANT-ST'!C149:D149,0)</f>
        <v>0</v>
      </c>
      <c r="D66" s="825"/>
      <c r="E66" s="21"/>
      <c r="F66" s="21"/>
      <c r="G66" s="21"/>
      <c r="H66" s="21"/>
      <c r="I66" s="21"/>
    </row>
    <row r="67" spans="1:9" ht="18" customHeight="1" x14ac:dyDescent="0.3">
      <c r="A67" s="373">
        <f>'CPP TITULAIRE-ST'!A174</f>
        <v>19</v>
      </c>
      <c r="B67" s="473" t="str">
        <f>'CPP TITULAIRE-ST'!B174</f>
        <v>info restitution suite DC4 TDR</v>
      </c>
      <c r="C67" s="683">
        <f>'CPP TITULAIRE-ST'!C174:D174+'CPP CO-TRAITANT-ST'!C150:D150</f>
        <v>0</v>
      </c>
      <c r="D67" s="683"/>
      <c r="E67" s="21"/>
      <c r="F67" s="21"/>
      <c r="G67" s="21"/>
      <c r="H67" s="21"/>
      <c r="I67" s="21"/>
    </row>
    <row r="68" spans="1:9" ht="18" customHeight="1" x14ac:dyDescent="0.3">
      <c r="A68" s="68"/>
      <c r="B68" s="69"/>
      <c r="C68" s="52"/>
      <c r="D68" s="52"/>
      <c r="E68" s="21"/>
      <c r="F68" s="21"/>
      <c r="G68" s="21"/>
      <c r="H68" s="21"/>
      <c r="I68" s="21"/>
    </row>
    <row r="69" spans="1:9" ht="18" customHeight="1" x14ac:dyDescent="0.3">
      <c r="A69" s="70"/>
      <c r="B69" s="71"/>
      <c r="C69" s="677" t="s">
        <v>74</v>
      </c>
      <c r="D69" s="677"/>
      <c r="E69" s="21"/>
      <c r="F69" s="21"/>
      <c r="G69" s="21"/>
      <c r="H69" s="21"/>
      <c r="I69" s="21"/>
    </row>
    <row r="70" spans="1:9" ht="18" customHeight="1" x14ac:dyDescent="0.3">
      <c r="A70" s="22">
        <v>20</v>
      </c>
      <c r="B70" s="40" t="str">
        <f>IF(E1="DGD","Refaction","Ne rien inscrire avant le DGD")</f>
        <v>Ne rien inscrire avant le DGD</v>
      </c>
      <c r="C70" s="826">
        <f>'CPP TITULAIRE-ST'!C178:D178+'CPP CO-TRAITANT-ST'!C153:D153</f>
        <v>0</v>
      </c>
      <c r="D70" s="826"/>
      <c r="E70" s="21"/>
      <c r="F70" s="21"/>
      <c r="G70" s="21"/>
      <c r="H70" s="21"/>
      <c r="I70" s="21"/>
    </row>
    <row r="71" spans="1:9" ht="18" customHeight="1" x14ac:dyDescent="0.3">
      <c r="A71" s="21"/>
      <c r="B71" s="21"/>
      <c r="C71" s="21"/>
      <c r="D71" s="21"/>
      <c r="E71" s="21"/>
      <c r="F71" s="21"/>
      <c r="G71" s="21"/>
      <c r="H71" s="21"/>
      <c r="I71" s="21"/>
    </row>
    <row r="72" spans="1:9" ht="37.5" x14ac:dyDescent="0.3">
      <c r="A72" s="21"/>
      <c r="B72" s="21"/>
      <c r="C72" s="53" t="s">
        <v>69</v>
      </c>
      <c r="D72" s="688" t="s">
        <v>75</v>
      </c>
      <c r="E72" s="688"/>
      <c r="F72" s="341" t="s">
        <v>76</v>
      </c>
      <c r="G72" s="54" t="s">
        <v>77</v>
      </c>
      <c r="H72" s="54" t="s">
        <v>78</v>
      </c>
      <c r="I72" s="22" t="s">
        <v>79</v>
      </c>
    </row>
    <row r="73" spans="1:9" ht="18" customHeight="1" x14ac:dyDescent="0.3">
      <c r="A73" s="21"/>
      <c r="B73" s="55" t="e">
        <f>B24</f>
        <v>#REF!</v>
      </c>
      <c r="C73" s="56" t="e">
        <f>C24</f>
        <v>#REF!</v>
      </c>
      <c r="D73" s="697">
        <f>'CPP TITULAIRE-ST'!D181:E181</f>
        <v>0</v>
      </c>
      <c r="E73" s="697"/>
      <c r="F73" s="45" t="e">
        <f>'CPP TITULAIRE-ST'!F181</f>
        <v>#REF!</v>
      </c>
      <c r="G73" s="45">
        <f>'CPP TITULAIRE-ST'!G181</f>
        <v>0</v>
      </c>
      <c r="H73" s="45" t="e">
        <f>'CPP TITULAIRE-ST'!H181</f>
        <v>#REF!</v>
      </c>
      <c r="I73" s="45" t="e">
        <f>'CPP TITULAIRE-ST'!I181</f>
        <v>#REF!</v>
      </c>
    </row>
    <row r="74" spans="1:9" ht="18" customHeight="1" x14ac:dyDescent="0.3">
      <c r="A74" s="21"/>
      <c r="B74" s="55" t="e">
        <f t="shared" ref="B74:C74" si="3">B25</f>
        <v>#REF!</v>
      </c>
      <c r="C74" s="56" t="e">
        <f t="shared" si="3"/>
        <v>#REF!</v>
      </c>
      <c r="D74" s="697">
        <f>'CPP TITULAIRE-ST'!D182:E182</f>
        <v>0</v>
      </c>
      <c r="E74" s="697"/>
      <c r="F74" s="45" t="e">
        <f>'CPP TITULAIRE-ST'!F182</f>
        <v>#REF!</v>
      </c>
      <c r="G74" s="45">
        <f>'CPP TITULAIRE-ST'!G182</f>
        <v>0</v>
      </c>
      <c r="H74" s="45" t="e">
        <f>'CPP TITULAIRE-ST'!H182</f>
        <v>#REF!</v>
      </c>
      <c r="I74" s="45" t="e">
        <f>'CPP TITULAIRE-ST'!I182</f>
        <v>#REF!</v>
      </c>
    </row>
    <row r="75" spans="1:9" ht="18" customHeight="1" x14ac:dyDescent="0.3">
      <c r="A75" s="21"/>
      <c r="B75" s="55" t="e">
        <f t="shared" ref="B75:C75" si="4">B26</f>
        <v>#REF!</v>
      </c>
      <c r="C75" s="56" t="e">
        <f t="shared" si="4"/>
        <v>#REF!</v>
      </c>
      <c r="D75" s="697">
        <f>'CPP TITULAIRE-ST'!D183:E183</f>
        <v>0</v>
      </c>
      <c r="E75" s="697"/>
      <c r="F75" s="45" t="e">
        <f>'CPP TITULAIRE-ST'!F183</f>
        <v>#REF!</v>
      </c>
      <c r="G75" s="45">
        <f>'CPP TITULAIRE-ST'!G183</f>
        <v>0</v>
      </c>
      <c r="H75" s="45" t="e">
        <f>'CPP TITULAIRE-ST'!H183</f>
        <v>#REF!</v>
      </c>
      <c r="I75" s="45" t="e">
        <f>'CPP TITULAIRE-ST'!I183</f>
        <v>#REF!</v>
      </c>
    </row>
    <row r="76" spans="1:9" ht="18" customHeight="1" x14ac:dyDescent="0.3">
      <c r="A76" s="21"/>
      <c r="B76" s="55" t="str">
        <f t="shared" ref="B76:C76" si="5">B27</f>
        <v>Titulaire</v>
      </c>
      <c r="C76" s="56" t="str">
        <f t="shared" si="5"/>
        <v>yy</v>
      </c>
      <c r="D76" s="697">
        <f>'CPP TITULAIRE-ST'!D184:E184</f>
        <v>0</v>
      </c>
      <c r="E76" s="697"/>
      <c r="F76" s="45" t="str">
        <f>'CPP TITULAIRE-ST'!F184</f>
        <v>0</v>
      </c>
      <c r="G76" s="45">
        <f>'CPP TITULAIRE-ST'!G184</f>
        <v>0</v>
      </c>
      <c r="H76" s="45">
        <f>'CPP TITULAIRE-ST'!H184</f>
        <v>0</v>
      </c>
      <c r="I76" s="45">
        <f>'CPP TITULAIRE-ST'!I184</f>
        <v>260000</v>
      </c>
    </row>
    <row r="77" spans="1:9" ht="18" customHeight="1" x14ac:dyDescent="0.3">
      <c r="A77" s="21"/>
      <c r="B77" s="55" t="str">
        <f t="shared" ref="B77:C77" si="6">B28</f>
        <v>ST TVA autoliquidée</v>
      </c>
      <c r="C77" s="56" t="str">
        <f t="shared" si="6"/>
        <v>tt</v>
      </c>
      <c r="D77" s="697">
        <f>'CPP TITULAIRE-ST'!D185:E185</f>
        <v>0</v>
      </c>
      <c r="E77" s="697"/>
      <c r="F77" s="45">
        <f>'CPP TITULAIRE-ST'!F185</f>
        <v>0</v>
      </c>
      <c r="G77" s="45">
        <f>'CPP TITULAIRE-ST'!G185</f>
        <v>0</v>
      </c>
      <c r="H77" s="45">
        <f>'CPP TITULAIRE-ST'!H185</f>
        <v>0</v>
      </c>
      <c r="I77" s="45">
        <f>'CPP TITULAIRE-ST'!I185</f>
        <v>0</v>
      </c>
    </row>
    <row r="78" spans="1:9" ht="18" customHeight="1" x14ac:dyDescent="0.3">
      <c r="A78" s="21"/>
      <c r="B78" s="55">
        <f t="shared" ref="B78:C78" si="7">B29</f>
        <v>0</v>
      </c>
      <c r="C78" s="56">
        <f t="shared" si="7"/>
        <v>0</v>
      </c>
      <c r="D78" s="697">
        <f>'CPP TITULAIRE-ST'!D186:E186</f>
        <v>0</v>
      </c>
      <c r="E78" s="697"/>
      <c r="F78" s="45" t="str">
        <f>'CPP TITULAIRE-ST'!F186</f>
        <v>0</v>
      </c>
      <c r="G78" s="45">
        <f>'CPP TITULAIRE-ST'!G186</f>
        <v>0</v>
      </c>
      <c r="H78" s="45">
        <f>'CPP TITULAIRE-ST'!H186</f>
        <v>0</v>
      </c>
      <c r="I78" s="45">
        <f>'CPP TITULAIRE-ST'!I186</f>
        <v>0</v>
      </c>
    </row>
    <row r="79" spans="1:9" ht="18" customHeight="1" x14ac:dyDescent="0.3">
      <c r="A79" s="21"/>
      <c r="B79" s="21"/>
      <c r="C79" s="21"/>
      <c r="D79" s="21"/>
      <c r="E79" s="21"/>
      <c r="F79" s="21"/>
      <c r="G79" s="21"/>
      <c r="H79" s="21"/>
      <c r="I79" s="21"/>
    </row>
    <row r="80" spans="1:9" ht="37.5" x14ac:dyDescent="0.3">
      <c r="A80" s="21"/>
      <c r="B80" s="21"/>
      <c r="C80" s="53" t="s">
        <v>69</v>
      </c>
      <c r="D80" s="688" t="s">
        <v>75</v>
      </c>
      <c r="E80" s="688"/>
      <c r="F80" s="54" t="s">
        <v>76</v>
      </c>
      <c r="G80" s="54" t="s">
        <v>77</v>
      </c>
      <c r="H80" s="54" t="s">
        <v>78</v>
      </c>
      <c r="I80" s="22" t="s">
        <v>79</v>
      </c>
    </row>
    <row r="81" spans="1:9" ht="18" customHeight="1" x14ac:dyDescent="0.3">
      <c r="A81" s="21"/>
      <c r="B81" s="55" t="str">
        <f>E24</f>
        <v>Cotraitant</v>
      </c>
      <c r="C81" s="56">
        <f>F24</f>
        <v>0</v>
      </c>
      <c r="D81" s="697">
        <f>'CPP CO-TRAITANT-ST'!D156:E156</f>
        <v>0</v>
      </c>
      <c r="E81" s="697"/>
      <c r="F81" s="46">
        <f>'CPP CO-TRAITANT-ST'!F156</f>
        <v>0</v>
      </c>
      <c r="G81" s="342">
        <f>'CPP CO-TRAITANT-ST'!G156</f>
        <v>0</v>
      </c>
      <c r="H81" s="342">
        <f>'CPP CO-TRAITANT-ST'!H156</f>
        <v>0</v>
      </c>
      <c r="I81" s="342">
        <f>'CPP CO-TRAITANT-ST'!I156</f>
        <v>0</v>
      </c>
    </row>
    <row r="82" spans="1:9" ht="18" customHeight="1" x14ac:dyDescent="0.3">
      <c r="A82" s="21"/>
      <c r="B82" s="55">
        <f t="shared" ref="B82:C82" si="8">E25</f>
        <v>0</v>
      </c>
      <c r="C82" s="56">
        <f t="shared" si="8"/>
        <v>0</v>
      </c>
      <c r="D82" s="697">
        <f>'CPP CO-TRAITANT-ST'!D157:E157</f>
        <v>0</v>
      </c>
      <c r="E82" s="697"/>
      <c r="F82" s="342" t="str">
        <f>'CPP CO-TRAITANT-ST'!F157</f>
        <v>0</v>
      </c>
      <c r="G82" s="342">
        <f>'CPP CO-TRAITANT-ST'!G157</f>
        <v>0</v>
      </c>
      <c r="H82" s="342">
        <f>'CPP CO-TRAITANT-ST'!H157</f>
        <v>0</v>
      </c>
      <c r="I82" s="342" t="e">
        <f>'CPP CO-TRAITANT-ST'!I157</f>
        <v>#REF!</v>
      </c>
    </row>
    <row r="83" spans="1:9" ht="18" customHeight="1" x14ac:dyDescent="0.3">
      <c r="A83" s="21"/>
      <c r="B83" s="55">
        <f t="shared" ref="B83:C83" si="9">E26</f>
        <v>0</v>
      </c>
      <c r="C83" s="56">
        <f t="shared" si="9"/>
        <v>0</v>
      </c>
      <c r="D83" s="697">
        <f>'CPP CO-TRAITANT-ST'!D158:E158</f>
        <v>0</v>
      </c>
      <c r="E83" s="697"/>
      <c r="F83" s="342" t="str">
        <f>'CPP CO-TRAITANT-ST'!F158</f>
        <v>0</v>
      </c>
      <c r="G83" s="342">
        <f>'CPP CO-TRAITANT-ST'!G158</f>
        <v>0</v>
      </c>
      <c r="H83" s="342">
        <f>'CPP CO-TRAITANT-ST'!H158</f>
        <v>0</v>
      </c>
      <c r="I83" s="342" t="e">
        <f>'CPP CO-TRAITANT-ST'!I158</f>
        <v>#REF!</v>
      </c>
    </row>
    <row r="84" spans="1:9" ht="18" customHeight="1" x14ac:dyDescent="0.3">
      <c r="A84" s="21"/>
      <c r="B84" s="55">
        <f t="shared" ref="B84:C84" si="10">E27</f>
        <v>0</v>
      </c>
      <c r="C84" s="56">
        <f t="shared" si="10"/>
        <v>0</v>
      </c>
      <c r="D84" s="697">
        <f>'CPP CO-TRAITANT-ST'!D159:E159</f>
        <v>0</v>
      </c>
      <c r="E84" s="697"/>
      <c r="F84" s="342" t="str">
        <f>'CPP CO-TRAITANT-ST'!F159</f>
        <v>0</v>
      </c>
      <c r="G84" s="342">
        <f>'CPP CO-TRAITANT-ST'!G159</f>
        <v>0</v>
      </c>
      <c r="H84" s="342">
        <f>'CPP CO-TRAITANT-ST'!H159</f>
        <v>0</v>
      </c>
      <c r="I84" s="342" t="e">
        <f>'CPP CO-TRAITANT-ST'!I159</f>
        <v>#REF!</v>
      </c>
    </row>
    <row r="85" spans="1:9" ht="18" customHeight="1" x14ac:dyDescent="0.3">
      <c r="A85" s="21"/>
      <c r="B85" s="55">
        <f t="shared" ref="B85:C85" si="11">E28</f>
        <v>0</v>
      </c>
      <c r="C85" s="56">
        <f t="shared" si="11"/>
        <v>0</v>
      </c>
      <c r="D85" s="697">
        <f>'CPP CO-TRAITANT-ST'!D160:E160</f>
        <v>0</v>
      </c>
      <c r="E85" s="697"/>
      <c r="F85" s="342" t="str">
        <f>'CPP CO-TRAITANT-ST'!F160</f>
        <v>0</v>
      </c>
      <c r="G85" s="342">
        <f>'CPP CO-TRAITANT-ST'!G160</f>
        <v>0</v>
      </c>
      <c r="H85" s="342">
        <f>'CPP CO-TRAITANT-ST'!H160</f>
        <v>0</v>
      </c>
      <c r="I85" s="342" t="e">
        <f>'CPP CO-TRAITANT-ST'!I160</f>
        <v>#REF!</v>
      </c>
    </row>
    <row r="86" spans="1:9" ht="18" customHeight="1" x14ac:dyDescent="0.3">
      <c r="A86" s="21"/>
      <c r="B86" s="55">
        <f t="shared" ref="B86:C86" si="12">E29</f>
        <v>0</v>
      </c>
      <c r="C86" s="56">
        <f t="shared" si="12"/>
        <v>0</v>
      </c>
      <c r="D86" s="697">
        <f>'CPP CO-TRAITANT-ST'!D161:E161</f>
        <v>0</v>
      </c>
      <c r="E86" s="697"/>
      <c r="F86" s="342" t="str">
        <f>'CPP CO-TRAITANT-ST'!F161</f>
        <v>0</v>
      </c>
      <c r="G86" s="342">
        <f>'CPP CO-TRAITANT-ST'!G161</f>
        <v>0</v>
      </c>
      <c r="H86" s="342">
        <f>'CPP CO-TRAITANT-ST'!H161</f>
        <v>0</v>
      </c>
      <c r="I86" s="342" t="e">
        <f>'CPP CO-TRAITANT-ST'!I161</f>
        <v>#REF!</v>
      </c>
    </row>
    <row r="87" spans="1:9" ht="18" customHeight="1" x14ac:dyDescent="0.3">
      <c r="A87" s="21"/>
    </row>
  </sheetData>
  <sheetProtection algorithmName="SHA-512" hashValue="gPfpqQRwIonkKlsiHg8tmWTCrJBoZIBTPn3lKvfOJHT06SLs6pUEZej1RQR7YiLrV633XoUivlP9yosZFqmeiA==" saltValue="wu3kmL07knJxssZ8Rjz8NA==" spinCount="100000" sheet="1" objects="1" scenarios="1" autoFilter="0"/>
  <mergeCells count="47">
    <mergeCell ref="B22:D22"/>
    <mergeCell ref="E22:G22"/>
    <mergeCell ref="G32:G34"/>
    <mergeCell ref="E59:F59"/>
    <mergeCell ref="B32:D32"/>
    <mergeCell ref="B33:D33"/>
    <mergeCell ref="C34:D34"/>
    <mergeCell ref="E32:E33"/>
    <mergeCell ref="F32:F33"/>
    <mergeCell ref="C58:D58"/>
    <mergeCell ref="E58:G58"/>
    <mergeCell ref="C20:D20"/>
    <mergeCell ref="D6:I6"/>
    <mergeCell ref="F1:I1"/>
    <mergeCell ref="D2:I2"/>
    <mergeCell ref="D3:I3"/>
    <mergeCell ref="D4:I4"/>
    <mergeCell ref="D5:I5"/>
    <mergeCell ref="B9:D9"/>
    <mergeCell ref="H32:H34"/>
    <mergeCell ref="C64:D64"/>
    <mergeCell ref="C66:D66"/>
    <mergeCell ref="C59:D59"/>
    <mergeCell ref="C60:D60"/>
    <mergeCell ref="C61:D61"/>
    <mergeCell ref="C62:D62"/>
    <mergeCell ref="C63:D63"/>
    <mergeCell ref="E61:F61"/>
    <mergeCell ref="E60:F60"/>
    <mergeCell ref="D84:E84"/>
    <mergeCell ref="D85:E85"/>
    <mergeCell ref="D86:E86"/>
    <mergeCell ref="D78:E78"/>
    <mergeCell ref="D80:E80"/>
    <mergeCell ref="D81:E81"/>
    <mergeCell ref="D82:E82"/>
    <mergeCell ref="D83:E83"/>
    <mergeCell ref="D77:E77"/>
    <mergeCell ref="C65:D65"/>
    <mergeCell ref="C69:D69"/>
    <mergeCell ref="C70:D70"/>
    <mergeCell ref="D72:E72"/>
    <mergeCell ref="D73:E73"/>
    <mergeCell ref="D74:E74"/>
    <mergeCell ref="D75:E75"/>
    <mergeCell ref="D76:E76"/>
    <mergeCell ref="C67:D67"/>
  </mergeCells>
  <pageMargins left="0.7" right="0.7" top="0.75" bottom="0.75" header="0.3" footer="0.3"/>
  <pageSetup paperSize="9" scale="4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14:formula1>
            <xm:f>LISTES!$G$1:$G$8</xm:f>
          </x14:formula1>
          <xm:sqref>G7</xm:sqref>
        </x14:dataValidation>
        <x14:dataValidation type="list" allowBlank="1" showInputMessage="1" showErrorMessage="1">
          <x14:formula1>
            <xm:f>LISTES!$F$1:$F$12</xm:f>
          </x14:formula1>
          <xm:sqref>E7</xm:sqref>
        </x14:dataValidation>
        <x14:dataValidation type="list" allowBlank="1" showInputMessage="1" showErrorMessage="1">
          <x14:formula1>
            <xm:f>LISTES!$A$1:$A$6</xm:f>
          </x14:formula1>
          <xm:sqref>C10:D10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20</vt:i4>
      </vt:variant>
    </vt:vector>
  </HeadingPairs>
  <TitlesOfParts>
    <vt:vector size="33" baseType="lpstr">
      <vt:lpstr>LISTES</vt:lpstr>
      <vt:lpstr>MODE EMPLOI</vt:lpstr>
      <vt:lpstr>DONNEES</vt:lpstr>
      <vt:lpstr>CALCUL AVANCE TITULAIRE</vt:lpstr>
      <vt:lpstr>CALCUL AVANCE COTRAITANT</vt:lpstr>
      <vt:lpstr>CPP TITULAIRE-ST</vt:lpstr>
      <vt:lpstr>RECUP AVANCE TITULAIRE </vt:lpstr>
      <vt:lpstr>RESTITUTION AVANCE SUITE DC4</vt:lpstr>
      <vt:lpstr>CPP CO-TRAITANT-ST</vt:lpstr>
      <vt:lpstr>RECUP AVANCE CO-TRAITANT</vt:lpstr>
      <vt:lpstr>ACTUALISATION</vt:lpstr>
      <vt:lpstr>REVISION</vt:lpstr>
      <vt:lpstr>RECAP CPP</vt:lpstr>
      <vt:lpstr>_16</vt:lpstr>
      <vt:lpstr>_17</vt:lpstr>
      <vt:lpstr>_19</vt:lpstr>
      <vt:lpstr>_23</vt:lpstr>
      <vt:lpstr>_79</vt:lpstr>
      <vt:lpstr>_86</vt:lpstr>
      <vt:lpstr>_87</vt:lpstr>
      <vt:lpstr>LYCEES</vt:lpstr>
      <vt:lpstr>LYCEES1</vt:lpstr>
      <vt:lpstr>'CALCUL AVANCE COTRAITANT'!Zone_d_impression</vt:lpstr>
      <vt:lpstr>'CALCUL AVANCE TITULAIRE'!Zone_d_impression</vt:lpstr>
      <vt:lpstr>'CPP CO-TRAITANT-ST'!Zone_d_impression</vt:lpstr>
      <vt:lpstr>'CPP TITULAIRE-ST'!Zone_d_impression</vt:lpstr>
      <vt:lpstr>DONNEES!Zone_d_impression</vt:lpstr>
      <vt:lpstr>'MODE EMPLOI'!Zone_d_impression</vt:lpstr>
      <vt:lpstr>'RECAP CPP'!Zone_d_impression</vt:lpstr>
      <vt:lpstr>'RECUP AVANCE CO-TRAITANT'!Zone_d_impression</vt:lpstr>
      <vt:lpstr>'RECUP AVANCE TITULAIRE '!Zone_d_impression</vt:lpstr>
      <vt:lpstr>'RESTITUTION AVANCE SUITE DC4'!Zone_d_impression</vt:lpstr>
      <vt:lpstr>REVISION!Zone_d_impression</vt:lpstr>
    </vt:vector>
  </TitlesOfParts>
  <Company>Région Nouvelle-Aquitaine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SARRAZIN David</dc:creator>
  <cp:lastModifiedBy>SARRAZIN David</cp:lastModifiedBy>
  <cp:lastPrinted>2018-10-08T11:39:50Z</cp:lastPrinted>
  <dcterms:created xsi:type="dcterms:W3CDTF">2018-07-20T08:43:04Z</dcterms:created>
  <dcterms:modified xsi:type="dcterms:W3CDTF">2018-11-27T21:17:42Z</dcterms:modified>
</cp:coreProperties>
</file>