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4.xml" ContentType="application/vnd.openxmlformats-officedocument.drawing+xml"/>
  <Override PartName="/xl/comments6.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defaultThemeVersion="153222"/>
  <mc:AlternateContent xmlns:mc="http://schemas.openxmlformats.org/markup-compatibility/2006">
    <mc:Choice Requires="x15">
      <x15ac:absPath xmlns:x15ac="http://schemas.microsoft.com/office/spreadsheetml/2010/11/ac" url="\\fileruser2\Users\SarrazinD\Bureau\NOUVEAU CP\"/>
    </mc:Choice>
  </mc:AlternateContent>
  <bookViews>
    <workbookView xWindow="0" yWindow="0" windowWidth="19200" windowHeight="9780" tabRatio="907" firstSheet="1" activeTab="1"/>
  </bookViews>
  <sheets>
    <sheet name="LISTES" sheetId="2" state="hidden" r:id="rId1"/>
    <sheet name="DONNEES" sheetId="8" r:id="rId2"/>
    <sheet name="CALCUL AVANCE TITULAIRE" sheetId="7" state="hidden" r:id="rId3"/>
    <sheet name="CALCUL AVANCE COTRAITANT" sheetId="15" state="hidden" r:id="rId4"/>
    <sheet name="CPP TITULAIRE-ST" sheetId="17" r:id="rId5"/>
    <sheet name="RECUP AVANCE TITULAIRE " sheetId="6" state="hidden" r:id="rId6"/>
    <sheet name="RESTITUTION AVANCE SUITE DC4" sheetId="14" state="hidden" r:id="rId7"/>
    <sheet name="CPP CO-TRAITANT-ST" sheetId="12" state="hidden" r:id="rId8"/>
    <sheet name="RECUP AVANCE O-TRAITANT" sheetId="19" state="hidden" r:id="rId9"/>
    <sheet name="ACTUALISATION" sheetId="11" state="hidden" r:id="rId10"/>
    <sheet name="REVISION" sheetId="9" state="hidden" r:id="rId11"/>
    <sheet name="RECAP CPP" sheetId="4" r:id="rId12"/>
  </sheets>
  <definedNames>
    <definedName name="_16">LISTES!$M$68:$M$84</definedName>
    <definedName name="_17">LISTES!$M$42:$M$67</definedName>
    <definedName name="_19">LISTES!$M$85:$M$98</definedName>
    <definedName name="_23">LISTES!$M$98:$M$107</definedName>
    <definedName name="_79">LISTES!$M$25:$M$41</definedName>
    <definedName name="_86">LISTES!$M$2:$M$24</definedName>
    <definedName name="_87">LISTES!$M$108:$M$128</definedName>
    <definedName name="LYCEES">LISTES!$M1:$M84</definedName>
    <definedName name="LYCEES1">LISTES!$M$1:$M$84</definedName>
    <definedName name="_xlnm.Print_Area" localSheetId="3">'CALCUL AVANCE COTRAITANT'!$A$1:$E$51</definedName>
    <definedName name="_xlnm.Print_Area" localSheetId="2">'CALCUL AVANCE TITULAIRE'!$A$1:$E$54</definedName>
    <definedName name="_xlnm.Print_Area" localSheetId="7">'CPP CO-TRAITANT-ST'!$A$1:$J$85</definedName>
    <definedName name="_xlnm.Print_Area" localSheetId="4">'CPP TITULAIRE-ST'!$A$1:$J$94</definedName>
    <definedName name="_xlnm.Print_Area" localSheetId="1">DONNEES!$A$1:$I$143</definedName>
    <definedName name="_xlnm.Print_Area" localSheetId="11">'RECAP CPP'!$A$1:$L$86</definedName>
    <definedName name="_xlnm.Print_Area" localSheetId="8">'RECUP AVANCE O-TRAITANT'!$A$2:$F$35</definedName>
    <definedName name="_xlnm.Print_Area" localSheetId="5">'RECUP AVANCE TITULAIRE '!$A$2:$F$35</definedName>
    <definedName name="_xlnm.Print_Area" localSheetId="6">'RESTITUTION AVANCE SUITE DC4'!$A$1:$K$57</definedName>
    <definedName name="_xlnm.Print_Area" localSheetId="10">REVISION!$A$1:$K$47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9" l="1"/>
  <c r="B13" i="8"/>
  <c r="F14" i="8"/>
  <c r="B35" i="17"/>
  <c r="B43" i="17" s="1"/>
  <c r="F13" i="8"/>
  <c r="C13" i="8"/>
  <c r="B81" i="4" l="1"/>
  <c r="N41" i="8"/>
  <c r="M41" i="8"/>
  <c r="N40" i="8"/>
  <c r="M40" i="8"/>
  <c r="N39" i="8"/>
  <c r="M39" i="8"/>
  <c r="N38" i="8"/>
  <c r="M38" i="8"/>
  <c r="L41" i="8"/>
  <c r="K41" i="8"/>
  <c r="L40" i="8"/>
  <c r="K40" i="8"/>
  <c r="L39" i="8"/>
  <c r="K39" i="8"/>
  <c r="N35" i="8"/>
  <c r="L35" i="8"/>
  <c r="B57" i="17" l="1"/>
  <c r="H135" i="8"/>
  <c r="G135" i="8"/>
  <c r="H125" i="8"/>
  <c r="G125" i="8"/>
  <c r="H113" i="8"/>
  <c r="G113" i="8"/>
  <c r="H103" i="8"/>
  <c r="G103" i="8"/>
  <c r="H91" i="8"/>
  <c r="G91" i="8"/>
  <c r="H81" i="8"/>
  <c r="G81" i="8"/>
  <c r="H69" i="8"/>
  <c r="G69" i="8"/>
  <c r="H59" i="8"/>
  <c r="G59" i="8"/>
  <c r="H47" i="8"/>
  <c r="G47" i="8"/>
  <c r="H37" i="8"/>
  <c r="G37" i="8"/>
  <c r="H136" i="8"/>
  <c r="G136" i="8"/>
  <c r="C43" i="15"/>
  <c r="C34" i="15"/>
  <c r="Q115" i="8"/>
  <c r="Q113" i="8" s="1"/>
  <c r="P115" i="8"/>
  <c r="P113" i="8" s="1"/>
  <c r="C36" i="15" s="1"/>
  <c r="Q105" i="8"/>
  <c r="P105" i="8"/>
  <c r="Q93" i="8"/>
  <c r="Q91" i="8" s="1"/>
  <c r="C42" i="15" s="1"/>
  <c r="P93" i="8"/>
  <c r="P91" i="8" s="1"/>
  <c r="C35" i="15" s="1"/>
  <c r="Q83" i="8"/>
  <c r="P83" i="8"/>
  <c r="Q71" i="8"/>
  <c r="Q69" i="8" s="1"/>
  <c r="C41" i="15" s="1"/>
  <c r="P71" i="8"/>
  <c r="P69" i="8" s="1"/>
  <c r="Q62" i="8"/>
  <c r="P62" i="8"/>
  <c r="Q49" i="8"/>
  <c r="Q47" i="8" s="1"/>
  <c r="C40" i="15" s="1"/>
  <c r="P49" i="8"/>
  <c r="P47" i="8" s="1"/>
  <c r="Q39" i="8"/>
  <c r="P39" i="8"/>
  <c r="D27" i="15" l="1"/>
  <c r="C33" i="15"/>
  <c r="B56" i="17"/>
  <c r="B55" i="17"/>
  <c r="B54" i="17"/>
  <c r="B53" i="17"/>
  <c r="B50" i="17"/>
  <c r="B52" i="17"/>
  <c r="B51" i="17"/>
  <c r="B49" i="17"/>
  <c r="D53" i="17" l="1"/>
  <c r="C53" i="17"/>
  <c r="D51" i="17"/>
  <c r="E53" i="17"/>
  <c r="F53" i="17"/>
  <c r="C51" i="17"/>
  <c r="D49" i="17"/>
  <c r="H48" i="17"/>
  <c r="C66" i="17"/>
  <c r="G53" i="17" l="1"/>
  <c r="A19" i="14"/>
  <c r="M108" i="2" l="1"/>
  <c r="M109" i="2"/>
  <c r="M110" i="2"/>
  <c r="M111" i="2"/>
  <c r="M112" i="2"/>
  <c r="M113" i="2"/>
  <c r="M114" i="2"/>
  <c r="M115" i="2"/>
  <c r="M116" i="2"/>
  <c r="M117" i="2"/>
  <c r="M118" i="2"/>
  <c r="M119" i="2"/>
  <c r="M120" i="2"/>
  <c r="M121" i="2"/>
  <c r="M122" i="2"/>
  <c r="M123" i="2"/>
  <c r="M124" i="2"/>
  <c r="M125" i="2"/>
  <c r="M126" i="2"/>
  <c r="M127" i="2"/>
  <c r="M128" i="2"/>
  <c r="M99" i="2"/>
  <c r="M100" i="2"/>
  <c r="M101" i="2"/>
  <c r="M102" i="2"/>
  <c r="M103" i="2"/>
  <c r="M104" i="2"/>
  <c r="M105" i="2"/>
  <c r="M106" i="2"/>
  <c r="M107" i="2"/>
  <c r="M96" i="2"/>
  <c r="M97" i="2"/>
  <c r="M98" i="2"/>
  <c r="M86" i="2"/>
  <c r="M87" i="2"/>
  <c r="M88" i="2"/>
  <c r="M89" i="2"/>
  <c r="M90" i="2"/>
  <c r="M91" i="2"/>
  <c r="M92" i="2"/>
  <c r="M93" i="2"/>
  <c r="M94" i="2"/>
  <c r="M95" i="2"/>
  <c r="M85" i="2"/>
  <c r="B47" i="4" l="1"/>
  <c r="E12" i="8" l="1"/>
  <c r="D28" i="15"/>
  <c r="D28" i="7"/>
  <c r="M35" i="8" l="1"/>
  <c r="K35" i="8"/>
  <c r="D36" i="14"/>
  <c r="B15" i="15" l="1"/>
  <c r="A17" i="15"/>
  <c r="B15" i="7"/>
  <c r="B33" i="7" l="1"/>
  <c r="K32" i="8"/>
  <c r="F16" i="19"/>
  <c r="C16" i="19"/>
  <c r="F6" i="19"/>
  <c r="C6" i="19"/>
  <c r="B4" i="19"/>
  <c r="F16" i="6"/>
  <c r="M36" i="8" l="1"/>
  <c r="C7" i="19" s="1"/>
  <c r="I18" i="19" s="1"/>
  <c r="N36" i="8"/>
  <c r="F7" i="19" s="1"/>
  <c r="F18" i="19" s="1"/>
  <c r="J18" i="19" s="1"/>
  <c r="A19" i="15"/>
  <c r="A19" i="7"/>
  <c r="H2" i="19" l="1"/>
  <c r="C8" i="19" s="1"/>
  <c r="F19" i="19" s="1"/>
  <c r="F21" i="19" s="1"/>
  <c r="C18" i="19"/>
  <c r="F9" i="19" l="1"/>
  <c r="F11" i="19" s="1"/>
  <c r="C19" i="19"/>
  <c r="C22" i="19" s="1"/>
  <c r="C9" i="19"/>
  <c r="C11" i="19" s="1"/>
  <c r="J19" i="19"/>
  <c r="F23" i="19"/>
  <c r="F22" i="19"/>
  <c r="D10" i="12"/>
  <c r="C10" i="12"/>
  <c r="D10" i="17"/>
  <c r="C10" i="17"/>
  <c r="F28" i="19" l="1"/>
  <c r="F33" i="19" s="1"/>
  <c r="I19" i="19"/>
  <c r="C23" i="19"/>
  <c r="C21" i="19"/>
  <c r="A67" i="4"/>
  <c r="B67" i="4"/>
  <c r="B66" i="4"/>
  <c r="A66" i="4"/>
  <c r="C28" i="19" l="1"/>
  <c r="C33" i="19" s="1"/>
  <c r="G82" i="4"/>
  <c r="G83" i="4"/>
  <c r="G84" i="4"/>
  <c r="G85" i="4"/>
  <c r="G86" i="4"/>
  <c r="G81" i="4"/>
  <c r="D82" i="4"/>
  <c r="D83" i="4"/>
  <c r="D84" i="4"/>
  <c r="D85" i="4"/>
  <c r="D86" i="4"/>
  <c r="G74" i="4"/>
  <c r="G75" i="4"/>
  <c r="G76" i="4"/>
  <c r="G77" i="4"/>
  <c r="G78" i="4"/>
  <c r="G73" i="4"/>
  <c r="D74" i="4"/>
  <c r="D75" i="4"/>
  <c r="D76" i="4"/>
  <c r="D77" i="4"/>
  <c r="D78" i="4"/>
  <c r="C70" i="4"/>
  <c r="E61" i="4"/>
  <c r="C61" i="4"/>
  <c r="E60" i="4"/>
  <c r="C60" i="4"/>
  <c r="A36" i="4" l="1"/>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35" i="4"/>
  <c r="B36" i="4"/>
  <c r="B37" i="4"/>
  <c r="B38" i="4"/>
  <c r="B39" i="4"/>
  <c r="B40" i="4"/>
  <c r="B41" i="4"/>
  <c r="B42" i="4"/>
  <c r="B43" i="4"/>
  <c r="B44" i="4"/>
  <c r="B46" i="4"/>
  <c r="B48" i="4"/>
  <c r="B49" i="4"/>
  <c r="B50" i="4"/>
  <c r="B51" i="4"/>
  <c r="B52" i="4"/>
  <c r="B54" i="4"/>
  <c r="B55" i="4"/>
  <c r="B56" i="4"/>
  <c r="B57" i="4"/>
  <c r="B58" i="4"/>
  <c r="B60" i="4"/>
  <c r="B61" i="4"/>
  <c r="B62" i="4"/>
  <c r="B63" i="4"/>
  <c r="B64" i="4"/>
  <c r="B65" i="4"/>
  <c r="B35" i="4"/>
  <c r="C38" i="4"/>
  <c r="D38" i="4"/>
  <c r="E38" i="4"/>
  <c r="F38" i="4"/>
  <c r="C39" i="4"/>
  <c r="D39" i="4"/>
  <c r="E39" i="4"/>
  <c r="F39" i="4"/>
  <c r="C40" i="4"/>
  <c r="D40" i="4"/>
  <c r="E40" i="4"/>
  <c r="F40" i="4"/>
  <c r="C41" i="4"/>
  <c r="D41" i="4"/>
  <c r="E41" i="4"/>
  <c r="F41" i="4"/>
  <c r="C42" i="4"/>
  <c r="D42" i="4"/>
  <c r="E42" i="4"/>
  <c r="F42" i="4"/>
  <c r="C45" i="4"/>
  <c r="D45" i="4"/>
  <c r="E45" i="4"/>
  <c r="F45" i="4"/>
  <c r="D37" i="4"/>
  <c r="E37" i="4"/>
  <c r="F37" i="4"/>
  <c r="C37" i="4"/>
  <c r="D36" i="4"/>
  <c r="E36" i="4"/>
  <c r="F36" i="4"/>
  <c r="C36" i="4"/>
  <c r="F35" i="4"/>
  <c r="E35" i="4"/>
  <c r="B24" i="4"/>
  <c r="C16" i="4"/>
  <c r="D16" i="4"/>
  <c r="G7" i="4"/>
  <c r="E7" i="4"/>
  <c r="E1" i="4"/>
  <c r="J31" i="9"/>
  <c r="I31" i="9"/>
  <c r="C31" i="9"/>
  <c r="B31" i="9"/>
  <c r="C41" i="9"/>
  <c r="B41" i="9"/>
  <c r="J6" i="9"/>
  <c r="I6" i="9"/>
  <c r="C6" i="9"/>
  <c r="B6" i="9"/>
  <c r="C3" i="9"/>
  <c r="E39" i="9" s="1"/>
  <c r="G39" i="9" s="1"/>
  <c r="H39" i="9" s="1"/>
  <c r="G14" i="12"/>
  <c r="G15" i="12"/>
  <c r="G16" i="12"/>
  <c r="G17" i="12"/>
  <c r="G18" i="12"/>
  <c r="G13" i="12"/>
  <c r="H16" i="12"/>
  <c r="H15" i="12"/>
  <c r="C54" i="12"/>
  <c r="D29" i="7"/>
  <c r="G36" i="4" l="1"/>
  <c r="G37" i="4"/>
  <c r="E36" i="9"/>
  <c r="G36" i="9" s="1"/>
  <c r="H36" i="9" s="1"/>
  <c r="J36" i="9" s="1"/>
  <c r="E34" i="9"/>
  <c r="G34" i="9" s="1"/>
  <c r="H34" i="9" s="1"/>
  <c r="I34" i="9" s="1"/>
  <c r="E37" i="9"/>
  <c r="G37" i="9" s="1"/>
  <c r="H37" i="9" s="1"/>
  <c r="I37" i="9" s="1"/>
  <c r="E33" i="9"/>
  <c r="G33" i="9" s="1"/>
  <c r="H33" i="9" s="1"/>
  <c r="I33" i="9" s="1"/>
  <c r="E40" i="9"/>
  <c r="G40" i="9" s="1"/>
  <c r="H40" i="9" s="1"/>
  <c r="J40" i="9" s="1"/>
  <c r="E35" i="9"/>
  <c r="G35" i="9" s="1"/>
  <c r="H35" i="9" s="1"/>
  <c r="J35" i="9" s="1"/>
  <c r="E38" i="9"/>
  <c r="G38" i="9" s="1"/>
  <c r="H38" i="9" s="1"/>
  <c r="J38" i="9" s="1"/>
  <c r="E32" i="9"/>
  <c r="G32" i="9" s="1"/>
  <c r="H32" i="9" s="1"/>
  <c r="I32" i="9" s="1"/>
  <c r="J39" i="9"/>
  <c r="I39" i="9"/>
  <c r="B42" i="9"/>
  <c r="B43" i="9" s="1"/>
  <c r="C42" i="9"/>
  <c r="C43" i="9" s="1"/>
  <c r="B72" i="17"/>
  <c r="B69" i="17"/>
  <c r="C62" i="17"/>
  <c r="C64" i="4" s="1"/>
  <c r="G59" i="17"/>
  <c r="G58" i="17"/>
  <c r="D45" i="17"/>
  <c r="C45" i="17"/>
  <c r="F44" i="17"/>
  <c r="E44" i="17"/>
  <c r="D44" i="17"/>
  <c r="C44" i="17"/>
  <c r="F43" i="17"/>
  <c r="E43" i="17"/>
  <c r="D43" i="17"/>
  <c r="F42" i="17"/>
  <c r="F57" i="17" s="1"/>
  <c r="E42" i="17"/>
  <c r="E57" i="17" s="1"/>
  <c r="D42" i="17"/>
  <c r="D57" i="17" s="1"/>
  <c r="C42" i="17"/>
  <c r="C57" i="17" s="1"/>
  <c r="F41" i="17"/>
  <c r="F55" i="17" s="1"/>
  <c r="E41" i="17"/>
  <c r="E55" i="17" s="1"/>
  <c r="D41" i="17"/>
  <c r="D55" i="17" s="1"/>
  <c r="C41" i="17"/>
  <c r="C55" i="17" s="1"/>
  <c r="F40" i="17"/>
  <c r="E40" i="17"/>
  <c r="D40" i="17"/>
  <c r="C40" i="17"/>
  <c r="F39" i="17"/>
  <c r="F51" i="17" s="1"/>
  <c r="E39" i="17"/>
  <c r="E51" i="17" s="1"/>
  <c r="D39" i="17"/>
  <c r="C39" i="17"/>
  <c r="F38" i="17"/>
  <c r="F49" i="17" s="1"/>
  <c r="E38" i="17"/>
  <c r="E49" i="17" s="1"/>
  <c r="D38" i="17"/>
  <c r="D37" i="17"/>
  <c r="C37" i="17"/>
  <c r="C43" i="17"/>
  <c r="F33" i="17"/>
  <c r="E33" i="17"/>
  <c r="D33" i="17"/>
  <c r="D34" i="17" s="1"/>
  <c r="D36" i="17" s="1"/>
  <c r="G32" i="17"/>
  <c r="G31" i="17"/>
  <c r="G30" i="17"/>
  <c r="G29" i="17"/>
  <c r="G27" i="17"/>
  <c r="G26" i="17"/>
  <c r="F24" i="17"/>
  <c r="F45" i="17" s="1"/>
  <c r="E24" i="17"/>
  <c r="E45" i="17" s="1"/>
  <c r="D24" i="17"/>
  <c r="C24" i="17"/>
  <c r="J18" i="17"/>
  <c r="I18" i="17"/>
  <c r="D30" i="4" s="1"/>
  <c r="H18" i="17"/>
  <c r="C30" i="4" s="1"/>
  <c r="G18" i="17"/>
  <c r="B30" i="4" s="1"/>
  <c r="J17" i="17"/>
  <c r="I17" i="17"/>
  <c r="H17" i="17"/>
  <c r="C29" i="4" s="1"/>
  <c r="G17" i="17"/>
  <c r="B29" i="4" s="1"/>
  <c r="J16" i="17"/>
  <c r="I16" i="17"/>
  <c r="H16" i="17"/>
  <c r="C28" i="4" s="1"/>
  <c r="G16" i="17"/>
  <c r="E16" i="17"/>
  <c r="J15" i="17"/>
  <c r="I15" i="17"/>
  <c r="H15" i="17"/>
  <c r="G15" i="17"/>
  <c r="J14" i="17"/>
  <c r="I14" i="17"/>
  <c r="H14" i="17"/>
  <c r="G14" i="17"/>
  <c r="B26" i="4" s="1"/>
  <c r="J13" i="17"/>
  <c r="I13" i="17"/>
  <c r="H13" i="17"/>
  <c r="G13" i="17"/>
  <c r="B25" i="4" s="1"/>
  <c r="J11" i="17"/>
  <c r="I11" i="17"/>
  <c r="D6" i="17"/>
  <c r="D5" i="17"/>
  <c r="D4" i="17"/>
  <c r="D3" i="17"/>
  <c r="D2" i="17"/>
  <c r="G55" i="17" l="1"/>
  <c r="G51" i="17"/>
  <c r="G57" i="17"/>
  <c r="D26" i="4"/>
  <c r="D27" i="4"/>
  <c r="D28" i="4"/>
  <c r="D29" i="4"/>
  <c r="D25" i="4"/>
  <c r="I36" i="9"/>
  <c r="I40" i="9"/>
  <c r="F34" i="17"/>
  <c r="F36" i="17" s="1"/>
  <c r="C65" i="17"/>
  <c r="G39" i="17"/>
  <c r="G40" i="17"/>
  <c r="G41" i="17"/>
  <c r="G42" i="17"/>
  <c r="E37" i="17"/>
  <c r="E46" i="17" s="1"/>
  <c r="J37" i="9"/>
  <c r="J34" i="9"/>
  <c r="J33" i="9"/>
  <c r="C77" i="17"/>
  <c r="I35" i="9"/>
  <c r="B74" i="17"/>
  <c r="F74" i="17" s="1"/>
  <c r="F75" i="4" s="1"/>
  <c r="B77" i="17"/>
  <c r="F77" i="17" s="1"/>
  <c r="F78" i="4" s="1"/>
  <c r="B75" i="17"/>
  <c r="F75" i="17" s="1"/>
  <c r="B27" i="4"/>
  <c r="B76" i="17"/>
  <c r="F76" i="17" s="1"/>
  <c r="B28" i="4"/>
  <c r="J32" i="9"/>
  <c r="B73" i="17"/>
  <c r="F73" i="17" s="1"/>
  <c r="G43" i="17"/>
  <c r="D46" i="17"/>
  <c r="G44" i="17"/>
  <c r="C75" i="17"/>
  <c r="C27" i="4"/>
  <c r="C73" i="17"/>
  <c r="C25" i="4"/>
  <c r="C74" i="17"/>
  <c r="C26" i="4"/>
  <c r="C76" i="17"/>
  <c r="I38" i="9"/>
  <c r="B59" i="4"/>
  <c r="B53" i="4"/>
  <c r="B45" i="4"/>
  <c r="C33" i="17"/>
  <c r="C34" i="17" s="1"/>
  <c r="C36" i="17" s="1"/>
  <c r="C38" i="17"/>
  <c r="G25" i="17"/>
  <c r="G35" i="17"/>
  <c r="G28" i="17"/>
  <c r="F37" i="17"/>
  <c r="E34" i="17"/>
  <c r="E36" i="17" s="1"/>
  <c r="G45" i="17"/>
  <c r="G38" i="17" l="1"/>
  <c r="C49" i="17"/>
  <c r="F72" i="17"/>
  <c r="H72" i="17" s="1"/>
  <c r="H73" i="4" s="1"/>
  <c r="H27" i="17"/>
  <c r="J41" i="9"/>
  <c r="J42" i="9" s="1"/>
  <c r="J43" i="9" s="1"/>
  <c r="I41" i="9"/>
  <c r="I42" i="9" s="1"/>
  <c r="I43" i="9" s="1"/>
  <c r="H77" i="17"/>
  <c r="H74" i="17"/>
  <c r="H73" i="17"/>
  <c r="I73" i="17" s="1"/>
  <c r="F74" i="4"/>
  <c r="H76" i="17"/>
  <c r="I76" i="17" s="1"/>
  <c r="F77" i="4"/>
  <c r="H75" i="17"/>
  <c r="I75" i="17" s="1"/>
  <c r="F76" i="4"/>
  <c r="F46" i="17"/>
  <c r="C46" i="17"/>
  <c r="G33" i="17"/>
  <c r="H58" i="4"/>
  <c r="G34" i="17"/>
  <c r="G37" i="17"/>
  <c r="E8" i="9"/>
  <c r="G8" i="9" s="1"/>
  <c r="E9" i="9"/>
  <c r="G9" i="9" s="1"/>
  <c r="E10" i="9"/>
  <c r="G10" i="9" s="1"/>
  <c r="E11" i="9"/>
  <c r="G11" i="9" s="1"/>
  <c r="E12" i="9"/>
  <c r="G12" i="9" s="1"/>
  <c r="E13" i="9"/>
  <c r="G13" i="9" s="1"/>
  <c r="E14" i="9"/>
  <c r="G14" i="9" s="1"/>
  <c r="E15" i="9"/>
  <c r="G15" i="9" s="1"/>
  <c r="E7" i="9"/>
  <c r="G7" i="9" s="1"/>
  <c r="B3" i="9"/>
  <c r="D19" i="11"/>
  <c r="C60" i="17" l="1"/>
  <c r="G60" i="17" s="1"/>
  <c r="R49" i="17"/>
  <c r="C64" i="17" s="1"/>
  <c r="G46" i="17"/>
  <c r="H78" i="4"/>
  <c r="I77" i="17"/>
  <c r="I78" i="4" s="1"/>
  <c r="H75" i="4"/>
  <c r="I74" i="17"/>
  <c r="I75" i="4" s="1"/>
  <c r="G49" i="17"/>
  <c r="F73" i="4"/>
  <c r="H76" i="4"/>
  <c r="I76" i="4"/>
  <c r="H74" i="4"/>
  <c r="I74" i="4"/>
  <c r="H77" i="4"/>
  <c r="I77" i="4"/>
  <c r="F47" i="17"/>
  <c r="E47" i="17"/>
  <c r="D47" i="17"/>
  <c r="C47" i="17"/>
  <c r="G36" i="17"/>
  <c r="D29" i="15"/>
  <c r="B43" i="15"/>
  <c r="A43" i="15"/>
  <c r="B42" i="15"/>
  <c r="A42" i="15"/>
  <c r="B41" i="15"/>
  <c r="A41" i="15"/>
  <c r="B40" i="15"/>
  <c r="A40" i="15"/>
  <c r="B36" i="15"/>
  <c r="A36" i="15"/>
  <c r="B35" i="15"/>
  <c r="A35" i="15"/>
  <c r="B34" i="15"/>
  <c r="A34" i="15"/>
  <c r="B33" i="15"/>
  <c r="A33" i="15"/>
  <c r="A13" i="15"/>
  <c r="A11" i="15"/>
  <c r="E24" i="4"/>
  <c r="B40" i="7"/>
  <c r="F34" i="14"/>
  <c r="D34" i="14"/>
  <c r="C14" i="14"/>
  <c r="C7" i="14"/>
  <c r="D6" i="12"/>
  <c r="D5" i="12"/>
  <c r="D4" i="12"/>
  <c r="D3" i="12"/>
  <c r="D2" i="12"/>
  <c r="J11" i="12"/>
  <c r="I11" i="12"/>
  <c r="G47" i="17" l="1"/>
  <c r="F33" i="14"/>
  <c r="F31" i="14"/>
  <c r="F32" i="14"/>
  <c r="D31" i="14"/>
  <c r="D33" i="14"/>
  <c r="F30" i="14"/>
  <c r="D32" i="14"/>
  <c r="D30" i="14"/>
  <c r="C48" i="17"/>
  <c r="C61" i="17" s="1"/>
  <c r="C63" i="17" s="1"/>
  <c r="C67" i="17" s="1"/>
  <c r="D72" i="17" s="1"/>
  <c r="D43" i="15"/>
  <c r="E43" i="15" s="1"/>
  <c r="D34" i="15"/>
  <c r="E34" i="15" s="1"/>
  <c r="D33" i="15"/>
  <c r="E33" i="15" s="1"/>
  <c r="D40" i="15"/>
  <c r="E40" i="15" s="1"/>
  <c r="D35" i="15"/>
  <c r="E35" i="15" s="1"/>
  <c r="D41" i="15"/>
  <c r="E41" i="15" s="1"/>
  <c r="D36" i="15"/>
  <c r="E36" i="15" s="1"/>
  <c r="D42" i="15"/>
  <c r="E42" i="15" s="1"/>
  <c r="G45" i="4"/>
  <c r="D11" i="12"/>
  <c r="C32" i="8"/>
  <c r="J13" i="12"/>
  <c r="J14" i="12"/>
  <c r="J15" i="12"/>
  <c r="J16" i="12"/>
  <c r="J17" i="12"/>
  <c r="J18" i="12"/>
  <c r="J19" i="12"/>
  <c r="I13" i="12"/>
  <c r="I14" i="12"/>
  <c r="I15" i="12"/>
  <c r="I16" i="12"/>
  <c r="I17" i="12"/>
  <c r="I18" i="12"/>
  <c r="I19" i="12"/>
  <c r="H14" i="12"/>
  <c r="F26" i="4" s="1"/>
  <c r="H13" i="12"/>
  <c r="F25" i="4" s="1"/>
  <c r="D15" i="12"/>
  <c r="C15" i="12"/>
  <c r="C11" i="12"/>
  <c r="M29" i="14" l="1"/>
  <c r="D35" i="14" s="1"/>
  <c r="E37" i="15"/>
  <c r="E39" i="15" s="1"/>
  <c r="D73" i="4"/>
  <c r="E44" i="15"/>
  <c r="E46" i="15" s="1"/>
  <c r="G29" i="4"/>
  <c r="G25" i="4"/>
  <c r="G28" i="4"/>
  <c r="G27" i="4"/>
  <c r="G30" i="4"/>
  <c r="G26" i="4"/>
  <c r="B63" i="12"/>
  <c r="B60" i="12"/>
  <c r="G51" i="12"/>
  <c r="G50" i="12"/>
  <c r="B49" i="12"/>
  <c r="D45" i="12"/>
  <c r="D55" i="4" s="1"/>
  <c r="C45" i="12"/>
  <c r="F44" i="12"/>
  <c r="F54" i="4" s="1"/>
  <c r="E44" i="12"/>
  <c r="E54" i="4" s="1"/>
  <c r="D44" i="12"/>
  <c r="D54" i="4" s="1"/>
  <c r="C44" i="12"/>
  <c r="C54" i="4" s="1"/>
  <c r="F43" i="12"/>
  <c r="F53" i="4" s="1"/>
  <c r="E43" i="12"/>
  <c r="E53" i="4" s="1"/>
  <c r="D43" i="12"/>
  <c r="D53" i="4" s="1"/>
  <c r="C43" i="12"/>
  <c r="F42" i="12"/>
  <c r="F52" i="4" s="1"/>
  <c r="E42" i="12"/>
  <c r="E52" i="4" s="1"/>
  <c r="D42" i="12"/>
  <c r="D52" i="4" s="1"/>
  <c r="C42" i="12"/>
  <c r="C52" i="4" s="1"/>
  <c r="F41" i="12"/>
  <c r="F51" i="4" s="1"/>
  <c r="E41" i="12"/>
  <c r="E51" i="4" s="1"/>
  <c r="D41" i="12"/>
  <c r="D51" i="4" s="1"/>
  <c r="C41" i="12"/>
  <c r="F40" i="12"/>
  <c r="F50" i="4" s="1"/>
  <c r="E40" i="12"/>
  <c r="E50" i="4" s="1"/>
  <c r="D40" i="12"/>
  <c r="D50" i="4" s="1"/>
  <c r="C40" i="12"/>
  <c r="C50" i="4" s="1"/>
  <c r="F39" i="12"/>
  <c r="F49" i="4" s="1"/>
  <c r="E39" i="12"/>
  <c r="E49" i="4" s="1"/>
  <c r="D39" i="12"/>
  <c r="D49" i="4" s="1"/>
  <c r="C39" i="12"/>
  <c r="F38" i="12"/>
  <c r="F48" i="4" s="1"/>
  <c r="E38" i="12"/>
  <c r="E48" i="4" s="1"/>
  <c r="D38" i="12"/>
  <c r="D48" i="4" s="1"/>
  <c r="C38" i="12"/>
  <c r="C48" i="4" s="1"/>
  <c r="F37" i="12"/>
  <c r="E37" i="12"/>
  <c r="D37" i="12"/>
  <c r="C37" i="12"/>
  <c r="G35" i="12"/>
  <c r="B35" i="12"/>
  <c r="B43" i="12" s="1"/>
  <c r="F33" i="12"/>
  <c r="E33" i="12"/>
  <c r="D33" i="12"/>
  <c r="C33" i="12"/>
  <c r="G32" i="12"/>
  <c r="G31" i="12"/>
  <c r="G30" i="12"/>
  <c r="G29" i="12"/>
  <c r="G28" i="12"/>
  <c r="G27" i="12"/>
  <c r="G26" i="12"/>
  <c r="G25" i="12"/>
  <c r="F24" i="12"/>
  <c r="F45" i="12" s="1"/>
  <c r="F55" i="4" s="1"/>
  <c r="E24" i="12"/>
  <c r="E45" i="12" s="1"/>
  <c r="E55" i="4" s="1"/>
  <c r="D24" i="12"/>
  <c r="C24" i="12"/>
  <c r="H18" i="12"/>
  <c r="F30" i="4" s="1"/>
  <c r="E30" i="4"/>
  <c r="H17" i="12"/>
  <c r="E16" i="12"/>
  <c r="C65" i="12"/>
  <c r="C64" i="12"/>
  <c r="C16" i="11"/>
  <c r="I29" i="11" s="1"/>
  <c r="C15" i="11"/>
  <c r="H29" i="11" s="1"/>
  <c r="D30" i="11"/>
  <c r="F14" i="11"/>
  <c r="E14" i="11"/>
  <c r="D24" i="11"/>
  <c r="E18" i="11"/>
  <c r="D20" i="11"/>
  <c r="C9" i="11"/>
  <c r="B9" i="11" s="1"/>
  <c r="C8" i="11"/>
  <c r="C7" i="11"/>
  <c r="C6" i="11"/>
  <c r="E24" i="11"/>
  <c r="I45" i="14" l="1"/>
  <c r="F34" i="12"/>
  <c r="F43" i="4"/>
  <c r="G24" i="11"/>
  <c r="F24" i="11"/>
  <c r="D34" i="12"/>
  <c r="D44" i="4" s="1"/>
  <c r="D43" i="4"/>
  <c r="E34" i="12"/>
  <c r="E44" i="4" s="1"/>
  <c r="E43" i="4"/>
  <c r="H27" i="12"/>
  <c r="C34" i="12"/>
  <c r="C44" i="4" s="1"/>
  <c r="C43" i="4"/>
  <c r="D30" i="15"/>
  <c r="D46" i="12"/>
  <c r="D56" i="4" s="1"/>
  <c r="D47" i="4"/>
  <c r="F46" i="12"/>
  <c r="F56" i="4" s="1"/>
  <c r="F47" i="4"/>
  <c r="G39" i="12"/>
  <c r="C49" i="4"/>
  <c r="G43" i="12"/>
  <c r="C53" i="4"/>
  <c r="C57" i="12"/>
  <c r="C67" i="4" s="1"/>
  <c r="C55" i="4"/>
  <c r="G37" i="12"/>
  <c r="C46" i="12"/>
  <c r="C56" i="4" s="1"/>
  <c r="C47" i="4"/>
  <c r="G41" i="12"/>
  <c r="C51" i="4"/>
  <c r="E46" i="12"/>
  <c r="E56" i="4" s="1"/>
  <c r="E47" i="4"/>
  <c r="H48" i="12"/>
  <c r="F49" i="12"/>
  <c r="E49" i="12"/>
  <c r="D49" i="12"/>
  <c r="C49" i="12"/>
  <c r="E30" i="11"/>
  <c r="F30" i="11" s="1"/>
  <c r="G30" i="11" s="1"/>
  <c r="G42" i="12"/>
  <c r="B64" i="12"/>
  <c r="F64" i="12" s="1"/>
  <c r="E25" i="4"/>
  <c r="B66" i="12"/>
  <c r="F66" i="12" s="1"/>
  <c r="E27" i="4"/>
  <c r="C67" i="12"/>
  <c r="F28" i="4"/>
  <c r="C66" i="12"/>
  <c r="F27" i="4"/>
  <c r="B68" i="12"/>
  <c r="F68" i="12" s="1"/>
  <c r="E29" i="4"/>
  <c r="B65" i="12"/>
  <c r="F65" i="12" s="1"/>
  <c r="E26" i="4"/>
  <c r="C68" i="12"/>
  <c r="F29" i="4"/>
  <c r="B67" i="12"/>
  <c r="F67" i="12" s="1"/>
  <c r="E28" i="4"/>
  <c r="G38" i="12"/>
  <c r="G40" i="12"/>
  <c r="G44" i="12"/>
  <c r="G45" i="12"/>
  <c r="G33" i="12"/>
  <c r="H23" i="11"/>
  <c r="I23" i="11"/>
  <c r="C48" i="8"/>
  <c r="C136" i="8" s="1"/>
  <c r="C31" i="8"/>
  <c r="B41" i="7"/>
  <c r="B42" i="7"/>
  <c r="B43" i="7"/>
  <c r="B34" i="7"/>
  <c r="B35" i="7"/>
  <c r="B36" i="7"/>
  <c r="A41" i="7"/>
  <c r="A42" i="7"/>
  <c r="A43" i="7"/>
  <c r="A40" i="7"/>
  <c r="A34" i="7"/>
  <c r="A35" i="7"/>
  <c r="A36" i="7"/>
  <c r="F6" i="6"/>
  <c r="C6" i="6"/>
  <c r="D138" i="8"/>
  <c r="D139" i="8"/>
  <c r="D140" i="8"/>
  <c r="D141" i="8"/>
  <c r="D142" i="8"/>
  <c r="D137" i="8"/>
  <c r="D128" i="8"/>
  <c r="D129" i="8"/>
  <c r="D130" i="8"/>
  <c r="D131" i="8"/>
  <c r="D132" i="8"/>
  <c r="D127" i="8"/>
  <c r="D116" i="8"/>
  <c r="D117" i="8"/>
  <c r="D118" i="8"/>
  <c r="D119" i="8"/>
  <c r="D120" i="8"/>
  <c r="D115" i="8"/>
  <c r="D106" i="8"/>
  <c r="D107" i="8"/>
  <c r="D108" i="8"/>
  <c r="D109" i="8"/>
  <c r="D110" i="8"/>
  <c r="D105" i="8"/>
  <c r="D94" i="8"/>
  <c r="D95" i="8"/>
  <c r="D96" i="8"/>
  <c r="D97" i="8"/>
  <c r="D98" i="8"/>
  <c r="D93" i="8"/>
  <c r="D84" i="8"/>
  <c r="D85" i="8"/>
  <c r="D86" i="8"/>
  <c r="D87" i="8"/>
  <c r="D88" i="8"/>
  <c r="D83" i="8"/>
  <c r="D72" i="8"/>
  <c r="D73" i="8"/>
  <c r="D74" i="8"/>
  <c r="D75" i="8"/>
  <c r="D76" i="8"/>
  <c r="D71" i="8"/>
  <c r="D61" i="8"/>
  <c r="D62" i="8"/>
  <c r="D63" i="8"/>
  <c r="D64" i="8"/>
  <c r="D65" i="8"/>
  <c r="D66" i="8"/>
  <c r="D50" i="8"/>
  <c r="D51" i="8"/>
  <c r="D52" i="8"/>
  <c r="D53" i="8"/>
  <c r="D54" i="8"/>
  <c r="D49" i="8"/>
  <c r="D40" i="8"/>
  <c r="D41" i="8"/>
  <c r="D42" i="8"/>
  <c r="D43" i="8"/>
  <c r="D44" i="8"/>
  <c r="D39" i="8"/>
  <c r="G32" i="8"/>
  <c r="F16" i="11" s="1"/>
  <c r="C30" i="11" s="1"/>
  <c r="F32" i="8"/>
  <c r="F15" i="11" s="1"/>
  <c r="B30" i="11" s="1"/>
  <c r="I30" i="8"/>
  <c r="H30" i="8"/>
  <c r="G30" i="8"/>
  <c r="F30" i="8"/>
  <c r="A33" i="7"/>
  <c r="A17" i="7"/>
  <c r="A13" i="7"/>
  <c r="A11" i="7"/>
  <c r="B4" i="6"/>
  <c r="F82" i="8"/>
  <c r="E82" i="8"/>
  <c r="F38" i="8"/>
  <c r="E38" i="8"/>
  <c r="F126" i="8"/>
  <c r="E126" i="8"/>
  <c r="F134" i="8"/>
  <c r="F124" i="8"/>
  <c r="A124" i="8"/>
  <c r="A134" i="8" s="1"/>
  <c r="F104" i="8"/>
  <c r="Q103" i="8" s="1"/>
  <c r="C43" i="7" s="1"/>
  <c r="E104" i="8"/>
  <c r="P103" i="8" s="1"/>
  <c r="C36" i="7" s="1"/>
  <c r="H114" i="8"/>
  <c r="G114" i="8"/>
  <c r="F112" i="8"/>
  <c r="F102" i="8"/>
  <c r="A102" i="8"/>
  <c r="A112" i="8" s="1"/>
  <c r="A80" i="8"/>
  <c r="A90" i="8" s="1"/>
  <c r="A58" i="8"/>
  <c r="A68" i="8" s="1"/>
  <c r="H92" i="8"/>
  <c r="G92" i="8"/>
  <c r="F90" i="8"/>
  <c r="F80" i="8"/>
  <c r="F60" i="8"/>
  <c r="E60" i="8"/>
  <c r="G70" i="8"/>
  <c r="H70" i="8"/>
  <c r="F68" i="8"/>
  <c r="F58" i="8"/>
  <c r="H48" i="8"/>
  <c r="G48" i="8"/>
  <c r="F46" i="8"/>
  <c r="F37" i="8"/>
  <c r="Q38" i="8" s="1"/>
  <c r="F36" i="8"/>
  <c r="E37" i="8"/>
  <c r="P38" i="8" s="1"/>
  <c r="D6" i="4"/>
  <c r="D5" i="4"/>
  <c r="D4" i="4"/>
  <c r="D3" i="4"/>
  <c r="D2" i="4"/>
  <c r="C16" i="9"/>
  <c r="B16" i="9"/>
  <c r="H15" i="9"/>
  <c r="I15" i="9" s="1"/>
  <c r="H14" i="9"/>
  <c r="I14" i="9" s="1"/>
  <c r="H13" i="9"/>
  <c r="I13" i="9" s="1"/>
  <c r="H12" i="9"/>
  <c r="I12" i="9" s="1"/>
  <c r="H11" i="9"/>
  <c r="I11" i="9" s="1"/>
  <c r="H10" i="9"/>
  <c r="I10" i="9" s="1"/>
  <c r="H9" i="9"/>
  <c r="I9" i="9" s="1"/>
  <c r="H8" i="9"/>
  <c r="I8" i="9" s="1"/>
  <c r="H7" i="9"/>
  <c r="I7" i="9" s="1"/>
  <c r="C38" i="8"/>
  <c r="M3" i="2"/>
  <c r="M4" i="2"/>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2" i="2"/>
  <c r="F22" i="8"/>
  <c r="C123" i="8" s="1"/>
  <c r="F21" i="8"/>
  <c r="C101" i="8" s="1"/>
  <c r="F20" i="8"/>
  <c r="C79" i="8" s="1"/>
  <c r="F63" i="12" l="1"/>
  <c r="Q81" i="8"/>
  <c r="C42" i="7" s="1"/>
  <c r="Q60" i="8"/>
  <c r="C41" i="7" s="1"/>
  <c r="P60" i="8"/>
  <c r="C34" i="7" s="1"/>
  <c r="P81" i="8"/>
  <c r="C35" i="7" s="1"/>
  <c r="D15" i="17"/>
  <c r="D15" i="4" s="1"/>
  <c r="H126" i="8"/>
  <c r="C15" i="17"/>
  <c r="G126" i="8"/>
  <c r="P37" i="8"/>
  <c r="K38" i="8" s="1"/>
  <c r="Q37" i="8"/>
  <c r="L38" i="8" s="1"/>
  <c r="H30" i="11"/>
  <c r="H31" i="11" s="1"/>
  <c r="H32" i="11" s="1"/>
  <c r="D36" i="12"/>
  <c r="D46" i="4" s="1"/>
  <c r="F44" i="4"/>
  <c r="F36" i="12"/>
  <c r="F46" i="4" s="1"/>
  <c r="G34" i="12"/>
  <c r="E36" i="12"/>
  <c r="E46" i="4" s="1"/>
  <c r="C36" i="12"/>
  <c r="C46" i="4" s="1"/>
  <c r="H12" i="17"/>
  <c r="C72" i="17" s="1"/>
  <c r="D11" i="17"/>
  <c r="D11" i="4" s="1"/>
  <c r="E123" i="8"/>
  <c r="C11" i="17"/>
  <c r="K31" i="8"/>
  <c r="F31" i="8"/>
  <c r="E59" i="4"/>
  <c r="D47" i="12"/>
  <c r="D57" i="4" s="1"/>
  <c r="E47" i="12"/>
  <c r="E57" i="4" s="1"/>
  <c r="H68" i="12"/>
  <c r="I68" i="12" s="1"/>
  <c r="F86" i="4"/>
  <c r="H64" i="12"/>
  <c r="I64" i="12" s="1"/>
  <c r="F82" i="4"/>
  <c r="H67" i="12"/>
  <c r="I67" i="12" s="1"/>
  <c r="F85" i="4"/>
  <c r="H65" i="12"/>
  <c r="I65" i="12" s="1"/>
  <c r="F83" i="4"/>
  <c r="H66" i="12"/>
  <c r="I66" i="12" s="1"/>
  <c r="F84" i="4"/>
  <c r="C52" i="12"/>
  <c r="C62" i="4" s="1"/>
  <c r="G49" i="12"/>
  <c r="C59" i="4"/>
  <c r="C58" i="4"/>
  <c r="C14" i="17"/>
  <c r="D14" i="17"/>
  <c r="D13" i="17"/>
  <c r="C13" i="17"/>
  <c r="C12" i="17"/>
  <c r="D12" i="17"/>
  <c r="I30" i="11"/>
  <c r="I31" i="11" s="1"/>
  <c r="I32" i="11" s="1"/>
  <c r="J12" i="12"/>
  <c r="C60" i="8"/>
  <c r="I12" i="12"/>
  <c r="C70" i="8"/>
  <c r="H12" i="12"/>
  <c r="G46" i="12"/>
  <c r="G60" i="8"/>
  <c r="C12" i="12"/>
  <c r="H104" i="8"/>
  <c r="D14" i="12"/>
  <c r="G82" i="8"/>
  <c r="C13" i="12"/>
  <c r="C56" i="12"/>
  <c r="H60" i="8"/>
  <c r="D12" i="12"/>
  <c r="G104" i="8"/>
  <c r="C14" i="12"/>
  <c r="E15" i="12"/>
  <c r="H32" i="12" s="1"/>
  <c r="D13" i="12"/>
  <c r="C114" i="8"/>
  <c r="C92" i="8"/>
  <c r="E101" i="8"/>
  <c r="E79" i="8"/>
  <c r="H32" i="8"/>
  <c r="I32" i="8"/>
  <c r="G31" i="8"/>
  <c r="H82" i="8"/>
  <c r="E47" i="8"/>
  <c r="P48" i="8" s="1"/>
  <c r="F47" i="8"/>
  <c r="J9" i="9"/>
  <c r="J14" i="9"/>
  <c r="J7" i="9"/>
  <c r="J11" i="9"/>
  <c r="J15" i="9"/>
  <c r="J13" i="9"/>
  <c r="J10" i="9"/>
  <c r="J8" i="9"/>
  <c r="J12" i="9"/>
  <c r="C17" i="9"/>
  <c r="C18" i="9" s="1"/>
  <c r="B17" i="9"/>
  <c r="B18" i="9" s="1"/>
  <c r="E24" i="8"/>
  <c r="F19" i="8"/>
  <c r="C57" i="8" s="1"/>
  <c r="E57" i="8" s="1"/>
  <c r="F23" i="8"/>
  <c r="K36" i="8" l="1"/>
  <c r="C7" i="6" s="1"/>
  <c r="C33" i="7"/>
  <c r="E15" i="17"/>
  <c r="H32" i="17" s="1"/>
  <c r="C15" i="4"/>
  <c r="L36" i="8"/>
  <c r="F7" i="6" s="1"/>
  <c r="F18" i="6" s="1"/>
  <c r="J18" i="6" s="1"/>
  <c r="F59" i="8"/>
  <c r="Q48" i="8"/>
  <c r="D27" i="7"/>
  <c r="D41" i="7" s="1"/>
  <c r="E41" i="7" s="1"/>
  <c r="C40" i="7"/>
  <c r="F47" i="12"/>
  <c r="F57" i="4" s="1"/>
  <c r="C47" i="12"/>
  <c r="C57" i="4" s="1"/>
  <c r="G36" i="12"/>
  <c r="G47" i="12" s="1"/>
  <c r="C24" i="4"/>
  <c r="C82" i="8"/>
  <c r="C104" i="8" s="1"/>
  <c r="C126" i="8" s="1"/>
  <c r="C66" i="4"/>
  <c r="G52" i="12"/>
  <c r="E11" i="17"/>
  <c r="H28" i="17" s="1"/>
  <c r="C11" i="4"/>
  <c r="D13" i="4"/>
  <c r="C14" i="4"/>
  <c r="D12" i="4"/>
  <c r="I84" i="4"/>
  <c r="H84" i="4"/>
  <c r="I85" i="4"/>
  <c r="H85" i="4"/>
  <c r="I86" i="4"/>
  <c r="H86" i="4"/>
  <c r="E13" i="17"/>
  <c r="H30" i="17" s="1"/>
  <c r="C13" i="4"/>
  <c r="E14" i="17"/>
  <c r="H31" i="17" s="1"/>
  <c r="D14" i="4"/>
  <c r="H63" i="12"/>
  <c r="H81" i="4" s="1"/>
  <c r="F81" i="4"/>
  <c r="C12" i="4"/>
  <c r="I83" i="4"/>
  <c r="H83" i="4"/>
  <c r="I82" i="4"/>
  <c r="H82" i="4"/>
  <c r="D17" i="17"/>
  <c r="D18" i="17" s="1"/>
  <c r="D19" i="17" s="1"/>
  <c r="E12" i="17"/>
  <c r="H29" i="17" s="1"/>
  <c r="C17" i="17"/>
  <c r="E15" i="11"/>
  <c r="B24" i="11" s="1"/>
  <c r="H24" i="11" s="1"/>
  <c r="H25" i="11" s="1"/>
  <c r="H26" i="11" s="1"/>
  <c r="C63" i="12"/>
  <c r="F24" i="4"/>
  <c r="C81" i="4" s="1"/>
  <c r="G24" i="4"/>
  <c r="E16" i="11"/>
  <c r="C24" i="11" s="1"/>
  <c r="I24" i="11" s="1"/>
  <c r="I25" i="11" s="1"/>
  <c r="I26" i="11" s="1"/>
  <c r="E14" i="12"/>
  <c r="H31" i="12" s="1"/>
  <c r="I31" i="12" s="1"/>
  <c r="E12" i="12"/>
  <c r="H29" i="12" s="1"/>
  <c r="I29" i="12" s="1"/>
  <c r="D17" i="12"/>
  <c r="E13" i="12"/>
  <c r="H30" i="12" s="1"/>
  <c r="I30" i="12" s="1"/>
  <c r="C17" i="12"/>
  <c r="E11" i="12"/>
  <c r="H28" i="12" s="1"/>
  <c r="I28" i="12" s="1"/>
  <c r="I16" i="9"/>
  <c r="I17" i="9" s="1"/>
  <c r="I18" i="9" s="1"/>
  <c r="E59" i="8"/>
  <c r="E25" i="8"/>
  <c r="E26" i="8" s="1"/>
  <c r="H38" i="8"/>
  <c r="J16" i="9"/>
  <c r="C16" i="6"/>
  <c r="D36" i="7" l="1"/>
  <c r="E36" i="7" s="1"/>
  <c r="E69" i="8"/>
  <c r="P61" i="8"/>
  <c r="I41" i="14"/>
  <c r="D34" i="7"/>
  <c r="E34" i="7" s="1"/>
  <c r="F69" i="8"/>
  <c r="Q61" i="8"/>
  <c r="D42" i="7"/>
  <c r="E42" i="7" s="1"/>
  <c r="D33" i="7"/>
  <c r="E33" i="7" s="1"/>
  <c r="D35" i="7"/>
  <c r="E35" i="7" s="1"/>
  <c r="D40" i="7"/>
  <c r="E40" i="7" s="1"/>
  <c r="D43" i="7"/>
  <c r="E43" i="7" s="1"/>
  <c r="G57" i="4"/>
  <c r="C48" i="12"/>
  <c r="C53" i="12" s="1"/>
  <c r="C63" i="4" s="1"/>
  <c r="C65" i="4" s="1"/>
  <c r="H2" i="6"/>
  <c r="C8" i="6" s="1"/>
  <c r="F9" i="6" s="1"/>
  <c r="F11" i="6" s="1"/>
  <c r="I18" i="6"/>
  <c r="L31" i="8"/>
  <c r="L32" i="8"/>
  <c r="C18" i="6"/>
  <c r="J12" i="17"/>
  <c r="J19" i="17" s="1"/>
  <c r="I63" i="12"/>
  <c r="I81" i="4" s="1"/>
  <c r="C55" i="12"/>
  <c r="C58" i="12" s="1"/>
  <c r="D63" i="12" s="1"/>
  <c r="C18" i="17"/>
  <c r="C19" i="17" s="1"/>
  <c r="C20" i="17" s="1"/>
  <c r="H49" i="17" s="1"/>
  <c r="H33" i="17"/>
  <c r="E17" i="17"/>
  <c r="H33" i="12"/>
  <c r="C18" i="12"/>
  <c r="C19" i="12" s="1"/>
  <c r="E17" i="12"/>
  <c r="D18" i="12"/>
  <c r="D19" i="12" s="1"/>
  <c r="I31" i="8"/>
  <c r="J17" i="9"/>
  <c r="J18" i="9" s="1"/>
  <c r="B82" i="4"/>
  <c r="C82" i="4"/>
  <c r="B83" i="4"/>
  <c r="C83" i="4"/>
  <c r="B84" i="4"/>
  <c r="C84" i="4"/>
  <c r="B85" i="4"/>
  <c r="C85" i="4"/>
  <c r="B86" i="4"/>
  <c r="C86" i="4"/>
  <c r="B74" i="4"/>
  <c r="C74" i="4"/>
  <c r="B75" i="4"/>
  <c r="C75" i="4"/>
  <c r="B76" i="4"/>
  <c r="C76" i="4"/>
  <c r="B77" i="4"/>
  <c r="C77" i="4"/>
  <c r="B78" i="4"/>
  <c r="C78" i="4"/>
  <c r="C73" i="4"/>
  <c r="B73" i="4"/>
  <c r="I46" i="14" l="1"/>
  <c r="K51" i="14" s="1"/>
  <c r="E37" i="7"/>
  <c r="E39" i="7" s="1"/>
  <c r="F81" i="8"/>
  <c r="Q70" i="8"/>
  <c r="E81" i="8"/>
  <c r="P70" i="8"/>
  <c r="E44" i="7"/>
  <c r="E46" i="7" s="1"/>
  <c r="C19" i="6"/>
  <c r="F19" i="6"/>
  <c r="F22" i="6" s="1"/>
  <c r="C9" i="6"/>
  <c r="C11" i="6" s="1"/>
  <c r="D81" i="4"/>
  <c r="G54" i="4"/>
  <c r="C20" i="12"/>
  <c r="H49" i="12" s="1"/>
  <c r="B70" i="4"/>
  <c r="D30" i="7" l="1"/>
  <c r="E91" i="8"/>
  <c r="P82" i="8"/>
  <c r="F91" i="8"/>
  <c r="Q82" i="8"/>
  <c r="J19" i="6"/>
  <c r="C23" i="6"/>
  <c r="I19" i="6"/>
  <c r="F21" i="6"/>
  <c r="C21" i="6"/>
  <c r="F23" i="6"/>
  <c r="C22" i="6"/>
  <c r="G60" i="4"/>
  <c r="G59" i="4"/>
  <c r="F34" i="4"/>
  <c r="E34" i="4"/>
  <c r="I28" i="17" l="1"/>
  <c r="C28" i="6"/>
  <c r="C33" i="6" s="1"/>
  <c r="F28" i="6"/>
  <c r="F33" i="6" s="1"/>
  <c r="F103" i="8"/>
  <c r="Q92" i="8"/>
  <c r="E103" i="8"/>
  <c r="P92" i="8"/>
  <c r="I31" i="17"/>
  <c r="I30" i="17"/>
  <c r="I29" i="17"/>
  <c r="G35" i="4"/>
  <c r="E113" i="8" l="1"/>
  <c r="P104" i="8"/>
  <c r="F113" i="8"/>
  <c r="Q104" i="8"/>
  <c r="G55" i="4"/>
  <c r="E16" i="4"/>
  <c r="E14" i="4"/>
  <c r="H41" i="4" s="1"/>
  <c r="E15" i="4"/>
  <c r="H42" i="4" s="1"/>
  <c r="G42" i="4"/>
  <c r="G39" i="4"/>
  <c r="G41" i="4"/>
  <c r="G40" i="4"/>
  <c r="E12" i="4"/>
  <c r="H39" i="4" s="1"/>
  <c r="G38" i="4"/>
  <c r="E13" i="4"/>
  <c r="H40" i="4" s="1"/>
  <c r="D17" i="4"/>
  <c r="D18" i="4" s="1"/>
  <c r="D19" i="4" s="1"/>
  <c r="G52" i="4"/>
  <c r="F125" i="8" l="1"/>
  <c r="F135" i="8" s="1"/>
  <c r="Q114" i="8"/>
  <c r="E125" i="8"/>
  <c r="E135" i="8" s="1"/>
  <c r="P114" i="8"/>
  <c r="G47" i="4"/>
  <c r="G49" i="4"/>
  <c r="G51" i="4"/>
  <c r="G50" i="4"/>
  <c r="G53" i="4"/>
  <c r="G48" i="4"/>
  <c r="G43" i="4"/>
  <c r="G56" i="4" l="1"/>
  <c r="G46" i="4"/>
  <c r="G44" i="4"/>
  <c r="G61" i="4" l="1"/>
  <c r="F18" i="8" l="1"/>
  <c r="C35" i="8" s="1"/>
  <c r="E35" i="8" s="1"/>
  <c r="C17" i="4"/>
  <c r="H43" i="4" s="1"/>
  <c r="C24" i="8"/>
  <c r="E11" i="4"/>
  <c r="H38" i="4" s="1"/>
  <c r="E17" i="4" l="1"/>
  <c r="C25" i="8"/>
  <c r="C26" i="8" s="1"/>
  <c r="C27" i="8" s="1"/>
  <c r="F24" i="8"/>
  <c r="G38" i="8"/>
  <c r="I12" i="17" s="1"/>
  <c r="C18" i="4"/>
  <c r="C19" i="4" s="1"/>
  <c r="C20" i="4" s="1"/>
  <c r="H59" i="4" s="1"/>
  <c r="D24" i="4" l="1"/>
  <c r="I19" i="17"/>
  <c r="I72" i="17"/>
  <c r="I73" i="4" s="1"/>
  <c r="H31" i="8"/>
</calcChain>
</file>

<file path=xl/comments1.xml><?xml version="1.0" encoding="utf-8"?>
<comments xmlns="http://schemas.openxmlformats.org/spreadsheetml/2006/main">
  <authors>
    <author>SARRAZIN David</author>
  </authors>
  <commentList>
    <comment ref="C10" authorId="0" shapeId="0">
      <text>
        <r>
          <rPr>
            <b/>
            <sz val="8"/>
            <color indexed="81"/>
            <rFont val="Tahoma"/>
            <family val="2"/>
          </rPr>
          <t>SARRAZIN David:</t>
        </r>
        <r>
          <rPr>
            <sz val="8"/>
            <color indexed="81"/>
            <rFont val="Tahoma"/>
            <family val="2"/>
          </rPr>
          <t xml:space="preserve">
Inidiquer la durée en mois
</t>
        </r>
      </text>
    </comment>
    <comment ref="E11" authorId="0" shapeId="0">
      <text>
        <r>
          <rPr>
            <b/>
            <sz val="8"/>
            <color indexed="81"/>
            <rFont val="Tahoma"/>
            <family val="2"/>
          </rPr>
          <t>SARRAZIN David:</t>
        </r>
        <r>
          <rPr>
            <sz val="8"/>
            <color indexed="81"/>
            <rFont val="Tahoma"/>
            <family val="2"/>
          </rPr>
          <t xml:space="preserve">
Mentionner ici l'article de l'AE prévoyant le versement de l'avance</t>
        </r>
      </text>
    </comment>
    <comment ref="F11" authorId="0" shapeId="0">
      <text>
        <r>
          <rPr>
            <b/>
            <sz val="8"/>
            <color indexed="81"/>
            <rFont val="Tahoma"/>
            <family val="2"/>
          </rPr>
          <t xml:space="preserve">SARRAZIN David:
</t>
        </r>
        <r>
          <rPr>
            <sz val="8"/>
            <color indexed="81"/>
            <rFont val="Tahoma"/>
            <family val="2"/>
          </rPr>
          <t>indiquer ici l'article mentionnant l'avance dans le CCAP</t>
        </r>
      </text>
    </comment>
    <comment ref="C12" authorId="0" shapeId="0">
      <text>
        <r>
          <rPr>
            <b/>
            <sz val="8"/>
            <color indexed="81"/>
            <rFont val="Tahoma"/>
            <family val="2"/>
          </rPr>
          <t>SARRAZIN David:</t>
        </r>
        <r>
          <rPr>
            <sz val="8"/>
            <color indexed="81"/>
            <rFont val="Tahoma"/>
            <family val="2"/>
          </rPr>
          <t xml:space="preserve">
Inidiquer si le marché est actualisable ou pas</t>
        </r>
      </text>
    </comment>
    <comment ref="E13" authorId="0" shapeId="0">
      <text>
        <r>
          <rPr>
            <b/>
            <sz val="8"/>
            <color indexed="81"/>
            <rFont val="Tahoma"/>
            <family val="2"/>
          </rPr>
          <t>SARRAZIN David:</t>
        </r>
        <r>
          <rPr>
            <sz val="8"/>
            <color indexed="81"/>
            <rFont val="Tahoma"/>
            <family val="2"/>
          </rPr>
          <t xml:space="preserve">
mentionner le mois Mo en format mm/aa
</t>
        </r>
      </text>
    </comment>
    <comment ref="G13" authorId="0" shapeId="0">
      <text>
        <r>
          <rPr>
            <b/>
            <sz val="8"/>
            <color indexed="81"/>
            <rFont val="Tahoma"/>
            <family val="2"/>
          </rPr>
          <t>SARRAZIN David:</t>
        </r>
        <r>
          <rPr>
            <sz val="8"/>
            <color indexed="81"/>
            <rFont val="Tahoma"/>
            <family val="2"/>
          </rPr>
          <t xml:space="preserve">
indiquer l'indice (ex : BT01)</t>
        </r>
      </text>
    </comment>
    <comment ref="G14" authorId="0" shapeId="0">
      <text>
        <r>
          <rPr>
            <b/>
            <sz val="8"/>
            <color indexed="81"/>
            <rFont val="Tahoma"/>
            <family val="2"/>
          </rPr>
          <t>SARRAZIN David:</t>
        </r>
        <r>
          <rPr>
            <sz val="8"/>
            <color indexed="81"/>
            <rFont val="Tahoma"/>
            <family val="2"/>
          </rPr>
          <t xml:space="preserve">
inidiquer le montant du Mo</t>
        </r>
      </text>
    </comment>
    <comment ref="B16" authorId="0" shapeId="0">
      <text>
        <r>
          <rPr>
            <b/>
            <sz val="8"/>
            <color indexed="81"/>
            <rFont val="Tahoma"/>
            <family val="2"/>
          </rPr>
          <t>SARRAZIN David:</t>
        </r>
        <r>
          <rPr>
            <sz val="8"/>
            <color indexed="81"/>
            <rFont val="Tahoma"/>
            <family val="2"/>
          </rPr>
          <t xml:space="preserve">
indiquer ici le montant de la TF et les TO affermies uniquement
</t>
        </r>
      </text>
    </comment>
    <comment ref="F35" authorId="0" shapeId="0">
      <text>
        <r>
          <rPr>
            <b/>
            <sz val="8"/>
            <color indexed="81"/>
            <rFont val="Tahoma"/>
            <family val="2"/>
          </rPr>
          <t>SARRAZIN David:</t>
        </r>
        <r>
          <rPr>
            <sz val="8"/>
            <color indexed="81"/>
            <rFont val="Tahoma"/>
            <family val="2"/>
          </rPr>
          <t xml:space="preserve">
indiquer si la tranche fait l'objet d'une avance
</t>
        </r>
      </text>
    </comment>
    <comment ref="G35"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35"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36"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38"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39"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39" authorId="0" shapeId="0">
      <text>
        <r>
          <rPr>
            <b/>
            <sz val="8"/>
            <color indexed="81"/>
            <rFont val="Tahoma"/>
            <family val="2"/>
          </rPr>
          <t>SARRAZIN David:</t>
        </r>
        <r>
          <rPr>
            <sz val="8"/>
            <color indexed="81"/>
            <rFont val="Tahoma"/>
            <family val="2"/>
          </rPr>
          <t xml:space="preserve">
Mentionner le nom du sous tritant
</t>
        </r>
      </text>
    </comment>
    <comment ref="G39" authorId="0" shapeId="0">
      <text>
        <r>
          <rPr>
            <b/>
            <sz val="8"/>
            <color indexed="81"/>
            <rFont val="Tahoma"/>
            <family val="2"/>
          </rPr>
          <t>SARRAZIN David:</t>
        </r>
        <r>
          <rPr>
            <sz val="8"/>
            <color indexed="81"/>
            <rFont val="Tahoma"/>
            <family val="2"/>
          </rPr>
          <t xml:space="preserve">
Mentionner le montant du DC4 par sous traitant
</t>
        </r>
      </text>
    </comment>
    <comment ref="E4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G57" authorId="0" shapeId="0">
      <text>
        <r>
          <rPr>
            <b/>
            <sz val="8"/>
            <color indexed="81"/>
            <rFont val="Tahoma"/>
            <family val="2"/>
          </rPr>
          <t>SARRAZIN David:</t>
        </r>
        <r>
          <rPr>
            <sz val="8"/>
            <color indexed="81"/>
            <rFont val="Tahoma"/>
            <family val="2"/>
          </rPr>
          <t xml:space="preserve">
indiquer si la tranche fait l'objet d'une garantie et sa forme
</t>
        </r>
      </text>
    </comment>
    <comment ref="E60"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G79" authorId="0" shapeId="0">
      <text>
        <r>
          <rPr>
            <b/>
            <sz val="8"/>
            <color indexed="81"/>
            <rFont val="Tahoma"/>
            <family val="2"/>
          </rPr>
          <t>SARRAZIN David:</t>
        </r>
        <r>
          <rPr>
            <sz val="8"/>
            <color indexed="81"/>
            <rFont val="Tahoma"/>
            <family val="2"/>
          </rPr>
          <t xml:space="preserve">
indiquer si la tranche fait l'objet d'une garantie et sa forme
</t>
        </r>
      </text>
    </comment>
    <comment ref="E82"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G101" authorId="0" shapeId="0">
      <text>
        <r>
          <rPr>
            <b/>
            <sz val="8"/>
            <color indexed="81"/>
            <rFont val="Tahoma"/>
            <family val="2"/>
          </rPr>
          <t>SARRAZIN David:</t>
        </r>
        <r>
          <rPr>
            <sz val="8"/>
            <color indexed="81"/>
            <rFont val="Tahoma"/>
            <family val="2"/>
          </rPr>
          <t xml:space="preserve">
indiquer si la tranche fait l'objet d'une garantie et sa forme
</t>
        </r>
      </text>
    </comment>
    <comment ref="E104"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E126"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List>
</comments>
</file>

<file path=xl/comments2.xml><?xml version="1.0" encoding="utf-8"?>
<comments xmlns="http://schemas.openxmlformats.org/spreadsheetml/2006/main">
  <authors>
    <author>SARRAZIN David</author>
  </authors>
  <commentList>
    <comment ref="E38"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45" authorId="0" shapeId="0">
      <text>
        <r>
          <rPr>
            <b/>
            <sz val="8"/>
            <color indexed="81"/>
            <rFont val="Tahoma"/>
            <family val="2"/>
          </rPr>
          <t>SARRAZIN David:</t>
        </r>
        <r>
          <rPr>
            <sz val="8"/>
            <color indexed="81"/>
            <rFont val="Tahoma"/>
            <family val="2"/>
          </rPr>
          <t xml:space="preserve">
SARRAZIN David:
Mentionner ici le montant de l'avance déjà versée (utile si vous avez un affermissement de tranche éligible à l'avance et que l'affermissement intervient après le versement de l'avance sur la tranche ferme)</t>
        </r>
      </text>
    </comment>
  </commentList>
</comments>
</file>

<file path=xl/comments3.xml><?xml version="1.0" encoding="utf-8"?>
<comments xmlns="http://schemas.openxmlformats.org/spreadsheetml/2006/main">
  <authors>
    <author>SARRAZIN David</author>
  </authors>
  <commentList>
    <comment ref="E38"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45"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List>
</comments>
</file>

<file path=xl/comments4.xml><?xml version="1.0" encoding="utf-8"?>
<comments xmlns="http://schemas.openxmlformats.org/spreadsheetml/2006/main">
  <authors>
    <author>SARRAZIN David</author>
  </authors>
  <commentList>
    <comment ref="B25" authorId="0" shapeId="0">
      <text>
        <r>
          <rPr>
            <b/>
            <sz val="8"/>
            <color indexed="81"/>
            <rFont val="Tahoma"/>
            <family val="2"/>
          </rPr>
          <t>SARRAZIN David:</t>
        </r>
        <r>
          <rPr>
            <sz val="8"/>
            <color indexed="81"/>
            <rFont val="Tahoma"/>
            <family val="2"/>
          </rPr>
          <t xml:space="preserve">
</t>
        </r>
        <r>
          <rPr>
            <b/>
            <sz val="8"/>
            <color indexed="81"/>
            <rFont val="Tahoma"/>
            <family val="2"/>
          </rPr>
          <t>le montant de l'avance une fois versée ne doit pas être modifiée</t>
        </r>
        <r>
          <rPr>
            <sz val="8"/>
            <color indexed="81"/>
            <rFont val="Tahoma"/>
            <family val="2"/>
          </rPr>
          <t>. Utiliser la ligne 1a en cas de restitution suite DC4</t>
        </r>
      </text>
    </comment>
    <comment ref="C25" authorId="0" shapeId="0">
      <text>
        <r>
          <rPr>
            <b/>
            <sz val="8"/>
            <color indexed="81"/>
            <rFont val="Tahoma"/>
            <family val="2"/>
          </rPr>
          <t>SARRAZIN David:</t>
        </r>
        <r>
          <rPr>
            <sz val="8"/>
            <color indexed="81"/>
            <rFont val="Tahoma"/>
            <family val="2"/>
          </rPr>
          <t xml:space="preserve">
à griser à partir du PV2
</t>
        </r>
      </text>
    </comment>
    <comment ref="B26" authorId="0" shapeId="0">
      <text>
        <r>
          <rPr>
            <b/>
            <sz val="8"/>
            <color indexed="81"/>
            <rFont val="Tahoma"/>
            <family val="2"/>
          </rPr>
          <t>SARRAZIN David:</t>
        </r>
        <r>
          <rPr>
            <sz val="8"/>
            <color indexed="81"/>
            <rFont val="Tahoma"/>
            <family val="2"/>
          </rPr>
          <t xml:space="preserve">
mentionner un montant positif calculé sur la base de la feuille RESTITUTIION AVANCE SUITE DC4
</t>
        </r>
      </text>
    </comment>
    <comment ref="C37" authorId="0" shapeId="0">
      <text>
        <r>
          <rPr>
            <b/>
            <sz val="8"/>
            <color indexed="81"/>
            <rFont val="Tahoma"/>
            <family val="2"/>
          </rPr>
          <t>SARRAZIN David:</t>
        </r>
        <r>
          <rPr>
            <sz val="8"/>
            <color indexed="81"/>
            <rFont val="Tahoma"/>
            <family val="2"/>
          </rPr>
          <t xml:space="preserve">
à griser à partir du PV2</t>
        </r>
      </text>
    </comment>
    <comment ref="B58" authorId="0" shapeId="0">
      <text>
        <r>
          <rPr>
            <b/>
            <sz val="8"/>
            <color indexed="81"/>
            <rFont val="Tahoma"/>
            <family val="2"/>
          </rPr>
          <t>SARRAZIN David:</t>
        </r>
        <r>
          <rPr>
            <sz val="8"/>
            <color indexed="81"/>
            <rFont val="Tahoma"/>
            <family val="2"/>
          </rPr>
          <t xml:space="preserve">
ATTENTION LIGNE 2 (si pas de RG) ou 3 si il y a RG
</t>
        </r>
      </text>
    </comment>
    <comment ref="B69"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72" authorId="0" shapeId="0">
      <text>
        <r>
          <rPr>
            <b/>
            <sz val="8"/>
            <color indexed="81"/>
            <rFont val="Tahoma"/>
            <family val="2"/>
          </rPr>
          <t>SARRAZIN David:</t>
        </r>
        <r>
          <rPr>
            <sz val="8"/>
            <color indexed="81"/>
            <rFont val="Tahoma"/>
            <family val="2"/>
          </rPr>
          <t xml:space="preserve">
17
-somme des montants à payer sur les autres prestataires
</t>
        </r>
      </text>
    </comment>
  </commentList>
</comments>
</file>

<file path=xl/comments5.xml><?xml version="1.0" encoding="utf-8"?>
<comments xmlns="http://schemas.openxmlformats.org/spreadsheetml/2006/main">
  <authors>
    <author>SARRAZIN David</author>
  </authors>
  <commentList>
    <comment ref="D27" authorId="0" shapeId="0">
      <text>
        <r>
          <rPr>
            <b/>
            <sz val="8"/>
            <color indexed="81"/>
            <rFont val="Tahoma"/>
            <family val="2"/>
          </rPr>
          <t>SARRAZIN David:</t>
        </r>
        <r>
          <rPr>
            <sz val="8"/>
            <color indexed="81"/>
            <rFont val="Tahoma"/>
            <family val="2"/>
          </rPr>
          <t xml:space="preserve">
indiquer ici le nom du ou des sous-traitants concernés
</t>
        </r>
      </text>
    </comment>
  </commentList>
</comments>
</file>

<file path=xl/comments6.xml><?xml version="1.0" encoding="utf-8"?>
<comments xmlns="http://schemas.openxmlformats.org/spreadsheetml/2006/main">
  <authors>
    <author>SARRAZIN David</author>
  </authors>
  <commentList>
    <comment ref="B25" authorId="0" shapeId="0">
      <text>
        <r>
          <rPr>
            <b/>
            <sz val="8"/>
            <color indexed="81"/>
            <rFont val="Tahoma"/>
            <family val="2"/>
          </rPr>
          <t>SARRAZIN David:</t>
        </r>
        <r>
          <rPr>
            <sz val="8"/>
            <color indexed="81"/>
            <rFont val="Tahoma"/>
            <family val="2"/>
          </rPr>
          <t xml:space="preserve">
le montant de l'avance une fois versée ne doit pas être modifiée. Utiliser la ligne 1a en cas de restitution suite DC4</t>
        </r>
      </text>
    </comment>
    <comment ref="C25" authorId="0" shapeId="0">
      <text>
        <r>
          <rPr>
            <b/>
            <sz val="8"/>
            <color indexed="81"/>
            <rFont val="Tahoma"/>
            <family val="2"/>
          </rPr>
          <t>SARRAZIN David:</t>
        </r>
        <r>
          <rPr>
            <sz val="8"/>
            <color indexed="81"/>
            <rFont val="Tahoma"/>
            <family val="2"/>
          </rPr>
          <t xml:space="preserve">
à griser à partir du PV2
</t>
        </r>
      </text>
    </comment>
    <comment ref="B26" authorId="0" shapeId="0">
      <text>
        <r>
          <rPr>
            <b/>
            <sz val="8"/>
            <color indexed="81"/>
            <rFont val="Tahoma"/>
            <family val="2"/>
          </rPr>
          <t>SARRAZIN David:</t>
        </r>
        <r>
          <rPr>
            <sz val="8"/>
            <color indexed="81"/>
            <rFont val="Tahoma"/>
            <family val="2"/>
          </rPr>
          <t xml:space="preserve">
mentionner un montant positif calculé sur la base de la feuille xxxxx
</t>
        </r>
      </text>
    </comment>
    <comment ref="C37" authorId="0" shapeId="0">
      <text>
        <r>
          <rPr>
            <b/>
            <sz val="8"/>
            <color indexed="81"/>
            <rFont val="Tahoma"/>
            <family val="2"/>
          </rPr>
          <t>SARRAZIN David:</t>
        </r>
        <r>
          <rPr>
            <sz val="8"/>
            <color indexed="81"/>
            <rFont val="Tahoma"/>
            <family val="2"/>
          </rPr>
          <t xml:space="preserve">
à griser à partir du PV2</t>
        </r>
      </text>
    </comment>
    <comment ref="B49" authorId="0" shapeId="0">
      <text>
        <r>
          <rPr>
            <b/>
            <sz val="8"/>
            <color indexed="81"/>
            <rFont val="Tahoma"/>
            <family val="2"/>
          </rPr>
          <t>SARRAZIN David:</t>
        </r>
        <r>
          <rPr>
            <sz val="8"/>
            <color indexed="81"/>
            <rFont val="Tahoma"/>
            <family val="2"/>
          </rPr>
          <t xml:space="preserve">
ATTENTION LIGNE 2 du mandat
</t>
        </r>
      </text>
    </comment>
    <comment ref="B50" authorId="0" shapeId="0">
      <text>
        <r>
          <rPr>
            <b/>
            <sz val="8"/>
            <color indexed="81"/>
            <rFont val="Tahoma"/>
            <family val="2"/>
          </rPr>
          <t>SARRAZIN David:</t>
        </r>
        <r>
          <rPr>
            <sz val="8"/>
            <color indexed="81"/>
            <rFont val="Tahoma"/>
            <family val="2"/>
          </rPr>
          <t xml:space="preserve">
ATTENTION LIGNE 2 (si pas de RG) ou 3 si il y a RG
</t>
        </r>
      </text>
    </comment>
    <comment ref="B60"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63" authorId="0" shapeId="0">
      <text>
        <r>
          <rPr>
            <b/>
            <sz val="8"/>
            <color indexed="81"/>
            <rFont val="Tahoma"/>
            <family val="2"/>
          </rPr>
          <t>SARRAZIN David:</t>
        </r>
        <r>
          <rPr>
            <sz val="8"/>
            <color indexed="81"/>
            <rFont val="Tahoma"/>
            <family val="2"/>
          </rPr>
          <t xml:space="preserve">
20-21-somme des montants à payer sur les autres prestataires
</t>
        </r>
      </text>
    </comment>
  </commentList>
</comments>
</file>

<file path=xl/comments7.xml><?xml version="1.0" encoding="utf-8"?>
<comments xmlns="http://schemas.openxmlformats.org/spreadsheetml/2006/main">
  <authors>
    <author>SARRAZIN David</author>
  </authors>
  <commentList>
    <comment ref="C35" authorId="0" shapeId="0">
      <text>
        <r>
          <rPr>
            <b/>
            <sz val="8"/>
            <color indexed="81"/>
            <rFont val="Tahoma"/>
            <family val="2"/>
          </rPr>
          <t>SARRAZIN David:</t>
        </r>
        <r>
          <rPr>
            <sz val="8"/>
            <color indexed="81"/>
            <rFont val="Tahoma"/>
            <family val="2"/>
          </rPr>
          <t xml:space="preserve">
à griser à partir du PV2
</t>
        </r>
      </text>
    </comment>
    <comment ref="C47" authorId="0" shapeId="0">
      <text>
        <r>
          <rPr>
            <b/>
            <sz val="8"/>
            <color indexed="81"/>
            <rFont val="Tahoma"/>
            <family val="2"/>
          </rPr>
          <t>SARRAZIN David:</t>
        </r>
        <r>
          <rPr>
            <sz val="8"/>
            <color indexed="81"/>
            <rFont val="Tahoma"/>
            <family val="2"/>
          </rPr>
          <t xml:space="preserve">
à griser à partir du PV2</t>
        </r>
      </text>
    </comment>
    <comment ref="B58" authorId="0" shapeId="0">
      <text>
        <r>
          <rPr>
            <b/>
            <sz val="8"/>
            <color indexed="81"/>
            <rFont val="Tahoma"/>
            <family val="2"/>
          </rPr>
          <t>SARRAZIN David:</t>
        </r>
        <r>
          <rPr>
            <sz val="8"/>
            <color indexed="81"/>
            <rFont val="Tahoma"/>
            <family val="2"/>
          </rPr>
          <t xml:space="preserve">
ATTENTION LIGNE 2 du mandat
</t>
        </r>
      </text>
    </comment>
    <comment ref="B59" authorId="0" shapeId="0">
      <text>
        <r>
          <rPr>
            <b/>
            <sz val="8"/>
            <color indexed="81"/>
            <rFont val="Tahoma"/>
            <family val="2"/>
          </rPr>
          <t>SARRAZIN David:</t>
        </r>
        <r>
          <rPr>
            <sz val="8"/>
            <color indexed="81"/>
            <rFont val="Tahoma"/>
            <family val="2"/>
          </rPr>
          <t xml:space="preserve">
ATTENTION LIGNE 2 (si pas de RG) ou 3 si il y a RG
</t>
        </r>
      </text>
    </comment>
    <comment ref="B70"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List>
</comments>
</file>

<file path=xl/sharedStrings.xml><?xml version="1.0" encoding="utf-8"?>
<sst xmlns="http://schemas.openxmlformats.org/spreadsheetml/2006/main" count="1075" uniqueCount="446">
  <si>
    <t>CERTIFICAT DE PAIEMENT N°</t>
  </si>
  <si>
    <t>Titulaire</t>
  </si>
  <si>
    <t>Opération :</t>
  </si>
  <si>
    <t>Titulaire :</t>
  </si>
  <si>
    <t>n° marché :</t>
  </si>
  <si>
    <t>n°engagement :</t>
  </si>
  <si>
    <t>Mois de réalisation :</t>
  </si>
  <si>
    <t>ECONOMIE GENERALE DU CONTRAT</t>
  </si>
  <si>
    <t>Taux de TVA</t>
  </si>
  <si>
    <t>Tranche ferme HT</t>
  </si>
  <si>
    <t>Tranche optionnelle 1 HT</t>
  </si>
  <si>
    <t>Tranche optionnelle 2 HT</t>
  </si>
  <si>
    <t>Tranche optionnelle 3 HT</t>
  </si>
  <si>
    <t>Montant OS et avenants HT</t>
  </si>
  <si>
    <t>Sous total HT</t>
  </si>
  <si>
    <t>Montant TVA</t>
  </si>
  <si>
    <t>Sous total TTC</t>
  </si>
  <si>
    <t>TOTAL TTC</t>
  </si>
  <si>
    <t>CALCUL DE L'ACOMPTE</t>
  </si>
  <si>
    <t>Avance HT</t>
  </si>
  <si>
    <t>2a</t>
  </si>
  <si>
    <t>Tranche Ferme HT</t>
  </si>
  <si>
    <t>TO 1 HT</t>
  </si>
  <si>
    <t>TO 2 HT</t>
  </si>
  <si>
    <t>TO 3 HT</t>
  </si>
  <si>
    <t>2b</t>
  </si>
  <si>
    <t>2c</t>
  </si>
  <si>
    <t>2d</t>
  </si>
  <si>
    <t>avenants et OS</t>
  </si>
  <si>
    <t>2e</t>
  </si>
  <si>
    <t>Mensuel</t>
  </si>
  <si>
    <t>avancement</t>
  </si>
  <si>
    <t>Avancement du marché gobale (TF + T0 + Avenants)</t>
  </si>
  <si>
    <t>VENTILATION PAR ENTITES € HT</t>
  </si>
  <si>
    <t>Type</t>
  </si>
  <si>
    <t>Nom</t>
  </si>
  <si>
    <t>Montant</t>
  </si>
  <si>
    <t>janvier</t>
  </si>
  <si>
    <t>février</t>
  </si>
  <si>
    <t>mars</t>
  </si>
  <si>
    <t>avril</t>
  </si>
  <si>
    <t>mai</t>
  </si>
  <si>
    <t>juin</t>
  </si>
  <si>
    <t>juillet</t>
  </si>
  <si>
    <t>août</t>
  </si>
  <si>
    <t>septembre</t>
  </si>
  <si>
    <t>octobre</t>
  </si>
  <si>
    <t>novembre</t>
  </si>
  <si>
    <t>décembre</t>
  </si>
  <si>
    <t>Année :</t>
  </si>
  <si>
    <t>actualisation</t>
  </si>
  <si>
    <t>Révision</t>
  </si>
  <si>
    <t>TVA avance</t>
  </si>
  <si>
    <t>TVA Tranche ferme</t>
  </si>
  <si>
    <t>TVA TO 1</t>
  </si>
  <si>
    <t>TVA TO 3</t>
  </si>
  <si>
    <t>TVA TO 2</t>
  </si>
  <si>
    <t>TVA avenants et OS</t>
  </si>
  <si>
    <t>TVA actualisation</t>
  </si>
  <si>
    <t>TVA révision</t>
  </si>
  <si>
    <t>GAPD</t>
  </si>
  <si>
    <t>Retenue de pénalités provisoires TTC</t>
  </si>
  <si>
    <t>Cumul général</t>
  </si>
  <si>
    <t>Mandats émis antérieurement</t>
  </si>
  <si>
    <t>Acompte à payer</t>
  </si>
  <si>
    <t>S</t>
  </si>
  <si>
    <t>dont Tiulaire</t>
  </si>
  <si>
    <t>dont Sous-traitant</t>
  </si>
  <si>
    <t>dont Co-traitant</t>
  </si>
  <si>
    <t>nom</t>
  </si>
  <si>
    <t>Co-traitant</t>
  </si>
  <si>
    <t>total</t>
  </si>
  <si>
    <t>Lycée / site :</t>
  </si>
  <si>
    <t>Réfaction</t>
  </si>
  <si>
    <t>mensuel</t>
  </si>
  <si>
    <t>Acompte à payer TTC</t>
  </si>
  <si>
    <t>Montant mensuel HT</t>
  </si>
  <si>
    <t>montant antérieur HT</t>
  </si>
  <si>
    <t>Montant cumulé HT</t>
  </si>
  <si>
    <t>restant du HT</t>
  </si>
  <si>
    <t>Mandats antérieurs</t>
  </si>
  <si>
    <t>PV</t>
  </si>
  <si>
    <t>N°mandat</t>
  </si>
  <si>
    <t>Montant TTC</t>
  </si>
  <si>
    <t>Titres de recettes antérieurs</t>
  </si>
  <si>
    <t>N° titre</t>
  </si>
  <si>
    <t>Lycée</t>
  </si>
  <si>
    <t>"ÉDOUARD BRANLY"</t>
  </si>
  <si>
    <t>"LE VERGER"</t>
  </si>
  <si>
    <t>"MARCELIN BERTHELOT"</t>
  </si>
  <si>
    <t>"ANDRÉ THEURIET"</t>
  </si>
  <si>
    <t>"LES TERRES ROUGES"</t>
  </si>
  <si>
    <t>"PILOTE INNOVANT INTERNATIONAL"</t>
  </si>
  <si>
    <t>"GUY CHAUVET"</t>
  </si>
  <si>
    <t>"MARC GODRIE"</t>
  </si>
  <si>
    <t>EREA</t>
  </si>
  <si>
    <t>"ANNE FRANK"</t>
  </si>
  <si>
    <t>"JEAN-MARIE BOULOUX"</t>
  </si>
  <si>
    <t>"JEAN MOULIN"</t>
  </si>
  <si>
    <t>"RAOUL MORTIER"</t>
  </si>
  <si>
    <t>"ALIÉNOR D'AQUITAINE"</t>
  </si>
  <si>
    <t>"AUGUSTE PERRET"</t>
  </si>
  <si>
    <t>"CAMILLE GUÉRIN"</t>
  </si>
  <si>
    <t>"KYOTO"</t>
  </si>
  <si>
    <t>"LE BOIS D'AMOUR"</t>
  </si>
  <si>
    <t>"LE DOLMEN"</t>
  </si>
  <si>
    <t>"NELSON MANDELA"</t>
  </si>
  <si>
    <t>"RÉAUMUR"</t>
  </si>
  <si>
    <t>"VICTOR HUGO"</t>
  </si>
  <si>
    <t>"XAVIER BERNARD"</t>
  </si>
  <si>
    <t>"DANIÈLE MATHIRON"</t>
  </si>
  <si>
    <t>lycée</t>
  </si>
  <si>
    <t>"LÉONARD DE VINCI"</t>
  </si>
  <si>
    <t>"LES SICAUDIÈRES"</t>
  </si>
  <si>
    <t>"MAURICE GENEVOIX"/"SIMONE SIGNORET"</t>
  </si>
  <si>
    <t>"JEAN-FRANCOIS CAIL"</t>
  </si>
  <si>
    <t>"JACQUES BUJAULT"</t>
  </si>
  <si>
    <t>"JOSEPH DESFONTAINES"</t>
  </si>
  <si>
    <t>"GASTON BARRÉ"</t>
  </si>
  <si>
    <t>"GASTON CHAISSAC"</t>
  </si>
  <si>
    <t>"JEAN MACÉ"</t>
  </si>
  <si>
    <t>"LA VENISE VERTE"</t>
  </si>
  <si>
    <t>"PAUL GUERIN"</t>
  </si>
  <si>
    <t>"THOMAS-JEAN MAIN"</t>
  </si>
  <si>
    <t>"ERNEST PÉROCHON"</t>
  </si>
  <si>
    <t>"LES GRIPPEAUX"</t>
  </si>
  <si>
    <t>"FRANCOISE DOLTO"</t>
  </si>
  <si>
    <t>"HAUT VAL DE SÈVRE"</t>
  </si>
  <si>
    <t>"J.MOULIN"(79)</t>
  </si>
  <si>
    <t>"DE LA MER ET DU LITTORAL"</t>
  </si>
  <si>
    <t>"JEAN HYPPOLITE"</t>
  </si>
  <si>
    <t>"LE RENAUDIN"</t>
  </si>
  <si>
    <t>"JEAN DAUTET"</t>
  </si>
  <si>
    <t>"LÉONCE VIELJEUX"</t>
  </si>
  <si>
    <t>"HOTELIER DU PARC DE LA FRANCOPHONIE"</t>
  </si>
  <si>
    <t>"PIERRE DORIOLE"</t>
  </si>
  <si>
    <t>"RENÉ-JOSUÉ VALIN"</t>
  </si>
  <si>
    <t>"ROMPSAY"</t>
  </si>
  <si>
    <t>"ANTOINE DE SAINT EXUPÉRY"</t>
  </si>
  <si>
    <t>"EMILE COMBES"</t>
  </si>
  <si>
    <t>"GILLES JAMAIN"</t>
  </si>
  <si>
    <t>"MARCEL DASSAULT"</t>
  </si>
  <si>
    <t>"MAURICE MERLEAU PONTY"</t>
  </si>
  <si>
    <t>de "L'ATLANTIQUE"</t>
  </si>
  <si>
    <t>"CORDOUAN"</t>
  </si>
  <si>
    <t>"BELLEVUE"</t>
  </si>
  <si>
    <t>"BERNARD PALISSY"</t>
  </si>
  <si>
    <t>"LE PETIT CHADIGNAC"</t>
  </si>
  <si>
    <t>"THÉODORE MONOD"</t>
  </si>
  <si>
    <t>"BLAISE PASCAL"</t>
  </si>
  <si>
    <t>"LOUIS-AUDOUIN DUBREUIL"</t>
  </si>
  <si>
    <t>"ENILIA-ENSMIC"</t>
  </si>
  <si>
    <t>"GEORGES DESCLAUDES"</t>
  </si>
  <si>
    <t>"MARITIME ET ACQUACOLE"</t>
  </si>
  <si>
    <t>"PAYS D'AUNIS"</t>
  </si>
  <si>
    <t>"CHARLES-AUGUSTIN COULOMB"</t>
  </si>
  <si>
    <t>"GUEZ DE BALZAC"</t>
  </si>
  <si>
    <t>"DE L'IMAGE ET DU SON"</t>
  </si>
  <si>
    <t>"JEAN ROSTAND"</t>
  </si>
  <si>
    <t>"MARGUERITE DE VALOIS"</t>
  </si>
  <si>
    <t>"DE SILLAC"</t>
  </si>
  <si>
    <t>"ÉLIE VINET"</t>
  </si>
  <si>
    <t>"FÉLIX GAILLARD"</t>
  </si>
  <si>
    <t>"PIERRE-ANDRÉ CHABANNE"</t>
  </si>
  <si>
    <t>"JEAN MONNET"</t>
  </si>
  <si>
    <t>"LOUIS DELAGE"</t>
  </si>
  <si>
    <t>"ÉMILE ROUX"</t>
  </si>
  <si>
    <t>"L'OISELLERIE"</t>
  </si>
  <si>
    <t>"LES CHIRONS"</t>
  </si>
  <si>
    <t>"JEAN CAILLAUD"</t>
  </si>
  <si>
    <t>"LOUISE MICHEL"</t>
  </si>
  <si>
    <t>"JEAN-ALBERT GRÉGOIRE"</t>
  </si>
  <si>
    <t>Cumulé antérieur
TVA</t>
  </si>
  <si>
    <t>DGD</t>
  </si>
  <si>
    <t>TVA remboursement avance
(avancement travaux)</t>
  </si>
  <si>
    <t>Remboursement avance HT
(avancement travaux)</t>
  </si>
  <si>
    <r>
      <t>Sous-Total travaux (</t>
    </r>
    <r>
      <rPr>
        <sz val="14"/>
        <color theme="1"/>
        <rFont val="Symbol"/>
        <family val="1"/>
        <charset val="2"/>
      </rPr>
      <t>S</t>
    </r>
    <r>
      <rPr>
        <sz val="14"/>
        <color theme="1"/>
        <rFont val="Calibri"/>
        <family val="2"/>
      </rPr>
      <t>2 HT)</t>
    </r>
  </si>
  <si>
    <t>3a</t>
  </si>
  <si>
    <t>3b</t>
  </si>
  <si>
    <t>7a</t>
  </si>
  <si>
    <r>
      <t>Total des retenues TTC (</t>
    </r>
    <r>
      <rPr>
        <sz val="14"/>
        <color theme="1"/>
        <rFont val="Symbol"/>
        <family val="1"/>
        <charset val="2"/>
      </rPr>
      <t>S</t>
    </r>
    <r>
      <rPr>
        <sz val="14"/>
        <color theme="1"/>
        <rFont val="Calibri"/>
        <family val="2"/>
        <scheme val="minor"/>
      </rPr>
      <t xml:space="preserve"> 12 13+14)</t>
    </r>
  </si>
  <si>
    <t>Titu</t>
  </si>
  <si>
    <t>ST TVA autoliquidée</t>
  </si>
  <si>
    <t>ST TVA non-autoliquidée</t>
  </si>
  <si>
    <t>1a</t>
  </si>
  <si>
    <t>restitution avance suite DC4</t>
  </si>
  <si>
    <t>1b</t>
  </si>
  <si>
    <t>Autres retenues provisoires TTC</t>
  </si>
  <si>
    <t>6a</t>
  </si>
  <si>
    <t>6b</t>
  </si>
  <si>
    <t>6c</t>
  </si>
  <si>
    <t>6d</t>
  </si>
  <si>
    <t>6e</t>
  </si>
  <si>
    <t>6f</t>
  </si>
  <si>
    <t>TVA restitution avance suite DC4</t>
  </si>
  <si>
    <r>
      <t>Sous-Total TVA (</t>
    </r>
    <r>
      <rPr>
        <sz val="14"/>
        <color theme="1"/>
        <rFont val="Symbol"/>
        <family val="1"/>
        <charset val="2"/>
      </rPr>
      <t>S 6 - 7)</t>
    </r>
  </si>
  <si>
    <t>N° marché :</t>
  </si>
  <si>
    <t>Pourcentage de l'avance</t>
  </si>
  <si>
    <t>Montant des acomptes déjà effectués HT</t>
  </si>
  <si>
    <t>Facture transmise pour paiement HT</t>
  </si>
  <si>
    <t>Total des prestations réalisées HT</t>
  </si>
  <si>
    <t>% des prestations réalisées(total des acomptes payées et facture à payer sur total marché)</t>
  </si>
  <si>
    <t>MONTANT A DEDUIRE DE LA PRESENTE SITUATION  :</t>
  </si>
  <si>
    <t>Montant Avance HT x taux de remboursement</t>
  </si>
  <si>
    <t>____________________</t>
  </si>
  <si>
    <t>Ecart de remboursement</t>
  </si>
  <si>
    <t>Montant avance déjà récupéré</t>
  </si>
  <si>
    <t>Montant avance à récupérer</t>
  </si>
  <si>
    <t>Borne de début de remboursement</t>
  </si>
  <si>
    <t>Ici remboursement à hauteur de (en %)</t>
  </si>
  <si>
    <t>ETAT LIQUIDATIF DE VERSEMENT DE L’AVANCE</t>
  </si>
  <si>
    <t>Sous-Total TTC 5 + 8</t>
  </si>
  <si>
    <t>info RG à mandater en ligne 2</t>
  </si>
  <si>
    <t>département</t>
  </si>
  <si>
    <t>au</t>
  </si>
  <si>
    <t>à l'</t>
  </si>
  <si>
    <t>_16</t>
  </si>
  <si>
    <t>_17</t>
  </si>
  <si>
    <t>_79</t>
  </si>
  <si>
    <t>_86</t>
  </si>
  <si>
    <t>montant après ST</t>
  </si>
  <si>
    <t>AVANCE</t>
  </si>
  <si>
    <t>ACTUALISATION</t>
  </si>
  <si>
    <t>REVISION</t>
  </si>
  <si>
    <t>TABLEAU DE REVISION TITULAIRE</t>
  </si>
  <si>
    <t>Cn = 0,15 + 0,85 (In / Io)</t>
  </si>
  <si>
    <t>SITUATIONS</t>
  </si>
  <si>
    <t>MOIS EXECUTION TRAVAUX</t>
  </si>
  <si>
    <t>BT mo</t>
  </si>
  <si>
    <t>BT m</t>
  </si>
  <si>
    <t>Coeff de révisions</t>
  </si>
  <si>
    <t>arrondi</t>
  </si>
  <si>
    <t>D</t>
  </si>
  <si>
    <t>P</t>
  </si>
  <si>
    <t>TOTAL</t>
  </si>
  <si>
    <t>TVA</t>
  </si>
  <si>
    <t>(p) : index provisoire</t>
  </si>
  <si>
    <t>D : index définitif</t>
  </si>
  <si>
    <t>TABLEAU DE REVISION CO-TRAITANT</t>
  </si>
  <si>
    <t>OUI</t>
  </si>
  <si>
    <t>NON</t>
  </si>
  <si>
    <t>info restitution suite DC4 TDR</t>
  </si>
  <si>
    <t>Montant intial TVA</t>
  </si>
  <si>
    <t>Indiquer à droite les montants des sous traitants HT</t>
  </si>
  <si>
    <t>Tranche FERME</t>
  </si>
  <si>
    <t>Tranche OPTIONNELLE 1</t>
  </si>
  <si>
    <t>Tranche OPTIONNELLE 2</t>
  </si>
  <si>
    <t>Cotraitant</t>
  </si>
  <si>
    <t>Tranche OPTIONNELLE 3</t>
  </si>
  <si>
    <t>Montant OS et avenants</t>
  </si>
  <si>
    <t>TOTAL (3b + 4)</t>
  </si>
  <si>
    <t>numérateur</t>
  </si>
  <si>
    <t>dénominateur</t>
  </si>
  <si>
    <t>ETAT LIQUIDATIF  DE RECUPERATION DE L'AVANCE</t>
  </si>
  <si>
    <t>Objet :</t>
  </si>
  <si>
    <t>AE</t>
  </si>
  <si>
    <t>CCAP</t>
  </si>
  <si>
    <t>l'article 3</t>
  </si>
  <si>
    <t>l'article 4</t>
  </si>
  <si>
    <t>l'article 5</t>
  </si>
  <si>
    <t>l'article 6</t>
  </si>
  <si>
    <t>l'article 7</t>
  </si>
  <si>
    <t>Le Président du Conseil Régional, ordonnateur de la Région Nouvelle-Aquitaine,</t>
  </si>
  <si>
    <t>CERTIFIE</t>
  </si>
  <si>
    <r>
      <t>Qu‘il convient de mandater au profit de</t>
    </r>
    <r>
      <rPr>
        <b/>
        <sz val="11"/>
        <color rgb="FF0000CC"/>
        <rFont val="Verdana"/>
        <family val="2"/>
      </rPr>
      <t/>
    </r>
  </si>
  <si>
    <t xml:space="preserve">Pour le Président du Conseil Régional
et par délégation
</t>
  </si>
  <si>
    <t>Montant initial TVA</t>
  </si>
  <si>
    <t>Tranche Ferme</t>
  </si>
  <si>
    <t>Tranche Optionnelle 1</t>
  </si>
  <si>
    <t>Tranche Optionnelle 2</t>
  </si>
  <si>
    <t>Tranche Optionelle 3</t>
  </si>
  <si>
    <t>OS et avenants</t>
  </si>
  <si>
    <t>Cotraitant :</t>
  </si>
  <si>
    <t>S HT</t>
  </si>
  <si>
    <t>reste à repartir</t>
  </si>
  <si>
    <t>taux avance</t>
  </si>
  <si>
    <t>Maître d'ouvrage :</t>
  </si>
  <si>
    <t>N° Marché :</t>
  </si>
  <si>
    <t>CALCUL DE L'ACTUALISATION :</t>
  </si>
  <si>
    <t>Indice (I) :</t>
  </si>
  <si>
    <t>Mois d-3 :</t>
  </si>
  <si>
    <t>Mois Mo :</t>
  </si>
  <si>
    <r>
      <t xml:space="preserve">Formule d'actualisation : Id-3 / Io
</t>
    </r>
    <r>
      <rPr>
        <sz val="8"/>
        <rFont val="Arial"/>
        <family val="2"/>
      </rPr>
      <t>(suivant CCAP)</t>
    </r>
  </si>
  <si>
    <t>Montant travaux réalisés HT TVA 10%</t>
  </si>
  <si>
    <t>Id-3</t>
  </si>
  <si>
    <t>Io</t>
  </si>
  <si>
    <t>Cn</t>
  </si>
  <si>
    <r>
      <t xml:space="preserve">Cn-1
</t>
    </r>
    <r>
      <rPr>
        <sz val="8"/>
        <rFont val="Arial"/>
        <family val="2"/>
      </rPr>
      <t>(arrondi svt CCAP)</t>
    </r>
  </si>
  <si>
    <t>Entreprise titulaire</t>
  </si>
  <si>
    <t>Montant travaux réalisés
HT TVA 20%</t>
  </si>
  <si>
    <t>TITULAIRE</t>
  </si>
  <si>
    <t>COTRAITANT</t>
  </si>
  <si>
    <t>Montant du marché HT TVA</t>
  </si>
  <si>
    <t>Montant actualisation TVA</t>
  </si>
  <si>
    <t>total ht</t>
  </si>
  <si>
    <t>Montant d'avance récupérée suite DC4</t>
  </si>
  <si>
    <t>Nouveau montant d'avance 
(suite introduction DC4)</t>
  </si>
  <si>
    <t>Restitution d'avance du au Sous-traitant</t>
  </si>
  <si>
    <t>Créancier</t>
  </si>
  <si>
    <t xml:space="preserve">Titulaire : </t>
  </si>
  <si>
    <t>S/Traitant :</t>
  </si>
  <si>
    <t>Co-Traitant :</t>
  </si>
  <si>
    <t>Nom :</t>
  </si>
  <si>
    <t>Objet du marché</t>
  </si>
  <si>
    <t>Mandat du versement de l'avance au  titulaire du marché</t>
  </si>
  <si>
    <t>Mandat n°</t>
  </si>
  <si>
    <t>Motif de l'Ordre de Recette</t>
  </si>
  <si>
    <t>Etat liquidatif</t>
  </si>
  <si>
    <t xml:space="preserve">Taux de TVA : </t>
  </si>
  <si>
    <t xml:space="preserve">Taux de l'avance : </t>
  </si>
  <si>
    <t>Montant de l'avance versée au titulaire HT</t>
  </si>
  <si>
    <t>Montant sous-traité HT</t>
  </si>
  <si>
    <t>Nouvelle part titulaire</t>
  </si>
  <si>
    <t>Montant de l'avance due au titulaire</t>
  </si>
  <si>
    <t>MONTANT NET A RECUPERER HT</t>
  </si>
  <si>
    <t>Arrété le présent ordre de recette à la somme figurant ci-dessus</t>
  </si>
  <si>
    <t xml:space="preserve">Fait à                                      le </t>
  </si>
  <si>
    <t>Marché n°</t>
  </si>
  <si>
    <t>Acceptation du sous-traitant</t>
  </si>
  <si>
    <t xml:space="preserve">  en cours d'exécution du marché</t>
  </si>
  <si>
    <t>Durée du marché en mois :</t>
  </si>
  <si>
    <t xml:space="preserve">Que le montant HT du marché s'élève à </t>
  </si>
  <si>
    <t>TOTAL TVA</t>
  </si>
  <si>
    <t>Total TTC</t>
  </si>
  <si>
    <t xml:space="preserve">une avance d'un montant TTC de </t>
  </si>
  <si>
    <t>Mo</t>
  </si>
  <si>
    <t>Indice Mo</t>
  </si>
  <si>
    <t>Nom indice</t>
  </si>
  <si>
    <t>TVA restitution avance suite DC4 (pour info)</t>
  </si>
  <si>
    <t>restitution avance suite DC4 (pour info - non déduit des calculs)</t>
  </si>
  <si>
    <t>Titres de recettes antérieurs (pour info)</t>
  </si>
  <si>
    <t>Montant initial de l'avance</t>
  </si>
  <si>
    <t>MODELE UNIQUEMENT POUR LE REMBOURSEMENT DE L'AVANCE SUITE A l'AVANCEMENT DE TRAVAUX / PAS POUR LA RECUPERATION SUITE INTRO DC4</t>
  </si>
  <si>
    <t>année</t>
  </si>
  <si>
    <t>numéro</t>
  </si>
  <si>
    <r>
      <t>Sous-Total TVA (</t>
    </r>
    <r>
      <rPr>
        <sz val="14"/>
        <color theme="1"/>
        <rFont val="Symbol"/>
        <family val="1"/>
        <charset val="2"/>
      </rPr>
      <t>S 6-7)</t>
    </r>
  </si>
  <si>
    <t>ne remplir que les cases vertes</t>
  </si>
  <si>
    <t>Ordre de service du (JJ/MM/AAAA) :</t>
  </si>
  <si>
    <t>Montant TRVX réalisé TVA</t>
  </si>
  <si>
    <t>Montant Révision TVA</t>
  </si>
  <si>
    <t>P/D</t>
  </si>
  <si>
    <t>Avance déjà versée</t>
  </si>
  <si>
    <t>Soit un acompte total à mandater de</t>
  </si>
  <si>
    <t>avance</t>
  </si>
  <si>
    <t>Que le montant HT de l'avance déjà versée est de</t>
  </si>
  <si>
    <t>Que le montant d'avance déjà versé est de</t>
  </si>
  <si>
    <t>Montant du marché HT ayant donné lieu à l'avance</t>
  </si>
  <si>
    <t xml:space="preserve">Vu la durée du marché fixé à </t>
  </si>
  <si>
    <t>mois</t>
  </si>
  <si>
    <t>DUREE INTIAL en mois</t>
  </si>
  <si>
    <t xml:space="preserve">titulaire </t>
  </si>
  <si>
    <t>cotraitant</t>
  </si>
  <si>
    <r>
      <t>Sous-Total avance +
travaux (somme 3a-1 - 1b</t>
    </r>
    <r>
      <rPr>
        <sz val="14"/>
        <color theme="1"/>
        <rFont val="Calibri"/>
        <family val="2"/>
      </rPr>
      <t>) HT</t>
    </r>
  </si>
  <si>
    <r>
      <t>Sous-Total avance +
travaux (somme 3a - 1 - 1b</t>
    </r>
    <r>
      <rPr>
        <sz val="14"/>
        <color theme="1"/>
        <rFont val="Calibri"/>
        <family val="2"/>
      </rPr>
      <t>) HT</t>
    </r>
  </si>
  <si>
    <r>
      <t>TOTAL (</t>
    </r>
    <r>
      <rPr>
        <sz val="14"/>
        <color theme="1"/>
        <rFont val="Symbol"/>
        <family val="1"/>
        <charset val="2"/>
      </rPr>
      <t>S</t>
    </r>
    <r>
      <rPr>
        <sz val="14"/>
        <color theme="1"/>
        <rFont val="Calibri"/>
        <family val="2"/>
      </rPr>
      <t xml:space="preserve"> 9 mensuel + antérieur</t>
    </r>
    <r>
      <rPr>
        <sz val="14"/>
        <color theme="1"/>
        <rFont val="Calibri"/>
        <family val="2"/>
        <scheme val="minor"/>
      </rPr>
      <t>) TTC</t>
    </r>
  </si>
  <si>
    <r>
      <t>TOTAL (</t>
    </r>
    <r>
      <rPr>
        <sz val="14"/>
        <color theme="1"/>
        <rFont val="Symbol"/>
        <family val="1"/>
        <charset val="2"/>
      </rPr>
      <t>S</t>
    </r>
    <r>
      <rPr>
        <sz val="14"/>
        <color theme="1"/>
        <rFont val="Calibri"/>
        <family val="2"/>
        <scheme val="minor"/>
      </rPr>
      <t xml:space="preserve"> 9 mensuel + antérieur) TTC</t>
    </r>
  </si>
  <si>
    <t>_19</t>
  </si>
  <si>
    <t>_23</t>
  </si>
  <si>
    <t>_87</t>
  </si>
  <si>
    <t>"D'ARSONVAL"</t>
  </si>
  <si>
    <t>"MARCEL BARBENCEYS"</t>
  </si>
  <si>
    <t>"BORT ARTENSE"</t>
  </si>
  <si>
    <t>"GEORGES CABANIS"</t>
  </si>
  <si>
    <t>"PIERRE CARAMINOT"</t>
  </si>
  <si>
    <t>"RENE CASSIN"</t>
  </si>
  <si>
    <t>"DANTON"</t>
  </si>
  <si>
    <t>"LAVOISIER"</t>
  </si>
  <si>
    <t>"DES MILLES SOURCES"</t>
  </si>
  <si>
    <t>"EDMOND PERRIER"</t>
  </si>
  <si>
    <t>"BERNART DE VENTADOUR"</t>
  </si>
  <si>
    <t>"BRIVE-VOUTEZAC"</t>
  </si>
  <si>
    <t>"DE HAUTE CORREZE"</t>
  </si>
  <si>
    <t>"EDGARD PISANI"</t>
  </si>
  <si>
    <t>"PIERRE BOURDAN"</t>
  </si>
  <si>
    <t>"JEAN FAVARD"</t>
  </si>
  <si>
    <t>"DES METIERS ET DU BATIMENT DE FELLETIN"</t>
  </si>
  <si>
    <t>"DELHPINE GAY"</t>
  </si>
  <si>
    <t>"EUGENE JAMOT"</t>
  </si>
  <si>
    <t>"JEAN JAURES"</t>
  </si>
  <si>
    <t>"RAYMOND LOEWY"</t>
  </si>
  <si>
    <t>"GASTON ROUSSILAT"</t>
  </si>
  <si>
    <t>"D'AHUN"</t>
  </si>
  <si>
    <t>"MARYSE BASTIE"</t>
  </si>
  <si>
    <t>"BAPTISTE DARNET"</t>
  </si>
  <si>
    <t>"DAUTRY"</t>
  </si>
  <si>
    <t>"PAUL EUARD"</t>
  </si>
  <si>
    <t>"GAY LUSSAC"</t>
  </si>
  <si>
    <t>"JEAN GIRAUOUX"</t>
  </si>
  <si>
    <t>"LEONARD LIMOSIN"</t>
  </si>
  <si>
    <t>"LE MAS JAMBOST"</t>
  </si>
  <si>
    <t>"MARTIN NADAUD"</t>
  </si>
  <si>
    <t>"MARCEL PAGNOL"</t>
  </si>
  <si>
    <t>"AUGUSTE RENOIR"</t>
  </si>
  <si>
    <t>"GEORGES SAND"</t>
  </si>
  <si>
    <t>"TURGOT"</t>
  </si>
  <si>
    <t>"EDOUARD VAILLANT"</t>
  </si>
  <si>
    <t>"SUZANNE VALANDON"</t>
  </si>
  <si>
    <t>"DE SAINT YRIEZIX DE LA PERCHE"</t>
  </si>
  <si>
    <t>"DE LIMOGES ET DU NORD HAUTE VIENNE" (MAGNAC LAVAL")</t>
  </si>
  <si>
    <t>"DE LIMOGES ET DU NORD HAUTE VIENNE" (LES VASEIX")</t>
  </si>
  <si>
    <t>Sans Objet</t>
  </si>
  <si>
    <t>info pénalités provisoires ligne 2 ou 3</t>
  </si>
  <si>
    <t>Soit un acompte total de</t>
  </si>
  <si>
    <t>DGD suite à Révision définitive</t>
  </si>
  <si>
    <t>RG</t>
  </si>
  <si>
    <t>Sureté INITIALE (RG / GAPD / Sans objet)</t>
  </si>
  <si>
    <t>Sureté MODIFICATIVE (RG / GAPD)</t>
  </si>
  <si>
    <t>Retenue de Garantie tranche ferme</t>
  </si>
  <si>
    <t>GAPD tranche ferme</t>
  </si>
  <si>
    <t>RG tranche ferme remplacée par GAPD</t>
  </si>
  <si>
    <t>11-1</t>
  </si>
  <si>
    <t>Retenue de Garantie TO 1</t>
  </si>
  <si>
    <t>GAPD TO 1</t>
  </si>
  <si>
    <t>RG TO1 remplacée par GAPD</t>
  </si>
  <si>
    <t>11-2</t>
  </si>
  <si>
    <t>11-3</t>
  </si>
  <si>
    <t>Retenue de Garantie TO 2</t>
  </si>
  <si>
    <t>GAPD TO 2</t>
  </si>
  <si>
    <t>RG TO2 remplacée par GAPD</t>
  </si>
  <si>
    <t>11-4</t>
  </si>
  <si>
    <t>11-5</t>
  </si>
  <si>
    <t>Retenue de Garantie TO 3</t>
  </si>
  <si>
    <t>GAPD TO 3</t>
  </si>
  <si>
    <t>RG TO3 remplacée par GAPD</t>
  </si>
  <si>
    <t>11-6</t>
  </si>
  <si>
    <t>11-7</t>
  </si>
  <si>
    <t>11-8</t>
  </si>
  <si>
    <t>Retenue complémentaire (attention point à vérifier dans le CCAP)</t>
  </si>
  <si>
    <t>Sous traitant introduit au démarrage et déduit du calcul de l'avance</t>
  </si>
  <si>
    <t>&lt;</t>
  </si>
  <si>
    <t>titul</t>
  </si>
  <si>
    <t>titulaire</t>
  </si>
  <si>
    <t>TF</t>
  </si>
  <si>
    <t>cotrait</t>
  </si>
  <si>
    <t>TO1</t>
  </si>
  <si>
    <t>cotrai</t>
  </si>
  <si>
    <t>TO2</t>
  </si>
  <si>
    <t>tiutl</t>
  </si>
  <si>
    <t>TO3</t>
  </si>
  <si>
    <t>Tranche :</t>
  </si>
  <si>
    <t>ferme</t>
  </si>
  <si>
    <t xml:space="preserve">Montant du marché trache ferme HT : </t>
  </si>
  <si>
    <t xml:space="preserve">Montant du marché trache optionnelle 1 HT : </t>
  </si>
  <si>
    <t xml:space="preserve">Montant du marché trache optionnelle 2 HT : </t>
  </si>
  <si>
    <t xml:space="preserve">Montant du marché trache optionnelle 3 HT : </t>
  </si>
  <si>
    <t>ACTUALISATION / REVISION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</si>
</sst>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4" formatCode="_-* #,##0.00\ &quot;€&quot;_-;\-* #,##0.00\ &quot;€&quot;_-;_-* &quot;-&quot;??\ &quot;€&quot;_-;_-@_-"/>
    <numFmt numFmtId="43" formatCode="_-* #,##0.00\ _€_-;\-* #,##0.00\ _€_-;_-* &quot;-&quot;??\ _€_-;_-@_-"/>
    <numFmt numFmtId="164" formatCode="0.0%"/>
    <numFmt numFmtId="165" formatCode="#,##0.00\ &quot;€&quot;"/>
    <numFmt numFmtId="166" formatCode="00,000,000,000,000"/>
    <numFmt numFmtId="167" formatCode="#,##0.00_ ;\-#,##0.00\ "/>
    <numFmt numFmtId="168" formatCode="#,##0.00&quot; F&quot;"/>
    <numFmt numFmtId="169" formatCode="#,##0.00\ [$€-40C];[Red]\-#,##0.00\ [$€-40C]"/>
    <numFmt numFmtId="170" formatCode="#,##0.00&quot; €&quot;"/>
    <numFmt numFmtId="171" formatCode="0.00000"/>
    <numFmt numFmtId="172" formatCode="#,##0.0000"/>
    <numFmt numFmtId="173" formatCode="#,##0.0"/>
    <numFmt numFmtId="174" formatCode="0.000"/>
    <numFmt numFmtId="175" formatCode="_-* #,##0.00&quot; €&quot;_-;\-* #,##0.00&quot; €&quot;_-;_-* \-??&quot; €&quot;_-;_-@_-"/>
    <numFmt numFmtId="176" formatCode="_-* #,##0.0000\ _€_-;\-* #,##0.0000\ _€_-;_-* \-????\ _€_-;_-@_-"/>
    <numFmt numFmtId="177" formatCode="[$-40C]mmmm\-yy;@"/>
    <numFmt numFmtId="178" formatCode="_-* #,##0\ _€_-;\-* #,##0\ _€_-;_-* &quot;-&quot;??\ _€_-;_-@_-"/>
    <numFmt numFmtId="179" formatCode="_-* #,##0.00\ [$€-40C]_-;\-* #,##0.00\ [$€-40C]_-;_-* &quot;-&quot;??\ [$€-40C]_-;_-@_-"/>
    <numFmt numFmtId="180" formatCode="#,##0.00\ [$€-40C];\-#,##0.00\ [$€-40C]"/>
  </numFmts>
  <fonts count="58" x14ac:knownFonts="1">
    <font>
      <sz val="11"/>
      <color theme="1"/>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sz val="8"/>
      <color indexed="81"/>
      <name val="Tahoma"/>
      <family val="2"/>
    </font>
    <font>
      <b/>
      <sz val="8"/>
      <color indexed="81"/>
      <name val="Tahoma"/>
      <family val="2"/>
    </font>
    <font>
      <sz val="8"/>
      <color theme="1"/>
      <name val="Liberation Sans"/>
      <family val="2"/>
    </font>
    <font>
      <sz val="8"/>
      <color theme="1"/>
      <name val="Arial"/>
      <family val="2"/>
    </font>
    <font>
      <sz val="12"/>
      <color theme="1"/>
      <name val="Calibri"/>
      <family val="2"/>
      <scheme val="minor"/>
    </font>
    <font>
      <sz val="14"/>
      <color theme="1"/>
      <name val="Calibri"/>
      <family val="2"/>
      <scheme val="minor"/>
    </font>
    <font>
      <b/>
      <sz val="14"/>
      <color theme="1"/>
      <name val="Calibri"/>
      <family val="2"/>
      <scheme val="minor"/>
    </font>
    <font>
      <sz val="14"/>
      <color theme="1"/>
      <name val="Symbol"/>
      <family val="1"/>
      <charset val="2"/>
    </font>
    <font>
      <i/>
      <sz val="14"/>
      <color theme="1"/>
      <name val="Calibri"/>
      <family val="2"/>
      <scheme val="minor"/>
    </font>
    <font>
      <sz val="14"/>
      <color theme="1"/>
      <name val="Calibri"/>
      <family val="2"/>
    </font>
    <font>
      <sz val="14"/>
      <color rgb="FFFF0000"/>
      <name val="Calibri"/>
      <family val="2"/>
      <scheme val="minor"/>
    </font>
    <font>
      <sz val="14"/>
      <name val="Calibri"/>
      <family val="2"/>
      <scheme val="minor"/>
    </font>
    <font>
      <sz val="10"/>
      <name val="Arial"/>
      <family val="2"/>
    </font>
    <font>
      <b/>
      <sz val="16"/>
      <name val="Verdana"/>
      <family val="2"/>
    </font>
    <font>
      <b/>
      <sz val="14"/>
      <name val="Verdana"/>
      <family val="2"/>
    </font>
    <font>
      <sz val="14"/>
      <name val="Verdana"/>
      <family val="2"/>
    </font>
    <font>
      <sz val="14"/>
      <color rgb="FFFF0000"/>
      <name val="Verdana"/>
      <family val="2"/>
    </font>
    <font>
      <b/>
      <u/>
      <sz val="14"/>
      <name val="Verdana"/>
      <family val="2"/>
    </font>
    <font>
      <b/>
      <sz val="14"/>
      <color rgb="FFFF0000"/>
      <name val="Verdana"/>
      <family val="2"/>
    </font>
    <font>
      <sz val="14"/>
      <color indexed="12"/>
      <name val="Verdana"/>
      <family val="2"/>
    </font>
    <font>
      <sz val="14"/>
      <color rgb="FF00B050"/>
      <name val="Verdana"/>
      <family val="2"/>
    </font>
    <font>
      <b/>
      <sz val="14"/>
      <color rgb="FF00B050"/>
      <name val="Verdana"/>
      <family val="2"/>
    </font>
    <font>
      <b/>
      <sz val="12"/>
      <name val="Verdana"/>
      <family val="2"/>
    </font>
    <font>
      <b/>
      <sz val="14"/>
      <color indexed="12"/>
      <name val="Verdana"/>
      <family val="2"/>
    </font>
    <font>
      <b/>
      <i/>
      <sz val="14"/>
      <name val="Verdana"/>
      <family val="2"/>
    </font>
    <font>
      <b/>
      <i/>
      <sz val="10"/>
      <name val="Arial"/>
      <family val="2"/>
    </font>
    <font>
      <b/>
      <sz val="10"/>
      <name val="Arial"/>
      <family val="2"/>
    </font>
    <font>
      <u/>
      <sz val="10"/>
      <name val="Arial"/>
      <family val="2"/>
    </font>
    <font>
      <b/>
      <sz val="10"/>
      <name val="Helvetica"/>
      <family val="2"/>
    </font>
    <font>
      <b/>
      <sz val="14"/>
      <color theme="9"/>
      <name val="Verdana"/>
      <family val="2"/>
    </font>
    <font>
      <b/>
      <sz val="11"/>
      <color rgb="FF0000CC"/>
      <name val="Verdana"/>
      <family val="2"/>
    </font>
    <font>
      <sz val="14"/>
      <color theme="1"/>
      <name val="Verdana"/>
      <family val="2"/>
    </font>
    <font>
      <b/>
      <sz val="16"/>
      <name val="Arial"/>
      <family val="2"/>
    </font>
    <font>
      <sz val="12"/>
      <name val="Arial"/>
      <family val="2"/>
    </font>
    <font>
      <b/>
      <sz val="12"/>
      <name val="Arial"/>
      <family val="2"/>
    </font>
    <font>
      <u/>
      <sz val="14"/>
      <name val="Arial"/>
      <family val="2"/>
    </font>
    <font>
      <sz val="8"/>
      <name val="Arial"/>
      <family val="2"/>
    </font>
    <font>
      <b/>
      <sz val="14"/>
      <color theme="0"/>
      <name val="Verdana"/>
      <family val="2"/>
    </font>
    <font>
      <sz val="10"/>
      <color rgb="FFFF0000"/>
      <name val="Arial"/>
      <family val="2"/>
    </font>
    <font>
      <b/>
      <u/>
      <sz val="10"/>
      <name val="Verdana"/>
      <family val="2"/>
    </font>
    <font>
      <sz val="10"/>
      <name val="Verdana"/>
      <family val="2"/>
    </font>
    <font>
      <sz val="10"/>
      <color rgb="FFFF0000"/>
      <name val="Verdana"/>
      <family val="2"/>
    </font>
    <font>
      <b/>
      <sz val="14"/>
      <name val="Arial"/>
      <family val="2"/>
    </font>
    <font>
      <b/>
      <sz val="12"/>
      <color rgb="FFFF0000"/>
      <name val="Arial"/>
      <family val="2"/>
    </font>
    <font>
      <sz val="10"/>
      <color rgb="FF00B050"/>
      <name val="Verdana"/>
      <family val="2"/>
    </font>
    <font>
      <b/>
      <sz val="10"/>
      <color rgb="FFFF0000"/>
      <name val="Arial"/>
      <family val="2"/>
    </font>
    <font>
      <i/>
      <sz val="10"/>
      <name val="Arial"/>
      <family val="2"/>
    </font>
    <font>
      <i/>
      <sz val="10"/>
      <color rgb="FF0000FF"/>
      <name val="Arial"/>
      <family val="2"/>
    </font>
    <font>
      <b/>
      <sz val="12"/>
      <color rgb="FF00B050"/>
      <name val="Arial"/>
      <family val="2"/>
    </font>
    <font>
      <i/>
      <sz val="8"/>
      <name val="Arial"/>
      <family val="2"/>
    </font>
    <font>
      <sz val="14"/>
      <color theme="0"/>
      <name val="Verdana"/>
      <family val="2"/>
    </font>
    <font>
      <b/>
      <i/>
      <sz val="14"/>
      <color theme="1"/>
      <name val="Calibri"/>
      <family val="2"/>
      <scheme val="minor"/>
    </font>
    <font>
      <sz val="11"/>
      <color indexed="81"/>
      <name val="Tahoma"/>
      <family val="2"/>
    </font>
    <font>
      <sz val="12"/>
      <color indexed="81"/>
      <name val="Tahoma"/>
      <family val="2"/>
    </font>
  </fonts>
  <fills count="17">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2"/>
        <bgColor indexed="64"/>
      </patternFill>
    </fill>
    <fill>
      <patternFill patternType="solid">
        <fgColor indexed="26"/>
        <bgColor indexed="9"/>
      </patternFill>
    </fill>
    <fill>
      <patternFill patternType="solid">
        <fgColor indexed="9"/>
        <bgColor indexed="26"/>
      </patternFill>
    </fill>
    <fill>
      <patternFill patternType="solid">
        <fgColor theme="4" tint="0.39997558519241921"/>
        <bgColor indexed="64"/>
      </patternFill>
    </fill>
    <fill>
      <patternFill patternType="solid">
        <fgColor indexed="31"/>
        <bgColor indexed="42"/>
      </patternFill>
    </fill>
    <fill>
      <patternFill patternType="solid">
        <fgColor theme="9"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79998168889431442"/>
        <bgColor indexed="9"/>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thin">
        <color indexed="8"/>
      </top>
      <bottom style="thin">
        <color indexed="8"/>
      </bottom>
      <diagonal/>
    </border>
    <border>
      <left/>
      <right style="medium">
        <color indexed="8"/>
      </right>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ck">
        <color indexed="8"/>
      </left>
      <right style="thick">
        <color indexed="8"/>
      </right>
      <top style="thick">
        <color indexed="8"/>
      </top>
      <bottom style="thick">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right/>
      <top/>
      <bottom style="thin">
        <color indexed="8"/>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style="double">
        <color indexed="64"/>
      </right>
      <top/>
      <bottom/>
      <diagonal/>
    </border>
    <border>
      <left style="double">
        <color indexed="64"/>
      </left>
      <right/>
      <top/>
      <bottom/>
      <diagonal/>
    </border>
    <border>
      <left style="thin">
        <color rgb="FFFF0000"/>
      </left>
      <right style="thin">
        <color rgb="FFFF0000"/>
      </right>
      <top style="thin">
        <color rgb="FFFF0000"/>
      </top>
      <bottom style="thin">
        <color rgb="FFFF0000"/>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medium">
        <color indexed="8"/>
      </left>
      <right/>
      <top/>
      <bottom style="thin">
        <color indexed="8"/>
      </bottom>
      <diagonal/>
    </border>
    <border>
      <left style="medium">
        <color indexed="64"/>
      </left>
      <right style="medium">
        <color indexed="64"/>
      </right>
      <top style="medium">
        <color indexed="64"/>
      </top>
      <bottom style="medium">
        <color indexed="64"/>
      </bottom>
      <diagonal/>
    </border>
    <border>
      <left/>
      <right style="medium">
        <color indexed="8"/>
      </right>
      <top style="medium">
        <color indexed="8"/>
      </top>
      <bottom/>
      <diagonal/>
    </border>
    <border>
      <left style="thin">
        <color auto="1"/>
      </left>
      <right/>
      <top style="thin">
        <color auto="1"/>
      </top>
      <bottom/>
      <diagonal/>
    </border>
    <border>
      <left style="hair">
        <color indexed="64"/>
      </left>
      <right/>
      <top/>
      <bottom/>
      <diagonal/>
    </border>
    <border>
      <left style="hair">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43" fontId="1" fillId="0" borderId="0" applyFont="0" applyFill="0" applyBorder="0" applyAlignment="0" applyProtection="0"/>
  </cellStyleXfs>
  <cellXfs count="731">
    <xf numFmtId="0" fontId="0" fillId="0" borderId="0" xfId="0"/>
    <xf numFmtId="0" fontId="3" fillId="0" borderId="0" xfId="0" applyFont="1"/>
    <xf numFmtId="164" fontId="3" fillId="0" borderId="0" xfId="2" applyNumberFormat="1" applyFont="1"/>
    <xf numFmtId="0" fontId="6" fillId="0" borderId="0" xfId="0" applyFont="1" applyAlignment="1">
      <alignment horizontal="center" vertical="center" wrapText="1"/>
    </xf>
    <xf numFmtId="0" fontId="2" fillId="0" borderId="0" xfId="0" applyFont="1"/>
    <xf numFmtId="0" fontId="6" fillId="0" borderId="0" xfId="0" applyFont="1" applyAlignment="1">
      <alignment horizontal="left" vertical="center" wrapText="1"/>
    </xf>
    <xf numFmtId="0" fontId="6" fillId="0" borderId="8" xfId="0" applyFont="1" applyBorder="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right"/>
    </xf>
    <xf numFmtId="0" fontId="9" fillId="0" borderId="0" xfId="0" applyFont="1" applyAlignment="1">
      <alignment horizontal="center" vertical="center"/>
    </xf>
    <xf numFmtId="0" fontId="9" fillId="0" borderId="0" xfId="0" applyFont="1"/>
    <xf numFmtId="0" fontId="9" fillId="0" borderId="1" xfId="0" applyFont="1" applyBorder="1"/>
    <xf numFmtId="0" fontId="9" fillId="2" borderId="1" xfId="0" applyFont="1" applyFill="1" applyBorder="1"/>
    <xf numFmtId="0" fontId="9" fillId="0" borderId="1" xfId="0" applyFont="1" applyBorder="1" applyAlignment="1">
      <alignment horizontal="center"/>
    </xf>
    <xf numFmtId="0" fontId="9" fillId="4" borderId="0" xfId="0" applyFont="1" applyFill="1" applyAlignment="1">
      <alignment horizontal="center" vertical="center"/>
    </xf>
    <xf numFmtId="0" fontId="9" fillId="4" borderId="0" xfId="0" applyFont="1" applyFill="1" applyAlignment="1">
      <alignment horizontal="center"/>
    </xf>
    <xf numFmtId="164" fontId="9" fillId="2" borderId="1" xfId="2" applyNumberFormat="1" applyFont="1" applyFill="1" applyBorder="1" applyAlignment="1">
      <alignment horizontal="center" vertical="center"/>
    </xf>
    <xf numFmtId="0" fontId="11" fillId="0" borderId="1" xfId="0" applyFont="1" applyBorder="1" applyAlignment="1">
      <alignment horizontal="center" vertical="center"/>
    </xf>
    <xf numFmtId="0" fontId="11" fillId="0" borderId="0" xfId="0" applyFont="1" applyBorder="1" applyAlignment="1">
      <alignment horizontal="center" vertical="center"/>
    </xf>
    <xf numFmtId="0" fontId="12" fillId="0" borderId="0" xfId="0" applyFont="1" applyAlignment="1">
      <alignment horizontal="center"/>
    </xf>
    <xf numFmtId="44" fontId="9" fillId="6" borderId="1" xfId="0" applyNumberFormat="1" applyFont="1" applyFill="1" applyBorder="1" applyAlignment="1">
      <alignment horizontal="right" vertical="center"/>
    </xf>
    <xf numFmtId="44" fontId="9" fillId="4" borderId="0" xfId="0" applyNumberFormat="1" applyFont="1" applyFill="1" applyBorder="1" applyAlignment="1">
      <alignment horizontal="right" vertical="center"/>
    </xf>
    <xf numFmtId="0" fontId="9" fillId="0" borderId="1" xfId="0" applyFont="1" applyBorder="1" applyAlignment="1">
      <alignment horizontal="center" vertical="center"/>
    </xf>
    <xf numFmtId="44" fontId="9" fillId="0" borderId="1" xfId="1" applyFont="1" applyBorder="1" applyAlignment="1">
      <alignment vertical="center"/>
    </xf>
    <xf numFmtId="0" fontId="10" fillId="0" borderId="1" xfId="0" applyFont="1" applyBorder="1" applyAlignment="1">
      <alignment horizontal="right"/>
    </xf>
    <xf numFmtId="44" fontId="9" fillId="6" borderId="1" xfId="1" applyFont="1" applyFill="1" applyBorder="1" applyAlignment="1">
      <alignment horizontal="right" vertical="center"/>
    </xf>
    <xf numFmtId="0" fontId="9" fillId="0" borderId="0" xfId="0" applyFont="1" applyAlignment="1">
      <alignment horizontal="right" vertical="center"/>
    </xf>
    <xf numFmtId="44" fontId="9" fillId="6" borderId="1" xfId="1" applyFont="1" applyFill="1" applyBorder="1" applyAlignment="1">
      <alignment horizontal="right" vertical="center"/>
    </xf>
    <xf numFmtId="0" fontId="9" fillId="0" borderId="0" xfId="0" applyFont="1" applyBorder="1" applyAlignment="1">
      <alignment horizontal="center"/>
    </xf>
    <xf numFmtId="0" fontId="9" fillId="0" borderId="1" xfId="0" applyFont="1" applyFill="1" applyBorder="1" applyAlignment="1">
      <alignment horizontal="left"/>
    </xf>
    <xf numFmtId="164" fontId="9" fillId="6" borderId="1" xfId="0" applyNumberFormat="1" applyFont="1" applyFill="1" applyBorder="1" applyAlignment="1">
      <alignment horizontal="center" vertical="center" wrapText="1"/>
    </xf>
    <xf numFmtId="44" fontId="9" fillId="5" borderId="1" xfId="1" applyFont="1" applyFill="1" applyBorder="1"/>
    <xf numFmtId="44" fontId="9" fillId="0" borderId="1" xfId="1" applyFont="1" applyBorder="1"/>
    <xf numFmtId="44" fontId="9" fillId="6" borderId="1" xfId="1" applyFont="1" applyFill="1" applyBorder="1"/>
    <xf numFmtId="9" fontId="9" fillId="5" borderId="1" xfId="2" applyFont="1" applyFill="1" applyBorder="1"/>
    <xf numFmtId="9" fontId="9" fillId="6" borderId="1" xfId="2" applyFont="1" applyFill="1" applyBorder="1"/>
    <xf numFmtId="0" fontId="9" fillId="3" borderId="1" xfId="0" applyFont="1" applyFill="1" applyBorder="1" applyAlignment="1">
      <alignment horizontal="center" vertical="center"/>
    </xf>
    <xf numFmtId="0" fontId="9" fillId="3" borderId="1" xfId="0" applyFont="1" applyFill="1" applyBorder="1"/>
    <xf numFmtId="44" fontId="9" fillId="6" borderId="1" xfId="0" applyNumberFormat="1" applyFont="1" applyFill="1" applyBorder="1"/>
    <xf numFmtId="0" fontId="9" fillId="4" borderId="1" xfId="0" applyFont="1" applyFill="1" applyBorder="1"/>
    <xf numFmtId="0" fontId="9" fillId="0" borderId="1" xfId="0" applyFont="1" applyFill="1" applyBorder="1"/>
    <xf numFmtId="44" fontId="9" fillId="6" borderId="1" xfId="0" applyNumberFormat="1" applyFont="1" applyFill="1" applyBorder="1" applyAlignment="1"/>
    <xf numFmtId="0" fontId="9" fillId="6" borderId="1" xfId="0" applyFont="1" applyFill="1" applyBorder="1" applyAlignment="1">
      <alignment horizontal="center"/>
    </xf>
    <xf numFmtId="44" fontId="14" fillId="4" borderId="5" xfId="1" applyFont="1" applyFill="1" applyBorder="1"/>
    <xf numFmtId="44" fontId="9" fillId="0" borderId="1" xfId="0" applyNumberFormat="1" applyFont="1" applyBorder="1" applyAlignment="1">
      <alignment horizontal="center" vertical="center" wrapText="1"/>
    </xf>
    <xf numFmtId="44" fontId="9" fillId="6" borderId="1" xfId="1" applyFont="1" applyFill="1" applyBorder="1" applyAlignment="1"/>
    <xf numFmtId="44" fontId="9" fillId="6" borderId="1" xfId="1" applyFont="1" applyFill="1" applyBorder="1" applyAlignment="1">
      <alignment horizontal="center"/>
    </xf>
    <xf numFmtId="44" fontId="9" fillId="0" borderId="0" xfId="0" applyNumberFormat="1" applyFont="1"/>
    <xf numFmtId="0" fontId="10" fillId="3" borderId="1" xfId="0" applyFont="1" applyFill="1" applyBorder="1" applyAlignment="1">
      <alignment horizontal="center" vertical="center"/>
    </xf>
    <xf numFmtId="0" fontId="10" fillId="3" borderId="1" xfId="0" applyFont="1" applyFill="1" applyBorder="1"/>
    <xf numFmtId="0" fontId="10" fillId="4" borderId="1" xfId="0" applyFont="1" applyFill="1" applyBorder="1" applyAlignment="1">
      <alignment horizontal="center" vertical="center"/>
    </xf>
    <xf numFmtId="0" fontId="10" fillId="4" borderId="1" xfId="0" applyFont="1" applyFill="1" applyBorder="1"/>
    <xf numFmtId="44" fontId="10" fillId="4" borderId="5" xfId="0" applyNumberFormat="1" applyFont="1" applyFill="1" applyBorder="1" applyAlignment="1">
      <alignment horizontal="center"/>
    </xf>
    <xf numFmtId="0" fontId="12" fillId="0" borderId="1" xfId="0" applyFont="1" applyBorder="1" applyAlignment="1">
      <alignment horizontal="center"/>
    </xf>
    <xf numFmtId="0" fontId="12" fillId="0" borderId="1" xfId="0" applyFont="1" applyBorder="1" applyAlignment="1">
      <alignment horizontal="center" vertical="center" wrapText="1"/>
    </xf>
    <xf numFmtId="0" fontId="9" fillId="6" borderId="4" xfId="0" applyFont="1" applyFill="1" applyBorder="1"/>
    <xf numFmtId="0" fontId="9" fillId="6" borderId="4" xfId="0" applyFont="1" applyFill="1" applyBorder="1" applyAlignment="1">
      <alignment horizontal="center" vertical="center"/>
    </xf>
    <xf numFmtId="44" fontId="9" fillId="6" borderId="1" xfId="2" applyNumberFormat="1" applyFont="1" applyFill="1" applyBorder="1"/>
    <xf numFmtId="0" fontId="9" fillId="4" borderId="1" xfId="0" applyFont="1" applyFill="1" applyBorder="1" applyAlignment="1">
      <alignment horizontal="center" vertical="center"/>
    </xf>
    <xf numFmtId="0" fontId="9" fillId="0" borderId="12" xfId="0" applyFont="1" applyBorder="1"/>
    <xf numFmtId="0" fontId="9" fillId="0" borderId="7" xfId="0" applyFont="1" applyBorder="1"/>
    <xf numFmtId="44" fontId="9" fillId="4" borderId="0" xfId="1" applyFont="1" applyFill="1" applyBorder="1" applyAlignment="1">
      <alignment horizontal="right" vertical="center"/>
    </xf>
    <xf numFmtId="0" fontId="9" fillId="6" borderId="1" xfId="0" applyFont="1" applyFill="1" applyBorder="1"/>
    <xf numFmtId="164" fontId="15" fillId="6" borderId="0" xfId="0" applyNumberFormat="1" applyFont="1" applyFill="1" applyAlignment="1">
      <alignment horizontal="center" vertical="center"/>
    </xf>
    <xf numFmtId="44" fontId="9" fillId="6" borderId="1" xfId="1" applyFont="1" applyFill="1" applyBorder="1" applyAlignment="1">
      <alignment vertical="center"/>
    </xf>
    <xf numFmtId="0" fontId="9" fillId="0" borderId="1" xfId="0" applyFont="1" applyFill="1" applyBorder="1" applyAlignment="1">
      <alignment wrapText="1"/>
    </xf>
    <xf numFmtId="9" fontId="9" fillId="3" borderId="1" xfId="2" applyFont="1" applyFill="1" applyBorder="1"/>
    <xf numFmtId="0" fontId="9" fillId="0" borderId="1" xfId="0" applyFont="1" applyBorder="1" applyAlignment="1">
      <alignment horizontal="left" vertical="center"/>
    </xf>
    <xf numFmtId="0" fontId="10" fillId="4" borderId="7" xfId="0" applyFont="1" applyFill="1" applyBorder="1" applyAlignment="1">
      <alignment horizontal="center" vertical="center"/>
    </xf>
    <xf numFmtId="0" fontId="10" fillId="4" borderId="7" xfId="0" applyFont="1" applyFill="1" applyBorder="1"/>
    <xf numFmtId="0" fontId="10" fillId="4" borderId="10" xfId="0" applyFont="1" applyFill="1" applyBorder="1" applyAlignment="1">
      <alignment horizontal="center" vertical="center"/>
    </xf>
    <xf numFmtId="0" fontId="10" fillId="4" borderId="16" xfId="0" applyFont="1" applyFill="1" applyBorder="1"/>
    <xf numFmtId="0" fontId="9" fillId="0" borderId="1" xfId="0" applyFont="1" applyBorder="1" applyAlignment="1">
      <alignment wrapText="1"/>
    </xf>
    <xf numFmtId="0" fontId="9" fillId="3" borderId="1" xfId="0" applyFont="1" applyFill="1" applyBorder="1" applyAlignment="1">
      <alignment wrapText="1"/>
    </xf>
    <xf numFmtId="0" fontId="9" fillId="0" borderId="1" xfId="0" applyFont="1" applyFill="1" applyBorder="1" applyAlignment="1">
      <alignment vertical="center" wrapText="1"/>
    </xf>
    <xf numFmtId="44" fontId="9" fillId="6" borderId="1" xfId="0" applyNumberFormat="1" applyFont="1" applyFill="1" applyBorder="1" applyAlignment="1">
      <alignment horizontal="center" vertical="center" wrapText="1"/>
    </xf>
    <xf numFmtId="0" fontId="18" fillId="0" borderId="0" xfId="3" applyFont="1" applyAlignment="1">
      <alignment horizontal="center" vertical="center"/>
    </xf>
    <xf numFmtId="0" fontId="19" fillId="0" borderId="0" xfId="3" applyFont="1" applyAlignment="1">
      <alignment vertical="center"/>
    </xf>
    <xf numFmtId="4" fontId="19" fillId="0" borderId="0" xfId="3" applyNumberFormat="1" applyFont="1" applyAlignment="1">
      <alignment horizontal="center" vertical="center"/>
    </xf>
    <xf numFmtId="0" fontId="19" fillId="0" borderId="0" xfId="3" applyFont="1" applyAlignment="1">
      <alignment horizontal="center" vertical="center"/>
    </xf>
    <xf numFmtId="0" fontId="18" fillId="0" borderId="17" xfId="3" applyFont="1" applyBorder="1" applyAlignment="1">
      <alignment horizontal="left" vertical="center" indent="1"/>
    </xf>
    <xf numFmtId="166" fontId="20" fillId="0" borderId="18" xfId="3" applyNumberFormat="1" applyFont="1" applyBorder="1" applyAlignment="1">
      <alignment horizontal="left" vertical="center" indent="1"/>
    </xf>
    <xf numFmtId="4" fontId="19" fillId="0" borderId="18" xfId="3" applyNumberFormat="1" applyFont="1" applyBorder="1" applyAlignment="1">
      <alignment horizontal="center" vertical="center"/>
    </xf>
    <xf numFmtId="0" fontId="19" fillId="0" borderId="19" xfId="3" applyFont="1" applyBorder="1" applyAlignment="1">
      <alignment horizontal="center" vertical="center"/>
    </xf>
    <xf numFmtId="0" fontId="18" fillId="0" borderId="0" xfId="3" applyFont="1" applyBorder="1" applyAlignment="1">
      <alignment horizontal="center" vertical="center"/>
    </xf>
    <xf numFmtId="0" fontId="19" fillId="0" borderId="0" xfId="3" applyFont="1" applyBorder="1" applyAlignment="1">
      <alignment vertical="center"/>
    </xf>
    <xf numFmtId="4" fontId="19" fillId="0" borderId="0" xfId="3" applyNumberFormat="1" applyFont="1" applyBorder="1" applyAlignment="1">
      <alignment horizontal="center" vertical="center"/>
    </xf>
    <xf numFmtId="0" fontId="19" fillId="0" borderId="0" xfId="3" applyFont="1" applyBorder="1" applyAlignment="1">
      <alignment horizontal="center" vertical="center"/>
    </xf>
    <xf numFmtId="0" fontId="19" fillId="0" borderId="20" xfId="3" applyFont="1" applyBorder="1" applyAlignment="1">
      <alignment horizontal="left" vertical="center" indent="1"/>
    </xf>
    <xf numFmtId="0" fontId="19" fillId="0" borderId="21" xfId="3" applyFont="1" applyBorder="1" applyAlignment="1">
      <alignment horizontal="left" vertical="center" indent="1"/>
    </xf>
    <xf numFmtId="4" fontId="19" fillId="3" borderId="1" xfId="3" applyNumberFormat="1" applyFont="1" applyFill="1" applyBorder="1" applyAlignment="1">
      <alignment horizontal="center" vertical="center"/>
    </xf>
    <xf numFmtId="0" fontId="19" fillId="0" borderId="1" xfId="3" applyFont="1" applyBorder="1" applyAlignment="1">
      <alignment horizontal="center" vertical="center"/>
    </xf>
    <xf numFmtId="0" fontId="22" fillId="0" borderId="0" xfId="3" applyFont="1" applyBorder="1" applyAlignment="1">
      <alignment vertical="center"/>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4" fontId="19" fillId="3" borderId="1" xfId="3" applyNumberFormat="1" applyFont="1" applyFill="1" applyBorder="1" applyAlignment="1">
      <alignment horizontal="right" vertical="center" indent="1"/>
    </xf>
    <xf numFmtId="4" fontId="19" fillId="0" borderId="1" xfId="3" applyNumberFormat="1" applyFont="1" applyBorder="1" applyAlignment="1">
      <alignment horizontal="center" vertical="center"/>
    </xf>
    <xf numFmtId="9" fontId="19" fillId="3" borderId="1" xfId="3" applyNumberFormat="1" applyFont="1" applyFill="1" applyBorder="1" applyAlignment="1">
      <alignment horizontal="left" vertical="center"/>
    </xf>
    <xf numFmtId="9" fontId="27" fillId="0" borderId="0" xfId="3" applyNumberFormat="1" applyFont="1" applyBorder="1" applyAlignment="1">
      <alignment horizontal="left" vertical="center" indent="1"/>
    </xf>
    <xf numFmtId="0" fontId="28" fillId="0" borderId="22" xfId="3" applyFont="1" applyBorder="1" applyAlignment="1">
      <alignment horizontal="left" vertical="center" indent="1"/>
    </xf>
    <xf numFmtId="0" fontId="28" fillId="0" borderId="0" xfId="3" applyFont="1" applyBorder="1" applyAlignment="1">
      <alignment horizontal="left" vertical="center" indent="1"/>
    </xf>
    <xf numFmtId="0" fontId="28" fillId="0" borderId="23" xfId="3" applyFont="1" applyBorder="1" applyAlignment="1">
      <alignment horizontal="left" vertical="center" indent="1"/>
    </xf>
    <xf numFmtId="10" fontId="19" fillId="0" borderId="1" xfId="3" applyNumberFormat="1" applyFont="1" applyBorder="1" applyAlignment="1">
      <alignment horizontal="center" vertical="center"/>
    </xf>
    <xf numFmtId="0" fontId="19" fillId="0" borderId="20" xfId="3" applyFont="1" applyBorder="1" applyAlignment="1">
      <alignment vertical="center"/>
    </xf>
    <xf numFmtId="0" fontId="19" fillId="0" borderId="21" xfId="3" applyFont="1" applyBorder="1" applyAlignment="1">
      <alignment vertical="center"/>
    </xf>
    <xf numFmtId="4" fontId="19" fillId="0" borderId="21" xfId="3" applyNumberFormat="1" applyFont="1" applyBorder="1" applyAlignment="1">
      <alignment horizontal="center" vertical="center"/>
    </xf>
    <xf numFmtId="0" fontId="19" fillId="0" borderId="25" xfId="3" applyFont="1" applyBorder="1" applyAlignment="1">
      <alignment horizontal="center" vertical="center"/>
    </xf>
    <xf numFmtId="0" fontId="21" fillId="0" borderId="0" xfId="3" applyFont="1" applyBorder="1" applyAlignment="1">
      <alignment horizontal="center" vertical="center" wrapText="1"/>
    </xf>
    <xf numFmtId="0" fontId="19" fillId="0" borderId="26" xfId="3" applyFont="1" applyBorder="1" applyAlignment="1">
      <alignment horizontal="center" vertical="center"/>
    </xf>
    <xf numFmtId="0" fontId="19" fillId="0" borderId="22" xfId="3" applyFont="1" applyBorder="1" applyAlignment="1">
      <alignment vertical="center"/>
    </xf>
    <xf numFmtId="4" fontId="18" fillId="0" borderId="0" xfId="3" applyNumberFormat="1" applyFont="1" applyBorder="1" applyAlignment="1">
      <alignment horizontal="left" indent="1"/>
    </xf>
    <xf numFmtId="4" fontId="24" fillId="0" borderId="0" xfId="3" applyNumberFormat="1" applyFont="1" applyBorder="1" applyAlignment="1">
      <alignment vertical="center"/>
    </xf>
    <xf numFmtId="49" fontId="19" fillId="3" borderId="1" xfId="5" applyNumberFormat="1" applyFont="1" applyFill="1" applyBorder="1" applyAlignment="1">
      <alignment horizontal="center" vertical="center"/>
    </xf>
    <xf numFmtId="0" fontId="18" fillId="0" borderId="0" xfId="3" applyFont="1" applyAlignment="1">
      <alignment horizontal="left" indent="3"/>
    </xf>
    <xf numFmtId="0" fontId="19" fillId="0" borderId="0" xfId="3" applyFont="1" applyBorder="1" applyAlignment="1">
      <alignment horizontal="left" vertical="center"/>
    </xf>
    <xf numFmtId="4" fontId="18" fillId="0" borderId="0" xfId="3" applyNumberFormat="1" applyFont="1" applyBorder="1" applyAlignment="1">
      <alignment horizontal="left" vertical="center" indent="1"/>
    </xf>
    <xf numFmtId="4" fontId="19" fillId="3" borderId="1" xfId="3" applyNumberFormat="1" applyFont="1" applyFill="1" applyBorder="1" applyAlignment="1">
      <alignment vertical="center"/>
    </xf>
    <xf numFmtId="0" fontId="19" fillId="0" borderId="0" xfId="3" applyFont="1" applyBorder="1" applyAlignment="1">
      <alignment horizontal="right" vertical="center" indent="1"/>
    </xf>
    <xf numFmtId="0" fontId="19" fillId="0" borderId="22" xfId="3" applyFont="1" applyBorder="1" applyAlignment="1">
      <alignment horizontal="right" vertical="center"/>
    </xf>
    <xf numFmtId="0" fontId="18" fillId="0" borderId="0" xfId="3" applyFont="1" applyBorder="1" applyAlignment="1">
      <alignment horizontal="right" vertical="center" indent="1"/>
    </xf>
    <xf numFmtId="0" fontId="19" fillId="0" borderId="23" xfId="3" applyFont="1" applyBorder="1" applyAlignment="1">
      <alignment horizontal="right" vertical="center"/>
    </xf>
    <xf numFmtId="0" fontId="18" fillId="0" borderId="24" xfId="3" applyFont="1" applyBorder="1" applyAlignment="1">
      <alignment horizontal="right" vertical="center"/>
    </xf>
    <xf numFmtId="4" fontId="19" fillId="0" borderId="0" xfId="3" applyNumberFormat="1" applyFont="1" applyAlignment="1">
      <alignment vertical="center"/>
    </xf>
    <xf numFmtId="4" fontId="18" fillId="0" borderId="0" xfId="3" applyNumberFormat="1" applyFont="1" applyBorder="1" applyAlignment="1">
      <alignment vertical="center"/>
    </xf>
    <xf numFmtId="0" fontId="9" fillId="0" borderId="1" xfId="0" applyFont="1" applyBorder="1" applyAlignment="1">
      <alignment horizontal="center" vertical="center"/>
    </xf>
    <xf numFmtId="44" fontId="9" fillId="6" borderId="1" xfId="1" applyFont="1" applyFill="1" applyBorder="1" applyAlignment="1">
      <alignment horizontal="right" vertical="center"/>
    </xf>
    <xf numFmtId="0" fontId="9" fillId="0" borderId="1" xfId="0" applyFont="1" applyBorder="1" applyAlignment="1">
      <alignment horizont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0" fontId="9" fillId="4" borderId="1" xfId="0" applyFont="1" applyFill="1" applyBorder="1" applyAlignment="1"/>
    <xf numFmtId="44" fontId="9" fillId="4" borderId="0" xfId="1" applyFont="1" applyFill="1" applyBorder="1"/>
    <xf numFmtId="44" fontId="9" fillId="6" borderId="12" xfId="1" applyFont="1" applyFill="1" applyBorder="1"/>
    <xf numFmtId="0" fontId="9" fillId="8" borderId="27" xfId="0" applyFont="1" applyFill="1" applyBorder="1"/>
    <xf numFmtId="0" fontId="9" fillId="8" borderId="28" xfId="0" applyFont="1" applyFill="1" applyBorder="1"/>
    <xf numFmtId="0" fontId="9" fillId="8" borderId="29" xfId="0" applyFont="1" applyFill="1" applyBorder="1"/>
    <xf numFmtId="0" fontId="9" fillId="4" borderId="0" xfId="0" applyFont="1" applyFill="1" applyBorder="1" applyAlignment="1">
      <alignment horizontal="center"/>
    </xf>
    <xf numFmtId="0" fontId="16" fillId="0" borderId="0" xfId="3"/>
    <xf numFmtId="168" fontId="16" fillId="0" borderId="0" xfId="3" applyNumberFormat="1"/>
    <xf numFmtId="0" fontId="31" fillId="0" borderId="0" xfId="3" applyFont="1" applyAlignment="1">
      <alignment horizontal="center"/>
    </xf>
    <xf numFmtId="0" fontId="16" fillId="0" borderId="0" xfId="3" applyAlignment="1">
      <alignment horizontal="center"/>
    </xf>
    <xf numFmtId="168" fontId="16" fillId="0" borderId="0" xfId="3" applyNumberFormat="1" applyAlignment="1">
      <alignment horizontal="center"/>
    </xf>
    <xf numFmtId="0" fontId="32" fillId="9" borderId="31" xfId="3" applyFont="1" applyFill="1" applyBorder="1" applyAlignment="1">
      <alignment horizontal="center" vertical="center" wrapText="1"/>
    </xf>
    <xf numFmtId="0" fontId="16" fillId="0" borderId="32" xfId="3" applyBorder="1" applyAlignment="1">
      <alignment horizontal="center" vertical="center"/>
    </xf>
    <xf numFmtId="2" fontId="16" fillId="0" borderId="32" xfId="3" applyNumberFormat="1" applyBorder="1" applyAlignment="1">
      <alignment horizontal="center" vertical="center"/>
    </xf>
    <xf numFmtId="171" fontId="16" fillId="0" borderId="32" xfId="3" applyNumberFormat="1" applyBorder="1" applyAlignment="1">
      <alignment horizontal="center" vertical="center"/>
    </xf>
    <xf numFmtId="172" fontId="16" fillId="0" borderId="33" xfId="3" applyNumberFormat="1" applyBorder="1" applyAlignment="1">
      <alignment horizontal="center" vertical="center"/>
    </xf>
    <xf numFmtId="4" fontId="16" fillId="0" borderId="33" xfId="3" applyNumberFormat="1" applyBorder="1" applyAlignment="1">
      <alignment horizontal="center" vertical="center"/>
    </xf>
    <xf numFmtId="0" fontId="16" fillId="0" borderId="32" xfId="3" applyFill="1" applyBorder="1" applyAlignment="1">
      <alignment horizontal="center" vertical="center"/>
    </xf>
    <xf numFmtId="0" fontId="30" fillId="10" borderId="30" xfId="3" applyFont="1" applyFill="1" applyBorder="1" applyAlignment="1">
      <alignment horizontal="center" vertical="center"/>
    </xf>
    <xf numFmtId="169" fontId="30" fillId="10" borderId="30" xfId="3" applyNumberFormat="1" applyFont="1" applyFill="1" applyBorder="1" applyAlignment="1">
      <alignment horizontal="center" vertical="center"/>
    </xf>
    <xf numFmtId="170" fontId="30" fillId="10" borderId="31" xfId="3" applyNumberFormat="1" applyFont="1" applyFill="1" applyBorder="1" applyAlignment="1">
      <alignment vertical="center"/>
    </xf>
    <xf numFmtId="168" fontId="30" fillId="10" borderId="34" xfId="3" applyNumberFormat="1" applyFont="1" applyFill="1" applyBorder="1" applyAlignment="1">
      <alignment vertical="center"/>
    </xf>
    <xf numFmtId="168" fontId="30" fillId="10" borderId="35" xfId="3" applyNumberFormat="1" applyFont="1" applyFill="1" applyBorder="1" applyAlignment="1">
      <alignment horizontal="center" vertical="center"/>
    </xf>
    <xf numFmtId="170" fontId="30" fillId="10" borderId="35" xfId="3" applyNumberFormat="1" applyFont="1" applyFill="1" applyBorder="1" applyAlignment="1">
      <alignment vertical="center"/>
    </xf>
    <xf numFmtId="170" fontId="30" fillId="10" borderId="31" xfId="3" applyNumberFormat="1" applyFont="1" applyFill="1" applyBorder="1" applyAlignment="1">
      <alignment horizontal="center" vertical="center"/>
    </xf>
    <xf numFmtId="0" fontId="30" fillId="0" borderId="0" xfId="3" applyFont="1"/>
    <xf numFmtId="0" fontId="30" fillId="0" borderId="31" xfId="3" applyFont="1" applyBorder="1" applyAlignment="1">
      <alignment horizontal="center"/>
    </xf>
    <xf numFmtId="169" fontId="16" fillId="0" borderId="31" xfId="3" applyNumberFormat="1" applyFont="1" applyBorder="1" applyAlignment="1">
      <alignment horizontal="center"/>
    </xf>
    <xf numFmtId="170" fontId="16" fillId="0" borderId="31" xfId="3" applyNumberFormat="1" applyBorder="1"/>
    <xf numFmtId="168" fontId="16" fillId="0" borderId="0" xfId="3" applyNumberFormat="1" applyBorder="1" applyAlignment="1">
      <alignment horizontal="center"/>
    </xf>
    <xf numFmtId="170" fontId="16" fillId="0" borderId="0" xfId="3" applyNumberFormat="1" applyBorder="1"/>
    <xf numFmtId="169" fontId="16" fillId="0" borderId="31" xfId="3" applyNumberFormat="1" applyBorder="1" applyAlignment="1">
      <alignment horizontal="center"/>
    </xf>
    <xf numFmtId="170" fontId="16" fillId="0" borderId="31" xfId="3" applyNumberFormat="1" applyBorder="1" applyAlignment="1">
      <alignment horizontal="center"/>
    </xf>
    <xf numFmtId="169" fontId="30" fillId="0" borderId="31" xfId="3" applyNumberFormat="1" applyFont="1" applyBorder="1" applyAlignment="1">
      <alignment horizontal="center"/>
    </xf>
    <xf numFmtId="170" fontId="30" fillId="0" borderId="31" xfId="3" applyNumberFormat="1" applyFont="1" applyBorder="1"/>
    <xf numFmtId="170" fontId="30" fillId="0" borderId="31" xfId="3" applyNumberFormat="1" applyFont="1" applyBorder="1" applyAlignment="1">
      <alignment horizontal="center"/>
    </xf>
    <xf numFmtId="0" fontId="16" fillId="0" borderId="0" xfId="3" applyBorder="1" applyAlignment="1">
      <alignment horizontal="center"/>
    </xf>
    <xf numFmtId="0" fontId="16" fillId="0" borderId="0" xfId="3" applyFont="1" applyAlignment="1">
      <alignment horizontal="left"/>
    </xf>
    <xf numFmtId="0" fontId="16" fillId="0" borderId="0" xfId="3" applyFont="1" applyBorder="1" applyAlignment="1">
      <alignment horizontal="left"/>
    </xf>
    <xf numFmtId="168" fontId="16" fillId="0" borderId="0" xfId="3" applyNumberFormat="1" applyBorder="1"/>
    <xf numFmtId="17" fontId="16" fillId="0" borderId="0" xfId="3" applyNumberFormat="1" applyFont="1" applyFill="1" applyBorder="1" applyAlignment="1">
      <alignment horizontal="left"/>
    </xf>
    <xf numFmtId="17" fontId="16" fillId="0" borderId="0" xfId="3" applyNumberFormat="1" applyFill="1" applyBorder="1" applyAlignment="1">
      <alignment horizontal="center"/>
    </xf>
    <xf numFmtId="17" fontId="16" fillId="0" borderId="0" xfId="3" applyNumberFormat="1" applyFill="1" applyBorder="1" applyAlignment="1">
      <alignment horizontal="left"/>
    </xf>
    <xf numFmtId="173" fontId="16" fillId="0" borderId="0" xfId="3" applyNumberFormat="1" applyFill="1" applyBorder="1" applyAlignment="1">
      <alignment horizontal="center"/>
    </xf>
    <xf numFmtId="174" fontId="16" fillId="0" borderId="0" xfId="3" applyNumberFormat="1" applyBorder="1" applyAlignment="1">
      <alignment horizontal="center" vertical="center"/>
    </xf>
    <xf numFmtId="0" fontId="16" fillId="0" borderId="0" xfId="3" applyAlignment="1">
      <alignment horizontal="left"/>
    </xf>
    <xf numFmtId="0" fontId="9" fillId="3" borderId="1" xfId="0" applyFont="1" applyFill="1" applyBorder="1" applyAlignment="1">
      <alignment vertical="center"/>
    </xf>
    <xf numFmtId="0" fontId="9" fillId="4" borderId="0" xfId="0" applyFont="1" applyFill="1" applyBorder="1"/>
    <xf numFmtId="44" fontId="9" fillId="0" borderId="1" xfId="0" applyNumberFormat="1" applyFont="1" applyBorder="1"/>
    <xf numFmtId="44" fontId="9" fillId="6" borderId="4" xfId="0" applyNumberFormat="1" applyFont="1" applyFill="1" applyBorder="1"/>
    <xf numFmtId="0" fontId="12" fillId="0" borderId="12" xfId="0" applyFont="1" applyBorder="1" applyAlignment="1">
      <alignment horizontal="center"/>
    </xf>
    <xf numFmtId="164" fontId="12" fillId="0" borderId="2" xfId="0" applyNumberFormat="1" applyFont="1" applyBorder="1" applyAlignment="1">
      <alignment horizontal="center"/>
    </xf>
    <xf numFmtId="0" fontId="12" fillId="0" borderId="6" xfId="0" applyFont="1" applyBorder="1" applyAlignment="1">
      <alignment horizontal="center"/>
    </xf>
    <xf numFmtId="164" fontId="9" fillId="0" borderId="9" xfId="0" applyNumberFormat="1" applyFont="1" applyBorder="1" applyAlignment="1">
      <alignment horizontal="center" vertical="center"/>
    </xf>
    <xf numFmtId="0" fontId="9" fillId="4" borderId="12" xfId="0" applyFont="1" applyFill="1" applyBorder="1" applyAlignment="1">
      <alignment horizontal="center"/>
    </xf>
    <xf numFmtId="0" fontId="9" fillId="6" borderId="37" xfId="0" applyFont="1" applyFill="1" applyBorder="1" applyAlignment="1">
      <alignment horizontal="center" vertical="center"/>
    </xf>
    <xf numFmtId="0" fontId="9" fillId="6" borderId="38" xfId="0" applyFont="1" applyFill="1" applyBorder="1" applyAlignment="1">
      <alignment horizontal="center" vertical="center"/>
    </xf>
    <xf numFmtId="164" fontId="9" fillId="6" borderId="39" xfId="0" applyNumberFormat="1" applyFont="1" applyFill="1" applyBorder="1" applyAlignment="1">
      <alignment horizontal="center" vertical="center"/>
    </xf>
    <xf numFmtId="44" fontId="9" fillId="6" borderId="40" xfId="0" applyNumberFormat="1" applyFont="1" applyFill="1" applyBorder="1"/>
    <xf numFmtId="44" fontId="9" fillId="6" borderId="41" xfId="0" applyNumberFormat="1" applyFont="1" applyFill="1" applyBorder="1"/>
    <xf numFmtId="0" fontId="10" fillId="0" borderId="0" xfId="0" applyFont="1" applyAlignment="1"/>
    <xf numFmtId="0" fontId="9" fillId="4" borderId="0" xfId="0" applyFont="1" applyFill="1" applyBorder="1" applyAlignment="1">
      <alignment horizontal="center" vertical="center" wrapText="1"/>
    </xf>
    <xf numFmtId="0" fontId="9" fillId="6" borderId="3" xfId="0" applyFont="1" applyFill="1" applyBorder="1"/>
    <xf numFmtId="0" fontId="9" fillId="4" borderId="0" xfId="0" applyFont="1" applyFill="1" applyBorder="1" applyAlignment="1">
      <alignment horizontal="center" vertical="center" textRotation="90"/>
    </xf>
    <xf numFmtId="0" fontId="9" fillId="4" borderId="0" xfId="0" applyFont="1" applyFill="1"/>
    <xf numFmtId="0" fontId="0" fillId="4" borderId="0" xfId="0" applyFill="1"/>
    <xf numFmtId="0" fontId="9" fillId="11" borderId="0" xfId="0" applyFont="1" applyFill="1" applyAlignment="1"/>
    <xf numFmtId="164" fontId="9" fillId="6" borderId="1" xfId="0" applyNumberFormat="1" applyFont="1" applyFill="1" applyBorder="1" applyAlignment="1">
      <alignment horizontal="center"/>
    </xf>
    <xf numFmtId="0" fontId="28" fillId="0" borderId="0" xfId="3" applyFont="1" applyBorder="1" applyAlignment="1">
      <alignment horizontal="right" indent="1"/>
    </xf>
    <xf numFmtId="0" fontId="28" fillId="0" borderId="24" xfId="3" applyFont="1" applyBorder="1" applyAlignment="1">
      <alignment horizontal="right" indent="1"/>
    </xf>
    <xf numFmtId="9" fontId="9" fillId="0" borderId="1" xfId="2" applyFont="1" applyBorder="1" applyAlignment="1">
      <alignment horizontal="center" vertical="center"/>
    </xf>
    <xf numFmtId="0" fontId="35" fillId="0" borderId="0" xfId="0" applyFont="1" applyAlignment="1">
      <alignment vertical="center"/>
    </xf>
    <xf numFmtId="0" fontId="10" fillId="0" borderId="1" xfId="0" applyFont="1" applyBorder="1" applyAlignment="1">
      <alignment horizontal="left" vertical="center"/>
    </xf>
    <xf numFmtId="0" fontId="10" fillId="2" borderId="1" xfId="0" applyFont="1" applyFill="1" applyBorder="1" applyAlignment="1">
      <alignment horizontal="center" vertical="center"/>
    </xf>
    <xf numFmtId="0" fontId="10" fillId="4" borderId="0" xfId="0" applyFont="1" applyFill="1" applyBorder="1" applyAlignment="1">
      <alignment horizontal="right"/>
    </xf>
    <xf numFmtId="0" fontId="10" fillId="2" borderId="0" xfId="0" applyFont="1" applyFill="1" applyBorder="1" applyAlignment="1">
      <alignment horizontal="center" vertical="center"/>
    </xf>
    <xf numFmtId="0" fontId="12" fillId="0" borderId="12" xfId="0" applyFont="1" applyBorder="1" applyAlignment="1">
      <alignment horizontal="center" vertical="center"/>
    </xf>
    <xf numFmtId="0" fontId="12" fillId="0" borderId="2" xfId="0" applyFont="1" applyBorder="1" applyAlignment="1">
      <alignment horizontal="center" vertical="center"/>
    </xf>
    <xf numFmtId="0" fontId="9" fillId="6" borderId="12" xfId="0" applyFont="1" applyFill="1" applyBorder="1" applyAlignment="1">
      <alignment horizontal="center"/>
    </xf>
    <xf numFmtId="0" fontId="9" fillId="4" borderId="6" xfId="0" applyFont="1" applyFill="1" applyBorder="1" applyAlignment="1">
      <alignment horizontal="center"/>
    </xf>
    <xf numFmtId="164" fontId="12" fillId="0" borderId="13" xfId="0" applyNumberFormat="1" applyFont="1" applyBorder="1" applyAlignment="1">
      <alignment horizontal="center"/>
    </xf>
    <xf numFmtId="164" fontId="9" fillId="0" borderId="11" xfId="0" applyNumberFormat="1" applyFont="1" applyBorder="1" applyAlignment="1">
      <alignment horizontal="center" vertical="center"/>
    </xf>
    <xf numFmtId="0" fontId="10" fillId="6" borderId="1" xfId="0" applyFont="1" applyFill="1" applyBorder="1" applyAlignment="1">
      <alignment horizontal="center" vertical="center"/>
    </xf>
    <xf numFmtId="10" fontId="19" fillId="0" borderId="11" xfId="3" applyNumberFormat="1" applyFont="1" applyBorder="1" applyAlignment="1">
      <alignment vertical="center"/>
    </xf>
    <xf numFmtId="0" fontId="10" fillId="0" borderId="1" xfId="0" applyFont="1" applyBorder="1" applyAlignment="1"/>
    <xf numFmtId="44" fontId="9" fillId="0" borderId="1" xfId="0" applyNumberFormat="1" applyFont="1" applyBorder="1" applyAlignment="1">
      <alignment horizontal="center"/>
    </xf>
    <xf numFmtId="0" fontId="37" fillId="0" borderId="0" xfId="3" applyFont="1"/>
    <xf numFmtId="0" fontId="38" fillId="0" borderId="0" xfId="3" applyFont="1" applyAlignment="1">
      <alignment vertical="center"/>
    </xf>
    <xf numFmtId="0" fontId="37" fillId="0" borderId="0" xfId="3" applyFont="1" applyAlignment="1">
      <alignment vertical="center"/>
    </xf>
    <xf numFmtId="0" fontId="16" fillId="0" borderId="0" xfId="3" applyAlignment="1">
      <alignment vertical="center"/>
    </xf>
    <xf numFmtId="0" fontId="39" fillId="0" borderId="0" xfId="3" applyFont="1" applyAlignment="1">
      <alignment vertical="center"/>
    </xf>
    <xf numFmtId="0" fontId="37" fillId="0" borderId="0" xfId="3" applyFont="1" applyAlignment="1">
      <alignment horizontal="center" vertical="center"/>
    </xf>
    <xf numFmtId="0" fontId="37" fillId="0" borderId="47" xfId="3" applyFont="1" applyBorder="1" applyAlignment="1">
      <alignment horizontal="center" vertical="center" wrapText="1"/>
    </xf>
    <xf numFmtId="0" fontId="37" fillId="0" borderId="49" xfId="3" applyFont="1" applyBorder="1" applyAlignment="1">
      <alignment horizontal="center" vertical="center" wrapText="1"/>
    </xf>
    <xf numFmtId="174" fontId="37" fillId="0" borderId="47" xfId="3" applyNumberFormat="1" applyFont="1" applyBorder="1" applyAlignment="1">
      <alignment horizontal="center" vertical="center"/>
    </xf>
    <xf numFmtId="175" fontId="38" fillId="0" borderId="50" xfId="3" applyNumberFormat="1" applyFont="1" applyBorder="1" applyAlignment="1">
      <alignment vertical="center"/>
    </xf>
    <xf numFmtId="165" fontId="37" fillId="0" borderId="1" xfId="3" applyNumberFormat="1" applyFont="1" applyBorder="1" applyAlignment="1">
      <alignment vertical="center"/>
    </xf>
    <xf numFmtId="0" fontId="16" fillId="0" borderId="47" xfId="3" applyFont="1" applyBorder="1" applyAlignment="1">
      <alignment horizontal="center" vertical="center"/>
    </xf>
    <xf numFmtId="175" fontId="37" fillId="0" borderId="50" xfId="3" applyNumberFormat="1" applyFont="1" applyBorder="1" applyAlignment="1">
      <alignment vertical="center"/>
    </xf>
    <xf numFmtId="165" fontId="37" fillId="0" borderId="1" xfId="3" applyNumberFormat="1" applyFont="1" applyBorder="1"/>
    <xf numFmtId="0" fontId="16" fillId="0" borderId="51" xfId="3" applyFont="1" applyBorder="1" applyAlignment="1">
      <alignment horizontal="center" vertical="center"/>
    </xf>
    <xf numFmtId="175" fontId="37" fillId="0" borderId="48" xfId="3" applyNumberFormat="1" applyFont="1" applyBorder="1" applyAlignment="1">
      <alignment vertical="center"/>
    </xf>
    <xf numFmtId="17" fontId="37" fillId="6" borderId="0" xfId="3" applyNumberFormat="1" applyFont="1" applyFill="1" applyAlignment="1">
      <alignment vertical="center"/>
    </xf>
    <xf numFmtId="177" fontId="37" fillId="6" borderId="0" xfId="3" applyNumberFormat="1" applyFont="1" applyFill="1" applyAlignment="1">
      <alignment vertical="center"/>
    </xf>
    <xf numFmtId="0" fontId="10" fillId="6" borderId="1" xfId="0" applyFont="1" applyFill="1" applyBorder="1" applyAlignment="1">
      <alignment horizontal="center" wrapText="1"/>
    </xf>
    <xf numFmtId="0" fontId="9" fillId="6" borderId="1" xfId="0" applyFont="1" applyFill="1" applyBorder="1" applyAlignment="1">
      <alignment horizontal="center" vertical="center"/>
    </xf>
    <xf numFmtId="175" fontId="37" fillId="6" borderId="47" xfId="3" applyNumberFormat="1" applyFont="1" applyFill="1" applyBorder="1" applyAlignment="1">
      <alignment horizontal="center" vertical="center"/>
    </xf>
    <xf numFmtId="0" fontId="37" fillId="6" borderId="47" xfId="3" applyFont="1" applyFill="1" applyBorder="1" applyAlignment="1">
      <alignment horizontal="center" vertical="center"/>
    </xf>
    <xf numFmtId="176" fontId="37" fillId="6" borderId="47" xfId="3" applyNumberFormat="1" applyFont="1" applyFill="1" applyBorder="1" applyAlignment="1">
      <alignment vertical="center"/>
    </xf>
    <xf numFmtId="0" fontId="37" fillId="0" borderId="0" xfId="3" applyFont="1" applyAlignment="1">
      <alignment horizontal="center"/>
    </xf>
    <xf numFmtId="0" fontId="37" fillId="0" borderId="54" xfId="3" applyFont="1" applyBorder="1" applyAlignment="1">
      <alignment horizontal="center"/>
    </xf>
    <xf numFmtId="0" fontId="37" fillId="0" borderId="50" xfId="3" applyFont="1" applyBorder="1" applyAlignment="1">
      <alignment horizontal="center" vertical="center" wrapText="1"/>
    </xf>
    <xf numFmtId="175" fontId="38" fillId="0" borderId="48" xfId="3" applyNumberFormat="1" applyFont="1" applyBorder="1" applyAlignment="1">
      <alignment vertical="center"/>
    </xf>
    <xf numFmtId="165" fontId="37" fillId="0" borderId="2" xfId="3" applyNumberFormat="1" applyFont="1" applyBorder="1" applyAlignment="1">
      <alignment vertical="center"/>
    </xf>
    <xf numFmtId="9" fontId="16" fillId="6" borderId="2" xfId="3" applyNumberFormat="1" applyFill="1" applyBorder="1" applyAlignment="1">
      <alignment horizontal="center" vertical="center"/>
    </xf>
    <xf numFmtId="0" fontId="37" fillId="0" borderId="0" xfId="3" applyFont="1" applyBorder="1" applyAlignment="1">
      <alignment horizontal="center"/>
    </xf>
    <xf numFmtId="0" fontId="16" fillId="0" borderId="55" xfId="3" applyFont="1" applyBorder="1" applyAlignment="1">
      <alignment horizontal="center" vertical="center"/>
    </xf>
    <xf numFmtId="175" fontId="37" fillId="0" borderId="55" xfId="3" applyNumberFormat="1" applyFont="1" applyBorder="1" applyAlignment="1">
      <alignment vertical="center"/>
    </xf>
    <xf numFmtId="165" fontId="37" fillId="0" borderId="55" xfId="3" applyNumberFormat="1" applyFont="1" applyBorder="1"/>
    <xf numFmtId="0" fontId="9" fillId="0" borderId="1" xfId="0" applyFont="1" applyBorder="1" applyAlignment="1">
      <alignment horizontal="center"/>
    </xf>
    <xf numFmtId="44" fontId="9" fillId="6" borderId="1" xfId="0" applyNumberFormat="1" applyFont="1" applyFill="1" applyBorder="1" applyAlignment="1">
      <alignment horizontal="center"/>
    </xf>
    <xf numFmtId="44" fontId="9" fillId="6" borderId="1" xfId="1" applyFont="1" applyFill="1" applyBorder="1" applyAlignment="1">
      <alignment horizontal="center"/>
    </xf>
    <xf numFmtId="10" fontId="19" fillId="0" borderId="1" xfId="3" applyNumberFormat="1" applyFont="1" applyBorder="1" applyAlignment="1">
      <alignment horizontal="center" vertical="center"/>
    </xf>
    <xf numFmtId="9" fontId="9" fillId="0" borderId="2" xfId="2" applyFont="1" applyBorder="1" applyAlignment="1">
      <alignment horizontal="center" vertical="center"/>
    </xf>
    <xf numFmtId="9" fontId="9" fillId="6" borderId="2" xfId="2" applyFont="1" applyFill="1" applyBorder="1" applyAlignment="1">
      <alignment horizontal="center" vertical="center"/>
    </xf>
    <xf numFmtId="4" fontId="41" fillId="6" borderId="1" xfId="3" applyNumberFormat="1" applyFont="1" applyFill="1" applyBorder="1" applyAlignment="1">
      <alignment horizontal="center" vertical="center"/>
    </xf>
    <xf numFmtId="167" fontId="20" fillId="0" borderId="11" xfId="3" applyNumberFormat="1" applyFont="1" applyBorder="1" applyAlignment="1">
      <alignment vertical="center"/>
    </xf>
    <xf numFmtId="0" fontId="19" fillId="0" borderId="22" xfId="3" applyFont="1" applyBorder="1" applyAlignment="1">
      <alignment horizontal="left" vertical="top"/>
    </xf>
    <xf numFmtId="0" fontId="19" fillId="0" borderId="0" xfId="3" applyFont="1" applyBorder="1" applyAlignment="1">
      <alignment horizontal="left" vertical="top"/>
    </xf>
    <xf numFmtId="0" fontId="16" fillId="0" borderId="0" xfId="3" applyAlignment="1">
      <alignment horizontal="left" vertical="center"/>
    </xf>
    <xf numFmtId="0" fontId="44" fillId="0" borderId="0" xfId="3" applyFont="1" applyAlignment="1">
      <alignment vertical="center"/>
    </xf>
    <xf numFmtId="0" fontId="46" fillId="0" borderId="0" xfId="3" applyFont="1" applyAlignment="1">
      <alignment vertical="center"/>
    </xf>
    <xf numFmtId="49" fontId="47" fillId="0" borderId="0" xfId="3" applyNumberFormat="1" applyFont="1" applyAlignment="1" applyProtection="1">
      <alignment vertical="center"/>
      <protection locked="0"/>
    </xf>
    <xf numFmtId="0" fontId="48" fillId="0" borderId="0" xfId="3" applyFont="1" applyBorder="1" applyAlignment="1">
      <alignment horizontal="left" vertical="center"/>
    </xf>
    <xf numFmtId="0" fontId="30" fillId="0" borderId="59" xfId="3" applyFont="1" applyFill="1" applyBorder="1" applyAlignment="1">
      <alignment horizontal="center"/>
    </xf>
    <xf numFmtId="0" fontId="30" fillId="0" borderId="0" xfId="3" applyFont="1" applyFill="1" applyBorder="1" applyAlignment="1">
      <alignment horizontal="center"/>
    </xf>
    <xf numFmtId="0" fontId="30" fillId="0" borderId="0" xfId="3" applyFont="1" applyFill="1" applyBorder="1" applyAlignment="1">
      <alignment horizontal="left"/>
    </xf>
    <xf numFmtId="0" fontId="30" fillId="0" borderId="60" xfId="3" applyFont="1" applyFill="1" applyBorder="1" applyAlignment="1">
      <alignment horizontal="center"/>
    </xf>
    <xf numFmtId="0" fontId="16" fillId="0" borderId="0" xfId="3" applyFill="1"/>
    <xf numFmtId="0" fontId="30" fillId="0" borderId="0" xfId="3" applyFont="1" applyFill="1" applyBorder="1" applyAlignment="1">
      <alignment horizontal="right"/>
    </xf>
    <xf numFmtId="0" fontId="30" fillId="0" borderId="61" xfId="3" applyFont="1" applyFill="1" applyBorder="1" applyAlignment="1">
      <alignment horizontal="center"/>
    </xf>
    <xf numFmtId="0" fontId="16" fillId="0" borderId="0" xfId="3" applyFill="1" applyBorder="1"/>
    <xf numFmtId="0" fontId="30" fillId="0" borderId="61" xfId="3" applyFont="1" applyFill="1" applyBorder="1" applyAlignment="1">
      <alignment horizontal="left" indent="1"/>
    </xf>
    <xf numFmtId="0" fontId="30" fillId="0" borderId="0" xfId="3" applyFont="1" applyFill="1" applyBorder="1" applyAlignment="1">
      <alignment horizontal="left" indent="1"/>
    </xf>
    <xf numFmtId="0" fontId="16" fillId="0" borderId="63" xfId="3" applyBorder="1"/>
    <xf numFmtId="0" fontId="16" fillId="0" borderId="64" xfId="3" applyBorder="1"/>
    <xf numFmtId="0" fontId="16" fillId="0" borderId="65" xfId="3" applyBorder="1"/>
    <xf numFmtId="0" fontId="16" fillId="0" borderId="64" xfId="3" applyBorder="1" applyAlignment="1">
      <alignment horizontal="left"/>
    </xf>
    <xf numFmtId="0" fontId="16" fillId="0" borderId="66" xfId="3" applyBorder="1"/>
    <xf numFmtId="0" fontId="16" fillId="0" borderId="0" xfId="3" applyBorder="1"/>
    <xf numFmtId="0" fontId="50" fillId="0" borderId="63" xfId="3" applyFont="1" applyBorder="1" applyAlignment="1">
      <alignment horizontal="right"/>
    </xf>
    <xf numFmtId="0" fontId="50" fillId="0" borderId="64" xfId="3" applyFont="1" applyBorder="1" applyAlignment="1">
      <alignment horizontal="right"/>
    </xf>
    <xf numFmtId="0" fontId="50" fillId="0" borderId="64" xfId="3" applyFont="1" applyBorder="1" applyAlignment="1">
      <alignment horizontal="left"/>
    </xf>
    <xf numFmtId="0" fontId="50" fillId="0" borderId="66" xfId="3" applyFont="1" applyBorder="1" applyAlignment="1">
      <alignment horizontal="right"/>
    </xf>
    <xf numFmtId="0" fontId="16" fillId="0" borderId="61" xfId="3" applyFont="1" applyBorder="1" applyAlignment="1">
      <alignment horizontal="left"/>
    </xf>
    <xf numFmtId="0" fontId="42" fillId="0" borderId="0" xfId="3" applyFont="1" applyBorder="1" applyAlignment="1">
      <alignment horizontal="left"/>
    </xf>
    <xf numFmtId="0" fontId="16" fillId="0" borderId="0" xfId="3" applyFont="1" applyBorder="1" applyAlignment="1">
      <alignment horizontal="right"/>
    </xf>
    <xf numFmtId="14" fontId="42" fillId="0" borderId="0" xfId="3" applyNumberFormat="1" applyFont="1" applyBorder="1" applyAlignment="1" applyProtection="1">
      <alignment horizontal="right" indent="1"/>
      <protection locked="0"/>
    </xf>
    <xf numFmtId="14" fontId="16" fillId="0" borderId="0" xfId="3" applyNumberFormat="1" applyBorder="1" applyAlignment="1">
      <alignment horizontal="right"/>
    </xf>
    <xf numFmtId="0" fontId="16" fillId="0" borderId="60" xfId="3" applyBorder="1" applyAlignment="1">
      <alignment horizontal="right"/>
    </xf>
    <xf numFmtId="0" fontId="16" fillId="0" borderId="0" xfId="3" applyFont="1" applyFill="1"/>
    <xf numFmtId="0" fontId="16" fillId="0" borderId="61" xfId="3" applyFont="1" applyBorder="1" applyAlignment="1" applyProtection="1">
      <alignment vertical="center" wrapText="1"/>
      <protection locked="0"/>
    </xf>
    <xf numFmtId="0" fontId="16" fillId="0" borderId="0" xfId="3" applyFont="1" applyBorder="1" applyAlignment="1" applyProtection="1">
      <alignment vertical="center" wrapText="1"/>
      <protection locked="0"/>
    </xf>
    <xf numFmtId="0" fontId="16" fillId="0" borderId="60" xfId="3" applyFont="1" applyBorder="1" applyAlignment="1" applyProtection="1">
      <alignment vertical="center" wrapText="1"/>
      <protection locked="0"/>
    </xf>
    <xf numFmtId="0" fontId="16" fillId="0" borderId="0" xfId="3" applyBorder="1" applyAlignment="1">
      <alignment vertical="center"/>
    </xf>
    <xf numFmtId="0" fontId="16" fillId="0" borderId="0" xfId="3" applyFont="1" applyBorder="1" applyAlignment="1">
      <alignment horizontal="right" vertical="center"/>
    </xf>
    <xf numFmtId="0" fontId="16" fillId="0" borderId="0" xfId="3" applyFont="1" applyBorder="1" applyAlignment="1">
      <alignment horizontal="left" vertical="center"/>
    </xf>
    <xf numFmtId="165" fontId="16" fillId="0" borderId="0" xfId="3" applyNumberFormat="1" applyFont="1" applyBorder="1" applyAlignment="1">
      <alignment horizontal="right" vertical="center"/>
    </xf>
    <xf numFmtId="0" fontId="16" fillId="0" borderId="60" xfId="3" applyBorder="1" applyAlignment="1">
      <alignment horizontal="right" vertical="center"/>
    </xf>
    <xf numFmtId="9" fontId="16" fillId="0" borderId="0" xfId="3" applyNumberFormat="1" applyBorder="1" applyAlignment="1">
      <alignment horizontal="right" vertical="center"/>
    </xf>
    <xf numFmtId="0" fontId="42" fillId="0" borderId="0" xfId="3" applyFont="1" applyAlignment="1">
      <alignment vertical="center"/>
    </xf>
    <xf numFmtId="0" fontId="16" fillId="0" borderId="61" xfId="3" applyFont="1" applyFill="1" applyBorder="1" applyAlignment="1">
      <alignment horizontal="right" vertical="center"/>
    </xf>
    <xf numFmtId="0" fontId="16" fillId="0" borderId="0" xfId="3" applyFont="1" applyFill="1" applyBorder="1" applyAlignment="1">
      <alignment horizontal="right" vertical="center"/>
    </xf>
    <xf numFmtId="0" fontId="16" fillId="0" borderId="0" xfId="3" applyFont="1" applyFill="1" applyBorder="1" applyAlignment="1">
      <alignment horizontal="left" vertical="center"/>
    </xf>
    <xf numFmtId="0" fontId="16" fillId="0" borderId="61" xfId="3" applyBorder="1" applyAlignment="1">
      <alignment horizontal="right" vertical="center"/>
    </xf>
    <xf numFmtId="0" fontId="16" fillId="0" borderId="0" xfId="3" applyBorder="1" applyAlignment="1">
      <alignment horizontal="right" vertical="center"/>
    </xf>
    <xf numFmtId="0" fontId="16" fillId="0" borderId="0" xfId="3" applyBorder="1" applyAlignment="1">
      <alignment horizontal="left" vertical="center"/>
    </xf>
    <xf numFmtId="10" fontId="42" fillId="0" borderId="0" xfId="3" applyNumberFormat="1" applyFont="1" applyBorder="1" applyAlignment="1">
      <alignment horizontal="right" vertical="center"/>
    </xf>
    <xf numFmtId="0" fontId="16" fillId="0" borderId="61" xfId="3" applyFont="1" applyFill="1" applyBorder="1" applyAlignment="1"/>
    <xf numFmtId="0" fontId="16" fillId="0" borderId="0" xfId="3" applyFont="1" applyFill="1" applyBorder="1" applyAlignment="1"/>
    <xf numFmtId="0" fontId="16" fillId="0" borderId="60" xfId="3" applyFont="1" applyFill="1" applyBorder="1" applyAlignment="1"/>
    <xf numFmtId="165" fontId="42" fillId="0" borderId="0" xfId="5" applyNumberFormat="1" applyFont="1" applyBorder="1" applyAlignment="1" applyProtection="1">
      <alignment horizontal="right" vertical="center"/>
      <protection locked="0"/>
    </xf>
    <xf numFmtId="9" fontId="30" fillId="0" borderId="0" xfId="5" applyFont="1" applyBorder="1" applyAlignment="1">
      <alignment horizontal="right" vertical="center"/>
    </xf>
    <xf numFmtId="0" fontId="42" fillId="0" borderId="0" xfId="5" applyNumberFormat="1" applyFont="1" applyBorder="1" applyAlignment="1" applyProtection="1">
      <alignment horizontal="right" vertical="center"/>
      <protection locked="0"/>
    </xf>
    <xf numFmtId="0" fontId="16" fillId="0" borderId="63" xfId="3" applyFont="1" applyFill="1" applyBorder="1" applyAlignment="1">
      <alignment horizontal="right"/>
    </xf>
    <xf numFmtId="0" fontId="16" fillId="0" borderId="64" xfId="3" applyFont="1" applyFill="1" applyBorder="1" applyAlignment="1">
      <alignment horizontal="right"/>
    </xf>
    <xf numFmtId="0" fontId="16" fillId="0" borderId="64" xfId="3" applyFont="1" applyFill="1" applyBorder="1" applyAlignment="1">
      <alignment horizontal="left" vertical="center"/>
    </xf>
    <xf numFmtId="0" fontId="16" fillId="0" borderId="64" xfId="3" applyFont="1" applyFill="1" applyBorder="1" applyAlignment="1">
      <alignment horizontal="left"/>
    </xf>
    <xf numFmtId="0" fontId="16" fillId="0" borderId="64" xfId="3" applyFont="1" applyFill="1" applyBorder="1" applyAlignment="1">
      <alignment horizontal="right" vertical="center"/>
    </xf>
    <xf numFmtId="9" fontId="49" fillId="0" borderId="64" xfId="5" applyFont="1" applyBorder="1" applyAlignment="1" applyProtection="1">
      <alignment horizontal="right" indent="1"/>
      <protection locked="0"/>
    </xf>
    <xf numFmtId="9" fontId="30" fillId="0" borderId="64" xfId="5" applyFont="1" applyBorder="1" applyAlignment="1">
      <alignment horizontal="right"/>
    </xf>
    <xf numFmtId="0" fontId="16" fillId="0" borderId="66" xfId="3" applyBorder="1" applyAlignment="1">
      <alignment horizontal="right"/>
    </xf>
    <xf numFmtId="0" fontId="16" fillId="0" borderId="0" xfId="3" applyFont="1" applyFill="1" applyBorder="1" applyAlignment="1">
      <alignment horizontal="right"/>
    </xf>
    <xf numFmtId="0" fontId="16" fillId="0" borderId="0" xfId="3" applyFont="1" applyFill="1" applyBorder="1" applyAlignment="1">
      <alignment horizontal="left"/>
    </xf>
    <xf numFmtId="9" fontId="49" fillId="0" borderId="0" xfId="5" applyFont="1" applyBorder="1" applyAlignment="1" applyProtection="1">
      <alignment horizontal="right" indent="1"/>
      <protection locked="0"/>
    </xf>
    <xf numFmtId="9" fontId="30" fillId="0" borderId="0" xfId="5" applyFont="1" applyBorder="1" applyAlignment="1">
      <alignment horizontal="right"/>
    </xf>
    <xf numFmtId="0" fontId="16" fillId="0" borderId="0" xfId="3" applyBorder="1" applyAlignment="1">
      <alignment horizontal="right"/>
    </xf>
    <xf numFmtId="165" fontId="52" fillId="0" borderId="74" xfId="3" applyNumberFormat="1" applyFont="1" applyBorder="1" applyAlignment="1">
      <alignment horizontal="center" vertical="center"/>
    </xf>
    <xf numFmtId="0" fontId="53" fillId="0" borderId="0" xfId="3" applyFont="1"/>
    <xf numFmtId="0" fontId="16" fillId="0" borderId="0" xfId="3" applyFont="1" applyBorder="1" applyAlignment="1"/>
    <xf numFmtId="0" fontId="16" fillId="0" borderId="69" xfId="3" applyFont="1" applyFill="1" applyBorder="1" applyAlignment="1">
      <alignment vertical="center"/>
    </xf>
    <xf numFmtId="0" fontId="16" fillId="0" borderId="70" xfId="3" applyFont="1" applyFill="1" applyBorder="1" applyAlignment="1">
      <alignment vertical="center"/>
    </xf>
    <xf numFmtId="165" fontId="16" fillId="0" borderId="0" xfId="3" applyNumberFormat="1" applyBorder="1" applyAlignment="1">
      <alignment vertical="center"/>
    </xf>
    <xf numFmtId="9" fontId="10" fillId="0" borderId="0" xfId="2" applyFont="1" applyAlignment="1">
      <alignment horizontal="center"/>
    </xf>
    <xf numFmtId="9" fontId="0" fillId="0" borderId="0" xfId="2" applyFont="1"/>
    <xf numFmtId="9" fontId="9" fillId="6" borderId="1" xfId="2" applyFont="1" applyFill="1" applyBorder="1" applyAlignment="1">
      <alignment horizontal="center" vertical="center"/>
    </xf>
    <xf numFmtId="9" fontId="9" fillId="6" borderId="1" xfId="2" applyFont="1" applyFill="1" applyBorder="1" applyAlignment="1">
      <alignment horizontal="center"/>
    </xf>
    <xf numFmtId="44" fontId="10" fillId="6" borderId="0" xfId="2" applyNumberFormat="1" applyFont="1" applyFill="1" applyAlignment="1">
      <alignment horizontal="center"/>
    </xf>
    <xf numFmtId="0" fontId="35" fillId="6" borderId="0" xfId="0" applyFont="1" applyFill="1" applyAlignment="1">
      <alignment horizontal="center" vertical="center"/>
    </xf>
    <xf numFmtId="0" fontId="10" fillId="0" borderId="1" xfId="0" applyFont="1" applyBorder="1"/>
    <xf numFmtId="9" fontId="10" fillId="0" borderId="1" xfId="2" applyFont="1" applyBorder="1" applyAlignment="1">
      <alignment horizontal="center" vertical="center"/>
    </xf>
    <xf numFmtId="44" fontId="10" fillId="0" borderId="1" xfId="0" applyNumberFormat="1" applyFont="1" applyBorder="1" applyAlignment="1">
      <alignment horizontal="center"/>
    </xf>
    <xf numFmtId="44" fontId="10" fillId="6" borderId="1" xfId="0" applyNumberFormat="1" applyFont="1" applyFill="1" applyBorder="1"/>
    <xf numFmtId="44" fontId="10" fillId="6" borderId="0" xfId="0" applyNumberFormat="1" applyFont="1" applyFill="1" applyAlignment="1"/>
    <xf numFmtId="0" fontId="16" fillId="0" borderId="1" xfId="3" applyBorder="1" applyAlignment="1">
      <alignment horizontal="center"/>
    </xf>
    <xf numFmtId="0" fontId="30" fillId="6" borderId="1" xfId="3" applyFont="1" applyFill="1" applyBorder="1" applyAlignment="1">
      <alignment horizontal="center" vertical="center"/>
    </xf>
    <xf numFmtId="44" fontId="9" fillId="6" borderId="1" xfId="1" applyFont="1" applyFill="1" applyBorder="1" applyAlignment="1">
      <alignment horizontal="right" vertical="center"/>
    </xf>
    <xf numFmtId="44" fontId="9" fillId="6" borderId="1" xfId="1" applyFont="1" applyFill="1" applyBorder="1" applyAlignment="1">
      <alignment horizontal="center"/>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xf>
    <xf numFmtId="44" fontId="9" fillId="6" borderId="1" xfId="1" applyFont="1" applyFill="1" applyBorder="1" applyAlignment="1">
      <alignment horizontal="right" vertical="center"/>
    </xf>
    <xf numFmtId="44" fontId="9" fillId="6" borderId="1" xfId="1" applyFont="1" applyFill="1" applyBorder="1" applyAlignment="1">
      <alignment horizontal="center" vertic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0" fontId="28" fillId="0" borderId="22" xfId="3" applyFont="1" applyBorder="1" applyAlignment="1">
      <alignment horizontal="left" vertical="center" indent="1"/>
    </xf>
    <xf numFmtId="0" fontId="28" fillId="0" borderId="0" xfId="3" applyFont="1" applyBorder="1" applyAlignment="1">
      <alignment horizontal="left" vertical="center" indent="1"/>
    </xf>
    <xf numFmtId="0" fontId="30" fillId="0" borderId="0" xfId="3" applyFont="1" applyFill="1" applyBorder="1" applyAlignment="1">
      <alignment horizontal="center"/>
    </xf>
    <xf numFmtId="0" fontId="30" fillId="0" borderId="60" xfId="3" applyFont="1" applyFill="1" applyBorder="1" applyAlignment="1">
      <alignment horizontal="center"/>
    </xf>
    <xf numFmtId="0" fontId="9" fillId="0" borderId="1" xfId="0" applyFont="1" applyBorder="1" applyAlignment="1">
      <alignment horizontal="left" vertical="top" wrapText="1"/>
    </xf>
    <xf numFmtId="0" fontId="30" fillId="0" borderId="1" xfId="3" applyFont="1" applyFill="1" applyBorder="1" applyAlignment="1">
      <alignment horizontal="center"/>
    </xf>
    <xf numFmtId="167" fontId="18" fillId="3" borderId="1" xfId="4" applyNumberFormat="1" applyFont="1" applyFill="1" applyBorder="1" applyAlignment="1">
      <alignment horizontal="right" vertical="center" indent="1"/>
    </xf>
    <xf numFmtId="4" fontId="18" fillId="3" borderId="1" xfId="3" applyNumberFormat="1" applyFont="1" applyFill="1" applyBorder="1" applyAlignment="1">
      <alignment horizontal="right" vertical="center" indent="1"/>
    </xf>
    <xf numFmtId="44" fontId="19" fillId="0" borderId="1" xfId="1" applyFont="1" applyBorder="1" applyAlignment="1">
      <alignment horizontal="center" vertical="center"/>
    </xf>
    <xf numFmtId="10" fontId="18" fillId="3" borderId="1" xfId="3" applyNumberFormat="1" applyFont="1" applyFill="1" applyBorder="1" applyAlignment="1">
      <alignment horizontal="center" vertical="center"/>
    </xf>
    <xf numFmtId="2" fontId="19" fillId="0" borderId="1" xfId="3" applyNumberFormat="1" applyFont="1" applyBorder="1" applyAlignment="1">
      <alignment horizontal="center" vertical="center"/>
    </xf>
    <xf numFmtId="0" fontId="19" fillId="0" borderId="1" xfId="3" applyNumberFormat="1" applyFont="1" applyBorder="1" applyAlignment="1">
      <alignment horizontal="center" vertical="center"/>
    </xf>
    <xf numFmtId="10" fontId="18" fillId="3" borderId="1" xfId="3" applyNumberFormat="1" applyFont="1" applyFill="1" applyBorder="1" applyAlignment="1">
      <alignment horizontal="right" vertical="center" indent="1"/>
    </xf>
    <xf numFmtId="10" fontId="19" fillId="3" borderId="1" xfId="5" applyNumberFormat="1" applyFont="1" applyFill="1" applyBorder="1" applyAlignment="1">
      <alignment horizontal="right" vertical="center" indent="1"/>
    </xf>
    <xf numFmtId="44" fontId="18" fillId="8" borderId="1" xfId="1" applyFont="1" applyFill="1" applyBorder="1" applyAlignment="1">
      <alignment horizontal="center" vertical="center"/>
    </xf>
    <xf numFmtId="4" fontId="18" fillId="0" borderId="1" xfId="3" applyNumberFormat="1" applyFont="1" applyFill="1" applyBorder="1" applyAlignment="1">
      <alignment horizontal="center" vertical="center"/>
    </xf>
    <xf numFmtId="0" fontId="16" fillId="6" borderId="1" xfId="3" applyFill="1" applyBorder="1" applyAlignment="1">
      <alignment horizontal="center" vertical="center"/>
    </xf>
    <xf numFmtId="0" fontId="37" fillId="6" borderId="1" xfId="3" applyFont="1" applyFill="1" applyBorder="1" applyAlignment="1">
      <alignment horizontal="center" vertical="center"/>
    </xf>
    <xf numFmtId="175" fontId="37" fillId="6" borderId="1" xfId="3" applyNumberFormat="1" applyFont="1" applyFill="1" applyBorder="1" applyAlignment="1">
      <alignment horizontal="center" vertical="center"/>
    </xf>
    <xf numFmtId="44" fontId="37" fillId="6" borderId="1" xfId="3" applyNumberFormat="1" applyFont="1" applyFill="1" applyBorder="1" applyAlignment="1">
      <alignment vertical="center"/>
    </xf>
    <xf numFmtId="0" fontId="37" fillId="0" borderId="1" xfId="3" applyFont="1" applyBorder="1" applyAlignment="1">
      <alignment horizontal="center" vertical="center"/>
    </xf>
    <xf numFmtId="0" fontId="37" fillId="0" borderId="1" xfId="3" applyFont="1" applyBorder="1" applyAlignment="1">
      <alignment vertical="center"/>
    </xf>
    <xf numFmtId="0" fontId="38" fillId="0" borderId="1" xfId="3" applyFont="1" applyBorder="1" applyAlignment="1">
      <alignment vertical="center"/>
    </xf>
    <xf numFmtId="9" fontId="32" fillId="16" borderId="75" xfId="2" applyFont="1" applyFill="1" applyBorder="1" applyAlignment="1">
      <alignment horizontal="center" vertical="center" wrapText="1"/>
    </xf>
    <xf numFmtId="168" fontId="32" fillId="9" borderId="79" xfId="3" applyNumberFormat="1" applyFont="1" applyFill="1" applyBorder="1" applyAlignment="1">
      <alignment horizontal="center" vertical="center" wrapText="1"/>
    </xf>
    <xf numFmtId="9" fontId="32" fillId="16" borderId="79" xfId="2" applyFont="1" applyFill="1" applyBorder="1" applyAlignment="1">
      <alignment horizontal="center" vertical="center" wrapText="1"/>
    </xf>
    <xf numFmtId="168" fontId="32" fillId="9" borderId="80" xfId="3" applyNumberFormat="1" applyFont="1" applyFill="1" applyBorder="1" applyAlignment="1">
      <alignment horizontal="center" vertical="center" wrapText="1"/>
    </xf>
    <xf numFmtId="44" fontId="9" fillId="4" borderId="11" xfId="1" applyFont="1" applyFill="1" applyBorder="1"/>
    <xf numFmtId="0" fontId="49" fillId="2" borderId="62" xfId="3" applyFont="1" applyFill="1" applyBorder="1" applyAlignment="1" applyProtection="1">
      <alignment horizontal="center"/>
      <protection locked="0"/>
    </xf>
    <xf numFmtId="0" fontId="9" fillId="8" borderId="1" xfId="0" applyFont="1" applyFill="1" applyBorder="1" applyAlignment="1">
      <alignment horizontal="left" vertical="center"/>
    </xf>
    <xf numFmtId="0" fontId="10" fillId="8" borderId="1" xfId="0" applyFont="1" applyFill="1" applyBorder="1" applyAlignment="1">
      <alignment horizontal="left" vertical="center"/>
    </xf>
    <xf numFmtId="0" fontId="9" fillId="6" borderId="12" xfId="0" applyFont="1" applyFill="1" applyBorder="1"/>
    <xf numFmtId="164" fontId="9" fillId="6" borderId="1" xfId="2" applyNumberFormat="1" applyFont="1" applyFill="1" applyBorder="1" applyAlignment="1">
      <alignment horizontal="center" vertical="center"/>
    </xf>
    <xf numFmtId="9" fontId="9" fillId="4" borderId="81" xfId="2" applyFont="1" applyFill="1" applyBorder="1"/>
    <xf numFmtId="0" fontId="9" fillId="2" borderId="0" xfId="0" applyFont="1" applyFill="1" applyBorder="1" applyAlignment="1" applyProtection="1">
      <alignment horizontal="center" vertical="center"/>
    </xf>
    <xf numFmtId="0" fontId="0" fillId="0" borderId="0" xfId="0" applyProtection="1"/>
    <xf numFmtId="17" fontId="9" fillId="0" borderId="1" xfId="0" applyNumberFormat="1" applyFont="1" applyBorder="1" applyAlignment="1" applyProtection="1">
      <alignment horizontal="center" vertical="center"/>
      <protection locked="0"/>
    </xf>
    <xf numFmtId="44" fontId="9" fillId="4" borderId="1" xfId="1" applyFont="1" applyFill="1" applyBorder="1" applyProtection="1">
      <protection locked="0"/>
    </xf>
    <xf numFmtId="44" fontId="9" fillId="0" borderId="1" xfId="1" applyFont="1" applyBorder="1" applyAlignment="1" applyProtection="1">
      <alignment horizontal="right" vertical="center"/>
      <protection locked="0"/>
    </xf>
    <xf numFmtId="0" fontId="9" fillId="4" borderId="4" xfId="0" applyFont="1" applyFill="1" applyBorder="1" applyAlignment="1" applyProtection="1">
      <alignment horizontal="center"/>
      <protection locked="0"/>
    </xf>
    <xf numFmtId="44" fontId="9" fillId="4" borderId="16" xfId="1" applyFont="1" applyFill="1" applyBorder="1" applyProtection="1">
      <protection locked="0"/>
    </xf>
    <xf numFmtId="44" fontId="9" fillId="4" borderId="3" xfId="1" applyFont="1" applyFill="1" applyBorder="1" applyProtection="1">
      <protection locked="0"/>
    </xf>
    <xf numFmtId="0" fontId="9" fillId="2" borderId="3" xfId="0" applyFont="1" applyFill="1" applyBorder="1" applyProtection="1">
      <protection locked="0"/>
    </xf>
    <xf numFmtId="164" fontId="9" fillId="2" borderId="1" xfId="2" applyNumberFormat="1"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protection locked="0"/>
    </xf>
    <xf numFmtId="0" fontId="10" fillId="2" borderId="12"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protection locked="0"/>
    </xf>
    <xf numFmtId="44" fontId="9" fillId="4" borderId="0" xfId="1" applyFont="1" applyFill="1" applyBorder="1" applyProtection="1"/>
    <xf numFmtId="44" fontId="10" fillId="6" borderId="0" xfId="2" applyNumberFormat="1" applyFont="1" applyFill="1" applyAlignment="1" applyProtection="1">
      <alignment horizontal="center"/>
    </xf>
    <xf numFmtId="9" fontId="10" fillId="0" borderId="0" xfId="2" applyFont="1" applyAlignment="1" applyProtection="1">
      <alignment horizontal="center"/>
    </xf>
    <xf numFmtId="9" fontId="0" fillId="0" borderId="0" xfId="2" applyFont="1" applyProtection="1"/>
    <xf numFmtId="0" fontId="9" fillId="0" borderId="0" xfId="0" applyFont="1" applyProtection="1"/>
    <xf numFmtId="0" fontId="35" fillId="6" borderId="0" xfId="0" applyFont="1" applyFill="1" applyAlignment="1" applyProtection="1">
      <alignment horizontal="center" vertical="center"/>
    </xf>
    <xf numFmtId="44" fontId="10" fillId="6" borderId="0" xfId="0" applyNumberFormat="1" applyFont="1" applyFill="1" applyAlignment="1" applyProtection="1"/>
    <xf numFmtId="0" fontId="9" fillId="0" borderId="1" xfId="0" applyFont="1" applyBorder="1" applyAlignment="1" applyProtection="1">
      <alignment horizontal="center"/>
    </xf>
    <xf numFmtId="0" fontId="9" fillId="0" borderId="1" xfId="0" applyFont="1" applyBorder="1" applyProtection="1"/>
    <xf numFmtId="9" fontId="9" fillId="6" borderId="1" xfId="2" applyFont="1" applyFill="1" applyBorder="1" applyAlignment="1" applyProtection="1">
      <alignment horizontal="center" vertical="center"/>
    </xf>
    <xf numFmtId="44" fontId="9" fillId="6" borderId="1" xfId="0" applyNumberFormat="1" applyFont="1" applyFill="1" applyBorder="1" applyAlignment="1" applyProtection="1">
      <alignment horizontal="center"/>
    </xf>
    <xf numFmtId="44" fontId="9" fillId="6" borderId="1" xfId="0" applyNumberFormat="1" applyFont="1" applyFill="1" applyBorder="1" applyProtection="1"/>
    <xf numFmtId="9" fontId="9" fillId="0" borderId="1" xfId="2" applyFont="1" applyBorder="1" applyAlignment="1" applyProtection="1">
      <alignment horizontal="center" vertical="center"/>
    </xf>
    <xf numFmtId="44" fontId="9" fillId="0" borderId="1" xfId="0" applyNumberFormat="1" applyFont="1" applyBorder="1" applyAlignment="1" applyProtection="1">
      <alignment horizontal="center"/>
    </xf>
    <xf numFmtId="9" fontId="9" fillId="4" borderId="1" xfId="2" applyFont="1" applyFill="1" applyBorder="1" applyAlignment="1" applyProtection="1">
      <alignment horizontal="center" vertical="center"/>
    </xf>
    <xf numFmtId="0" fontId="10" fillId="0" borderId="1" xfId="0" applyFont="1" applyBorder="1" applyProtection="1"/>
    <xf numFmtId="9" fontId="10" fillId="0" borderId="1" xfId="2" applyFont="1" applyBorder="1" applyAlignment="1" applyProtection="1">
      <alignment horizontal="center" vertical="center"/>
    </xf>
    <xf numFmtId="44" fontId="10" fillId="0" borderId="1" xfId="0" applyNumberFormat="1" applyFont="1" applyBorder="1" applyAlignment="1" applyProtection="1">
      <alignment horizontal="center"/>
    </xf>
    <xf numFmtId="44" fontId="10" fillId="6" borderId="1" xfId="0" applyNumberFormat="1" applyFont="1" applyFill="1" applyBorder="1" applyProtection="1"/>
    <xf numFmtId="9" fontId="9" fillId="6" borderId="1" xfId="2" applyFont="1" applyFill="1" applyBorder="1" applyAlignment="1" applyProtection="1">
      <alignment horizontal="center"/>
    </xf>
    <xf numFmtId="44" fontId="9" fillId="6" borderId="1" xfId="1" applyFont="1" applyFill="1" applyBorder="1" applyAlignment="1" applyProtection="1">
      <alignment horizontal="center"/>
    </xf>
    <xf numFmtId="0" fontId="9" fillId="2" borderId="1" xfId="0" applyFont="1" applyFill="1" applyBorder="1" applyProtection="1">
      <protection locked="0"/>
    </xf>
    <xf numFmtId="0" fontId="9" fillId="6" borderId="1" xfId="0" applyFont="1" applyFill="1" applyBorder="1" applyAlignment="1" applyProtection="1">
      <alignment horizontal="center" vertical="center"/>
      <protection locked="0"/>
    </xf>
    <xf numFmtId="165" fontId="9" fillId="0" borderId="0" xfId="0" applyNumberFormat="1" applyFont="1" applyProtection="1">
      <protection locked="0"/>
    </xf>
    <xf numFmtId="165" fontId="9" fillId="0" borderId="1" xfId="1" applyNumberFormat="1" applyFont="1" applyBorder="1" applyProtection="1">
      <protection locked="0"/>
    </xf>
    <xf numFmtId="165" fontId="9" fillId="4" borderId="1" xfId="1" applyNumberFormat="1" applyFont="1" applyFill="1" applyBorder="1" applyProtection="1">
      <protection locked="0"/>
    </xf>
    <xf numFmtId="165" fontId="15" fillId="4" borderId="1" xfId="1" applyNumberFormat="1" applyFont="1" applyFill="1" applyBorder="1" applyProtection="1">
      <protection locked="0"/>
    </xf>
    <xf numFmtId="44" fontId="9" fillId="0" borderId="1" xfId="1" applyFont="1" applyBorder="1" applyProtection="1">
      <protection locked="0"/>
    </xf>
    <xf numFmtId="44" fontId="9" fillId="0" borderId="1" xfId="1" applyFont="1" applyBorder="1" applyAlignment="1" applyProtection="1">
      <alignment horizontal="center"/>
      <protection locked="0"/>
    </xf>
    <xf numFmtId="0" fontId="9" fillId="4" borderId="1" xfId="0" applyFont="1" applyFill="1" applyBorder="1" applyProtection="1">
      <protection locked="0"/>
    </xf>
    <xf numFmtId="165" fontId="9" fillId="4" borderId="1" xfId="0" applyNumberFormat="1" applyFont="1" applyFill="1" applyBorder="1" applyProtection="1">
      <protection locked="0"/>
    </xf>
    <xf numFmtId="44" fontId="19" fillId="15" borderId="1" xfId="1" applyFont="1" applyFill="1" applyBorder="1" applyAlignment="1" applyProtection="1">
      <alignment horizontal="center" vertical="center"/>
      <protection locked="0"/>
    </xf>
    <xf numFmtId="44" fontId="19" fillId="15" borderId="1" xfId="1" applyFont="1" applyFill="1" applyBorder="1" applyAlignment="1" applyProtection="1">
      <alignment vertical="center"/>
      <protection locked="0"/>
    </xf>
    <xf numFmtId="0" fontId="16" fillId="0" borderId="1" xfId="3" applyFont="1" applyBorder="1" applyAlignment="1" applyProtection="1">
      <protection locked="0"/>
    </xf>
    <xf numFmtId="165" fontId="16" fillId="6" borderId="1" xfId="3" applyNumberFormat="1" applyFont="1" applyFill="1" applyBorder="1" applyAlignment="1" applyProtection="1">
      <alignment horizontal="right" vertical="center"/>
    </xf>
    <xf numFmtId="44" fontId="15" fillId="4" borderId="1" xfId="1" applyFont="1" applyFill="1" applyBorder="1" applyProtection="1">
      <protection locked="0"/>
    </xf>
    <xf numFmtId="164" fontId="9" fillId="6" borderId="1" xfId="2" applyNumberFormat="1" applyFont="1" applyFill="1" applyBorder="1" applyAlignment="1" applyProtection="1">
      <alignment horizontal="center" vertical="center"/>
      <protection locked="0"/>
    </xf>
    <xf numFmtId="14" fontId="37" fillId="0" borderId="2" xfId="3" applyNumberFormat="1" applyFont="1" applyBorder="1" applyAlignment="1" applyProtection="1">
      <alignment horizontal="center" vertical="center"/>
      <protection locked="0"/>
    </xf>
    <xf numFmtId="0" fontId="37" fillId="0" borderId="1" xfId="3" applyNumberFormat="1" applyFont="1" applyBorder="1" applyAlignment="1" applyProtection="1">
      <alignment horizontal="center" vertical="center"/>
      <protection locked="0"/>
    </xf>
    <xf numFmtId="0" fontId="30" fillId="6" borderId="1" xfId="3" applyFont="1" applyFill="1" applyBorder="1" applyAlignment="1">
      <alignment horizontal="left"/>
    </xf>
    <xf numFmtId="169" fontId="16" fillId="0" borderId="32" xfId="3" applyNumberFormat="1" applyBorder="1" applyAlignment="1" applyProtection="1">
      <alignment horizontal="center" vertical="center"/>
      <protection locked="0"/>
    </xf>
    <xf numFmtId="170" fontId="16" fillId="0" borderId="32" xfId="3" applyNumberFormat="1" applyBorder="1" applyAlignment="1" applyProtection="1">
      <alignment horizontal="center" vertical="center"/>
      <protection locked="0"/>
    </xf>
    <xf numFmtId="169" fontId="16" fillId="0" borderId="32" xfId="3" applyNumberFormat="1" applyFill="1" applyBorder="1" applyAlignment="1" applyProtection="1">
      <alignment horizontal="center" vertical="center"/>
      <protection locked="0"/>
    </xf>
    <xf numFmtId="170" fontId="16" fillId="0" borderId="32" xfId="3" applyNumberFormat="1" applyFill="1" applyBorder="1" applyAlignment="1" applyProtection="1">
      <alignment horizontal="center" vertical="center"/>
      <protection locked="0"/>
    </xf>
    <xf numFmtId="4" fontId="16" fillId="0" borderId="32" xfId="3" applyNumberFormat="1" applyBorder="1" applyAlignment="1" applyProtection="1">
      <alignment horizontal="center" vertical="center"/>
      <protection locked="0"/>
    </xf>
    <xf numFmtId="4" fontId="16" fillId="0" borderId="32" xfId="3" applyNumberFormat="1" applyFill="1" applyBorder="1" applyAlignment="1" applyProtection="1">
      <alignment horizontal="center" vertical="center"/>
      <protection locked="0"/>
    </xf>
    <xf numFmtId="44" fontId="9" fillId="4" borderId="12" xfId="1" applyFont="1" applyFill="1" applyBorder="1" applyProtection="1">
      <protection locked="0"/>
    </xf>
    <xf numFmtId="9" fontId="32" fillId="16" borderId="17" xfId="2" applyFont="1" applyFill="1" applyBorder="1" applyAlignment="1">
      <alignment horizontal="center" vertical="center" wrapText="1"/>
    </xf>
    <xf numFmtId="4" fontId="16" fillId="0" borderId="55" xfId="3" applyNumberFormat="1" applyBorder="1" applyAlignment="1">
      <alignment horizontal="center" vertical="center"/>
    </xf>
    <xf numFmtId="0" fontId="16" fillId="2" borderId="1" xfId="3" applyFill="1" applyBorder="1" applyAlignment="1">
      <alignment horizontal="center" vertical="center"/>
    </xf>
    <xf numFmtId="0" fontId="16" fillId="2" borderId="1" xfId="3" applyFill="1" applyBorder="1" applyAlignment="1" applyProtection="1">
      <alignment horizontal="center"/>
      <protection locked="0"/>
    </xf>
    <xf numFmtId="0" fontId="19" fillId="0" borderId="22" xfId="3" applyFont="1" applyBorder="1" applyAlignment="1">
      <alignment vertical="center"/>
    </xf>
    <xf numFmtId="0" fontId="19" fillId="0" borderId="0" xfId="3" applyFont="1" applyBorder="1" applyAlignment="1">
      <alignment vertical="center"/>
    </xf>
    <xf numFmtId="44" fontId="19" fillId="0" borderId="1" xfId="1" applyFont="1" applyBorder="1" applyAlignment="1">
      <alignment horizontal="center" vertical="center"/>
    </xf>
    <xf numFmtId="44" fontId="19" fillId="15" borderId="1" xfId="1" applyFont="1" applyFill="1" applyBorder="1" applyAlignment="1" applyProtection="1">
      <alignment horizontal="center" vertical="center"/>
      <protection locked="0"/>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2" fontId="19" fillId="0" borderId="1" xfId="3" applyNumberFormat="1" applyFont="1" applyBorder="1" applyAlignment="1">
      <alignment horizontal="center" vertical="center"/>
    </xf>
    <xf numFmtId="0" fontId="21" fillId="0" borderId="0" xfId="3" applyFont="1" applyBorder="1" applyAlignment="1">
      <alignment horizontal="center" vertical="center" wrapText="1"/>
    </xf>
    <xf numFmtId="4" fontId="19" fillId="0" borderId="1" xfId="3" applyNumberFormat="1" applyFont="1" applyBorder="1" applyAlignment="1">
      <alignment horizontal="center" vertical="center"/>
    </xf>
    <xf numFmtId="44" fontId="9" fillId="4" borderId="1" xfId="0" applyNumberFormat="1" applyFont="1" applyFill="1" applyBorder="1" applyProtection="1">
      <protection locked="0"/>
    </xf>
    <xf numFmtId="9" fontId="25" fillId="3" borderId="0" xfId="2" applyFont="1" applyFill="1" applyBorder="1" applyAlignment="1">
      <alignment horizontal="right" vertical="center" indent="1"/>
    </xf>
    <xf numFmtId="9" fontId="19" fillId="0" borderId="0" xfId="2" applyFont="1" applyBorder="1" applyAlignment="1">
      <alignment horizontal="center" vertical="center"/>
    </xf>
    <xf numFmtId="44" fontId="19" fillId="0" borderId="0" xfId="3" applyNumberFormat="1" applyFont="1" applyAlignment="1">
      <alignment vertical="center"/>
    </xf>
    <xf numFmtId="43" fontId="19" fillId="0" borderId="1" xfId="6" applyFont="1" applyBorder="1" applyAlignment="1">
      <alignment horizontal="center" vertical="center"/>
    </xf>
    <xf numFmtId="0" fontId="54" fillId="0" borderId="0" xfId="3" applyFont="1" applyAlignment="1">
      <alignment vertical="center"/>
    </xf>
    <xf numFmtId="2" fontId="54" fillId="0" borderId="0" xfId="3" applyNumberFormat="1" applyFont="1" applyAlignment="1">
      <alignment vertical="center"/>
    </xf>
    <xf numFmtId="44" fontId="15" fillId="4" borderId="0" xfId="1" applyFont="1" applyFill="1" applyBorder="1"/>
    <xf numFmtId="44" fontId="15" fillId="4" borderId="0" xfId="1" applyFont="1" applyFill="1" applyBorder="1" applyAlignment="1">
      <alignment horizontal="right" vertical="center"/>
    </xf>
    <xf numFmtId="0" fontId="55" fillId="4" borderId="1" xfId="0" applyFont="1" applyFill="1" applyBorder="1" applyAlignment="1">
      <alignment horizontal="center" vertical="center"/>
    </xf>
    <xf numFmtId="0" fontId="55" fillId="4" borderId="1" xfId="0" applyFont="1" applyFill="1" applyBorder="1"/>
    <xf numFmtId="44" fontId="9" fillId="4" borderId="1" xfId="1" applyFont="1" applyFill="1" applyBorder="1"/>
    <xf numFmtId="44" fontId="9" fillId="4" borderId="1" xfId="1" applyFont="1" applyFill="1" applyBorder="1" applyAlignment="1">
      <alignment horizontal="center" vertical="center"/>
    </xf>
    <xf numFmtId="44" fontId="9" fillId="2" borderId="1" xfId="1" applyFont="1" applyFill="1" applyBorder="1" applyProtection="1">
      <protection locked="0"/>
    </xf>
    <xf numFmtId="44" fontId="9" fillId="4" borderId="1" xfId="1" applyFont="1" applyFill="1" applyBorder="1" applyAlignment="1"/>
    <xf numFmtId="0" fontId="9" fillId="4" borderId="0" xfId="1" applyNumberFormat="1" applyFont="1" applyFill="1" applyBorder="1" applyProtection="1"/>
    <xf numFmtId="178" fontId="9" fillId="4" borderId="0" xfId="6" applyNumberFormat="1" applyFont="1" applyFill="1" applyBorder="1"/>
    <xf numFmtId="178" fontId="9" fillId="4" borderId="1" xfId="6" applyNumberFormat="1" applyFont="1" applyFill="1" applyBorder="1" applyProtection="1">
      <protection locked="0"/>
    </xf>
    <xf numFmtId="164" fontId="9" fillId="0" borderId="0" xfId="0" applyNumberFormat="1" applyFont="1"/>
    <xf numFmtId="164" fontId="9" fillId="4" borderId="0" xfId="1" applyNumberFormat="1" applyFont="1" applyFill="1" applyBorder="1"/>
    <xf numFmtId="44" fontId="9" fillId="6" borderId="0" xfId="1" applyFont="1" applyFill="1" applyProtection="1">
      <protection locked="0"/>
    </xf>
    <xf numFmtId="44" fontId="9" fillId="6" borderId="0" xfId="1" applyFont="1" applyFill="1"/>
    <xf numFmtId="0" fontId="10" fillId="0" borderId="5" xfId="0" applyFont="1" applyBorder="1" applyAlignment="1">
      <alignment vertical="center"/>
    </xf>
    <xf numFmtId="165" fontId="16" fillId="6" borderId="0" xfId="3" applyNumberFormat="1" applyFont="1" applyFill="1" applyBorder="1" applyAlignment="1" applyProtection="1">
      <alignment horizontal="center" vertical="center"/>
    </xf>
    <xf numFmtId="0" fontId="16" fillId="6" borderId="0" xfId="3" applyFont="1" applyFill="1" applyBorder="1" applyAlignment="1" applyProtection="1">
      <alignment horizontal="center" vertical="center"/>
    </xf>
    <xf numFmtId="44" fontId="16" fillId="6" borderId="0" xfId="1" applyFont="1" applyFill="1" applyBorder="1" applyAlignment="1" applyProtection="1">
      <alignment horizontal="center" vertical="center"/>
    </xf>
    <xf numFmtId="9" fontId="16" fillId="6" borderId="0" xfId="3" applyNumberFormat="1" applyFont="1" applyFill="1" applyBorder="1" applyAlignment="1" applyProtection="1">
      <alignment horizontal="center" vertical="center"/>
    </xf>
    <xf numFmtId="0" fontId="16" fillId="6" borderId="0" xfId="3" applyFont="1" applyFill="1" applyAlignment="1" applyProtection="1">
      <alignment horizontal="center" vertical="center"/>
    </xf>
    <xf numFmtId="9" fontId="16" fillId="6" borderId="0" xfId="2" applyFont="1" applyFill="1" applyAlignment="1" applyProtection="1">
      <alignment horizontal="center"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10" fillId="8" borderId="1" xfId="0" applyFont="1" applyFill="1" applyBorder="1" applyAlignment="1">
      <alignment horizontal="left" vertical="center" wrapText="1"/>
    </xf>
    <xf numFmtId="43" fontId="9" fillId="4" borderId="0" xfId="1" applyNumberFormat="1" applyFont="1" applyFill="1" applyBorder="1"/>
    <xf numFmtId="10" fontId="9" fillId="6" borderId="1" xfId="2" applyNumberFormat="1" applyFont="1" applyFill="1" applyBorder="1"/>
    <xf numFmtId="9" fontId="54" fillId="0" borderId="0" xfId="2" applyFont="1" applyAlignment="1">
      <alignment vertical="center"/>
    </xf>
    <xf numFmtId="44" fontId="9" fillId="4" borderId="1" xfId="1" applyFont="1" applyFill="1" applyBorder="1" applyAlignment="1" applyProtection="1">
      <alignment horizontal="center" vertical="center"/>
      <protection locked="0"/>
    </xf>
    <xf numFmtId="0" fontId="9" fillId="4" borderId="1" xfId="1" applyNumberFormat="1" applyFont="1" applyFill="1" applyBorder="1" applyAlignment="1" applyProtection="1">
      <alignment horizontal="center" vertical="center"/>
      <protection locked="0"/>
    </xf>
    <xf numFmtId="17" fontId="16" fillId="0" borderId="32" xfId="3" applyNumberFormat="1" applyFont="1" applyBorder="1" applyAlignment="1" applyProtection="1">
      <alignment horizontal="center" vertical="center"/>
      <protection locked="0"/>
    </xf>
    <xf numFmtId="17" fontId="16" fillId="0" borderId="32" xfId="3" applyNumberFormat="1" applyFont="1" applyFill="1" applyBorder="1" applyAlignment="1" applyProtection="1">
      <alignment horizontal="center" vertical="center"/>
      <protection locked="0"/>
    </xf>
    <xf numFmtId="44" fontId="9" fillId="4" borderId="0" xfId="1" applyFont="1" applyFill="1" applyBorder="1" applyAlignment="1">
      <alignment horizontal="center"/>
    </xf>
    <xf numFmtId="44" fontId="9" fillId="6" borderId="1" xfId="1" applyFont="1" applyFill="1" applyBorder="1" applyAlignment="1">
      <alignment horizontal="center"/>
    </xf>
    <xf numFmtId="0" fontId="9" fillId="0" borderId="1" xfId="0" applyFont="1" applyBorder="1" applyAlignment="1">
      <alignment horizontal="center" vertical="center"/>
    </xf>
    <xf numFmtId="44" fontId="9" fillId="6" borderId="4" xfId="1" applyFont="1" applyFill="1" applyBorder="1" applyAlignment="1">
      <alignment horizontal="center"/>
    </xf>
    <xf numFmtId="44" fontId="9" fillId="6" borderId="3" xfId="1" applyFont="1" applyFill="1" applyBorder="1" applyAlignment="1">
      <alignment horizontal="center"/>
    </xf>
    <xf numFmtId="0" fontId="9" fillId="6" borderId="39" xfId="0" applyFont="1" applyFill="1" applyBorder="1" applyAlignment="1">
      <alignment horizontal="center" vertical="center"/>
    </xf>
    <xf numFmtId="44" fontId="9" fillId="6" borderId="0" xfId="1" applyFont="1" applyFill="1" applyBorder="1" applyAlignment="1">
      <alignment horizontal="center"/>
    </xf>
    <xf numFmtId="0" fontId="9" fillId="2" borderId="1" xfId="0" applyNumberFormat="1" applyFont="1" applyFill="1" applyBorder="1"/>
    <xf numFmtId="44" fontId="9" fillId="6" borderId="1" xfId="1" applyNumberFormat="1" applyFont="1" applyFill="1" applyBorder="1" applyAlignment="1">
      <alignment horizontal="center"/>
    </xf>
    <xf numFmtId="44" fontId="9" fillId="2" borderId="1" xfId="0" applyNumberFormat="1" applyFont="1" applyFill="1" applyBorder="1" applyAlignment="1">
      <alignment horizontal="left" vertical="top"/>
    </xf>
    <xf numFmtId="49" fontId="9" fillId="0" borderId="1" xfId="0" applyNumberFormat="1" applyFont="1" applyBorder="1" applyAlignment="1">
      <alignment horizontal="center" vertical="center"/>
    </xf>
    <xf numFmtId="0" fontId="9" fillId="0" borderId="0" xfId="0" applyFont="1" applyAlignment="1">
      <alignment horizontal="center"/>
    </xf>
    <xf numFmtId="0" fontId="9" fillId="6" borderId="82" xfId="0" applyFont="1" applyFill="1" applyBorder="1" applyAlignment="1">
      <alignment horizontal="center" vertical="center"/>
    </xf>
    <xf numFmtId="44" fontId="9" fillId="6" borderId="83" xfId="0" applyNumberFormat="1" applyFont="1" applyFill="1" applyBorder="1"/>
    <xf numFmtId="44" fontId="9" fillId="6" borderId="2" xfId="1" applyFont="1" applyFill="1" applyBorder="1" applyAlignment="1">
      <alignment horizontal="right" vertical="center"/>
    </xf>
    <xf numFmtId="44" fontId="9" fillId="6" borderId="2" xfId="1" applyFont="1" applyFill="1" applyBorder="1"/>
    <xf numFmtId="164" fontId="9" fillId="6" borderId="40" xfId="0" applyNumberFormat="1" applyFont="1" applyFill="1" applyBorder="1" applyAlignment="1">
      <alignment horizontal="center" vertical="center"/>
    </xf>
    <xf numFmtId="164" fontId="9" fillId="6" borderId="41" xfId="0" applyNumberFormat="1" applyFont="1" applyFill="1" applyBorder="1" applyAlignment="1">
      <alignment horizontal="center" vertical="center"/>
    </xf>
    <xf numFmtId="44" fontId="9" fillId="4" borderId="12" xfId="1" applyFont="1" applyFill="1" applyBorder="1"/>
    <xf numFmtId="164" fontId="9" fillId="4" borderId="0" xfId="1" applyNumberFormat="1" applyFont="1" applyFill="1" applyBorder="1" applyAlignment="1"/>
    <xf numFmtId="44" fontId="9" fillId="4" borderId="0" xfId="1" applyFont="1" applyFill="1" applyBorder="1" applyAlignment="1"/>
    <xf numFmtId="44" fontId="9" fillId="4" borderId="2" xfId="1" applyFont="1" applyFill="1" applyBorder="1" applyProtection="1">
      <protection locked="0"/>
    </xf>
    <xf numFmtId="179" fontId="16" fillId="6" borderId="0" xfId="1" applyNumberFormat="1" applyFont="1" applyFill="1" applyBorder="1" applyAlignment="1" applyProtection="1">
      <alignment horizontal="center" vertical="center"/>
    </xf>
    <xf numFmtId="180" fontId="16" fillId="6" borderId="0" xfId="3" applyNumberFormat="1" applyFont="1" applyFill="1" applyBorder="1" applyAlignment="1" applyProtection="1">
      <alignment horizontal="center" vertical="center"/>
    </xf>
    <xf numFmtId="180" fontId="16" fillId="6" borderId="0" xfId="1" applyNumberFormat="1" applyFont="1" applyFill="1" applyBorder="1" applyAlignment="1" applyProtection="1">
      <alignment horizontal="center" vertical="center"/>
    </xf>
    <xf numFmtId="165" fontId="16" fillId="13" borderId="1" xfId="5" applyNumberFormat="1" applyFont="1" applyFill="1" applyBorder="1" applyAlignment="1" applyProtection="1">
      <alignment horizontal="right" vertical="center"/>
      <protection locked="0"/>
    </xf>
    <xf numFmtId="44" fontId="9" fillId="4" borderId="0" xfId="1" applyFont="1" applyFill="1" applyBorder="1" applyAlignment="1">
      <alignment horizontal="center" vertical="center"/>
    </xf>
    <xf numFmtId="0" fontId="9" fillId="4" borderId="0" xfId="1" applyNumberFormat="1" applyFont="1" applyFill="1" applyBorder="1" applyAlignment="1">
      <alignment horizontal="center" vertical="center"/>
    </xf>
    <xf numFmtId="44" fontId="1" fillId="4" borderId="84" xfId="1" applyFont="1" applyFill="1" applyBorder="1" applyAlignment="1">
      <alignment horizontal="center" vertical="center" wrapText="1"/>
    </xf>
    <xf numFmtId="44" fontId="1" fillId="4" borderId="85" xfId="1" applyFont="1" applyFill="1" applyBorder="1" applyAlignment="1">
      <alignment horizontal="center" vertical="center" wrapText="1"/>
    </xf>
    <xf numFmtId="44" fontId="1" fillId="4" borderId="86" xfId="1" applyFont="1" applyFill="1" applyBorder="1" applyAlignment="1">
      <alignment horizontal="center" vertical="center" wrapText="1"/>
    </xf>
    <xf numFmtId="44" fontId="9" fillId="4" borderId="0" xfId="1" applyFont="1" applyFill="1" applyBorder="1" applyAlignment="1">
      <alignment horizontal="center"/>
    </xf>
    <xf numFmtId="0" fontId="9" fillId="2" borderId="1" xfId="1" applyNumberFormat="1" applyFont="1" applyFill="1" applyBorder="1" applyAlignment="1" applyProtection="1">
      <alignment horizontal="center"/>
      <protection locked="0"/>
    </xf>
    <xf numFmtId="44" fontId="9" fillId="2" borderId="1" xfId="1" applyFont="1" applyFill="1" applyBorder="1" applyAlignment="1" applyProtection="1">
      <alignment horizontal="center"/>
      <protection locked="0"/>
    </xf>
    <xf numFmtId="44" fontId="9" fillId="4" borderId="1" xfId="1" applyFont="1" applyFill="1" applyBorder="1" applyAlignment="1">
      <alignment horizontal="center"/>
    </xf>
    <xf numFmtId="0" fontId="9" fillId="11" borderId="0" xfId="0" applyFont="1" applyFill="1" applyAlignment="1">
      <alignment horizontal="left" vertical="center"/>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9" fillId="0" borderId="42" xfId="0" applyFont="1" applyBorder="1" applyAlignment="1">
      <alignment horizontal="center" vertical="center" textRotation="90"/>
    </xf>
    <xf numFmtId="0" fontId="9" fillId="0" borderId="43" xfId="0" applyFont="1" applyBorder="1" applyAlignment="1">
      <alignment horizontal="center" vertical="center" textRotation="90"/>
    </xf>
    <xf numFmtId="0" fontId="9" fillId="0" borderId="36" xfId="0" applyFont="1" applyBorder="1" applyAlignment="1">
      <alignment horizontal="center" vertical="center" textRotation="90"/>
    </xf>
    <xf numFmtId="44" fontId="9" fillId="4" borderId="4" xfId="1" applyFont="1" applyFill="1" applyBorder="1" applyAlignment="1">
      <alignment horizontal="center"/>
    </xf>
    <xf numFmtId="44" fontId="9" fillId="4" borderId="3" xfId="1" applyFont="1" applyFill="1" applyBorder="1" applyAlignment="1">
      <alignment horizontal="center"/>
    </xf>
    <xf numFmtId="0" fontId="9" fillId="8" borderId="12"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8" borderId="2" xfId="0" applyFont="1" applyFill="1" applyBorder="1" applyAlignment="1">
      <alignment horizontal="center" vertical="center" wrapText="1"/>
    </xf>
    <xf numFmtId="44" fontId="9" fillId="4" borderId="10" xfId="1" applyFont="1" applyFill="1" applyBorder="1" applyAlignment="1">
      <alignment horizontal="center"/>
    </xf>
    <xf numFmtId="44" fontId="9" fillId="6" borderId="1" xfId="1" applyFont="1" applyFill="1" applyBorder="1" applyAlignment="1">
      <alignment horizontal="right" vertical="center"/>
    </xf>
    <xf numFmtId="0" fontId="9" fillId="6" borderId="1" xfId="1" applyNumberFormat="1" applyFont="1" applyFill="1" applyBorder="1" applyAlignment="1">
      <alignment horizontal="center" vertical="center"/>
    </xf>
    <xf numFmtId="0" fontId="9" fillId="2" borderId="4" xfId="0" applyFont="1" applyFill="1" applyBorder="1" applyAlignment="1" applyProtection="1">
      <alignment horizontal="center"/>
      <protection locked="0"/>
    </xf>
    <xf numFmtId="0" fontId="9" fillId="2" borderId="5" xfId="0" applyFont="1" applyFill="1" applyBorder="1" applyAlignment="1" applyProtection="1">
      <alignment horizontal="center"/>
      <protection locked="0"/>
    </xf>
    <xf numFmtId="0" fontId="9" fillId="0" borderId="4" xfId="0" applyFont="1" applyBorder="1" applyAlignment="1" applyProtection="1">
      <alignment horizontal="center"/>
      <protection locked="0"/>
    </xf>
    <xf numFmtId="0" fontId="9" fillId="0" borderId="5" xfId="0" applyFont="1" applyBorder="1" applyAlignment="1" applyProtection="1">
      <alignment horizontal="center"/>
      <protection locked="0"/>
    </xf>
    <xf numFmtId="44" fontId="9" fillId="11" borderId="1" xfId="1" applyFont="1" applyFill="1" applyBorder="1" applyAlignment="1" applyProtection="1">
      <alignment horizontal="center"/>
      <protection locked="0"/>
    </xf>
    <xf numFmtId="0" fontId="9" fillId="11" borderId="0" xfId="0" applyFont="1" applyFill="1" applyAlignment="1">
      <alignment horizontal="left"/>
    </xf>
    <xf numFmtId="0" fontId="9" fillId="11" borderId="0" xfId="0" applyFont="1" applyFill="1" applyAlignment="1">
      <alignment horizontal="left" vertical="top"/>
    </xf>
    <xf numFmtId="44" fontId="9" fillId="4" borderId="0" xfId="1" applyFont="1" applyFill="1" applyBorder="1" applyAlignment="1" applyProtection="1">
      <alignment horizontal="center"/>
    </xf>
    <xf numFmtId="44" fontId="9" fillId="4" borderId="0" xfId="1" applyFont="1" applyFill="1" applyBorder="1" applyAlignment="1" applyProtection="1">
      <alignment horizontal="center" wrapText="1"/>
    </xf>
    <xf numFmtId="9" fontId="10" fillId="0" borderId="0" xfId="2" applyFont="1" applyAlignment="1" applyProtection="1">
      <alignment horizontal="left" vertical="top"/>
    </xf>
    <xf numFmtId="9" fontId="9" fillId="0" borderId="4" xfId="2" applyFont="1" applyBorder="1" applyAlignment="1" applyProtection="1">
      <alignment horizontal="center" vertical="center"/>
    </xf>
    <xf numFmtId="9" fontId="9" fillId="0" borderId="5" xfId="2" applyFont="1" applyBorder="1" applyAlignment="1" applyProtection="1">
      <alignment horizontal="center" vertical="center"/>
    </xf>
    <xf numFmtId="9" fontId="9" fillId="0" borderId="3" xfId="2" applyFont="1" applyBorder="1" applyAlignment="1" applyProtection="1">
      <alignment horizontal="center" vertical="center"/>
    </xf>
    <xf numFmtId="44" fontId="9" fillId="4" borderId="0" xfId="1" applyFont="1" applyFill="1" applyBorder="1" applyAlignment="1">
      <alignment horizontal="center" wrapText="1"/>
    </xf>
    <xf numFmtId="44" fontId="9" fillId="0" borderId="4" xfId="1" applyFont="1" applyBorder="1" applyAlignment="1" applyProtection="1">
      <alignment horizontal="center"/>
      <protection locked="0"/>
    </xf>
    <xf numFmtId="44" fontId="9" fillId="0" borderId="3" xfId="1" applyFont="1" applyBorder="1" applyAlignment="1" applyProtection="1">
      <alignment horizontal="center"/>
      <protection locked="0"/>
    </xf>
    <xf numFmtId="44" fontId="10" fillId="6" borderId="1" xfId="0" applyNumberFormat="1" applyFont="1" applyFill="1" applyBorder="1" applyAlignment="1">
      <alignment horizontal="center"/>
    </xf>
    <xf numFmtId="0" fontId="10" fillId="2" borderId="4"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44" fontId="9" fillId="4" borderId="15" xfId="1" applyFont="1" applyFill="1" applyBorder="1" applyAlignment="1">
      <alignment horizontal="center"/>
    </xf>
    <xf numFmtId="0" fontId="9" fillId="4" borderId="1" xfId="0" applyFont="1" applyFill="1" applyBorder="1" applyAlignment="1">
      <alignment horizontal="center"/>
    </xf>
    <xf numFmtId="44" fontId="10" fillId="6" borderId="4" xfId="0" applyNumberFormat="1" applyFont="1" applyFill="1" applyBorder="1" applyAlignment="1">
      <alignment horizontal="center"/>
    </xf>
    <xf numFmtId="44" fontId="10" fillId="6" borderId="3" xfId="0" applyNumberFormat="1" applyFont="1" applyFill="1" applyBorder="1" applyAlignment="1">
      <alignment horizontal="center"/>
    </xf>
    <xf numFmtId="44" fontId="9" fillId="0" borderId="1" xfId="1" applyFont="1" applyBorder="1" applyAlignment="1" applyProtection="1">
      <alignment horizontal="center"/>
      <protection locked="0"/>
    </xf>
    <xf numFmtId="0" fontId="9" fillId="4" borderId="11" xfId="1" applyNumberFormat="1" applyFont="1" applyFill="1" applyBorder="1" applyAlignment="1" applyProtection="1">
      <alignment horizontal="center"/>
      <protection hidden="1"/>
    </xf>
    <xf numFmtId="0" fontId="9" fillId="4" borderId="0" xfId="1" applyNumberFormat="1" applyFont="1" applyFill="1" applyBorder="1" applyAlignment="1" applyProtection="1">
      <alignment horizontal="center"/>
      <protection hidden="1"/>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44" fontId="9" fillId="6" borderId="1" xfId="0" applyNumberFormat="1" applyFont="1" applyFill="1" applyBorder="1" applyAlignment="1">
      <alignment horizontal="center"/>
    </xf>
    <xf numFmtId="0" fontId="9" fillId="6" borderId="1" xfId="0" applyFont="1" applyFill="1" applyBorder="1" applyAlignment="1">
      <alignment horizontal="center"/>
    </xf>
    <xf numFmtId="44" fontId="10" fillId="4" borderId="1" xfId="0" applyNumberFormat="1" applyFont="1" applyFill="1" applyBorder="1" applyAlignment="1">
      <alignment horizontal="center"/>
    </xf>
    <xf numFmtId="44" fontId="55" fillId="6" borderId="1" xfId="0" applyNumberFormat="1" applyFont="1" applyFill="1" applyBorder="1" applyAlignment="1">
      <alignment horizontal="center"/>
    </xf>
    <xf numFmtId="44" fontId="9" fillId="0" borderId="1" xfId="1" applyFont="1" applyBorder="1" applyAlignment="1">
      <alignment horizontal="center"/>
    </xf>
    <xf numFmtId="165" fontId="9" fillId="6" borderId="1" xfId="0" applyNumberFormat="1" applyFont="1" applyFill="1" applyBorder="1" applyAlignment="1">
      <alignment horizontal="right"/>
    </xf>
    <xf numFmtId="0" fontId="9" fillId="6" borderId="1" xfId="0" applyFont="1" applyFill="1" applyBorder="1" applyAlignment="1">
      <alignment horizontal="right"/>
    </xf>
    <xf numFmtId="0" fontId="10" fillId="6" borderId="1" xfId="0" applyFont="1" applyFill="1" applyBorder="1" applyAlignment="1">
      <alignment horizontal="center"/>
    </xf>
    <xf numFmtId="0" fontId="10" fillId="0" borderId="6"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5" xfId="0" applyFont="1" applyFill="1" applyBorder="1" applyAlignment="1">
      <alignment horizontal="center" vertical="top"/>
    </xf>
    <xf numFmtId="0" fontId="10" fillId="0" borderId="3" xfId="0" applyFont="1" applyFill="1" applyBorder="1" applyAlignment="1">
      <alignment horizontal="center" vertical="top"/>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applyAlignment="1">
      <alignment horizontal="center" vertical="center"/>
    </xf>
    <xf numFmtId="0" fontId="10" fillId="0" borderId="0" xfId="0" applyFont="1" applyAlignment="1">
      <alignment horizontal="center"/>
    </xf>
    <xf numFmtId="0" fontId="10" fillId="0" borderId="10" xfId="0" applyFont="1" applyBorder="1" applyAlignment="1">
      <alignment horizontal="center"/>
    </xf>
    <xf numFmtId="0" fontId="23" fillId="0" borderId="0" xfId="3" applyFont="1" applyAlignment="1">
      <alignment horizontal="left" vertical="center" wrapText="1" indent="1"/>
    </xf>
    <xf numFmtId="0" fontId="19" fillId="0" borderId="0" xfId="3" applyFont="1" applyAlignment="1">
      <alignment horizontal="left" vertical="center" indent="1"/>
    </xf>
    <xf numFmtId="44" fontId="19" fillId="15" borderId="1" xfId="1" applyFont="1" applyFill="1" applyBorder="1" applyAlignment="1" applyProtection="1">
      <alignment horizontal="right" vertical="center" indent="1"/>
      <protection locked="0"/>
    </xf>
    <xf numFmtId="44" fontId="18" fillId="3" borderId="1" xfId="1" applyFont="1" applyFill="1" applyBorder="1" applyAlignment="1">
      <alignment horizontal="right" vertical="center" indent="1"/>
    </xf>
    <xf numFmtId="0" fontId="25" fillId="0" borderId="0" xfId="3" applyFont="1" applyBorder="1" applyAlignment="1">
      <alignment horizontal="left" vertical="center" indent="1"/>
    </xf>
    <xf numFmtId="0" fontId="25" fillId="0" borderId="0" xfId="3" applyFont="1" applyAlignment="1">
      <alignment horizontal="left" vertical="center" indent="1"/>
    </xf>
    <xf numFmtId="0" fontId="18" fillId="0" borderId="0" xfId="3" applyFont="1" applyAlignment="1">
      <alignment horizontal="left" vertical="center" indent="1"/>
    </xf>
    <xf numFmtId="0" fontId="20" fillId="0" borderId="0" xfId="3" applyFont="1" applyAlignment="1">
      <alignment horizontal="left" vertical="center" indent="1"/>
    </xf>
    <xf numFmtId="44" fontId="19" fillId="0" borderId="6" xfId="1" applyFont="1" applyBorder="1" applyAlignment="1">
      <alignment horizontal="center" vertical="center" wrapText="1"/>
    </xf>
    <xf numFmtId="44" fontId="19" fillId="0" borderId="14" xfId="1" applyFont="1" applyBorder="1" applyAlignment="1">
      <alignment horizontal="center" vertical="center" wrapText="1"/>
    </xf>
    <xf numFmtId="44" fontId="19" fillId="0" borderId="11" xfId="1" applyFont="1" applyBorder="1" applyAlignment="1">
      <alignment horizontal="center" vertical="center" wrapText="1"/>
    </xf>
    <xf numFmtId="44" fontId="19" fillId="0" borderId="15" xfId="1" applyFont="1" applyBorder="1" applyAlignment="1">
      <alignment horizontal="center" vertical="center" wrapText="1"/>
    </xf>
    <xf numFmtId="44" fontId="19" fillId="0" borderId="9" xfId="1" applyFont="1" applyBorder="1" applyAlignment="1">
      <alignment horizontal="center" vertical="center" wrapText="1"/>
    </xf>
    <xf numFmtId="44" fontId="19" fillId="0" borderId="16" xfId="1" applyFont="1" applyBorder="1" applyAlignment="1">
      <alignment horizontal="center" vertical="center" wrapText="1"/>
    </xf>
    <xf numFmtId="44" fontId="19" fillId="0" borderId="12" xfId="1" applyFont="1" applyBorder="1" applyAlignment="1">
      <alignment horizontal="center" vertical="center" wrapText="1"/>
    </xf>
    <xf numFmtId="44" fontId="19" fillId="0" borderId="13" xfId="1" applyFont="1" applyBorder="1" applyAlignment="1">
      <alignment horizontal="center" vertical="center" wrapText="1"/>
    </xf>
    <xf numFmtId="44" fontId="19" fillId="0" borderId="2" xfId="1" applyFont="1" applyBorder="1" applyAlignment="1">
      <alignment horizontal="center" vertical="center" wrapText="1"/>
    </xf>
    <xf numFmtId="4" fontId="19" fillId="0" borderId="4" xfId="3" applyNumberFormat="1" applyFont="1" applyBorder="1" applyAlignment="1">
      <alignment horizontal="center" vertical="center"/>
    </xf>
    <xf numFmtId="4" fontId="19" fillId="0" borderId="3" xfId="3" applyNumberFormat="1" applyFont="1" applyBorder="1" applyAlignment="1">
      <alignment horizontal="center" vertical="center"/>
    </xf>
    <xf numFmtId="0" fontId="18" fillId="0" borderId="22" xfId="3" applyFont="1" applyBorder="1" applyAlignment="1">
      <alignment vertical="center"/>
    </xf>
    <xf numFmtId="0" fontId="18" fillId="0" borderId="0" xfId="3" applyFont="1" applyBorder="1" applyAlignment="1">
      <alignment vertical="center"/>
    </xf>
    <xf numFmtId="44" fontId="19" fillId="0" borderId="1" xfId="1" applyFont="1" applyBorder="1" applyAlignment="1">
      <alignment horizontal="center" vertical="center"/>
    </xf>
    <xf numFmtId="0" fontId="19" fillId="0" borderId="22" xfId="3" applyFont="1" applyBorder="1" applyAlignment="1">
      <alignment vertical="center"/>
    </xf>
    <xf numFmtId="0" fontId="19" fillId="0" borderId="0" xfId="3" applyFont="1" applyBorder="1" applyAlignment="1">
      <alignment vertical="center"/>
    </xf>
    <xf numFmtId="43" fontId="19" fillId="0" borderId="4" xfId="6" applyFont="1" applyBorder="1" applyAlignment="1">
      <alignment horizontal="center" vertical="center"/>
    </xf>
    <xf numFmtId="43" fontId="19" fillId="0" borderId="3" xfId="6" applyFont="1" applyBorder="1" applyAlignment="1">
      <alignment horizontal="center" vertical="center"/>
    </xf>
    <xf numFmtId="0" fontId="28" fillId="0" borderId="22" xfId="3" applyFont="1" applyBorder="1" applyAlignment="1">
      <alignment vertical="center"/>
    </xf>
    <xf numFmtId="0" fontId="28" fillId="0" borderId="0" xfId="3" applyFont="1" applyBorder="1" applyAlignment="1">
      <alignment vertical="center"/>
    </xf>
    <xf numFmtId="2" fontId="19" fillId="0" borderId="1" xfId="3" applyNumberFormat="1" applyFont="1" applyBorder="1" applyAlignment="1">
      <alignment horizontal="center" vertical="center"/>
    </xf>
    <xf numFmtId="0" fontId="21" fillId="0" borderId="22" xfId="3" applyFont="1" applyBorder="1" applyAlignment="1">
      <alignment horizontal="center" vertical="center" wrapText="1"/>
    </xf>
    <xf numFmtId="0" fontId="21" fillId="0" borderId="0" xfId="3" applyFont="1" applyBorder="1" applyAlignment="1">
      <alignment horizontal="center" vertical="center" wrapText="1"/>
    </xf>
    <xf numFmtId="0" fontId="19" fillId="0" borderId="4" xfId="3" applyNumberFormat="1" applyFont="1" applyBorder="1" applyAlignment="1">
      <alignment horizontal="center" vertical="center"/>
    </xf>
    <xf numFmtId="0" fontId="19" fillId="0" borderId="3" xfId="3" applyNumberFormat="1" applyFont="1" applyBorder="1" applyAlignment="1">
      <alignment horizontal="center" vertical="center"/>
    </xf>
    <xf numFmtId="2" fontId="25" fillId="0" borderId="7" xfId="2" applyNumberFormat="1" applyFont="1" applyBorder="1" applyAlignment="1">
      <alignment horizontal="center" vertical="center"/>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0" fontId="26" fillId="0" borderId="22" xfId="3" applyFont="1" applyBorder="1" applyAlignment="1">
      <alignment vertical="center" wrapText="1"/>
    </xf>
    <xf numFmtId="0" fontId="26" fillId="0" borderId="0" xfId="3" applyFont="1" applyBorder="1" applyAlignment="1">
      <alignment vertical="center" wrapText="1"/>
    </xf>
    <xf numFmtId="44" fontId="19" fillId="15" borderId="1" xfId="1" applyFont="1" applyFill="1" applyBorder="1" applyAlignment="1" applyProtection="1">
      <alignment horizontal="center" vertical="center"/>
      <protection locked="0"/>
    </xf>
    <xf numFmtId="44" fontId="19" fillId="0" borderId="4" xfId="1" applyFont="1" applyBorder="1" applyAlignment="1">
      <alignment horizontal="center" vertical="center"/>
    </xf>
    <xf numFmtId="44" fontId="19" fillId="0" borderId="3" xfId="1" applyFont="1" applyBorder="1" applyAlignment="1">
      <alignment horizontal="center" vertical="center"/>
    </xf>
    <xf numFmtId="44" fontId="19" fillId="15" borderId="4" xfId="1" applyFont="1" applyFill="1" applyBorder="1" applyAlignment="1" applyProtection="1">
      <alignment horizontal="center" vertical="center"/>
      <protection locked="0"/>
    </xf>
    <xf numFmtId="44" fontId="19" fillId="15" borderId="3" xfId="1" applyFont="1" applyFill="1" applyBorder="1" applyAlignment="1" applyProtection="1">
      <alignment horizontal="center" vertical="center"/>
      <protection locked="0"/>
    </xf>
    <xf numFmtId="0" fontId="19" fillId="0" borderId="22" xfId="3" applyFont="1" applyBorder="1" applyAlignment="1">
      <alignment horizontal="left" vertical="top" wrapText="1"/>
    </xf>
    <xf numFmtId="0" fontId="19" fillId="0" borderId="15" xfId="3" applyFont="1" applyBorder="1" applyAlignment="1">
      <alignment horizontal="left" vertical="top" wrapText="1"/>
    </xf>
    <xf numFmtId="0" fontId="23" fillId="0" borderId="0" xfId="3" applyFont="1" applyAlignment="1">
      <alignment horizontal="left" vertical="center" wrapText="1"/>
    </xf>
    <xf numFmtId="0" fontId="24" fillId="0" borderId="0" xfId="3" applyFont="1" applyBorder="1" applyAlignment="1">
      <alignment horizontal="left" vertical="center"/>
    </xf>
    <xf numFmtId="9" fontId="19" fillId="0" borderId="4" xfId="2" applyFont="1" applyBorder="1" applyAlignment="1">
      <alignment horizontal="center" vertical="center"/>
    </xf>
    <xf numFmtId="9" fontId="19" fillId="0" borderId="5" xfId="2" applyFont="1" applyBorder="1" applyAlignment="1">
      <alignment horizontal="center" vertical="center"/>
    </xf>
    <xf numFmtId="9" fontId="19" fillId="0" borderId="3" xfId="2" applyFont="1" applyBorder="1" applyAlignment="1">
      <alignment horizontal="center" vertical="center"/>
    </xf>
    <xf numFmtId="0" fontId="22" fillId="14" borderId="24" xfId="3" applyFont="1" applyFill="1" applyBorder="1" applyAlignment="1">
      <alignment horizontal="center" vertical="center" wrapText="1"/>
    </xf>
    <xf numFmtId="0" fontId="17" fillId="7" borderId="17" xfId="3" applyFont="1" applyFill="1" applyBorder="1" applyAlignment="1">
      <alignment horizontal="center" vertical="center" wrapText="1"/>
    </xf>
    <xf numFmtId="0" fontId="17" fillId="7" borderId="18" xfId="3" applyFont="1" applyFill="1" applyBorder="1" applyAlignment="1">
      <alignment horizontal="center" vertical="center" wrapText="1"/>
    </xf>
    <xf numFmtId="0" fontId="17" fillId="7" borderId="19" xfId="3" applyFont="1" applyFill="1" applyBorder="1" applyAlignment="1">
      <alignment horizontal="center" vertical="center" wrapText="1"/>
    </xf>
    <xf numFmtId="10" fontId="19" fillId="4" borderId="1" xfId="3" applyNumberFormat="1" applyFont="1" applyFill="1" applyBorder="1" applyAlignment="1">
      <alignment horizontal="center" vertical="center"/>
    </xf>
    <xf numFmtId="0" fontId="21" fillId="0" borderId="0" xfId="3" applyFont="1" applyAlignment="1">
      <alignment horizontal="left" vertical="center" indent="1"/>
    </xf>
    <xf numFmtId="0" fontId="33" fillId="4" borderId="1" xfId="3" applyFont="1" applyFill="1" applyBorder="1" applyAlignment="1">
      <alignment horizontal="left" vertical="center"/>
    </xf>
    <xf numFmtId="4" fontId="19" fillId="0" borderId="44" xfId="3" applyNumberFormat="1" applyFont="1" applyBorder="1" applyAlignment="1">
      <alignment horizontal="center" vertical="center"/>
    </xf>
    <xf numFmtId="4" fontId="19" fillId="0" borderId="45" xfId="3" applyNumberFormat="1" applyFont="1" applyBorder="1" applyAlignment="1">
      <alignment horizontal="center" vertical="center"/>
    </xf>
    <xf numFmtId="0" fontId="30" fillId="7" borderId="56" xfId="3" applyFont="1" applyFill="1" applyBorder="1" applyAlignment="1">
      <alignment horizontal="center"/>
    </xf>
    <xf numFmtId="0" fontId="30" fillId="7" borderId="57" xfId="3" applyFont="1" applyFill="1" applyBorder="1" applyAlignment="1">
      <alignment horizontal="center"/>
    </xf>
    <xf numFmtId="0" fontId="30" fillId="7" borderId="58" xfId="3" applyFont="1" applyFill="1" applyBorder="1" applyAlignment="1">
      <alignment horizontal="center"/>
    </xf>
    <xf numFmtId="0" fontId="30" fillId="7" borderId="56" xfId="3" applyFont="1" applyFill="1" applyBorder="1" applyAlignment="1">
      <alignment horizontal="center" vertical="center"/>
    </xf>
    <xf numFmtId="0" fontId="30" fillId="7" borderId="57" xfId="3" applyFont="1" applyFill="1" applyBorder="1" applyAlignment="1">
      <alignment horizontal="center" vertical="center"/>
    </xf>
    <xf numFmtId="0" fontId="30" fillId="7" borderId="58" xfId="3" applyFont="1" applyFill="1" applyBorder="1" applyAlignment="1">
      <alignment horizontal="center" vertical="center"/>
    </xf>
    <xf numFmtId="0" fontId="51" fillId="0" borderId="61" xfId="3" applyFont="1" applyFill="1" applyBorder="1" applyAlignment="1"/>
    <xf numFmtId="0" fontId="51" fillId="0" borderId="0" xfId="3" applyFont="1" applyFill="1" applyBorder="1" applyAlignment="1"/>
    <xf numFmtId="0" fontId="51" fillId="0" borderId="60" xfId="3" applyFont="1" applyFill="1" applyBorder="1" applyAlignment="1"/>
    <xf numFmtId="0" fontId="30" fillId="0" borderId="59" xfId="3" applyFont="1" applyBorder="1" applyAlignment="1">
      <alignment horizontal="center"/>
    </xf>
    <xf numFmtId="0" fontId="30" fillId="0" borderId="7" xfId="3" applyFont="1" applyBorder="1" applyAlignment="1">
      <alignment horizontal="center"/>
    </xf>
    <xf numFmtId="0" fontId="30" fillId="0" borderId="67" xfId="3" applyFont="1" applyBorder="1" applyAlignment="1">
      <alignment horizontal="center"/>
    </xf>
    <xf numFmtId="0" fontId="42" fillId="6" borderId="61" xfId="3" applyFont="1" applyFill="1" applyBorder="1" applyAlignment="1" applyProtection="1">
      <alignment horizontal="center" vertical="center"/>
    </xf>
    <xf numFmtId="0" fontId="42" fillId="6" borderId="0" xfId="3" applyFont="1" applyFill="1" applyBorder="1" applyAlignment="1" applyProtection="1">
      <alignment horizontal="center" vertical="center"/>
    </xf>
    <xf numFmtId="0" fontId="42" fillId="6" borderId="60" xfId="3" applyFont="1" applyFill="1" applyBorder="1" applyAlignment="1" applyProtection="1">
      <alignment horizontal="center" vertical="center"/>
    </xf>
    <xf numFmtId="0" fontId="16" fillId="0" borderId="61" xfId="3" applyFont="1" applyBorder="1" applyAlignment="1">
      <alignment horizontal="center"/>
    </xf>
    <xf numFmtId="0" fontId="16" fillId="0" borderId="15" xfId="3" applyFont="1" applyBorder="1" applyAlignment="1">
      <alignment horizontal="center"/>
    </xf>
    <xf numFmtId="0" fontId="16" fillId="0" borderId="61" xfId="3" applyFont="1" applyBorder="1" applyAlignment="1" applyProtection="1">
      <alignment horizontal="left" vertical="center" wrapText="1"/>
      <protection locked="0"/>
    </xf>
    <xf numFmtId="0" fontId="16" fillId="0" borderId="0" xfId="3" applyFont="1" applyBorder="1" applyAlignment="1" applyProtection="1">
      <alignment horizontal="left" vertical="center" wrapText="1"/>
      <protection locked="0"/>
    </xf>
    <xf numFmtId="0" fontId="38" fillId="7" borderId="71" xfId="3" applyFont="1" applyFill="1" applyBorder="1" applyAlignment="1">
      <alignment horizontal="center" vertical="center"/>
    </xf>
    <xf numFmtId="0" fontId="38" fillId="7" borderId="72" xfId="3" applyFont="1" applyFill="1" applyBorder="1" applyAlignment="1">
      <alignment horizontal="center" vertical="center"/>
    </xf>
    <xf numFmtId="0" fontId="38" fillId="7" borderId="73" xfId="3" applyFont="1" applyFill="1" applyBorder="1" applyAlignment="1">
      <alignment horizontal="center" vertical="center"/>
    </xf>
    <xf numFmtId="0" fontId="16" fillId="0" borderId="0" xfId="3" applyFont="1" applyAlignment="1" applyProtection="1">
      <alignment horizontal="left"/>
      <protection locked="0"/>
    </xf>
    <xf numFmtId="0" fontId="16" fillId="13" borderId="69" xfId="3" applyFont="1" applyFill="1" applyBorder="1" applyAlignment="1" applyProtection="1">
      <alignment horizontal="center" vertical="center"/>
      <protection locked="0"/>
    </xf>
    <xf numFmtId="0" fontId="16" fillId="0" borderId="68" xfId="3" applyFont="1" applyFill="1" applyBorder="1" applyAlignment="1">
      <alignment horizontal="center" vertical="center"/>
    </xf>
    <xf numFmtId="0" fontId="16" fillId="0" borderId="69" xfId="3" applyFont="1" applyFill="1" applyBorder="1" applyAlignment="1">
      <alignment horizontal="center" vertical="center"/>
    </xf>
    <xf numFmtId="10" fontId="16" fillId="6" borderId="0" xfId="3" applyNumberFormat="1" applyFont="1" applyFill="1" applyBorder="1" applyAlignment="1" applyProtection="1">
      <alignment horizontal="center" vertical="center"/>
    </xf>
    <xf numFmtId="0" fontId="16" fillId="6" borderId="0" xfId="3" applyFont="1" applyFill="1" applyBorder="1" applyAlignment="1" applyProtection="1">
      <alignment horizontal="center" vertical="center"/>
    </xf>
    <xf numFmtId="0" fontId="30" fillId="0" borderId="0" xfId="3" applyFont="1" applyAlignment="1">
      <alignment horizontal="center" vertical="center"/>
    </xf>
    <xf numFmtId="0" fontId="43" fillId="0" borderId="0" xfId="3" applyFont="1" applyAlignment="1">
      <alignment horizontal="left" vertical="center" indent="1"/>
    </xf>
    <xf numFmtId="0" fontId="45" fillId="0" borderId="0" xfId="3" applyFont="1" applyAlignment="1">
      <alignment horizontal="left" vertical="center" indent="1"/>
    </xf>
    <xf numFmtId="0" fontId="9" fillId="6" borderId="0" xfId="1" applyNumberFormat="1" applyFont="1" applyFill="1" applyBorder="1" applyAlignment="1">
      <alignment horizontal="center"/>
    </xf>
    <xf numFmtId="0" fontId="30" fillId="6" borderId="0" xfId="3" applyFont="1" applyFill="1" applyBorder="1" applyAlignment="1">
      <alignment horizontal="center"/>
    </xf>
    <xf numFmtId="0" fontId="30" fillId="6" borderId="60" xfId="3" applyFont="1" applyFill="1" applyBorder="1" applyAlignment="1">
      <alignment horizontal="center"/>
    </xf>
    <xf numFmtId="44" fontId="10" fillId="4" borderId="10" xfId="0" applyNumberFormat="1" applyFont="1" applyFill="1" applyBorder="1" applyAlignment="1">
      <alignment horizontal="center" vertical="center"/>
    </xf>
    <xf numFmtId="0" fontId="15" fillId="6" borderId="1" xfId="0" applyFont="1" applyFill="1" applyBorder="1" applyAlignment="1">
      <alignment horizontal="center"/>
    </xf>
    <xf numFmtId="44" fontId="9" fillId="4" borderId="11" xfId="0" applyNumberFormat="1" applyFont="1" applyFill="1" applyBorder="1" applyAlignment="1">
      <alignment horizontal="center" vertical="center"/>
    </xf>
    <xf numFmtId="44" fontId="9" fillId="4" borderId="0" xfId="0" applyNumberFormat="1" applyFont="1" applyFill="1" applyBorder="1" applyAlignment="1">
      <alignment horizontal="center" vertical="center"/>
    </xf>
    <xf numFmtId="0" fontId="37" fillId="0" borderId="52" xfId="3" applyFont="1" applyBorder="1" applyAlignment="1">
      <alignment horizontal="center"/>
    </xf>
    <xf numFmtId="0" fontId="37" fillId="0" borderId="53" xfId="3" applyFont="1" applyBorder="1" applyAlignment="1">
      <alignment horizontal="center"/>
    </xf>
    <xf numFmtId="0" fontId="37" fillId="0" borderId="0" xfId="3" applyFont="1" applyAlignment="1">
      <alignment horizontal="center"/>
    </xf>
    <xf numFmtId="0" fontId="37" fillId="0" borderId="54" xfId="3" applyFont="1" applyBorder="1" applyAlignment="1">
      <alignment horizontal="center"/>
    </xf>
    <xf numFmtId="0" fontId="36" fillId="12" borderId="46" xfId="3" applyFont="1" applyFill="1" applyBorder="1" applyAlignment="1">
      <alignment horizontal="center" vertical="center"/>
    </xf>
    <xf numFmtId="0" fontId="37" fillId="0" borderId="47" xfId="3" applyFont="1" applyBorder="1" applyAlignment="1">
      <alignment horizontal="center" vertical="center" wrapText="1"/>
    </xf>
    <xf numFmtId="0" fontId="37" fillId="6" borderId="1" xfId="3" applyFont="1" applyFill="1" applyBorder="1" applyAlignment="1">
      <alignment horizontal="center" vertical="center"/>
    </xf>
    <xf numFmtId="0" fontId="37" fillId="6" borderId="1" xfId="3" applyNumberFormat="1" applyFont="1" applyFill="1" applyBorder="1" applyAlignment="1">
      <alignment horizontal="center" vertical="center"/>
    </xf>
    <xf numFmtId="0" fontId="37" fillId="0" borderId="0" xfId="3" applyFont="1" applyAlignment="1">
      <alignment horizontal="right" vertical="center"/>
    </xf>
    <xf numFmtId="0" fontId="37" fillId="0" borderId="15" xfId="3" applyFont="1" applyBorder="1" applyAlignment="1">
      <alignment horizontal="right" vertical="center"/>
    </xf>
    <xf numFmtId="0" fontId="37" fillId="0" borderId="0" xfId="3" applyFont="1" applyAlignment="1">
      <alignment horizontal="center" vertical="center"/>
    </xf>
    <xf numFmtId="9" fontId="37" fillId="6" borderId="4" xfId="2" applyFont="1" applyFill="1" applyBorder="1" applyAlignment="1">
      <alignment horizontal="center" vertical="center"/>
    </xf>
    <xf numFmtId="9" fontId="37" fillId="6" borderId="3" xfId="2" applyFont="1" applyFill="1" applyBorder="1" applyAlignment="1">
      <alignment horizontal="center" vertical="center"/>
    </xf>
    <xf numFmtId="0" fontId="29" fillId="0" borderId="0" xfId="3" applyFont="1" applyAlignment="1">
      <alignment horizontal="center"/>
    </xf>
    <xf numFmtId="0" fontId="29" fillId="0" borderId="0" xfId="3" applyFont="1" applyBorder="1" applyAlignment="1">
      <alignment horizontal="center"/>
    </xf>
    <xf numFmtId="0" fontId="32" fillId="9" borderId="76" xfId="3" applyFont="1" applyFill="1" applyBorder="1" applyAlignment="1">
      <alignment horizontal="center" vertical="center" wrapText="1"/>
    </xf>
    <xf numFmtId="0" fontId="32" fillId="9" borderId="77" xfId="3" applyFont="1" applyFill="1" applyBorder="1" applyAlignment="1">
      <alignment horizontal="center" vertical="center" wrapText="1"/>
    </xf>
    <xf numFmtId="168" fontId="32" fillId="9" borderId="76" xfId="3" applyNumberFormat="1" applyFont="1" applyFill="1" applyBorder="1" applyAlignment="1">
      <alignment horizontal="center" vertical="center" wrapText="1"/>
    </xf>
    <xf numFmtId="168" fontId="32" fillId="9" borderId="77" xfId="3" applyNumberFormat="1" applyFont="1" applyFill="1" applyBorder="1" applyAlignment="1">
      <alignment horizontal="center" vertical="center" wrapText="1"/>
    </xf>
    <xf numFmtId="168" fontId="32" fillId="9" borderId="34" xfId="3" applyNumberFormat="1" applyFont="1" applyFill="1" applyBorder="1" applyAlignment="1">
      <alignment horizontal="center" vertical="center" wrapText="1"/>
    </xf>
    <xf numFmtId="168" fontId="32" fillId="9" borderId="78" xfId="3" applyNumberFormat="1" applyFont="1" applyFill="1" applyBorder="1" applyAlignment="1">
      <alignment horizontal="center" vertical="center" wrapText="1"/>
    </xf>
    <xf numFmtId="44" fontId="10" fillId="4" borderId="0" xfId="0" applyNumberFormat="1" applyFont="1" applyFill="1" applyBorder="1" applyAlignment="1">
      <alignment horizontal="center" vertical="center"/>
    </xf>
    <xf numFmtId="44" fontId="9" fillId="6" borderId="4" xfId="1" applyFont="1" applyFill="1" applyBorder="1" applyAlignment="1">
      <alignment horizontal="center"/>
    </xf>
    <xf numFmtId="44" fontId="9" fillId="6" borderId="3" xfId="1" applyFont="1" applyFill="1" applyBorder="1" applyAlignment="1">
      <alignment horizontal="center"/>
    </xf>
    <xf numFmtId="0" fontId="10" fillId="0" borderId="1" xfId="0" applyFont="1" applyFill="1" applyBorder="1" applyAlignment="1">
      <alignment horizontal="center"/>
    </xf>
    <xf numFmtId="0" fontId="9" fillId="0" borderId="1" xfId="0" applyFont="1" applyFill="1" applyBorder="1" applyAlignment="1">
      <alignment horizontal="left"/>
    </xf>
    <xf numFmtId="0" fontId="9" fillId="0" borderId="2" xfId="0" applyFont="1" applyFill="1" applyBorder="1" applyAlignment="1">
      <alignment horizontal="center" vertical="center"/>
    </xf>
    <xf numFmtId="0" fontId="8" fillId="0" borderId="4" xfId="0" applyFont="1" applyBorder="1" applyAlignment="1">
      <alignment horizontal="center" vertical="center" wrapText="1"/>
    </xf>
    <xf numFmtId="44" fontId="9" fillId="4" borderId="5" xfId="1" applyFont="1" applyFill="1" applyBorder="1" applyAlignment="1">
      <alignment horizontal="center"/>
    </xf>
    <xf numFmtId="0" fontId="9" fillId="0" borderId="11" xfId="0" applyFont="1" applyBorder="1" applyAlignment="1">
      <alignment horizontal="center"/>
    </xf>
    <xf numFmtId="0" fontId="9" fillId="0" borderId="0" xfId="0" applyFont="1" applyBorder="1" applyAlignment="1">
      <alignment horizontal="center"/>
    </xf>
    <xf numFmtId="44" fontId="9" fillId="6" borderId="1" xfId="1" applyFont="1" applyFill="1" applyBorder="1" applyAlignment="1">
      <alignment horizontal="center" vertical="center"/>
    </xf>
    <xf numFmtId="0" fontId="9" fillId="0" borderId="4" xfId="0" applyNumberFormat="1" applyFont="1" applyBorder="1" applyAlignment="1" applyProtection="1">
      <alignment horizontal="center"/>
      <protection locked="0"/>
    </xf>
    <xf numFmtId="0" fontId="9" fillId="0" borderId="5" xfId="0" applyNumberFormat="1" applyFont="1" applyBorder="1" applyAlignment="1" applyProtection="1">
      <alignment horizontal="center"/>
      <protection locked="0"/>
    </xf>
    <xf numFmtId="0" fontId="10" fillId="0" borderId="4" xfId="0" applyFont="1" applyBorder="1" applyAlignment="1">
      <alignment vertical="center"/>
    </xf>
    <xf numFmtId="17" fontId="30" fillId="6" borderId="1" xfId="3" applyNumberFormat="1" applyFont="1" applyFill="1" applyBorder="1" applyAlignment="1">
      <alignment horizontal="center" vertical="center"/>
    </xf>
  </cellXfs>
  <cellStyles count="7">
    <cellStyle name="Milliers" xfId="6" builtinId="3"/>
    <cellStyle name="Monétaire" xfId="1" builtinId="4"/>
    <cellStyle name="Monétaire 2" xfId="4"/>
    <cellStyle name="Normal" xfId="0" builtinId="0"/>
    <cellStyle name="Normal 2" xfId="3"/>
    <cellStyle name="Pourcentage" xfId="2" builtinId="5"/>
    <cellStyle name="Pourcentage 2" xf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A9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1</xdr:col>
      <xdr:colOff>247685</xdr:colOff>
      <xdr:row>4</xdr:row>
      <xdr:rowOff>180975</xdr:rowOff>
    </xdr:to>
    <xdr:pic>
      <xdr:nvPicPr>
        <xdr:cNvPr id="2" name="Image 1"/>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1</xdr:col>
      <xdr:colOff>238160</xdr:colOff>
      <xdr:row>4</xdr:row>
      <xdr:rowOff>180975</xdr:rowOff>
    </xdr:to>
    <xdr:pic>
      <xdr:nvPicPr>
        <xdr:cNvPr id="2" name="Image 1"/>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2095500</xdr:colOff>
      <xdr:row>4</xdr:row>
      <xdr:rowOff>228600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09550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190500" y="190500"/>
          <a:ext cx="2257460" cy="97155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S128"/>
  <sheetViews>
    <sheetView topLeftCell="B1" workbookViewId="0">
      <selection activeCell="P10" sqref="P10"/>
    </sheetView>
  </sheetViews>
  <sheetFormatPr baseColWidth="10" defaultRowHeight="12.75" x14ac:dyDescent="0.2"/>
  <cols>
    <col min="1" max="9" width="11.42578125" style="1"/>
    <col min="10" max="10" width="2.7109375" style="4" bestFit="1" customWidth="1"/>
    <col min="11" max="11" width="5.28515625" style="4" bestFit="1" customWidth="1"/>
    <col min="12" max="12" width="11.42578125" style="4"/>
    <col min="13" max="13" width="22.7109375" style="4" customWidth="1"/>
    <col min="14" max="18" width="11.42578125" style="1"/>
    <col min="19" max="19" width="18.5703125" style="1" bestFit="1" customWidth="1"/>
    <col min="20" max="16384" width="11.42578125" style="1"/>
  </cols>
  <sheetData>
    <row r="1" spans="1:19" x14ac:dyDescent="0.2">
      <c r="A1" s="2">
        <v>0</v>
      </c>
      <c r="C1" s="1" t="s">
        <v>181</v>
      </c>
      <c r="D1" s="1" t="s">
        <v>400</v>
      </c>
      <c r="E1" s="1">
        <v>1</v>
      </c>
      <c r="F1" s="1" t="s">
        <v>37</v>
      </c>
      <c r="G1" s="1">
        <v>2017</v>
      </c>
      <c r="H1" s="1" t="s">
        <v>239</v>
      </c>
      <c r="I1" s="1" t="s">
        <v>233</v>
      </c>
      <c r="J1" s="3"/>
      <c r="L1" s="5"/>
      <c r="M1" s="5"/>
      <c r="O1" s="1">
        <v>20</v>
      </c>
      <c r="P1" s="1" t="s">
        <v>216</v>
      </c>
      <c r="Q1" s="1" t="s">
        <v>257</v>
      </c>
      <c r="S1" s="1" t="s">
        <v>267</v>
      </c>
    </row>
    <row r="2" spans="1:19" ht="21" x14ac:dyDescent="0.2">
      <c r="A2" s="2">
        <v>5.5E-2</v>
      </c>
      <c r="C2" s="1" t="s">
        <v>70</v>
      </c>
      <c r="D2" s="1" t="s">
        <v>50</v>
      </c>
      <c r="E2" s="1">
        <v>2</v>
      </c>
      <c r="F2" s="1" t="s">
        <v>38</v>
      </c>
      <c r="G2" s="1">
        <v>2018</v>
      </c>
      <c r="H2" s="1" t="s">
        <v>240</v>
      </c>
      <c r="I2" s="1" t="s">
        <v>232</v>
      </c>
      <c r="J2" s="3" t="s">
        <v>214</v>
      </c>
      <c r="K2" s="3" t="s">
        <v>86</v>
      </c>
      <c r="L2" s="6" t="s">
        <v>87</v>
      </c>
      <c r="M2" s="5" t="str">
        <f>J2&amp;" "&amp;K2&amp;" "&amp;L2</f>
        <v>au Lycée "ÉDOUARD BRANLY"</v>
      </c>
      <c r="O2" s="1">
        <v>25</v>
      </c>
      <c r="P2" s="1" t="s">
        <v>217</v>
      </c>
      <c r="Q2" s="1" t="s">
        <v>258</v>
      </c>
      <c r="S2" s="1" t="s">
        <v>268</v>
      </c>
    </row>
    <row r="3" spans="1:19" x14ac:dyDescent="0.2">
      <c r="A3" s="2">
        <v>7.0000000000000007E-2</v>
      </c>
      <c r="D3" s="1" t="s">
        <v>51</v>
      </c>
      <c r="E3" s="1">
        <v>3</v>
      </c>
      <c r="F3" s="1" t="s">
        <v>39</v>
      </c>
      <c r="G3" s="1">
        <v>2019</v>
      </c>
      <c r="J3" s="3" t="s">
        <v>214</v>
      </c>
      <c r="K3" s="3" t="s">
        <v>86</v>
      </c>
      <c r="L3" s="5" t="s">
        <v>88</v>
      </c>
      <c r="M3" s="5" t="str">
        <f t="shared" ref="M3:M66" si="0">J3&amp;" "&amp;K3&amp;" "&amp;L3</f>
        <v>au Lycée "LE VERGER"</v>
      </c>
      <c r="O3" s="1">
        <v>30</v>
      </c>
      <c r="P3" s="1" t="s">
        <v>356</v>
      </c>
      <c r="Q3" s="1" t="s">
        <v>259</v>
      </c>
      <c r="S3" s="1" t="s">
        <v>269</v>
      </c>
    </row>
    <row r="4" spans="1:19" ht="21" x14ac:dyDescent="0.2">
      <c r="A4" s="2">
        <v>0.1</v>
      </c>
      <c r="C4" s="1" t="s">
        <v>182</v>
      </c>
      <c r="D4" s="1" t="s">
        <v>58</v>
      </c>
      <c r="E4" s="1">
        <v>4</v>
      </c>
      <c r="F4" s="1" t="s">
        <v>40</v>
      </c>
      <c r="G4" s="1">
        <v>2020</v>
      </c>
      <c r="J4" s="3" t="s">
        <v>214</v>
      </c>
      <c r="K4" s="3" t="s">
        <v>86</v>
      </c>
      <c r="L4" s="6" t="s">
        <v>89</v>
      </c>
      <c r="M4" s="5" t="str">
        <f t="shared" si="0"/>
        <v>au Lycée "MARCELIN BERTHELOT"</v>
      </c>
      <c r="O4" s="1">
        <v>35</v>
      </c>
      <c r="P4" s="1" t="s">
        <v>357</v>
      </c>
      <c r="Q4" s="1" t="s">
        <v>260</v>
      </c>
      <c r="S4" s="1" t="s">
        <v>270</v>
      </c>
    </row>
    <row r="5" spans="1:19" ht="21" x14ac:dyDescent="0.2">
      <c r="A5" s="2">
        <v>0.19600000000000001</v>
      </c>
      <c r="C5" s="1" t="s">
        <v>183</v>
      </c>
      <c r="D5" s="1" t="s">
        <v>59</v>
      </c>
      <c r="E5" s="1">
        <v>5</v>
      </c>
      <c r="F5" s="1" t="s">
        <v>41</v>
      </c>
      <c r="G5" s="1">
        <v>2021</v>
      </c>
      <c r="J5" s="3" t="s">
        <v>214</v>
      </c>
      <c r="K5" s="3" t="s">
        <v>86</v>
      </c>
      <c r="L5" s="6" t="s">
        <v>90</v>
      </c>
      <c r="M5" s="5" t="str">
        <f t="shared" si="0"/>
        <v>au Lycée "ANDRÉ THEURIET"</v>
      </c>
      <c r="P5" s="1" t="s">
        <v>218</v>
      </c>
      <c r="Q5" s="1" t="s">
        <v>261</v>
      </c>
      <c r="S5" s="1" t="s">
        <v>271</v>
      </c>
    </row>
    <row r="6" spans="1:19" ht="21" x14ac:dyDescent="0.2">
      <c r="A6" s="2">
        <v>0.2</v>
      </c>
      <c r="E6" s="1">
        <v>6</v>
      </c>
      <c r="F6" s="1" t="s">
        <v>42</v>
      </c>
      <c r="G6" s="1">
        <v>2022</v>
      </c>
      <c r="J6" s="3" t="s">
        <v>214</v>
      </c>
      <c r="K6" s="3" t="s">
        <v>86</v>
      </c>
      <c r="L6" s="6" t="s">
        <v>91</v>
      </c>
      <c r="M6" s="5" t="str">
        <f t="shared" si="0"/>
        <v>au Lycée "LES TERRES ROUGES"</v>
      </c>
      <c r="P6" s="1" t="s">
        <v>219</v>
      </c>
    </row>
    <row r="7" spans="1:19" ht="42" x14ac:dyDescent="0.2">
      <c r="E7" s="1">
        <v>7</v>
      </c>
      <c r="F7" s="1" t="s">
        <v>43</v>
      </c>
      <c r="G7" s="1">
        <v>2023</v>
      </c>
      <c r="J7" s="3" t="s">
        <v>214</v>
      </c>
      <c r="K7" s="3" t="s">
        <v>86</v>
      </c>
      <c r="L7" s="6" t="s">
        <v>92</v>
      </c>
      <c r="M7" s="5" t="str">
        <f t="shared" si="0"/>
        <v>au Lycée "PILOTE INNOVANT INTERNATIONAL"</v>
      </c>
      <c r="P7" s="1" t="s">
        <v>358</v>
      </c>
    </row>
    <row r="8" spans="1:19" ht="21" x14ac:dyDescent="0.2">
      <c r="A8" s="1" t="s">
        <v>400</v>
      </c>
      <c r="E8" s="1">
        <v>8</v>
      </c>
      <c r="F8" s="1" t="s">
        <v>44</v>
      </c>
      <c r="G8" s="1">
        <v>2024</v>
      </c>
      <c r="J8" s="3" t="s">
        <v>214</v>
      </c>
      <c r="K8" s="3" t="s">
        <v>86</v>
      </c>
      <c r="L8" s="6" t="s">
        <v>93</v>
      </c>
      <c r="M8" s="5" t="str">
        <f t="shared" si="0"/>
        <v>au Lycée "GUY CHAUVET"</v>
      </c>
    </row>
    <row r="9" spans="1:19" ht="21" x14ac:dyDescent="0.2">
      <c r="A9" s="1" t="s">
        <v>407</v>
      </c>
      <c r="E9" s="1">
        <v>9</v>
      </c>
      <c r="F9" s="1" t="s">
        <v>45</v>
      </c>
      <c r="J9" s="3" t="s">
        <v>214</v>
      </c>
      <c r="K9" s="3" t="s">
        <v>86</v>
      </c>
      <c r="L9" s="6" t="s">
        <v>94</v>
      </c>
      <c r="M9" s="5" t="str">
        <f t="shared" si="0"/>
        <v>au Lycée "MARC GODRIE"</v>
      </c>
      <c r="P9" s="1" t="s">
        <v>223</v>
      </c>
    </row>
    <row r="10" spans="1:19" ht="21" x14ac:dyDescent="0.2">
      <c r="A10" s="1" t="s">
        <v>408</v>
      </c>
      <c r="E10" s="1">
        <v>10</v>
      </c>
      <c r="F10" s="1" t="s">
        <v>46</v>
      </c>
      <c r="J10" s="3" t="s">
        <v>215</v>
      </c>
      <c r="K10" s="3" t="s">
        <v>95</v>
      </c>
      <c r="L10" s="6" t="s">
        <v>96</v>
      </c>
      <c r="M10" s="5" t="str">
        <f t="shared" si="0"/>
        <v>à l' EREA "ANNE FRANK"</v>
      </c>
      <c r="P10" s="1" t="s">
        <v>222</v>
      </c>
    </row>
    <row r="11" spans="1:19" ht="21" x14ac:dyDescent="0.2">
      <c r="E11" s="1">
        <v>11</v>
      </c>
      <c r="F11" s="1" t="s">
        <v>47</v>
      </c>
      <c r="J11" s="3" t="s">
        <v>214</v>
      </c>
      <c r="K11" s="3" t="s">
        <v>86</v>
      </c>
      <c r="L11" s="6" t="s">
        <v>97</v>
      </c>
      <c r="M11" s="5" t="str">
        <f t="shared" si="0"/>
        <v>au Lycée "JEAN-MARIE BOULOUX"</v>
      </c>
    </row>
    <row r="12" spans="1:19" ht="21" x14ac:dyDescent="0.2">
      <c r="E12" s="1">
        <v>12</v>
      </c>
      <c r="F12" s="1" t="s">
        <v>48</v>
      </c>
      <c r="J12" s="3" t="s">
        <v>214</v>
      </c>
      <c r="K12" s="3" t="s">
        <v>86</v>
      </c>
      <c r="L12" s="6" t="s">
        <v>98</v>
      </c>
      <c r="M12" s="5" t="str">
        <f t="shared" si="0"/>
        <v>au Lycée "JEAN MOULIN"</v>
      </c>
    </row>
    <row r="13" spans="1:19" ht="21" x14ac:dyDescent="0.2">
      <c r="E13" s="1">
        <v>13</v>
      </c>
      <c r="J13" s="3" t="s">
        <v>214</v>
      </c>
      <c r="K13" s="3" t="s">
        <v>86</v>
      </c>
      <c r="L13" s="6" t="s">
        <v>99</v>
      </c>
      <c r="M13" s="5" t="str">
        <f t="shared" si="0"/>
        <v>au Lycée "RAOUL MORTIER"</v>
      </c>
    </row>
    <row r="14" spans="1:19" ht="21" x14ac:dyDescent="0.2">
      <c r="A14" s="1" t="s">
        <v>66</v>
      </c>
      <c r="E14" s="1">
        <v>14</v>
      </c>
      <c r="J14" s="3" t="s">
        <v>214</v>
      </c>
      <c r="K14" s="3" t="s">
        <v>86</v>
      </c>
      <c r="L14" s="6" t="s">
        <v>100</v>
      </c>
      <c r="M14" s="5" t="str">
        <f t="shared" si="0"/>
        <v>au Lycée "ALIÉNOR D'AQUITAINE"</v>
      </c>
    </row>
    <row r="15" spans="1:19" ht="21" x14ac:dyDescent="0.2">
      <c r="A15" s="1" t="s">
        <v>68</v>
      </c>
      <c r="E15" s="1">
        <v>15</v>
      </c>
      <c r="J15" s="3" t="s">
        <v>214</v>
      </c>
      <c r="K15" s="3" t="s">
        <v>86</v>
      </c>
      <c r="L15" s="5" t="s">
        <v>101</v>
      </c>
      <c r="M15" s="5" t="str">
        <f t="shared" si="0"/>
        <v>au Lycée "AUGUSTE PERRET"</v>
      </c>
    </row>
    <row r="16" spans="1:19" ht="21" x14ac:dyDescent="0.2">
      <c r="A16" s="1" t="s">
        <v>67</v>
      </c>
      <c r="E16" s="1">
        <v>16</v>
      </c>
      <c r="J16" s="3" t="s">
        <v>214</v>
      </c>
      <c r="K16" s="3" t="s">
        <v>86</v>
      </c>
      <c r="L16" s="6" t="s">
        <v>102</v>
      </c>
      <c r="M16" s="5" t="str">
        <f t="shared" si="0"/>
        <v>au Lycée "CAMILLE GUÉRIN"</v>
      </c>
    </row>
    <row r="17" spans="1:13" x14ac:dyDescent="0.2">
      <c r="E17" s="1">
        <v>17</v>
      </c>
      <c r="J17" s="3" t="s">
        <v>214</v>
      </c>
      <c r="K17" s="3" t="s">
        <v>86</v>
      </c>
      <c r="L17" s="5" t="s">
        <v>103</v>
      </c>
      <c r="M17" s="5" t="str">
        <f t="shared" si="0"/>
        <v>au Lycée "KYOTO"</v>
      </c>
    </row>
    <row r="18" spans="1:13" ht="21" x14ac:dyDescent="0.2">
      <c r="E18" s="1">
        <v>18</v>
      </c>
      <c r="J18" s="3" t="s">
        <v>214</v>
      </c>
      <c r="K18" s="3" t="s">
        <v>86</v>
      </c>
      <c r="L18" s="6" t="s">
        <v>104</v>
      </c>
      <c r="M18" s="5" t="str">
        <f t="shared" si="0"/>
        <v>au Lycée "LE BOIS D'AMOUR"</v>
      </c>
    </row>
    <row r="19" spans="1:13" x14ac:dyDescent="0.2">
      <c r="E19" s="1">
        <v>19</v>
      </c>
      <c r="J19" s="3" t="s">
        <v>214</v>
      </c>
      <c r="K19" s="3" t="s">
        <v>86</v>
      </c>
      <c r="L19" s="6" t="s">
        <v>105</v>
      </c>
      <c r="M19" s="5" t="str">
        <f t="shared" si="0"/>
        <v>au Lycée "LE DOLMEN"</v>
      </c>
    </row>
    <row r="20" spans="1:13" ht="21" x14ac:dyDescent="0.2">
      <c r="A20" s="1" t="s">
        <v>409</v>
      </c>
      <c r="E20" s="1">
        <v>20</v>
      </c>
      <c r="J20" s="3" t="s">
        <v>214</v>
      </c>
      <c r="K20" s="3" t="s">
        <v>86</v>
      </c>
      <c r="L20" s="6" t="s">
        <v>106</v>
      </c>
      <c r="M20" s="5" t="str">
        <f t="shared" si="0"/>
        <v>au Lycée "NELSON MANDELA"</v>
      </c>
    </row>
    <row r="21" spans="1:13" x14ac:dyDescent="0.2">
      <c r="E21" s="1">
        <v>21</v>
      </c>
      <c r="J21" s="3" t="s">
        <v>214</v>
      </c>
      <c r="K21" s="3" t="s">
        <v>86</v>
      </c>
      <c r="L21" s="6" t="s">
        <v>107</v>
      </c>
      <c r="M21" s="5" t="str">
        <f t="shared" si="0"/>
        <v>au Lycée "RÉAUMUR"</v>
      </c>
    </row>
    <row r="22" spans="1:13" ht="21" x14ac:dyDescent="0.2">
      <c r="E22" s="1">
        <v>22</v>
      </c>
      <c r="J22" s="3" t="s">
        <v>214</v>
      </c>
      <c r="K22" s="3" t="s">
        <v>86</v>
      </c>
      <c r="L22" s="6" t="s">
        <v>108</v>
      </c>
      <c r="M22" s="5" t="str">
        <f t="shared" si="0"/>
        <v>au Lycée "VICTOR HUGO"</v>
      </c>
    </row>
    <row r="23" spans="1:13" ht="21" x14ac:dyDescent="0.2">
      <c r="A23" s="1" t="s">
        <v>400</v>
      </c>
      <c r="E23" s="1">
        <v>23</v>
      </c>
      <c r="J23" s="3" t="s">
        <v>214</v>
      </c>
      <c r="K23" s="3" t="s">
        <v>86</v>
      </c>
      <c r="L23" s="5" t="s">
        <v>109</v>
      </c>
      <c r="M23" s="5" t="str">
        <f t="shared" si="0"/>
        <v>au Lycée "XAVIER BERNARD"</v>
      </c>
    </row>
    <row r="24" spans="1:13" ht="21" x14ac:dyDescent="0.2">
      <c r="A24" s="1" t="s">
        <v>411</v>
      </c>
      <c r="E24" s="1">
        <v>24</v>
      </c>
      <c r="J24" s="3" t="s">
        <v>214</v>
      </c>
      <c r="K24" s="3" t="s">
        <v>86</v>
      </c>
      <c r="L24" s="6" t="s">
        <v>110</v>
      </c>
      <c r="M24" s="5" t="str">
        <f t="shared" si="0"/>
        <v>au Lycée "DANIÈLE MATHIRON"</v>
      </c>
    </row>
    <row r="25" spans="1:13" ht="21" x14ac:dyDescent="0.2">
      <c r="A25" s="1" t="s">
        <v>412</v>
      </c>
      <c r="E25" s="1">
        <v>25</v>
      </c>
      <c r="J25" s="3" t="s">
        <v>214</v>
      </c>
      <c r="K25" s="3" t="s">
        <v>111</v>
      </c>
      <c r="L25" s="6" t="s">
        <v>112</v>
      </c>
      <c r="M25" s="5" t="str">
        <f t="shared" si="0"/>
        <v>au lycée "LÉONARD DE VINCI"</v>
      </c>
    </row>
    <row r="26" spans="1:13" ht="21" x14ac:dyDescent="0.2">
      <c r="E26" s="1">
        <v>26</v>
      </c>
      <c r="J26" s="3" t="s">
        <v>214</v>
      </c>
      <c r="K26" s="3" t="s">
        <v>111</v>
      </c>
      <c r="L26" s="6" t="s">
        <v>113</v>
      </c>
      <c r="M26" s="5" t="str">
        <f t="shared" si="0"/>
        <v>au lycée "LES SICAUDIÈRES"</v>
      </c>
    </row>
    <row r="27" spans="1:13" ht="42" x14ac:dyDescent="0.2">
      <c r="A27" s="1" t="s">
        <v>413</v>
      </c>
      <c r="E27" s="1">
        <v>27</v>
      </c>
      <c r="J27" s="3" t="s">
        <v>214</v>
      </c>
      <c r="K27" s="3" t="s">
        <v>111</v>
      </c>
      <c r="L27" s="6" t="s">
        <v>114</v>
      </c>
      <c r="M27" s="5" t="str">
        <f t="shared" si="0"/>
        <v>au lycée "MAURICE GENEVOIX"/"SIMONE SIGNORET"</v>
      </c>
    </row>
    <row r="28" spans="1:13" ht="31.5" x14ac:dyDescent="0.2">
      <c r="E28" s="1">
        <v>28</v>
      </c>
      <c r="J28" s="3" t="s">
        <v>214</v>
      </c>
      <c r="K28" s="3" t="s">
        <v>111</v>
      </c>
      <c r="L28" s="6" t="s">
        <v>115</v>
      </c>
      <c r="M28" s="5" t="str">
        <f t="shared" si="0"/>
        <v>au lycée "JEAN-FRANCOIS CAIL"</v>
      </c>
    </row>
    <row r="29" spans="1:13" ht="21" x14ac:dyDescent="0.2">
      <c r="A29" s="1" t="s">
        <v>400</v>
      </c>
      <c r="E29" s="1">
        <v>29</v>
      </c>
      <c r="J29" s="3" t="s">
        <v>214</v>
      </c>
      <c r="K29" s="3" t="s">
        <v>111</v>
      </c>
      <c r="L29" s="6" t="s">
        <v>116</v>
      </c>
      <c r="M29" s="5" t="str">
        <f t="shared" si="0"/>
        <v>au lycée "JACQUES BUJAULT"</v>
      </c>
    </row>
    <row r="30" spans="1:13" ht="31.5" x14ac:dyDescent="0.2">
      <c r="A30" s="1" t="s">
        <v>416</v>
      </c>
      <c r="E30" s="1">
        <v>30</v>
      </c>
      <c r="J30" s="3" t="s">
        <v>214</v>
      </c>
      <c r="K30" s="3" t="s">
        <v>111</v>
      </c>
      <c r="L30" s="6" t="s">
        <v>117</v>
      </c>
      <c r="M30" s="5" t="str">
        <f t="shared" si="0"/>
        <v>au lycée "JOSEPH DESFONTAINES"</v>
      </c>
    </row>
    <row r="31" spans="1:13" ht="21" x14ac:dyDescent="0.2">
      <c r="A31" s="1" t="s">
        <v>417</v>
      </c>
      <c r="E31" s="8" t="s">
        <v>173</v>
      </c>
      <c r="J31" s="3" t="s">
        <v>214</v>
      </c>
      <c r="K31" s="3" t="s">
        <v>111</v>
      </c>
      <c r="L31" s="5" t="s">
        <v>118</v>
      </c>
      <c r="M31" s="5" t="str">
        <f t="shared" si="0"/>
        <v>au lycée "GASTON BARRÉ"</v>
      </c>
    </row>
    <row r="32" spans="1:13" ht="21" x14ac:dyDescent="0.2">
      <c r="E32" s="1" t="s">
        <v>403</v>
      </c>
      <c r="J32" s="3" t="s">
        <v>214</v>
      </c>
      <c r="K32" s="3" t="s">
        <v>111</v>
      </c>
      <c r="L32" s="5" t="s">
        <v>119</v>
      </c>
      <c r="M32" s="5" t="str">
        <f t="shared" si="0"/>
        <v>au lycée "GASTON CHAISSAC"</v>
      </c>
    </row>
    <row r="33" spans="1:13" x14ac:dyDescent="0.2">
      <c r="A33" s="1" t="s">
        <v>418</v>
      </c>
      <c r="J33" s="3" t="s">
        <v>214</v>
      </c>
      <c r="K33" s="3" t="s">
        <v>111</v>
      </c>
      <c r="L33" s="6" t="s">
        <v>120</v>
      </c>
      <c r="M33" s="5" t="str">
        <f t="shared" si="0"/>
        <v>au lycée "JEAN MACÉ"</v>
      </c>
    </row>
    <row r="34" spans="1:13" ht="21" x14ac:dyDescent="0.2">
      <c r="J34" s="3" t="s">
        <v>214</v>
      </c>
      <c r="K34" s="3" t="s">
        <v>111</v>
      </c>
      <c r="L34" s="6" t="s">
        <v>121</v>
      </c>
      <c r="M34" s="5" t="str">
        <f t="shared" si="0"/>
        <v>au lycée "LA VENISE VERTE"</v>
      </c>
    </row>
    <row r="35" spans="1:13" ht="21" x14ac:dyDescent="0.2">
      <c r="A35" s="1" t="s">
        <v>400</v>
      </c>
      <c r="E35" s="1" t="s">
        <v>440</v>
      </c>
      <c r="J35" s="3" t="s">
        <v>214</v>
      </c>
      <c r="K35" s="3" t="s">
        <v>111</v>
      </c>
      <c r="L35" s="6" t="s">
        <v>122</v>
      </c>
      <c r="M35" s="5" t="str">
        <f t="shared" si="0"/>
        <v>au lycée "PAUL GUERIN"</v>
      </c>
    </row>
    <row r="36" spans="1:13" ht="21" x14ac:dyDescent="0.2">
      <c r="A36" s="1" t="s">
        <v>421</v>
      </c>
      <c r="E36" s="1" t="s">
        <v>434</v>
      </c>
      <c r="J36" s="3" t="s">
        <v>214</v>
      </c>
      <c r="K36" s="3" t="s">
        <v>111</v>
      </c>
      <c r="L36" s="6" t="s">
        <v>123</v>
      </c>
      <c r="M36" s="5" t="str">
        <f t="shared" si="0"/>
        <v>au lycée "THOMAS-JEAN MAIN"</v>
      </c>
    </row>
    <row r="37" spans="1:13" ht="21" x14ac:dyDescent="0.2">
      <c r="A37" s="1" t="s">
        <v>422</v>
      </c>
      <c r="E37" s="1" t="s">
        <v>436</v>
      </c>
      <c r="J37" s="3" t="s">
        <v>214</v>
      </c>
      <c r="K37" s="3" t="s">
        <v>111</v>
      </c>
      <c r="L37" s="6" t="s">
        <v>124</v>
      </c>
      <c r="M37" s="5" t="str">
        <f t="shared" si="0"/>
        <v>au lycée "ERNEST PÉROCHON"</v>
      </c>
    </row>
    <row r="38" spans="1:13" ht="21" x14ac:dyDescent="0.2">
      <c r="E38" s="1" t="s">
        <v>438</v>
      </c>
      <c r="J38" s="3" t="s">
        <v>214</v>
      </c>
      <c r="K38" s="3" t="s">
        <v>111</v>
      </c>
      <c r="L38" s="6" t="s">
        <v>125</v>
      </c>
      <c r="M38" s="5" t="str">
        <f t="shared" si="0"/>
        <v>au lycée "LES GRIPPEAUX"</v>
      </c>
    </row>
    <row r="39" spans="1:13" ht="21" x14ac:dyDescent="0.2">
      <c r="A39" s="1" t="s">
        <v>423</v>
      </c>
      <c r="J39" s="3" t="s">
        <v>215</v>
      </c>
      <c r="K39" s="3" t="s">
        <v>95</v>
      </c>
      <c r="L39" s="5" t="s">
        <v>126</v>
      </c>
      <c r="M39" s="5" t="str">
        <f t="shared" si="0"/>
        <v>à l' EREA "FRANCOISE DOLTO"</v>
      </c>
    </row>
    <row r="40" spans="1:13" ht="21" x14ac:dyDescent="0.2">
      <c r="J40" s="3" t="s">
        <v>214</v>
      </c>
      <c r="K40" s="3" t="s">
        <v>111</v>
      </c>
      <c r="L40" s="6" t="s">
        <v>127</v>
      </c>
      <c r="M40" s="5" t="str">
        <f t="shared" si="0"/>
        <v>au lycée "HAUT VAL DE SÈVRE"</v>
      </c>
    </row>
    <row r="41" spans="1:13" ht="21" x14ac:dyDescent="0.2">
      <c r="A41" s="1" t="s">
        <v>400</v>
      </c>
      <c r="J41" s="3" t="s">
        <v>214</v>
      </c>
      <c r="K41" s="3" t="s">
        <v>111</v>
      </c>
      <c r="L41" s="6" t="s">
        <v>128</v>
      </c>
      <c r="M41" s="5" t="str">
        <f t="shared" si="0"/>
        <v>au lycée "J.MOULIN"(79)</v>
      </c>
    </row>
    <row r="42" spans="1:13" ht="21" x14ac:dyDescent="0.2">
      <c r="A42" s="1" t="s">
        <v>404</v>
      </c>
      <c r="J42" s="3" t="s">
        <v>214</v>
      </c>
      <c r="K42" s="3" t="s">
        <v>86</v>
      </c>
      <c r="L42" s="6" t="s">
        <v>129</v>
      </c>
      <c r="M42" s="5" t="str">
        <f t="shared" si="0"/>
        <v>au Lycée "DE LA MER ET DU LITTORAL"</v>
      </c>
    </row>
    <row r="43" spans="1:13" ht="21" x14ac:dyDescent="0.2">
      <c r="A43" s="1" t="s">
        <v>60</v>
      </c>
      <c r="J43" s="3" t="s">
        <v>214</v>
      </c>
      <c r="K43" s="3" t="s">
        <v>86</v>
      </c>
      <c r="L43" s="6" t="s">
        <v>130</v>
      </c>
      <c r="M43" s="5" t="str">
        <f t="shared" si="0"/>
        <v>au Lycée "JEAN HYPPOLITE"</v>
      </c>
    </row>
    <row r="44" spans="1:13" ht="21" x14ac:dyDescent="0.2">
      <c r="J44" s="3" t="s">
        <v>214</v>
      </c>
      <c r="K44" s="3" t="s">
        <v>86</v>
      </c>
      <c r="L44" s="6" t="s">
        <v>131</v>
      </c>
      <c r="M44" s="5" t="str">
        <f t="shared" si="0"/>
        <v>au Lycée "LE RENAUDIN"</v>
      </c>
    </row>
    <row r="45" spans="1:13" ht="21" x14ac:dyDescent="0.2">
      <c r="J45" s="3" t="s">
        <v>214</v>
      </c>
      <c r="K45" s="3" t="s">
        <v>86</v>
      </c>
      <c r="L45" s="6" t="s">
        <v>132</v>
      </c>
      <c r="M45" s="5" t="str">
        <f t="shared" si="0"/>
        <v>au Lycée "JEAN DAUTET"</v>
      </c>
    </row>
    <row r="46" spans="1:13" ht="21" x14ac:dyDescent="0.2">
      <c r="J46" s="3" t="s">
        <v>214</v>
      </c>
      <c r="K46" s="3" t="s">
        <v>86</v>
      </c>
      <c r="L46" s="6" t="s">
        <v>133</v>
      </c>
      <c r="M46" s="5" t="str">
        <f t="shared" si="0"/>
        <v>au Lycée "LÉONCE VIELJEUX"</v>
      </c>
    </row>
    <row r="47" spans="1:13" ht="42" x14ac:dyDescent="0.2">
      <c r="J47" s="3" t="s">
        <v>214</v>
      </c>
      <c r="K47" s="3" t="s">
        <v>86</v>
      </c>
      <c r="L47" s="5" t="s">
        <v>134</v>
      </c>
      <c r="M47" s="5" t="str">
        <f t="shared" si="0"/>
        <v>au Lycée "HOTELIER DU PARC DE LA FRANCOPHONIE"</v>
      </c>
    </row>
    <row r="48" spans="1:13" ht="21" x14ac:dyDescent="0.2">
      <c r="J48" s="3" t="s">
        <v>214</v>
      </c>
      <c r="K48" s="3" t="s">
        <v>86</v>
      </c>
      <c r="L48" s="6" t="s">
        <v>135</v>
      </c>
      <c r="M48" s="5" t="str">
        <f t="shared" si="0"/>
        <v>au Lycée "PIERRE DORIOLE"</v>
      </c>
    </row>
    <row r="49" spans="10:13" ht="21" x14ac:dyDescent="0.2">
      <c r="J49" s="3" t="s">
        <v>214</v>
      </c>
      <c r="K49" s="3" t="s">
        <v>86</v>
      </c>
      <c r="L49" s="6" t="s">
        <v>136</v>
      </c>
      <c r="M49" s="5" t="str">
        <f t="shared" si="0"/>
        <v>au Lycée "RENÉ-JOSUÉ VALIN"</v>
      </c>
    </row>
    <row r="50" spans="10:13" x14ac:dyDescent="0.2">
      <c r="J50" s="3" t="s">
        <v>214</v>
      </c>
      <c r="K50" s="3" t="s">
        <v>86</v>
      </c>
      <c r="L50" s="6" t="s">
        <v>137</v>
      </c>
      <c r="M50" s="5" t="str">
        <f t="shared" si="0"/>
        <v>au Lycée "ROMPSAY"</v>
      </c>
    </row>
    <row r="51" spans="10:13" ht="31.5" x14ac:dyDescent="0.2">
      <c r="J51" s="3" t="s">
        <v>214</v>
      </c>
      <c r="K51" s="3" t="s">
        <v>86</v>
      </c>
      <c r="L51" s="6" t="s">
        <v>138</v>
      </c>
      <c r="M51" s="5" t="str">
        <f t="shared" si="0"/>
        <v>au Lycée "ANTOINE DE SAINT EXUPÉRY"</v>
      </c>
    </row>
    <row r="52" spans="10:13" ht="21" x14ac:dyDescent="0.2">
      <c r="J52" s="3" t="s">
        <v>214</v>
      </c>
      <c r="K52" s="3" t="s">
        <v>86</v>
      </c>
      <c r="L52" s="6" t="s">
        <v>139</v>
      </c>
      <c r="M52" s="5" t="str">
        <f t="shared" si="0"/>
        <v>au Lycée "EMILE COMBES"</v>
      </c>
    </row>
    <row r="53" spans="10:13" ht="21" x14ac:dyDescent="0.2">
      <c r="J53" s="3" t="s">
        <v>214</v>
      </c>
      <c r="K53" s="3" t="s">
        <v>86</v>
      </c>
      <c r="L53" s="6" t="s">
        <v>140</v>
      </c>
      <c r="M53" s="5" t="str">
        <f t="shared" si="0"/>
        <v>au Lycée "GILLES JAMAIN"</v>
      </c>
    </row>
    <row r="54" spans="10:13" ht="21" x14ac:dyDescent="0.2">
      <c r="J54" s="3" t="s">
        <v>214</v>
      </c>
      <c r="K54" s="3" t="s">
        <v>86</v>
      </c>
      <c r="L54" s="6" t="s">
        <v>141</v>
      </c>
      <c r="M54" s="5" t="str">
        <f t="shared" si="0"/>
        <v>au Lycée "MARCEL DASSAULT"</v>
      </c>
    </row>
    <row r="55" spans="10:13" ht="31.5" x14ac:dyDescent="0.2">
      <c r="J55" s="3" t="s">
        <v>214</v>
      </c>
      <c r="K55" s="3" t="s">
        <v>86</v>
      </c>
      <c r="L55" s="6" t="s">
        <v>142</v>
      </c>
      <c r="M55" s="5" t="str">
        <f t="shared" si="0"/>
        <v>au Lycée "MAURICE MERLEAU PONTY"</v>
      </c>
    </row>
    <row r="56" spans="10:13" ht="31.5" x14ac:dyDescent="0.2">
      <c r="J56" s="3" t="s">
        <v>214</v>
      </c>
      <c r="K56" s="3" t="s">
        <v>86</v>
      </c>
      <c r="L56" s="5" t="s">
        <v>143</v>
      </c>
      <c r="M56" s="5" t="str">
        <f t="shared" si="0"/>
        <v>au Lycée de "L'ATLANTIQUE"</v>
      </c>
    </row>
    <row r="57" spans="10:13" x14ac:dyDescent="0.2">
      <c r="J57" s="3" t="s">
        <v>214</v>
      </c>
      <c r="K57" s="3" t="s">
        <v>86</v>
      </c>
      <c r="L57" s="6" t="s">
        <v>144</v>
      </c>
      <c r="M57" s="5" t="str">
        <f t="shared" si="0"/>
        <v>au Lycée "CORDOUAN"</v>
      </c>
    </row>
    <row r="58" spans="10:13" x14ac:dyDescent="0.2">
      <c r="J58" s="3" t="s">
        <v>214</v>
      </c>
      <c r="K58" s="3" t="s">
        <v>86</v>
      </c>
      <c r="L58" s="6" t="s">
        <v>145</v>
      </c>
      <c r="M58" s="5" t="str">
        <f t="shared" si="0"/>
        <v>au Lycée "BELLEVUE"</v>
      </c>
    </row>
    <row r="59" spans="10:13" ht="21" x14ac:dyDescent="0.2">
      <c r="J59" s="3" t="s">
        <v>214</v>
      </c>
      <c r="K59" s="3" t="s">
        <v>86</v>
      </c>
      <c r="L59" s="6" t="s">
        <v>146</v>
      </c>
      <c r="M59" s="5" t="str">
        <f t="shared" si="0"/>
        <v>au Lycée "BERNARD PALISSY"</v>
      </c>
    </row>
    <row r="60" spans="10:13" ht="21" x14ac:dyDescent="0.2">
      <c r="J60" s="3" t="s">
        <v>214</v>
      </c>
      <c r="K60" s="3" t="s">
        <v>86</v>
      </c>
      <c r="L60" s="6" t="s">
        <v>147</v>
      </c>
      <c r="M60" s="5" t="str">
        <f t="shared" si="0"/>
        <v>au Lycée "LE PETIT CHADIGNAC"</v>
      </c>
    </row>
    <row r="61" spans="10:13" ht="21" x14ac:dyDescent="0.2">
      <c r="J61" s="3" t="s">
        <v>215</v>
      </c>
      <c r="K61" s="3" t="s">
        <v>95</v>
      </c>
      <c r="L61" s="5" t="s">
        <v>148</v>
      </c>
      <c r="M61" s="5" t="str">
        <f t="shared" si="0"/>
        <v>à l' EREA "THÉODORE MONOD"</v>
      </c>
    </row>
    <row r="62" spans="10:13" ht="22.5" x14ac:dyDescent="0.2">
      <c r="J62" s="3" t="s">
        <v>214</v>
      </c>
      <c r="K62" s="3" t="s">
        <v>86</v>
      </c>
      <c r="L62" s="7" t="s">
        <v>149</v>
      </c>
      <c r="M62" s="5" t="str">
        <f t="shared" si="0"/>
        <v>au Lycée "BLAISE PASCAL"</v>
      </c>
    </row>
    <row r="63" spans="10:13" ht="31.5" x14ac:dyDescent="0.2">
      <c r="J63" s="3" t="s">
        <v>214</v>
      </c>
      <c r="K63" s="3" t="s">
        <v>86</v>
      </c>
      <c r="L63" s="6" t="s">
        <v>150</v>
      </c>
      <c r="M63" s="5" t="str">
        <f t="shared" si="0"/>
        <v>au Lycée "LOUIS-AUDOUIN DUBREUIL"</v>
      </c>
    </row>
    <row r="64" spans="10:13" ht="21" x14ac:dyDescent="0.2">
      <c r="J64" s="3" t="s">
        <v>214</v>
      </c>
      <c r="K64" s="3" t="s">
        <v>86</v>
      </c>
      <c r="L64" s="5" t="s">
        <v>151</v>
      </c>
      <c r="M64" s="5" t="str">
        <f t="shared" si="0"/>
        <v>au Lycée "ENILIA-ENSMIC"</v>
      </c>
    </row>
    <row r="65" spans="10:13" ht="21" x14ac:dyDescent="0.2">
      <c r="J65" s="3" t="s">
        <v>214</v>
      </c>
      <c r="K65" s="3" t="s">
        <v>86</v>
      </c>
      <c r="L65" s="5" t="s">
        <v>152</v>
      </c>
      <c r="M65" s="5" t="str">
        <f t="shared" si="0"/>
        <v>au Lycée "GEORGES DESCLAUDES"</v>
      </c>
    </row>
    <row r="66" spans="10:13" ht="21" x14ac:dyDescent="0.2">
      <c r="J66" s="3" t="s">
        <v>214</v>
      </c>
      <c r="K66" s="3" t="s">
        <v>86</v>
      </c>
      <c r="L66" s="5" t="s">
        <v>153</v>
      </c>
      <c r="M66" s="5" t="str">
        <f t="shared" si="0"/>
        <v>au Lycée "MARITIME ET ACQUACOLE"</v>
      </c>
    </row>
    <row r="67" spans="10:13" ht="21" x14ac:dyDescent="0.2">
      <c r="J67" s="3" t="s">
        <v>214</v>
      </c>
      <c r="K67" s="3" t="s">
        <v>86</v>
      </c>
      <c r="L67" s="5" t="s">
        <v>154</v>
      </c>
      <c r="M67" s="5" t="str">
        <f t="shared" ref="M67:M128" si="1">J67&amp;" "&amp;K67&amp;" "&amp;L67</f>
        <v>au Lycée "PAYS D'AUNIS"</v>
      </c>
    </row>
    <row r="68" spans="10:13" ht="31.5" x14ac:dyDescent="0.2">
      <c r="J68" s="3" t="s">
        <v>214</v>
      </c>
      <c r="K68" s="3" t="s">
        <v>111</v>
      </c>
      <c r="L68" s="6" t="s">
        <v>155</v>
      </c>
      <c r="M68" s="5" t="str">
        <f t="shared" si="1"/>
        <v>au lycée "CHARLES-AUGUSTIN COULOMB"</v>
      </c>
    </row>
    <row r="69" spans="10:13" ht="21" x14ac:dyDescent="0.2">
      <c r="J69" s="3" t="s">
        <v>214</v>
      </c>
      <c r="K69" s="3" t="s">
        <v>111</v>
      </c>
      <c r="L69" s="6" t="s">
        <v>156</v>
      </c>
      <c r="M69" s="5" t="str">
        <f t="shared" si="1"/>
        <v>au lycée "GUEZ DE BALZAC"</v>
      </c>
    </row>
    <row r="70" spans="10:13" ht="21" x14ac:dyDescent="0.2">
      <c r="J70" s="3" t="s">
        <v>214</v>
      </c>
      <c r="K70" s="3" t="s">
        <v>111</v>
      </c>
      <c r="L70" s="6" t="s">
        <v>157</v>
      </c>
      <c r="M70" s="5" t="str">
        <f t="shared" si="1"/>
        <v>au lycée "DE L'IMAGE ET DU SON"</v>
      </c>
    </row>
    <row r="71" spans="10:13" ht="21" x14ac:dyDescent="0.2">
      <c r="J71" s="3" t="s">
        <v>214</v>
      </c>
      <c r="K71" s="3" t="s">
        <v>111</v>
      </c>
      <c r="L71" s="6" t="s">
        <v>158</v>
      </c>
      <c r="M71" s="5" t="str">
        <f t="shared" si="1"/>
        <v>au lycée "JEAN ROSTAND"</v>
      </c>
    </row>
    <row r="72" spans="10:13" ht="21" x14ac:dyDescent="0.2">
      <c r="J72" s="3" t="s">
        <v>214</v>
      </c>
      <c r="K72" s="3" t="s">
        <v>111</v>
      </c>
      <c r="L72" s="6" t="s">
        <v>159</v>
      </c>
      <c r="M72" s="5" t="str">
        <f t="shared" si="1"/>
        <v>au lycée "MARGUERITE DE VALOIS"</v>
      </c>
    </row>
    <row r="73" spans="10:13" x14ac:dyDescent="0.2">
      <c r="J73" s="3" t="s">
        <v>214</v>
      </c>
      <c r="K73" s="3" t="s">
        <v>111</v>
      </c>
      <c r="L73" s="6" t="s">
        <v>160</v>
      </c>
      <c r="M73" s="5" t="str">
        <f t="shared" si="1"/>
        <v>au lycée "DE SILLAC"</v>
      </c>
    </row>
    <row r="74" spans="10:13" x14ac:dyDescent="0.2">
      <c r="J74" s="3" t="s">
        <v>214</v>
      </c>
      <c r="K74" s="3" t="s">
        <v>111</v>
      </c>
      <c r="L74" s="6" t="s">
        <v>161</v>
      </c>
      <c r="M74" s="5" t="str">
        <f t="shared" si="1"/>
        <v>au lycée "ÉLIE VINET"</v>
      </c>
    </row>
    <row r="75" spans="10:13" ht="21" x14ac:dyDescent="0.2">
      <c r="J75" s="3" t="s">
        <v>214</v>
      </c>
      <c r="K75" s="3" t="s">
        <v>111</v>
      </c>
      <c r="L75" s="6" t="s">
        <v>162</v>
      </c>
      <c r="M75" s="5" t="str">
        <f t="shared" si="1"/>
        <v>au lycée "FÉLIX GAILLARD"</v>
      </c>
    </row>
    <row r="76" spans="10:13" ht="31.5" x14ac:dyDescent="0.2">
      <c r="J76" s="3" t="s">
        <v>214</v>
      </c>
      <c r="K76" s="3" t="s">
        <v>111</v>
      </c>
      <c r="L76" s="6" t="s">
        <v>163</v>
      </c>
      <c r="M76" s="5" t="str">
        <f t="shared" si="1"/>
        <v>au lycée "PIERRE-ANDRÉ CHABANNE"</v>
      </c>
    </row>
    <row r="77" spans="10:13" ht="21" x14ac:dyDescent="0.2">
      <c r="J77" s="3" t="s">
        <v>214</v>
      </c>
      <c r="K77" s="3" t="s">
        <v>111</v>
      </c>
      <c r="L77" s="6" t="s">
        <v>164</v>
      </c>
      <c r="M77" s="5" t="str">
        <f t="shared" si="1"/>
        <v>au lycée "JEAN MONNET"</v>
      </c>
    </row>
    <row r="78" spans="10:13" ht="21" x14ac:dyDescent="0.2">
      <c r="J78" s="3" t="s">
        <v>214</v>
      </c>
      <c r="K78" s="3" t="s">
        <v>111</v>
      </c>
      <c r="L78" s="6" t="s">
        <v>165</v>
      </c>
      <c r="M78" s="5" t="str">
        <f t="shared" si="1"/>
        <v>au lycée "LOUIS DELAGE"</v>
      </c>
    </row>
    <row r="79" spans="10:13" x14ac:dyDescent="0.2">
      <c r="J79" s="3" t="s">
        <v>214</v>
      </c>
      <c r="K79" s="3" t="s">
        <v>111</v>
      </c>
      <c r="L79" s="6" t="s">
        <v>166</v>
      </c>
      <c r="M79" s="5" t="str">
        <f t="shared" si="1"/>
        <v>au lycée "ÉMILE ROUX"</v>
      </c>
    </row>
    <row r="80" spans="10:13" x14ac:dyDescent="0.2">
      <c r="J80" s="3" t="s">
        <v>214</v>
      </c>
      <c r="K80" s="3" t="s">
        <v>111</v>
      </c>
      <c r="L80" s="6" t="s">
        <v>167</v>
      </c>
      <c r="M80" s="5" t="str">
        <f t="shared" si="1"/>
        <v>au lycée "L'OISELLERIE"</v>
      </c>
    </row>
    <row r="81" spans="10:13" ht="21" x14ac:dyDescent="0.2">
      <c r="J81" s="3" t="s">
        <v>215</v>
      </c>
      <c r="K81" s="3" t="s">
        <v>95</v>
      </c>
      <c r="L81" s="5" t="s">
        <v>168</v>
      </c>
      <c r="M81" s="5" t="str">
        <f t="shared" si="1"/>
        <v>à l' EREA "LES CHIRONS"</v>
      </c>
    </row>
    <row r="82" spans="10:13" ht="21" x14ac:dyDescent="0.2">
      <c r="J82" s="3" t="s">
        <v>214</v>
      </c>
      <c r="K82" s="3" t="s">
        <v>111</v>
      </c>
      <c r="L82" s="6" t="s">
        <v>169</v>
      </c>
      <c r="M82" s="5" t="str">
        <f t="shared" si="1"/>
        <v>au lycée "JEAN CAILLAUD"</v>
      </c>
    </row>
    <row r="83" spans="10:13" ht="21" x14ac:dyDescent="0.2">
      <c r="J83" s="3" t="s">
        <v>214</v>
      </c>
      <c r="K83" s="3" t="s">
        <v>111</v>
      </c>
      <c r="L83" s="6" t="s">
        <v>170</v>
      </c>
      <c r="M83" s="5" t="str">
        <f t="shared" si="1"/>
        <v>au lycée "LOUISE MICHEL"</v>
      </c>
    </row>
    <row r="84" spans="10:13" ht="31.5" x14ac:dyDescent="0.2">
      <c r="J84" s="3" t="s">
        <v>214</v>
      </c>
      <c r="K84" s="3" t="s">
        <v>111</v>
      </c>
      <c r="L84" s="6" t="s">
        <v>171</v>
      </c>
      <c r="M84" s="5" t="str">
        <f t="shared" si="1"/>
        <v>au lycée "JEAN-ALBERT GRÉGOIRE"</v>
      </c>
    </row>
    <row r="85" spans="10:13" x14ac:dyDescent="0.2">
      <c r="J85" s="3" t="s">
        <v>214</v>
      </c>
      <c r="K85" s="3" t="s">
        <v>111</v>
      </c>
      <c r="L85" s="4" t="s">
        <v>359</v>
      </c>
      <c r="M85" s="4" t="str">
        <f t="shared" si="1"/>
        <v>au lycée "D'ARSONVAL"</v>
      </c>
    </row>
    <row r="86" spans="10:13" x14ac:dyDescent="0.2">
      <c r="J86" s="3" t="s">
        <v>214</v>
      </c>
      <c r="K86" s="3" t="s">
        <v>111</v>
      </c>
      <c r="L86" s="4" t="s">
        <v>360</v>
      </c>
      <c r="M86" s="4" t="str">
        <f t="shared" si="1"/>
        <v>au lycée "MARCEL BARBENCEYS"</v>
      </c>
    </row>
    <row r="87" spans="10:13" x14ac:dyDescent="0.2">
      <c r="J87" s="3" t="s">
        <v>214</v>
      </c>
      <c r="K87" s="3" t="s">
        <v>111</v>
      </c>
      <c r="L87" s="4" t="s">
        <v>361</v>
      </c>
      <c r="M87" s="4" t="str">
        <f t="shared" si="1"/>
        <v>au lycée "BORT ARTENSE"</v>
      </c>
    </row>
    <row r="88" spans="10:13" x14ac:dyDescent="0.2">
      <c r="J88" s="3" t="s">
        <v>214</v>
      </c>
      <c r="K88" s="3" t="s">
        <v>111</v>
      </c>
      <c r="L88" s="4" t="s">
        <v>362</v>
      </c>
      <c r="M88" s="4" t="str">
        <f t="shared" si="1"/>
        <v>au lycée "GEORGES CABANIS"</v>
      </c>
    </row>
    <row r="89" spans="10:13" x14ac:dyDescent="0.2">
      <c r="J89" s="3" t="s">
        <v>214</v>
      </c>
      <c r="K89" s="3" t="s">
        <v>111</v>
      </c>
      <c r="L89" s="4" t="s">
        <v>363</v>
      </c>
      <c r="M89" s="4" t="str">
        <f t="shared" si="1"/>
        <v>au lycée "PIERRE CARAMINOT"</v>
      </c>
    </row>
    <row r="90" spans="10:13" x14ac:dyDescent="0.2">
      <c r="J90" s="3" t="s">
        <v>214</v>
      </c>
      <c r="K90" s="3" t="s">
        <v>111</v>
      </c>
      <c r="L90" s="4" t="s">
        <v>364</v>
      </c>
      <c r="M90" s="4" t="str">
        <f t="shared" si="1"/>
        <v>au lycée "RENE CASSIN"</v>
      </c>
    </row>
    <row r="91" spans="10:13" x14ac:dyDescent="0.2">
      <c r="J91" s="3" t="s">
        <v>214</v>
      </c>
      <c r="K91" s="3" t="s">
        <v>111</v>
      </c>
      <c r="L91" s="4" t="s">
        <v>365</v>
      </c>
      <c r="M91" s="4" t="str">
        <f t="shared" si="1"/>
        <v>au lycée "DANTON"</v>
      </c>
    </row>
    <row r="92" spans="10:13" x14ac:dyDescent="0.2">
      <c r="J92" s="3" t="s">
        <v>214</v>
      </c>
      <c r="K92" s="3" t="s">
        <v>111</v>
      </c>
      <c r="L92" s="4" t="s">
        <v>366</v>
      </c>
      <c r="M92" s="4" t="str">
        <f t="shared" si="1"/>
        <v>au lycée "LAVOISIER"</v>
      </c>
    </row>
    <row r="93" spans="10:13" x14ac:dyDescent="0.2">
      <c r="J93" s="3" t="s">
        <v>214</v>
      </c>
      <c r="K93" s="3" t="s">
        <v>111</v>
      </c>
      <c r="L93" s="4" t="s">
        <v>367</v>
      </c>
      <c r="M93" s="4" t="str">
        <f t="shared" si="1"/>
        <v>au lycée "DES MILLES SOURCES"</v>
      </c>
    </row>
    <row r="94" spans="10:13" x14ac:dyDescent="0.2">
      <c r="J94" s="3" t="s">
        <v>214</v>
      </c>
      <c r="K94" s="3" t="s">
        <v>111</v>
      </c>
      <c r="L94" s="4" t="s">
        <v>368</v>
      </c>
      <c r="M94" s="4" t="str">
        <f t="shared" si="1"/>
        <v>au lycée "EDMOND PERRIER"</v>
      </c>
    </row>
    <row r="95" spans="10:13" x14ac:dyDescent="0.2">
      <c r="J95" s="3" t="s">
        <v>214</v>
      </c>
      <c r="K95" s="3" t="s">
        <v>111</v>
      </c>
      <c r="L95" s="4" t="s">
        <v>369</v>
      </c>
      <c r="M95" s="4" t="str">
        <f t="shared" si="1"/>
        <v>au lycée "BERNART DE VENTADOUR"</v>
      </c>
    </row>
    <row r="96" spans="10:13" x14ac:dyDescent="0.2">
      <c r="J96" s="3" t="s">
        <v>214</v>
      </c>
      <c r="K96" s="3" t="s">
        <v>111</v>
      </c>
      <c r="L96" s="4" t="s">
        <v>370</v>
      </c>
      <c r="M96" s="4" t="str">
        <f t="shared" si="1"/>
        <v>au lycée "BRIVE-VOUTEZAC"</v>
      </c>
    </row>
    <row r="97" spans="10:13" x14ac:dyDescent="0.2">
      <c r="J97" s="3" t="s">
        <v>214</v>
      </c>
      <c r="K97" s="3" t="s">
        <v>111</v>
      </c>
      <c r="L97" s="4" t="s">
        <v>371</v>
      </c>
      <c r="M97" s="4" t="str">
        <f t="shared" si="1"/>
        <v>au lycée "DE HAUTE CORREZE"</v>
      </c>
    </row>
    <row r="98" spans="10:13" x14ac:dyDescent="0.2">
      <c r="J98" s="3" t="s">
        <v>214</v>
      </c>
      <c r="K98" s="3" t="s">
        <v>111</v>
      </c>
      <c r="L98" s="4" t="s">
        <v>372</v>
      </c>
      <c r="M98" s="4" t="str">
        <f t="shared" si="1"/>
        <v>au lycée "EDGARD PISANI"</v>
      </c>
    </row>
    <row r="99" spans="10:13" x14ac:dyDescent="0.2">
      <c r="J99" s="3" t="s">
        <v>214</v>
      </c>
      <c r="K99" s="3" t="s">
        <v>111</v>
      </c>
      <c r="L99" s="4" t="s">
        <v>373</v>
      </c>
      <c r="M99" s="4" t="str">
        <f t="shared" si="1"/>
        <v>au lycée "PIERRE BOURDAN"</v>
      </c>
    </row>
    <row r="100" spans="10:13" x14ac:dyDescent="0.2">
      <c r="J100" s="3" t="s">
        <v>214</v>
      </c>
      <c r="K100" s="3" t="s">
        <v>111</v>
      </c>
      <c r="L100" s="4" t="s">
        <v>374</v>
      </c>
      <c r="M100" s="4" t="str">
        <f t="shared" si="1"/>
        <v>au lycée "JEAN FAVARD"</v>
      </c>
    </row>
    <row r="101" spans="10:13" x14ac:dyDescent="0.2">
      <c r="J101" s="3" t="s">
        <v>214</v>
      </c>
      <c r="K101" s="3" t="s">
        <v>111</v>
      </c>
      <c r="L101" s="4" t="s">
        <v>375</v>
      </c>
      <c r="M101" s="4" t="str">
        <f t="shared" si="1"/>
        <v>au lycée "DES METIERS ET DU BATIMENT DE FELLETIN"</v>
      </c>
    </row>
    <row r="102" spans="10:13" x14ac:dyDescent="0.2">
      <c r="J102" s="3" t="s">
        <v>214</v>
      </c>
      <c r="K102" s="3" t="s">
        <v>111</v>
      </c>
      <c r="L102" s="4" t="s">
        <v>376</v>
      </c>
      <c r="M102" s="4" t="str">
        <f t="shared" si="1"/>
        <v>au lycée "DELHPINE GAY"</v>
      </c>
    </row>
    <row r="103" spans="10:13" x14ac:dyDescent="0.2">
      <c r="J103" s="3" t="s">
        <v>214</v>
      </c>
      <c r="K103" s="3" t="s">
        <v>111</v>
      </c>
      <c r="L103" s="4" t="s">
        <v>377</v>
      </c>
      <c r="M103" s="4" t="str">
        <f t="shared" si="1"/>
        <v>au lycée "EUGENE JAMOT"</v>
      </c>
    </row>
    <row r="104" spans="10:13" x14ac:dyDescent="0.2">
      <c r="J104" s="3" t="s">
        <v>214</v>
      </c>
      <c r="K104" s="3" t="s">
        <v>111</v>
      </c>
      <c r="L104" s="4" t="s">
        <v>378</v>
      </c>
      <c r="M104" s="4" t="str">
        <f t="shared" si="1"/>
        <v>au lycée "JEAN JAURES"</v>
      </c>
    </row>
    <row r="105" spans="10:13" x14ac:dyDescent="0.2">
      <c r="J105" s="3" t="s">
        <v>214</v>
      </c>
      <c r="K105" s="3" t="s">
        <v>111</v>
      </c>
      <c r="L105" s="4" t="s">
        <v>379</v>
      </c>
      <c r="M105" s="4" t="str">
        <f t="shared" si="1"/>
        <v>au lycée "RAYMOND LOEWY"</v>
      </c>
    </row>
    <row r="106" spans="10:13" x14ac:dyDescent="0.2">
      <c r="J106" s="3" t="s">
        <v>214</v>
      </c>
      <c r="K106" s="3" t="s">
        <v>111</v>
      </c>
      <c r="L106" s="4" t="s">
        <v>380</v>
      </c>
      <c r="M106" s="4" t="str">
        <f t="shared" si="1"/>
        <v>au lycée "GASTON ROUSSILAT"</v>
      </c>
    </row>
    <row r="107" spans="10:13" x14ac:dyDescent="0.2">
      <c r="J107" s="3" t="s">
        <v>214</v>
      </c>
      <c r="K107" s="3" t="s">
        <v>111</v>
      </c>
      <c r="L107" s="4" t="s">
        <v>381</v>
      </c>
      <c r="M107" s="4" t="str">
        <f t="shared" si="1"/>
        <v>au lycée "D'AHUN"</v>
      </c>
    </row>
    <row r="108" spans="10:13" x14ac:dyDescent="0.2">
      <c r="J108" s="3" t="s">
        <v>214</v>
      </c>
      <c r="K108" s="3" t="s">
        <v>111</v>
      </c>
      <c r="L108" s="4" t="s">
        <v>382</v>
      </c>
      <c r="M108" s="4" t="str">
        <f t="shared" si="1"/>
        <v>au lycée "MARYSE BASTIE"</v>
      </c>
    </row>
    <row r="109" spans="10:13" x14ac:dyDescent="0.2">
      <c r="J109" s="3" t="s">
        <v>214</v>
      </c>
      <c r="K109" s="3" t="s">
        <v>111</v>
      </c>
      <c r="L109" s="4" t="s">
        <v>383</v>
      </c>
      <c r="M109" s="4" t="str">
        <f t="shared" si="1"/>
        <v>au lycée "BAPTISTE DARNET"</v>
      </c>
    </row>
    <row r="110" spans="10:13" x14ac:dyDescent="0.2">
      <c r="J110" s="3" t="s">
        <v>214</v>
      </c>
      <c r="K110" s="3" t="s">
        <v>111</v>
      </c>
      <c r="L110" s="4" t="s">
        <v>384</v>
      </c>
      <c r="M110" s="4" t="str">
        <f t="shared" si="1"/>
        <v>au lycée "DAUTRY"</v>
      </c>
    </row>
    <row r="111" spans="10:13" x14ac:dyDescent="0.2">
      <c r="J111" s="3" t="s">
        <v>214</v>
      </c>
      <c r="K111" s="3" t="s">
        <v>111</v>
      </c>
      <c r="L111" s="4" t="s">
        <v>385</v>
      </c>
      <c r="M111" s="4" t="str">
        <f t="shared" si="1"/>
        <v>au lycée "PAUL EUARD"</v>
      </c>
    </row>
    <row r="112" spans="10:13" x14ac:dyDescent="0.2">
      <c r="J112" s="3" t="s">
        <v>214</v>
      </c>
      <c r="K112" s="3" t="s">
        <v>111</v>
      </c>
      <c r="L112" s="4" t="s">
        <v>386</v>
      </c>
      <c r="M112" s="4" t="str">
        <f t="shared" si="1"/>
        <v>au lycée "GAY LUSSAC"</v>
      </c>
    </row>
    <row r="113" spans="10:13" x14ac:dyDescent="0.2">
      <c r="J113" s="3" t="s">
        <v>214</v>
      </c>
      <c r="K113" s="3" t="s">
        <v>111</v>
      </c>
      <c r="L113" s="4" t="s">
        <v>387</v>
      </c>
      <c r="M113" s="4" t="str">
        <f t="shared" si="1"/>
        <v>au lycée "JEAN GIRAUOUX"</v>
      </c>
    </row>
    <row r="114" spans="10:13" x14ac:dyDescent="0.2">
      <c r="J114" s="3" t="s">
        <v>214</v>
      </c>
      <c r="K114" s="3" t="s">
        <v>111</v>
      </c>
      <c r="L114" s="4" t="s">
        <v>388</v>
      </c>
      <c r="M114" s="4" t="str">
        <f t="shared" si="1"/>
        <v>au lycée "LEONARD LIMOSIN"</v>
      </c>
    </row>
    <row r="115" spans="10:13" x14ac:dyDescent="0.2">
      <c r="J115" s="3" t="s">
        <v>214</v>
      </c>
      <c r="K115" s="3" t="s">
        <v>111</v>
      </c>
      <c r="L115" s="4" t="s">
        <v>389</v>
      </c>
      <c r="M115" s="4" t="str">
        <f t="shared" si="1"/>
        <v>au lycée "LE MAS JAMBOST"</v>
      </c>
    </row>
    <row r="116" spans="10:13" x14ac:dyDescent="0.2">
      <c r="J116" s="3" t="s">
        <v>214</v>
      </c>
      <c r="K116" s="3" t="s">
        <v>111</v>
      </c>
      <c r="L116" s="4" t="s">
        <v>164</v>
      </c>
      <c r="M116" s="4" t="str">
        <f t="shared" si="1"/>
        <v>au lycée "JEAN MONNET"</v>
      </c>
    </row>
    <row r="117" spans="10:13" x14ac:dyDescent="0.2">
      <c r="J117" s="3" t="s">
        <v>214</v>
      </c>
      <c r="K117" s="3" t="s">
        <v>111</v>
      </c>
      <c r="L117" s="4" t="s">
        <v>390</v>
      </c>
      <c r="M117" s="4" t="str">
        <f t="shared" si="1"/>
        <v>au lycée "MARTIN NADAUD"</v>
      </c>
    </row>
    <row r="118" spans="10:13" x14ac:dyDescent="0.2">
      <c r="J118" s="3" t="s">
        <v>214</v>
      </c>
      <c r="K118" s="3" t="s">
        <v>111</v>
      </c>
      <c r="L118" s="4" t="s">
        <v>391</v>
      </c>
      <c r="M118" s="4" t="str">
        <f t="shared" si="1"/>
        <v>au lycée "MARCEL PAGNOL"</v>
      </c>
    </row>
    <row r="119" spans="10:13" x14ac:dyDescent="0.2">
      <c r="J119" s="3" t="s">
        <v>214</v>
      </c>
      <c r="K119" s="3" t="s">
        <v>111</v>
      </c>
      <c r="L119" s="4" t="s">
        <v>146</v>
      </c>
      <c r="M119" s="4" t="str">
        <f t="shared" si="1"/>
        <v>au lycée "BERNARD PALISSY"</v>
      </c>
    </row>
    <row r="120" spans="10:13" x14ac:dyDescent="0.2">
      <c r="J120" s="3" t="s">
        <v>214</v>
      </c>
      <c r="K120" s="3" t="s">
        <v>111</v>
      </c>
      <c r="L120" s="4" t="s">
        <v>392</v>
      </c>
      <c r="M120" s="4" t="str">
        <f t="shared" si="1"/>
        <v>au lycée "AUGUSTE RENOIR"</v>
      </c>
    </row>
    <row r="121" spans="10:13" x14ac:dyDescent="0.2">
      <c r="J121" s="3" t="s">
        <v>214</v>
      </c>
      <c r="K121" s="3" t="s">
        <v>111</v>
      </c>
      <c r="L121" s="4" t="s">
        <v>138</v>
      </c>
      <c r="M121" s="4" t="str">
        <f t="shared" si="1"/>
        <v>au lycée "ANTOINE DE SAINT EXUPÉRY"</v>
      </c>
    </row>
    <row r="122" spans="10:13" x14ac:dyDescent="0.2">
      <c r="J122" s="3" t="s">
        <v>214</v>
      </c>
      <c r="K122" s="3" t="s">
        <v>111</v>
      </c>
      <c r="L122" s="4" t="s">
        <v>393</v>
      </c>
      <c r="M122" s="4" t="str">
        <f t="shared" si="1"/>
        <v>au lycée "GEORGES SAND"</v>
      </c>
    </row>
    <row r="123" spans="10:13" x14ac:dyDescent="0.2">
      <c r="J123" s="3" t="s">
        <v>214</v>
      </c>
      <c r="K123" s="3" t="s">
        <v>111</v>
      </c>
      <c r="L123" s="4" t="s">
        <v>394</v>
      </c>
      <c r="M123" s="4" t="str">
        <f t="shared" si="1"/>
        <v>au lycée "TURGOT"</v>
      </c>
    </row>
    <row r="124" spans="10:13" x14ac:dyDescent="0.2">
      <c r="J124" s="3" t="s">
        <v>214</v>
      </c>
      <c r="K124" s="3" t="s">
        <v>111</v>
      </c>
      <c r="L124" s="4" t="s">
        <v>395</v>
      </c>
      <c r="M124" s="4" t="str">
        <f t="shared" si="1"/>
        <v>au lycée "EDOUARD VAILLANT"</v>
      </c>
    </row>
    <row r="125" spans="10:13" x14ac:dyDescent="0.2">
      <c r="J125" s="3" t="s">
        <v>214</v>
      </c>
      <c r="K125" s="3" t="s">
        <v>111</v>
      </c>
      <c r="L125" s="4" t="s">
        <v>396</v>
      </c>
      <c r="M125" s="4" t="str">
        <f t="shared" si="1"/>
        <v>au lycée "SUZANNE VALANDON"</v>
      </c>
    </row>
    <row r="126" spans="10:13" x14ac:dyDescent="0.2">
      <c r="J126" s="3" t="s">
        <v>214</v>
      </c>
      <c r="K126" s="3" t="s">
        <v>111</v>
      </c>
      <c r="L126" s="4" t="s">
        <v>397</v>
      </c>
      <c r="M126" s="4" t="str">
        <f t="shared" si="1"/>
        <v>au lycée "DE SAINT YRIEZIX DE LA PERCHE"</v>
      </c>
    </row>
    <row r="127" spans="10:13" x14ac:dyDescent="0.2">
      <c r="J127" s="3" t="s">
        <v>214</v>
      </c>
      <c r="K127" s="3" t="s">
        <v>111</v>
      </c>
      <c r="L127" s="4" t="s">
        <v>398</v>
      </c>
      <c r="M127" s="4" t="str">
        <f t="shared" si="1"/>
        <v>au lycée "DE LIMOGES ET DU NORD HAUTE VIENNE" (MAGNAC LAVAL")</v>
      </c>
    </row>
    <row r="128" spans="10:13" x14ac:dyDescent="0.2">
      <c r="J128" s="3" t="s">
        <v>214</v>
      </c>
      <c r="K128" s="3" t="s">
        <v>111</v>
      </c>
      <c r="L128" s="4" t="s">
        <v>399</v>
      </c>
      <c r="M128" s="4" t="str">
        <f t="shared" si="1"/>
        <v>au lycée "DE LIMOGES ET DU NORD HAUTE VIENNE" (LES VASEIX")</v>
      </c>
    </row>
  </sheetData>
  <sheetProtection autoFilter="0"/>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sheetPr>
  <dimension ref="A1:AR285"/>
  <sheetViews>
    <sheetView tabSelected="1" zoomScale="90" zoomScaleNormal="90" workbookViewId="0">
      <selection activeCell="C7" sqref="C7:G7"/>
    </sheetView>
  </sheetViews>
  <sheetFormatPr baseColWidth="10" defaultRowHeight="18.75" outlineLevelRow="1" x14ac:dyDescent="0.3"/>
  <cols>
    <col min="1" max="1" width="4.7109375" bestFit="1" customWidth="1"/>
    <col min="2" max="2" width="41.5703125" customWidth="1"/>
    <col min="3" max="3" width="27.140625" customWidth="1"/>
    <col min="4" max="4" width="39.140625" hidden="1" customWidth="1"/>
    <col min="5" max="5" width="25.140625" customWidth="1"/>
    <col min="6" max="6" width="24.140625" customWidth="1"/>
    <col min="7" max="7" width="25.85546875" bestFit="1" customWidth="1"/>
    <col min="8" max="8" width="20.7109375" bestFit="1" customWidth="1"/>
    <col min="9" max="9" width="26.28515625" customWidth="1"/>
    <col min="10" max="10" width="19.140625" style="130" customWidth="1"/>
    <col min="11" max="12" width="17.85546875" style="130" hidden="1" customWidth="1"/>
    <col min="13" max="13" width="12.42578125" style="130" hidden="1" customWidth="1"/>
    <col min="14" max="14" width="9.5703125" style="130" hidden="1" customWidth="1"/>
    <col min="15" max="15" width="11.42578125" style="130" hidden="1" customWidth="1"/>
    <col min="16" max="16" width="17.85546875" style="130" hidden="1" customWidth="1"/>
    <col min="17" max="17" width="16.42578125" style="130" hidden="1" customWidth="1"/>
    <col min="18" max="18" width="11.42578125" style="130" customWidth="1"/>
    <col min="19" max="44" width="11.42578125" style="130"/>
  </cols>
  <sheetData>
    <row r="1" spans="1:44" x14ac:dyDescent="0.3">
      <c r="A1" s="130"/>
      <c r="B1" s="11" t="s">
        <v>213</v>
      </c>
      <c r="C1" s="401"/>
      <c r="D1" s="389"/>
      <c r="E1" s="390"/>
      <c r="F1" s="390"/>
      <c r="G1" s="390"/>
      <c r="H1" s="382"/>
      <c r="I1" s="130"/>
    </row>
    <row r="2" spans="1:44" s="10" customFormat="1" ht="18" customHeight="1" x14ac:dyDescent="0.3">
      <c r="A2" s="130"/>
      <c r="B2" s="11" t="s">
        <v>72</v>
      </c>
      <c r="C2" s="551"/>
      <c r="D2" s="552"/>
      <c r="E2" s="552"/>
      <c r="F2" s="552"/>
      <c r="G2" s="552"/>
      <c r="H2" s="382"/>
      <c r="I2" s="130"/>
      <c r="J2" s="130"/>
      <c r="K2" s="130"/>
      <c r="L2" s="130"/>
      <c r="M2" s="130"/>
      <c r="N2" s="130"/>
      <c r="O2" s="130"/>
      <c r="P2" s="130"/>
      <c r="Q2" s="130"/>
      <c r="R2" s="130"/>
      <c r="S2" s="130"/>
      <c r="T2" s="130"/>
      <c r="U2" s="130"/>
      <c r="V2" s="130"/>
      <c r="W2" s="130"/>
      <c r="X2" s="130"/>
      <c r="Y2" s="130"/>
      <c r="Z2" s="130"/>
      <c r="AA2" s="130"/>
      <c r="AB2" s="130"/>
      <c r="AC2" s="130"/>
      <c r="AD2" s="130"/>
      <c r="AE2" s="130"/>
      <c r="AF2" s="130"/>
      <c r="AG2" s="130"/>
      <c r="AH2" s="130"/>
      <c r="AI2" s="130"/>
      <c r="AJ2" s="130"/>
      <c r="AK2" s="130"/>
      <c r="AL2" s="130"/>
      <c r="AM2" s="130"/>
      <c r="AN2" s="130"/>
      <c r="AO2" s="130"/>
      <c r="AP2" s="130"/>
      <c r="AQ2" s="130"/>
      <c r="AR2" s="130"/>
    </row>
    <row r="3" spans="1:44" s="10" customFormat="1" ht="18" customHeight="1" x14ac:dyDescent="0.3">
      <c r="A3" s="130"/>
      <c r="B3" s="11" t="s">
        <v>2</v>
      </c>
      <c r="C3" s="727"/>
      <c r="D3" s="728"/>
      <c r="E3" s="728"/>
      <c r="F3" s="728"/>
      <c r="G3" s="728"/>
      <c r="H3" s="382"/>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row>
    <row r="4" spans="1:44" s="10" customFormat="1" ht="18" customHeight="1" x14ac:dyDescent="0.3">
      <c r="A4" s="130"/>
      <c r="B4" s="11" t="s">
        <v>254</v>
      </c>
      <c r="C4" s="553"/>
      <c r="D4" s="554"/>
      <c r="E4" s="554"/>
      <c r="F4" s="554"/>
      <c r="G4" s="554"/>
      <c r="H4" s="382"/>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row>
    <row r="5" spans="1:44" s="10" customFormat="1" ht="18" customHeight="1" x14ac:dyDescent="0.3">
      <c r="A5" s="130"/>
      <c r="B5" s="11" t="s">
        <v>3</v>
      </c>
      <c r="C5" s="553"/>
      <c r="D5" s="554"/>
      <c r="E5" s="554"/>
      <c r="F5" s="554"/>
      <c r="G5" s="554"/>
      <c r="H5" s="382"/>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0"/>
      <c r="AP5" s="130"/>
      <c r="AQ5" s="130"/>
      <c r="AR5" s="130"/>
    </row>
    <row r="6" spans="1:44" s="10" customFormat="1" ht="18" customHeight="1" x14ac:dyDescent="0.3">
      <c r="A6" s="130"/>
      <c r="B6" s="11" t="s">
        <v>272</v>
      </c>
      <c r="C6" s="553">
        <v>2</v>
      </c>
      <c r="D6" s="554"/>
      <c r="E6" s="554"/>
      <c r="F6" s="554"/>
      <c r="G6" s="554"/>
      <c r="H6" s="382"/>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row>
    <row r="7" spans="1:44" s="10" customFormat="1" ht="18" customHeight="1" x14ac:dyDescent="0.3">
      <c r="A7" s="130"/>
      <c r="B7" s="11" t="s">
        <v>4</v>
      </c>
      <c r="C7" s="553"/>
      <c r="D7" s="554"/>
      <c r="E7" s="554"/>
      <c r="F7" s="554"/>
      <c r="G7" s="554"/>
      <c r="H7" s="382"/>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row>
    <row r="8" spans="1:44" s="10" customFormat="1" ht="18" customHeight="1" x14ac:dyDescent="0.3">
      <c r="A8" s="130"/>
      <c r="B8" s="11" t="s">
        <v>5</v>
      </c>
      <c r="C8" s="553"/>
      <c r="D8" s="554"/>
      <c r="E8" s="554"/>
      <c r="F8" s="554"/>
      <c r="G8" s="554"/>
      <c r="H8" s="382"/>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0"/>
      <c r="AI8" s="130"/>
      <c r="AJ8" s="130"/>
      <c r="AK8" s="130"/>
      <c r="AL8" s="130"/>
      <c r="AM8" s="130"/>
      <c r="AN8" s="130"/>
      <c r="AO8" s="130"/>
      <c r="AP8" s="130"/>
      <c r="AQ8" s="130"/>
      <c r="AR8" s="130"/>
    </row>
    <row r="9" spans="1:44" s="10" customFormat="1" ht="18" customHeight="1" x14ac:dyDescent="0.3">
      <c r="A9" s="130"/>
      <c r="B9" s="130"/>
      <c r="C9" s="130"/>
      <c r="D9" s="28"/>
      <c r="E9" s="28"/>
      <c r="F9" s="28"/>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row>
    <row r="10" spans="1:44" s="10" customFormat="1" ht="18" customHeight="1" x14ac:dyDescent="0.3">
      <c r="A10" s="130"/>
      <c r="B10" s="202" t="s">
        <v>349</v>
      </c>
      <c r="C10" s="480"/>
      <c r="D10" s="28"/>
      <c r="E10" s="126" t="s">
        <v>255</v>
      </c>
      <c r="F10" s="126" t="s">
        <v>256</v>
      </c>
      <c r="G10" s="130"/>
      <c r="H10" s="130"/>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c r="AG10" s="130"/>
      <c r="AH10" s="130"/>
      <c r="AI10" s="130"/>
      <c r="AJ10" s="130"/>
      <c r="AK10" s="130"/>
      <c r="AL10" s="130"/>
      <c r="AM10" s="130"/>
      <c r="AN10" s="130"/>
      <c r="AO10" s="130"/>
      <c r="AP10" s="130"/>
      <c r="AQ10" s="130"/>
      <c r="AR10" s="130"/>
    </row>
    <row r="11" spans="1:44" s="10" customFormat="1" ht="18" customHeight="1" x14ac:dyDescent="0.3">
      <c r="A11" s="130"/>
      <c r="B11" s="202" t="s">
        <v>221</v>
      </c>
      <c r="C11" s="399" t="s">
        <v>240</v>
      </c>
      <c r="D11" s="205"/>
      <c r="E11" s="402"/>
      <c r="F11" s="402"/>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0"/>
      <c r="AK11" s="130"/>
      <c r="AL11" s="130"/>
      <c r="AM11" s="130"/>
      <c r="AN11" s="130"/>
      <c r="AO11" s="130"/>
      <c r="AP11" s="130"/>
      <c r="AQ11" s="130"/>
      <c r="AR11" s="130"/>
    </row>
    <row r="12" spans="1:44" s="10" customFormat="1" ht="18" customHeight="1" x14ac:dyDescent="0.3">
      <c r="A12" s="130"/>
      <c r="B12" s="202" t="s">
        <v>445</v>
      </c>
      <c r="C12" s="400"/>
      <c r="D12" s="205"/>
      <c r="E12" s="485" t="str">
        <f>IF(C12="OUI","N'OUBLIEZ PAS DE REMPLIR LA FEUILLE ACTUALISATION","")</f>
        <v/>
      </c>
      <c r="F12" s="485"/>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0"/>
      <c r="AH12" s="130"/>
      <c r="AI12" s="130"/>
      <c r="AJ12" s="130"/>
      <c r="AK12" s="130"/>
      <c r="AL12" s="130"/>
      <c r="AM12" s="130"/>
      <c r="AN12" s="130"/>
      <c r="AO12" s="130"/>
      <c r="AP12" s="130"/>
      <c r="AQ12" s="130"/>
      <c r="AR12" s="130"/>
    </row>
    <row r="13" spans="1:44" s="10" customFormat="1" ht="38.25" customHeight="1" x14ac:dyDescent="0.3">
      <c r="A13" s="130"/>
      <c r="B13" s="729" t="str">
        <f>IF(C12="REVISION","ELEMENTS DE REVISION","")</f>
        <v/>
      </c>
      <c r="C13" s="234" t="str">
        <f>IF(C12="REVISION","Mois M0  format mm/aa"," ")</f>
        <v xml:space="preserve"> </v>
      </c>
      <c r="D13" s="203"/>
      <c r="E13" s="391"/>
      <c r="F13" s="56" t="str">
        <f>IF(C12="REVISION","indice de révison"," ")</f>
        <v xml:space="preserve"> </v>
      </c>
      <c r="G13" s="498"/>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0"/>
      <c r="AH13" s="130"/>
      <c r="AI13" s="130"/>
      <c r="AJ13" s="130"/>
      <c r="AK13" s="130"/>
      <c r="AL13" s="130"/>
      <c r="AM13" s="130"/>
      <c r="AN13" s="130"/>
      <c r="AO13" s="130"/>
      <c r="AP13" s="130"/>
      <c r="AQ13" s="130"/>
      <c r="AR13" s="130"/>
    </row>
    <row r="14" spans="1:44" s="10" customFormat="1" ht="18" customHeight="1" x14ac:dyDescent="0.3">
      <c r="A14" s="130"/>
      <c r="B14" s="130"/>
      <c r="C14" s="130"/>
      <c r="D14" s="130"/>
      <c r="E14" s="28"/>
      <c r="F14" s="56" t="str">
        <f>IF(C12="REVISION","indice du Mo"," ")</f>
        <v xml:space="preserve"> </v>
      </c>
      <c r="G14" s="499"/>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row>
    <row r="15" spans="1:44" s="10" customFormat="1" ht="18" customHeight="1" x14ac:dyDescent="0.3">
      <c r="A15" s="130"/>
      <c r="B15" s="130"/>
      <c r="C15" s="130"/>
      <c r="D15" s="130"/>
      <c r="E15" s="130"/>
      <c r="F15" s="130"/>
      <c r="G15" s="130"/>
      <c r="H15" s="130"/>
      <c r="I15" s="130"/>
      <c r="J15" s="130"/>
      <c r="K15" s="130"/>
      <c r="L15" s="130"/>
      <c r="M15" s="130"/>
      <c r="N15" s="130"/>
      <c r="O15" s="130"/>
      <c r="P15" s="130"/>
      <c r="Q15" s="130"/>
      <c r="R15" s="130"/>
      <c r="S15" s="130"/>
      <c r="T15" s="130"/>
      <c r="U15" s="130"/>
      <c r="V15" s="130"/>
      <c r="W15" s="130"/>
      <c r="X15" s="130"/>
      <c r="Y15" s="130"/>
      <c r="Z15" s="130"/>
      <c r="AA15" s="130"/>
      <c r="AB15" s="130"/>
      <c r="AC15" s="130"/>
      <c r="AD15" s="130"/>
      <c r="AE15" s="130"/>
      <c r="AF15" s="130"/>
      <c r="AG15" s="130"/>
      <c r="AH15" s="130"/>
      <c r="AI15" s="130"/>
      <c r="AJ15" s="130"/>
      <c r="AK15" s="130"/>
      <c r="AL15" s="130"/>
      <c r="AM15" s="130"/>
      <c r="AN15" s="130"/>
      <c r="AO15" s="130"/>
      <c r="AP15" s="130"/>
      <c r="AQ15" s="130"/>
      <c r="AR15" s="130"/>
    </row>
    <row r="16" spans="1:44" s="10" customFormat="1" ht="18" customHeight="1" x14ac:dyDescent="0.3">
      <c r="A16" s="130"/>
      <c r="B16" s="548" t="s">
        <v>7</v>
      </c>
      <c r="C16" s="548"/>
      <c r="D16" s="548"/>
      <c r="E16" s="548"/>
      <c r="F16" s="548"/>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row>
    <row r="17" spans="1:44" s="10" customFormat="1" ht="18" customHeight="1" x14ac:dyDescent="0.3">
      <c r="A17" s="130"/>
      <c r="B17" s="11" t="s">
        <v>8</v>
      </c>
      <c r="C17" s="398"/>
      <c r="D17" s="16"/>
      <c r="E17" s="398"/>
      <c r="F17" s="17" t="s">
        <v>65</v>
      </c>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row>
    <row r="18" spans="1:44" s="10" customFormat="1" ht="18" customHeight="1" x14ac:dyDescent="0.3">
      <c r="A18" s="130"/>
      <c r="B18" s="11" t="s">
        <v>9</v>
      </c>
      <c r="C18" s="393"/>
      <c r="D18" s="393"/>
      <c r="E18" s="393"/>
      <c r="F18" s="20">
        <f t="shared" ref="F18:F24" si="0">C18+E18</f>
        <v>0</v>
      </c>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row>
    <row r="19" spans="1:44" s="10" customFormat="1" ht="18" customHeight="1" outlineLevel="1" x14ac:dyDescent="0.3">
      <c r="A19" s="130"/>
      <c r="B19" s="11" t="s">
        <v>10</v>
      </c>
      <c r="C19" s="393"/>
      <c r="D19" s="393"/>
      <c r="E19" s="393"/>
      <c r="F19" s="20">
        <f t="shared" si="0"/>
        <v>0</v>
      </c>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row>
    <row r="20" spans="1:44" s="10" customFormat="1" ht="18" customHeight="1" outlineLevel="1" x14ac:dyDescent="0.3">
      <c r="A20" s="130"/>
      <c r="B20" s="11" t="s">
        <v>11</v>
      </c>
      <c r="C20" s="393"/>
      <c r="D20" s="393"/>
      <c r="E20" s="393"/>
      <c r="F20" s="20">
        <f t="shared" si="0"/>
        <v>0</v>
      </c>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row>
    <row r="21" spans="1:44" s="10" customFormat="1" ht="18" customHeight="1" outlineLevel="1" x14ac:dyDescent="0.3">
      <c r="A21" s="130"/>
      <c r="B21" s="11" t="s">
        <v>12</v>
      </c>
      <c r="C21" s="393"/>
      <c r="D21" s="393"/>
      <c r="E21" s="393"/>
      <c r="F21" s="20">
        <f t="shared" si="0"/>
        <v>0</v>
      </c>
      <c r="G21" s="130"/>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130"/>
      <c r="AI21" s="130"/>
      <c r="AJ21" s="130"/>
      <c r="AK21" s="130"/>
      <c r="AL21" s="130"/>
      <c r="AM21" s="130"/>
      <c r="AN21" s="130"/>
      <c r="AO21" s="130"/>
      <c r="AP21" s="130"/>
      <c r="AQ21" s="130"/>
      <c r="AR21" s="130"/>
    </row>
    <row r="22" spans="1:44" s="10" customFormat="1" ht="18" customHeight="1" x14ac:dyDescent="0.3">
      <c r="A22" s="130"/>
      <c r="B22" s="11" t="s">
        <v>13</v>
      </c>
      <c r="C22" s="393"/>
      <c r="D22" s="393"/>
      <c r="E22" s="393"/>
      <c r="F22" s="20">
        <f t="shared" si="0"/>
        <v>0</v>
      </c>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0"/>
      <c r="AH22" s="130"/>
      <c r="AI22" s="130"/>
      <c r="AJ22" s="130"/>
      <c r="AK22" s="130"/>
      <c r="AL22" s="130"/>
      <c r="AM22" s="130"/>
      <c r="AN22" s="130"/>
      <c r="AO22" s="130"/>
      <c r="AP22" s="130"/>
      <c r="AQ22" s="130"/>
      <c r="AR22" s="130"/>
    </row>
    <row r="23" spans="1:44" s="10" customFormat="1" ht="18" customHeight="1" x14ac:dyDescent="0.3">
      <c r="A23" s="130"/>
      <c r="B23" s="11" t="s">
        <v>73</v>
      </c>
      <c r="C23" s="393"/>
      <c r="D23" s="393"/>
      <c r="E23" s="393"/>
      <c r="F23" s="20">
        <f t="shared" si="0"/>
        <v>0</v>
      </c>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row>
    <row r="24" spans="1:44" s="10" customFormat="1" ht="18" customHeight="1" x14ac:dyDescent="0.3">
      <c r="A24" s="130"/>
      <c r="B24" s="24" t="s">
        <v>14</v>
      </c>
      <c r="C24" s="27">
        <f>SUM(C18:C22)-C23</f>
        <v>0</v>
      </c>
      <c r="D24" s="27"/>
      <c r="E24" s="27">
        <f>SUM(E18:E22)-E23</f>
        <v>0</v>
      </c>
      <c r="F24" s="20">
        <f t="shared" si="0"/>
        <v>0</v>
      </c>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row>
    <row r="25" spans="1:44" s="10" customFormat="1" ht="18" customHeight="1" x14ac:dyDescent="0.3">
      <c r="A25" s="130"/>
      <c r="B25" s="24" t="s">
        <v>15</v>
      </c>
      <c r="C25" s="27">
        <f>C24*C17</f>
        <v>0</v>
      </c>
      <c r="D25" s="27"/>
      <c r="E25" s="27">
        <f>E24*E17</f>
        <v>0</v>
      </c>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row>
    <row r="26" spans="1:44" s="10" customFormat="1" ht="18" customHeight="1" x14ac:dyDescent="0.3">
      <c r="A26" s="130"/>
      <c r="B26" s="24" t="s">
        <v>16</v>
      </c>
      <c r="C26" s="27">
        <f>C24+C25</f>
        <v>0</v>
      </c>
      <c r="D26" s="27"/>
      <c r="E26" s="27">
        <f>E24+E25</f>
        <v>0</v>
      </c>
      <c r="F26" s="130"/>
      <c r="G26" s="130"/>
      <c r="H26" s="130"/>
      <c r="I26" s="130"/>
      <c r="J26" s="130"/>
      <c r="K26" s="47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row>
    <row r="27" spans="1:44" s="10" customFormat="1" ht="18" customHeight="1" x14ac:dyDescent="0.3">
      <c r="A27" s="130"/>
      <c r="B27" s="24" t="s">
        <v>17</v>
      </c>
      <c r="C27" s="549">
        <f>C26+E26</f>
        <v>0</v>
      </c>
      <c r="D27" s="549"/>
      <c r="E27" s="549"/>
      <c r="F27" s="130"/>
      <c r="G27" s="130"/>
      <c r="H27" s="130"/>
      <c r="I27" s="130"/>
      <c r="J27" s="130"/>
      <c r="K27" s="47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row>
    <row r="28" spans="1:44" s="10" customFormat="1" ht="18" customHeight="1" thickBot="1" x14ac:dyDescent="0.35">
      <c r="A28" s="130"/>
      <c r="B28" s="204"/>
      <c r="C28" s="61"/>
      <c r="D28" s="61"/>
      <c r="E28" s="61"/>
      <c r="F28" s="130"/>
      <c r="G28" s="130"/>
      <c r="H28" s="130"/>
      <c r="I28" s="130"/>
      <c r="J28" s="130"/>
      <c r="K28" s="47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row>
    <row r="29" spans="1:44" s="10" customFormat="1" ht="18" customHeight="1" x14ac:dyDescent="0.3">
      <c r="A29" s="130"/>
      <c r="B29" s="539" t="s">
        <v>34</v>
      </c>
      <c r="C29" s="539" t="s">
        <v>35</v>
      </c>
      <c r="D29" s="539"/>
      <c r="E29" s="539"/>
      <c r="F29" s="180" t="s">
        <v>266</v>
      </c>
      <c r="G29" s="182" t="s">
        <v>266</v>
      </c>
      <c r="H29" s="185" t="s">
        <v>220</v>
      </c>
      <c r="I29" s="186" t="s">
        <v>220</v>
      </c>
      <c r="J29" s="130"/>
      <c r="K29" s="47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0"/>
      <c r="AL29" s="130"/>
      <c r="AM29" s="130"/>
      <c r="AN29" s="130"/>
      <c r="AO29" s="130"/>
      <c r="AP29" s="130"/>
      <c r="AQ29" s="130"/>
      <c r="AR29" s="130"/>
    </row>
    <row r="30" spans="1:44" s="10" customFormat="1" ht="18" customHeight="1" thickBot="1" x14ac:dyDescent="0.35">
      <c r="A30" s="130"/>
      <c r="B30" s="539"/>
      <c r="C30" s="539"/>
      <c r="D30" s="539"/>
      <c r="E30" s="539"/>
      <c r="F30" s="210">
        <f>C17</f>
        <v>0</v>
      </c>
      <c r="G30" s="211">
        <f>E17</f>
        <v>0</v>
      </c>
      <c r="H30" s="518" t="str">
        <f>"TVA"&amp;" "&amp;"20%"</f>
        <v>TVA 20%</v>
      </c>
      <c r="I30" s="519" t="str">
        <f>"TVA"&amp;" "&amp;"10%"</f>
        <v>TVA 10%</v>
      </c>
      <c r="J30" s="130"/>
      <c r="K30" s="47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N30" s="130"/>
      <c r="AO30" s="130"/>
      <c r="AP30" s="130"/>
      <c r="AQ30" s="130"/>
      <c r="AR30" s="130"/>
    </row>
    <row r="31" spans="1:44" s="10" customFormat="1" ht="18" customHeight="1" x14ac:dyDescent="0.3">
      <c r="A31" s="130"/>
      <c r="B31" s="212" t="s">
        <v>1</v>
      </c>
      <c r="C31" s="550">
        <f>C5</f>
        <v>0</v>
      </c>
      <c r="D31" s="550"/>
      <c r="E31" s="550"/>
      <c r="F31" s="27">
        <f>SUMIF(B38:B142,"Titulaire",(E38:E142))</f>
        <v>0</v>
      </c>
      <c r="G31" s="27">
        <f>SUMIF(B38:B142,"Titulaire",(F38:F142))</f>
        <v>0</v>
      </c>
      <c r="H31" s="516">
        <f>SUMIF(B38:B142,"Titulaire",(G38:G142))</f>
        <v>0</v>
      </c>
      <c r="I31" s="517">
        <f>SUMIF(B38:B142,"Titulaire",(H38:H142))</f>
        <v>0</v>
      </c>
      <c r="J31" s="130"/>
      <c r="K31" s="471">
        <f>SUMIF(B38:B120,"Titulaire",(E38:E120))</f>
        <v>0</v>
      </c>
      <c r="L31" s="471">
        <f>SUMIF(C38:C120,"Titulaire",(F38:F120))</f>
        <v>0</v>
      </c>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row>
    <row r="32" spans="1:44" s="10" customFormat="1" ht="18" customHeight="1" x14ac:dyDescent="0.3">
      <c r="A32" s="130"/>
      <c r="B32" s="212" t="s">
        <v>247</v>
      </c>
      <c r="C32" s="550">
        <f>C6</f>
        <v>2</v>
      </c>
      <c r="D32" s="550"/>
      <c r="E32" s="550"/>
      <c r="F32" s="27">
        <f>SUMIF($B$38:$B$142,"Cotraitant",(E38:E142))</f>
        <v>0</v>
      </c>
      <c r="G32" s="27">
        <f>SUMIF($B$38:$B$142,"Cotraitant",(F38:F142))</f>
        <v>0</v>
      </c>
      <c r="H32" s="27">
        <f>SUMIF($B$38:$B$142,"Cotraitant",(G38:G142))</f>
        <v>0</v>
      </c>
      <c r="I32" s="27">
        <f>SUMIF($B$38:$B$142,"Cotraitant",(H38:H142))</f>
        <v>0</v>
      </c>
      <c r="J32" s="130"/>
      <c r="K32" s="471">
        <f>SUMIF(B38:B120,"Cotraitant",(E38:E120))</f>
        <v>0</v>
      </c>
      <c r="L32" s="471">
        <f>SUMIF(C39:C121,"Titulaire",(F39:F121))</f>
        <v>0</v>
      </c>
      <c r="M32" s="130"/>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row>
    <row r="33" spans="1:44" s="10" customFormat="1" ht="18" customHeight="1" x14ac:dyDescent="0.3">
      <c r="A33" s="130"/>
      <c r="B33" s="130"/>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30"/>
      <c r="AN33" s="130"/>
      <c r="AO33" s="130"/>
      <c r="AP33" s="130"/>
      <c r="AQ33" s="130"/>
      <c r="AR33" s="130"/>
    </row>
    <row r="34" spans="1:44" s="10" customFormat="1" ht="18" customHeight="1" x14ac:dyDescent="0.3">
      <c r="A34" s="130"/>
      <c r="B34" s="190" t="s">
        <v>33</v>
      </c>
      <c r="C34" s="17" t="s">
        <v>273</v>
      </c>
      <c r="D34" s="214"/>
      <c r="E34" s="13" t="s">
        <v>274</v>
      </c>
      <c r="F34" s="475" t="s">
        <v>343</v>
      </c>
      <c r="G34" s="536" t="s">
        <v>405</v>
      </c>
      <c r="H34" s="536"/>
      <c r="I34" s="536" t="s">
        <v>406</v>
      </c>
      <c r="J34" s="536"/>
      <c r="K34" s="533" t="s">
        <v>350</v>
      </c>
      <c r="L34" s="533"/>
      <c r="M34" s="533" t="s">
        <v>351</v>
      </c>
      <c r="N34" s="533"/>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row>
    <row r="35" spans="1:44" s="10" customFormat="1" ht="18" customHeight="1" thickBot="1" x14ac:dyDescent="0.35">
      <c r="A35" s="537" t="s">
        <v>244</v>
      </c>
      <c r="B35" s="537"/>
      <c r="C35" s="178">
        <f>F18</f>
        <v>0</v>
      </c>
      <c r="D35" s="11"/>
      <c r="E35" s="178">
        <f>C35-(E38+E48+F38+F48)</f>
        <v>0</v>
      </c>
      <c r="F35" s="476"/>
      <c r="G35" s="534"/>
      <c r="H35" s="534"/>
      <c r="I35" s="535"/>
      <c r="J35" s="535"/>
      <c r="K35" s="481">
        <f>C17</f>
        <v>0</v>
      </c>
      <c r="L35" s="481">
        <f>E17</f>
        <v>0</v>
      </c>
      <c r="M35" s="482">
        <f>C17</f>
        <v>0</v>
      </c>
      <c r="N35" s="482">
        <f>E17</f>
        <v>0</v>
      </c>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row>
    <row r="36" spans="1:44" s="10" customFormat="1" ht="18" customHeight="1" x14ac:dyDescent="0.3">
      <c r="A36" s="540" t="s">
        <v>244</v>
      </c>
      <c r="B36" s="538" t="s">
        <v>34</v>
      </c>
      <c r="C36" s="539" t="s">
        <v>35</v>
      </c>
      <c r="D36" s="206"/>
      <c r="E36" s="180" t="s">
        <v>242</v>
      </c>
      <c r="F36" s="182" t="str">
        <f>E36</f>
        <v>Montant intial TVA</v>
      </c>
      <c r="G36" s="507" t="s">
        <v>220</v>
      </c>
      <c r="H36" s="514" t="s">
        <v>220</v>
      </c>
      <c r="I36" s="530" t="s">
        <v>428</v>
      </c>
      <c r="J36" s="130"/>
      <c r="K36" s="477">
        <f>SUM(K38:K41)</f>
        <v>0</v>
      </c>
      <c r="L36" s="477">
        <f t="shared" ref="L36:N36" si="1">SUM(L38:L41)</f>
        <v>0</v>
      </c>
      <c r="M36" s="477">
        <f t="shared" si="1"/>
        <v>0</v>
      </c>
      <c r="N36" s="477">
        <f t="shared" si="1"/>
        <v>0</v>
      </c>
      <c r="O36" s="130"/>
      <c r="P36" s="513" t="s">
        <v>431</v>
      </c>
      <c r="Q36" s="502" t="s">
        <v>431</v>
      </c>
      <c r="R36" s="130"/>
      <c r="S36" s="130"/>
      <c r="T36" s="130"/>
      <c r="U36" s="130"/>
      <c r="V36" s="130"/>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row>
    <row r="37" spans="1:44" s="10" customFormat="1" ht="18" customHeight="1" x14ac:dyDescent="0.3">
      <c r="A37" s="541"/>
      <c r="B37" s="538"/>
      <c r="C37" s="539"/>
      <c r="D37" s="207"/>
      <c r="E37" s="181">
        <f>C17</f>
        <v>0</v>
      </c>
      <c r="F37" s="183">
        <f>E17</f>
        <v>0</v>
      </c>
      <c r="G37" s="187" t="str">
        <f>"TVA"&amp;" "&amp;$C$17*100&amp;"%"</f>
        <v>TVA 0%</v>
      </c>
      <c r="H37" s="187" t="str">
        <f>"TVA"&amp;" "&amp;$E$17*100&amp;"%"</f>
        <v>TVA 0%</v>
      </c>
      <c r="I37" s="531"/>
      <c r="J37" s="130"/>
      <c r="O37" s="533" t="s">
        <v>432</v>
      </c>
      <c r="P37" s="522">
        <f>E38-P39</f>
        <v>0</v>
      </c>
      <c r="Q37" s="130">
        <f>F38-Q39</f>
        <v>0</v>
      </c>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row>
    <row r="38" spans="1:44" s="10" customFormat="1" ht="18" customHeight="1" thickBot="1" x14ac:dyDescent="0.35">
      <c r="A38" s="541"/>
      <c r="B38" s="192" t="s">
        <v>1</v>
      </c>
      <c r="C38" s="42">
        <f>C5</f>
        <v>0</v>
      </c>
      <c r="D38" s="208"/>
      <c r="E38" s="131">
        <f>(C18-E48)</f>
        <v>0</v>
      </c>
      <c r="F38" s="179">
        <f>E18-F48</f>
        <v>0</v>
      </c>
      <c r="G38" s="188">
        <f>E38-SUM(G39:G44)</f>
        <v>0</v>
      </c>
      <c r="H38" s="515">
        <f>F38-SUM(H39:H44)</f>
        <v>0</v>
      </c>
      <c r="I38" s="532"/>
      <c r="J38" s="130"/>
      <c r="K38" s="474">
        <f>IF(F35="OUI",P37,0)</f>
        <v>0</v>
      </c>
      <c r="L38" s="474">
        <f>IF(F35="OUI",Q37,0)</f>
        <v>0</v>
      </c>
      <c r="M38" s="474">
        <f>IF($F$35="OUI",P47,0)</f>
        <v>0</v>
      </c>
      <c r="N38" s="474">
        <f>IF($F$35="OUI",Q47,0)</f>
        <v>0</v>
      </c>
      <c r="O38" s="533"/>
      <c r="P38" s="521">
        <f>E37</f>
        <v>0</v>
      </c>
      <c r="Q38" s="482">
        <f>F37</f>
        <v>0</v>
      </c>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row>
    <row r="39" spans="1:44" s="10" customFormat="1" ht="18" customHeight="1" x14ac:dyDescent="0.3">
      <c r="A39" s="541"/>
      <c r="B39" s="397"/>
      <c r="C39" s="394"/>
      <c r="D39" s="209" t="str">
        <f>B39&amp;" "&amp;C39&amp;" "&amp;"("&amp;$B$38&amp;")"</f>
        <v xml:space="preserve">  (Titulaire)</v>
      </c>
      <c r="E39" s="132"/>
      <c r="F39" s="545" t="s">
        <v>243</v>
      </c>
      <c r="G39" s="395"/>
      <c r="H39" s="395"/>
      <c r="I39" s="523"/>
      <c r="J39" s="130"/>
      <c r="K39" s="474">
        <f>IF($F$57="OUI",P60,0)</f>
        <v>0</v>
      </c>
      <c r="L39" s="474">
        <f>IF($F$57="OUI",Q60,0)</f>
        <v>0</v>
      </c>
      <c r="M39" s="474">
        <f>IF($F$57="OUI",P69,0)</f>
        <v>0</v>
      </c>
      <c r="N39" s="474">
        <f>IF($F$57="OUI",Q69,0)</f>
        <v>0</v>
      </c>
      <c r="O39" s="533"/>
      <c r="P39" s="130">
        <f>SUMIF($I$39:$I$44,"OUI",G39:G44)</f>
        <v>0</v>
      </c>
      <c r="Q39" s="130">
        <f>SUMIF($I$39:$I$44,"OUI",H39:H44)</f>
        <v>0</v>
      </c>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row>
    <row r="40" spans="1:44" s="10" customFormat="1" ht="18" customHeight="1" x14ac:dyDescent="0.3">
      <c r="A40" s="541"/>
      <c r="B40" s="397"/>
      <c r="C40" s="394"/>
      <c r="D40" s="209" t="str">
        <f t="shared" ref="D40:D44" si="2">B40&amp;" "&amp;C40&amp;" "&amp;"("&amp;$B$38&amp;")"</f>
        <v xml:space="preserve">  (Titulaire)</v>
      </c>
      <c r="E40" s="133"/>
      <c r="F40" s="546"/>
      <c r="G40" s="395"/>
      <c r="H40" s="396"/>
      <c r="I40" s="523"/>
      <c r="J40" s="130"/>
      <c r="K40" s="474">
        <f>IF($F$79="OUI",P81,0)</f>
        <v>0</v>
      </c>
      <c r="L40" s="474">
        <f>IF($F$79="OUI",Q81,0)</f>
        <v>0</v>
      </c>
      <c r="M40" s="474">
        <f>IF($F$79="OUI",P91,0)</f>
        <v>0</v>
      </c>
      <c r="N40" s="474">
        <f>IF($F$79="OUI",Q91,0)</f>
        <v>0</v>
      </c>
      <c r="O40" s="130"/>
      <c r="P40" s="130"/>
      <c r="Q40" s="130"/>
      <c r="R40" s="130"/>
      <c r="S40" s="130"/>
      <c r="T40" s="130"/>
      <c r="U40" s="130"/>
      <c r="V40" s="130"/>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row>
    <row r="41" spans="1:44" s="10" customFormat="1" ht="18" customHeight="1" x14ac:dyDescent="0.3">
      <c r="A41" s="541"/>
      <c r="B41" s="397"/>
      <c r="C41" s="394"/>
      <c r="D41" s="209" t="str">
        <f t="shared" si="2"/>
        <v xml:space="preserve">  (Titulaire)</v>
      </c>
      <c r="E41" s="133"/>
      <c r="F41" s="546"/>
      <c r="G41" s="395"/>
      <c r="H41" s="396"/>
      <c r="I41" s="523"/>
      <c r="J41" s="130"/>
      <c r="K41" s="474">
        <f>IF($F$101="OUI",P103,0)</f>
        <v>0</v>
      </c>
      <c r="L41" s="474">
        <f>IF($F$101="OUI",Q103,0)</f>
        <v>0</v>
      </c>
      <c r="M41" s="474">
        <f>IF($F$101="OUI",P113,0)</f>
        <v>0</v>
      </c>
      <c r="N41" s="474">
        <f>IF($F$101="OUI",Q113,0)</f>
        <v>0</v>
      </c>
      <c r="O41" s="130"/>
      <c r="P41" s="130"/>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row>
    <row r="42" spans="1:44" s="10" customFormat="1" ht="18" customHeight="1" x14ac:dyDescent="0.3">
      <c r="A42" s="541"/>
      <c r="B42" s="397"/>
      <c r="C42" s="394"/>
      <c r="D42" s="209" t="str">
        <f t="shared" si="2"/>
        <v xml:space="preserve">  (Titulaire)</v>
      </c>
      <c r="E42" s="133"/>
      <c r="F42" s="546"/>
      <c r="G42" s="395"/>
      <c r="H42" s="396"/>
      <c r="I42" s="523"/>
      <c r="J42" s="130"/>
      <c r="K42" s="477"/>
      <c r="L42" s="477"/>
      <c r="M42" s="543"/>
      <c r="N42" s="544"/>
      <c r="O42" s="130"/>
      <c r="P42" s="130"/>
      <c r="Q42" s="130"/>
      <c r="R42" s="130"/>
      <c r="S42" s="130"/>
      <c r="T42" s="130"/>
      <c r="U42" s="130"/>
      <c r="V42" s="130"/>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row>
    <row r="43" spans="1:44" s="10" customFormat="1" ht="18" customHeight="1" x14ac:dyDescent="0.3">
      <c r="A43" s="541"/>
      <c r="B43" s="397"/>
      <c r="C43" s="394"/>
      <c r="D43" s="209" t="str">
        <f t="shared" si="2"/>
        <v xml:space="preserve">  (Titulaire)</v>
      </c>
      <c r="E43" s="133"/>
      <c r="F43" s="546"/>
      <c r="G43" s="395"/>
      <c r="H43" s="396"/>
      <c r="I43" s="523"/>
      <c r="J43" s="130"/>
      <c r="O43" s="130"/>
      <c r="P43" s="130"/>
      <c r="Q43" s="130"/>
      <c r="R43" s="130"/>
      <c r="S43" s="130"/>
      <c r="T43" s="130"/>
      <c r="U43" s="130"/>
      <c r="V43" s="130"/>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row>
    <row r="44" spans="1:44" s="10" customFormat="1" ht="18" customHeight="1" thickBot="1" x14ac:dyDescent="0.35">
      <c r="A44" s="542"/>
      <c r="B44" s="397"/>
      <c r="C44" s="394"/>
      <c r="D44" s="209" t="str">
        <f t="shared" si="2"/>
        <v xml:space="preserve">  (Titulaire)</v>
      </c>
      <c r="E44" s="134"/>
      <c r="F44" s="547"/>
      <c r="G44" s="395"/>
      <c r="H44" s="396"/>
      <c r="I44" s="523"/>
      <c r="J44" s="130"/>
      <c r="K44" s="130"/>
      <c r="L44" s="130"/>
      <c r="M44" s="130"/>
      <c r="N44" s="130"/>
      <c r="O44" s="130"/>
      <c r="P44" s="130"/>
      <c r="Q44" s="130"/>
      <c r="R44" s="130"/>
      <c r="S44" s="130"/>
      <c r="T44" s="130"/>
      <c r="U44" s="130"/>
      <c r="V44" s="130"/>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row>
    <row r="45" spans="1:44" s="194" customFormat="1" ht="18" customHeight="1" x14ac:dyDescent="0.3">
      <c r="A45" s="193"/>
      <c r="B45" s="177"/>
      <c r="C45" s="135"/>
      <c r="D45" s="135"/>
      <c r="E45" s="177"/>
      <c r="F45" s="191"/>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row>
    <row r="46" spans="1:44" s="10" customFormat="1" ht="18" hidden="1" customHeight="1" x14ac:dyDescent="0.3">
      <c r="A46" s="540" t="s">
        <v>244</v>
      </c>
      <c r="B46" s="538" t="s">
        <v>34</v>
      </c>
      <c r="C46" s="539" t="s">
        <v>35</v>
      </c>
      <c r="D46" s="206"/>
      <c r="E46" s="180" t="s">
        <v>242</v>
      </c>
      <c r="F46" s="182" t="str">
        <f>E46</f>
        <v>Montant intial TVA</v>
      </c>
      <c r="G46" s="185" t="s">
        <v>220</v>
      </c>
      <c r="H46" s="186" t="s">
        <v>220</v>
      </c>
      <c r="I46" s="530" t="s">
        <v>428</v>
      </c>
      <c r="J46" s="130"/>
      <c r="K46" s="130"/>
      <c r="L46" s="130"/>
      <c r="M46" s="130"/>
      <c r="N46" s="130"/>
      <c r="O46" s="130"/>
      <c r="P46" s="513" t="s">
        <v>433</v>
      </c>
      <c r="Q46" s="502" t="s">
        <v>433</v>
      </c>
      <c r="R46" s="130"/>
      <c r="S46" s="130"/>
      <c r="T46" s="130"/>
      <c r="U46" s="130"/>
      <c r="V46" s="130"/>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row>
    <row r="47" spans="1:44" s="10" customFormat="1" ht="18" hidden="1" customHeight="1" x14ac:dyDescent="0.3">
      <c r="A47" s="541"/>
      <c r="B47" s="538"/>
      <c r="C47" s="539"/>
      <c r="D47" s="207"/>
      <c r="E47" s="181">
        <f>E37</f>
        <v>0</v>
      </c>
      <c r="F47" s="183">
        <f>F37</f>
        <v>0</v>
      </c>
      <c r="G47" s="187" t="str">
        <f>"TVA"&amp;" "&amp;$C$17*100&amp;"%"</f>
        <v>TVA 0%</v>
      </c>
      <c r="H47" s="187" t="str">
        <f>"TVA"&amp;" "&amp;$E$17*100&amp;"%"</f>
        <v>TVA 0%</v>
      </c>
      <c r="I47" s="531"/>
      <c r="J47" s="130"/>
      <c r="K47" s="130"/>
      <c r="L47" s="130"/>
      <c r="M47" s="130"/>
      <c r="N47" s="130"/>
      <c r="O47" s="533" t="s">
        <v>432</v>
      </c>
      <c r="P47" s="522">
        <f>E48-P49</f>
        <v>0</v>
      </c>
      <c r="Q47" s="130">
        <f>F48-Q49</f>
        <v>0</v>
      </c>
      <c r="R47" s="130"/>
      <c r="S47" s="130"/>
      <c r="T47" s="130"/>
      <c r="U47" s="130"/>
      <c r="V47" s="130"/>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row>
    <row r="48" spans="1:44" ht="19.5" hidden="1" thickBot="1" x14ac:dyDescent="0.35">
      <c r="A48" s="541"/>
      <c r="B48" s="192" t="s">
        <v>247</v>
      </c>
      <c r="C48" s="42">
        <f>C6</f>
        <v>2</v>
      </c>
      <c r="D48" s="184"/>
      <c r="E48" s="449"/>
      <c r="F48" s="449"/>
      <c r="G48" s="188">
        <f>E48-SUM(G49:G54)</f>
        <v>0</v>
      </c>
      <c r="H48" s="189">
        <f>F48-SUM(H49:H54)</f>
        <v>0</v>
      </c>
      <c r="I48" s="532"/>
      <c r="O48" s="533"/>
      <c r="P48" s="521">
        <f>E47</f>
        <v>0</v>
      </c>
      <c r="Q48" s="482">
        <f>F47</f>
        <v>0</v>
      </c>
    </row>
    <row r="49" spans="1:44" hidden="1" x14ac:dyDescent="0.3">
      <c r="A49" s="541"/>
      <c r="B49" s="397"/>
      <c r="C49" s="394"/>
      <c r="D49" s="209" t="str">
        <f>B49&amp;" "&amp;C49&amp;" "&amp;"("&amp;$B$48&amp;")"</f>
        <v xml:space="preserve">  (Cotraitant)</v>
      </c>
      <c r="E49" s="132"/>
      <c r="F49" s="545" t="s">
        <v>243</v>
      </c>
      <c r="G49" s="395"/>
      <c r="H49" s="395"/>
      <c r="I49" s="523"/>
      <c r="O49" s="533"/>
      <c r="P49" s="130">
        <f>SUMIF($I$49:$I$54,"OUI",G49:G54)</f>
        <v>0</v>
      </c>
      <c r="Q49" s="130">
        <f>SUMIF($I$49:$I$54,"OUI",H49:H54)</f>
        <v>0</v>
      </c>
    </row>
    <row r="50" spans="1:44" hidden="1" x14ac:dyDescent="0.3">
      <c r="A50" s="541"/>
      <c r="B50" s="397"/>
      <c r="C50" s="394"/>
      <c r="D50" s="209" t="str">
        <f t="shared" ref="D50:D54" si="3">B50&amp;" "&amp;C50&amp;" "&amp;"("&amp;$B$48&amp;")"</f>
        <v xml:space="preserve">  (Cotraitant)</v>
      </c>
      <c r="E50" s="133"/>
      <c r="F50" s="546"/>
      <c r="G50" s="396"/>
      <c r="H50" s="396"/>
      <c r="I50" s="523"/>
    </row>
    <row r="51" spans="1:44" hidden="1" x14ac:dyDescent="0.3">
      <c r="A51" s="541"/>
      <c r="B51" s="397"/>
      <c r="C51" s="394"/>
      <c r="D51" s="209" t="str">
        <f t="shared" si="3"/>
        <v xml:space="preserve">  (Cotraitant)</v>
      </c>
      <c r="E51" s="133"/>
      <c r="F51" s="546"/>
      <c r="G51" s="396"/>
      <c r="H51" s="396"/>
      <c r="I51" s="523"/>
    </row>
    <row r="52" spans="1:44" hidden="1" x14ac:dyDescent="0.3">
      <c r="A52" s="541"/>
      <c r="B52" s="397"/>
      <c r="C52" s="394"/>
      <c r="D52" s="209" t="str">
        <f t="shared" si="3"/>
        <v xml:space="preserve">  (Cotraitant)</v>
      </c>
      <c r="E52" s="133"/>
      <c r="F52" s="546"/>
      <c r="G52" s="396"/>
      <c r="H52" s="396"/>
      <c r="I52" s="523"/>
    </row>
    <row r="53" spans="1:44" hidden="1" x14ac:dyDescent="0.3">
      <c r="A53" s="541"/>
      <c r="B53" s="397"/>
      <c r="C53" s="394"/>
      <c r="D53" s="209" t="str">
        <f t="shared" si="3"/>
        <v xml:space="preserve">  (Cotraitant)</v>
      </c>
      <c r="E53" s="133"/>
      <c r="F53" s="546"/>
      <c r="G53" s="396"/>
      <c r="H53" s="396"/>
      <c r="I53" s="523"/>
    </row>
    <row r="54" spans="1:44" ht="19.5" hidden="1" thickBot="1" x14ac:dyDescent="0.35">
      <c r="A54" s="542"/>
      <c r="B54" s="397"/>
      <c r="C54" s="394"/>
      <c r="D54" s="209" t="str">
        <f t="shared" si="3"/>
        <v xml:space="preserve">  (Cotraitant)</v>
      </c>
      <c r="E54" s="134"/>
      <c r="F54" s="547"/>
      <c r="G54" s="396"/>
      <c r="H54" s="396"/>
      <c r="I54" s="523"/>
    </row>
    <row r="55" spans="1:44" s="195" customFormat="1" x14ac:dyDescent="0.3">
      <c r="A55" s="193"/>
      <c r="B55" s="177"/>
      <c r="C55" s="135"/>
      <c r="D55" s="135"/>
      <c r="E55" s="177"/>
      <c r="F55" s="191"/>
      <c r="G55" s="130"/>
      <c r="H55" s="130"/>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c r="AI55" s="130"/>
      <c r="AJ55" s="130"/>
      <c r="AK55" s="130"/>
      <c r="AL55" s="130"/>
      <c r="AM55" s="130"/>
      <c r="AN55" s="130"/>
      <c r="AO55" s="130"/>
      <c r="AP55" s="130"/>
      <c r="AQ55" s="130"/>
      <c r="AR55" s="130"/>
    </row>
    <row r="56" spans="1:44" s="195" customFormat="1" x14ac:dyDescent="0.3">
      <c r="A56" s="193"/>
      <c r="B56" s="177"/>
      <c r="C56" s="17" t="s">
        <v>273</v>
      </c>
      <c r="D56" s="214"/>
      <c r="E56" s="13" t="s">
        <v>274</v>
      </c>
      <c r="F56" s="475" t="s">
        <v>343</v>
      </c>
      <c r="G56" s="536" t="s">
        <v>405</v>
      </c>
      <c r="H56" s="536"/>
      <c r="I56" s="536" t="s">
        <v>406</v>
      </c>
      <c r="J56" s="536"/>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c r="AI56" s="130"/>
      <c r="AJ56" s="130"/>
      <c r="AK56" s="130"/>
      <c r="AL56" s="130"/>
      <c r="AM56" s="130"/>
      <c r="AN56" s="130"/>
      <c r="AO56" s="130"/>
      <c r="AP56" s="130"/>
      <c r="AQ56" s="130"/>
      <c r="AR56" s="130"/>
    </row>
    <row r="57" spans="1:44" ht="19.5" thickBot="1" x14ac:dyDescent="0.35">
      <c r="A57" s="196" t="s">
        <v>245</v>
      </c>
      <c r="B57" s="196"/>
      <c r="C57" s="178">
        <f>F19</f>
        <v>0</v>
      </c>
      <c r="D57" s="11"/>
      <c r="E57" s="178">
        <f>C57-(E60+E70+F60+F70)</f>
        <v>0</v>
      </c>
      <c r="F57" s="476"/>
      <c r="G57" s="534"/>
      <c r="H57" s="534"/>
      <c r="I57" s="535"/>
      <c r="J57" s="535"/>
    </row>
    <row r="58" spans="1:44" ht="18.75" customHeight="1" x14ac:dyDescent="0.3">
      <c r="A58" s="540" t="str">
        <f>A57</f>
        <v>Tranche OPTIONNELLE 1</v>
      </c>
      <c r="B58" s="538" t="s">
        <v>34</v>
      </c>
      <c r="C58" s="539" t="s">
        <v>35</v>
      </c>
      <c r="D58" s="206"/>
      <c r="E58" s="180" t="s">
        <v>242</v>
      </c>
      <c r="F58" s="182" t="str">
        <f>E58</f>
        <v>Montant intial TVA</v>
      </c>
      <c r="G58" s="185" t="s">
        <v>220</v>
      </c>
      <c r="H58" s="186" t="s">
        <v>220</v>
      </c>
      <c r="I58" s="530" t="s">
        <v>428</v>
      </c>
    </row>
    <row r="59" spans="1:44" x14ac:dyDescent="0.3">
      <c r="A59" s="541"/>
      <c r="B59" s="538"/>
      <c r="C59" s="539"/>
      <c r="D59" s="207"/>
      <c r="E59" s="181">
        <f>E47</f>
        <v>0</v>
      </c>
      <c r="F59" s="183">
        <f>F47</f>
        <v>0</v>
      </c>
      <c r="G59" s="187" t="str">
        <f>"TVA"&amp;" "&amp;$C$17*100&amp;"%"</f>
        <v>TVA 0%</v>
      </c>
      <c r="H59" s="187" t="str">
        <f>"TVA"&amp;" "&amp;$E$17*100&amp;"%"</f>
        <v>TVA 0%</v>
      </c>
      <c r="I59" s="531"/>
      <c r="P59" s="513" t="s">
        <v>430</v>
      </c>
      <c r="Q59" s="502" t="s">
        <v>430</v>
      </c>
    </row>
    <row r="60" spans="1:44" ht="19.5" thickBot="1" x14ac:dyDescent="0.35">
      <c r="A60" s="541"/>
      <c r="B60" s="192" t="s">
        <v>1</v>
      </c>
      <c r="C60" s="42">
        <f>C38</f>
        <v>0</v>
      </c>
      <c r="D60" s="208"/>
      <c r="E60" s="131">
        <f>C19-E70</f>
        <v>0</v>
      </c>
      <c r="F60" s="131">
        <f>E19-F70</f>
        <v>0</v>
      </c>
      <c r="G60" s="188">
        <f>E60-SUM(G61:G66)</f>
        <v>0</v>
      </c>
      <c r="H60" s="189">
        <f>F60-SUM(H61:H66)</f>
        <v>0</v>
      </c>
      <c r="I60" s="532"/>
      <c r="O60" s="533" t="s">
        <v>434</v>
      </c>
      <c r="P60" s="522">
        <f>E60-P62</f>
        <v>0</v>
      </c>
      <c r="Q60" s="130">
        <f>F60-Q62</f>
        <v>0</v>
      </c>
    </row>
    <row r="61" spans="1:44" x14ac:dyDescent="0.3">
      <c r="A61" s="541"/>
      <c r="B61" s="397"/>
      <c r="C61" s="394"/>
      <c r="D61" s="209" t="str">
        <f>B61&amp;" "&amp;C61&amp;" "&amp;"("&amp;$B$60&amp;")"</f>
        <v xml:space="preserve">  (Titulaire)</v>
      </c>
      <c r="E61" s="132"/>
      <c r="F61" s="545" t="s">
        <v>243</v>
      </c>
      <c r="G61" s="395"/>
      <c r="H61" s="395"/>
      <c r="I61" s="523"/>
      <c r="O61" s="533"/>
      <c r="P61" s="521">
        <f>E59</f>
        <v>0</v>
      </c>
      <c r="Q61" s="521">
        <f>F59</f>
        <v>0</v>
      </c>
    </row>
    <row r="62" spans="1:44" x14ac:dyDescent="0.3">
      <c r="A62" s="541"/>
      <c r="B62" s="397"/>
      <c r="C62" s="394"/>
      <c r="D62" s="209" t="str">
        <f t="shared" ref="D62:D66" si="4">B62&amp;" "&amp;C62&amp;" "&amp;"("&amp;$B$60&amp;")"</f>
        <v xml:space="preserve">  (Titulaire)</v>
      </c>
      <c r="E62" s="133"/>
      <c r="F62" s="546"/>
      <c r="G62" s="396"/>
      <c r="H62" s="396"/>
      <c r="I62" s="523"/>
      <c r="O62" s="533"/>
      <c r="P62" s="130">
        <f>SUMIF($I$61:$I$66,"OUI",G61:G66)</f>
        <v>0</v>
      </c>
      <c r="Q62" s="130">
        <f>SUMIF($I$61:$I$66,"OUI",H61:H66)</f>
        <v>0</v>
      </c>
    </row>
    <row r="63" spans="1:44" x14ac:dyDescent="0.3">
      <c r="A63" s="541"/>
      <c r="B63" s="397"/>
      <c r="C63" s="394"/>
      <c r="D63" s="209" t="str">
        <f t="shared" si="4"/>
        <v xml:space="preserve">  (Titulaire)</v>
      </c>
      <c r="E63" s="133"/>
      <c r="F63" s="546"/>
      <c r="G63" s="396"/>
      <c r="H63" s="396"/>
      <c r="I63" s="523"/>
    </row>
    <row r="64" spans="1:44" x14ac:dyDescent="0.3">
      <c r="A64" s="541"/>
      <c r="B64" s="397"/>
      <c r="C64" s="394"/>
      <c r="D64" s="209" t="str">
        <f t="shared" si="4"/>
        <v xml:space="preserve">  (Titulaire)</v>
      </c>
      <c r="E64" s="133"/>
      <c r="F64" s="546"/>
      <c r="G64" s="396"/>
      <c r="H64" s="396"/>
      <c r="I64" s="523"/>
    </row>
    <row r="65" spans="1:17" x14ac:dyDescent="0.3">
      <c r="A65" s="541"/>
      <c r="B65" s="397"/>
      <c r="C65" s="394"/>
      <c r="D65" s="209" t="str">
        <f t="shared" si="4"/>
        <v xml:space="preserve">  (Titulaire)</v>
      </c>
      <c r="E65" s="133"/>
      <c r="F65" s="546"/>
      <c r="G65" s="396"/>
      <c r="H65" s="396"/>
      <c r="I65" s="523"/>
    </row>
    <row r="66" spans="1:17" ht="19.5" thickBot="1" x14ac:dyDescent="0.35">
      <c r="A66" s="542"/>
      <c r="B66" s="397"/>
      <c r="C66" s="394"/>
      <c r="D66" s="209" t="str">
        <f t="shared" si="4"/>
        <v xml:space="preserve">  (Titulaire)</v>
      </c>
      <c r="E66" s="134"/>
      <c r="F66" s="547"/>
      <c r="G66" s="396"/>
      <c r="H66" s="396"/>
      <c r="I66" s="523"/>
    </row>
    <row r="67" spans="1:17" x14ac:dyDescent="0.3">
      <c r="A67" s="10"/>
      <c r="B67" s="177"/>
      <c r="C67" s="135"/>
      <c r="D67" s="135"/>
      <c r="E67" s="177"/>
      <c r="F67" s="191"/>
      <c r="G67" s="130"/>
      <c r="H67" s="130"/>
      <c r="I67" s="130"/>
    </row>
    <row r="68" spans="1:17" ht="18.75" hidden="1" customHeight="1" x14ac:dyDescent="0.3">
      <c r="A68" s="540" t="str">
        <f>A58</f>
        <v>Tranche OPTIONNELLE 1</v>
      </c>
      <c r="B68" s="538" t="s">
        <v>34</v>
      </c>
      <c r="C68" s="539" t="s">
        <v>35</v>
      </c>
      <c r="D68" s="206"/>
      <c r="E68" s="180" t="s">
        <v>242</v>
      </c>
      <c r="F68" s="182" t="str">
        <f>E68</f>
        <v>Montant intial TVA</v>
      </c>
      <c r="G68" s="185" t="s">
        <v>220</v>
      </c>
      <c r="H68" s="186" t="s">
        <v>220</v>
      </c>
      <c r="I68" s="530" t="s">
        <v>428</v>
      </c>
      <c r="P68" s="513" t="s">
        <v>435</v>
      </c>
      <c r="Q68" s="502" t="s">
        <v>433</v>
      </c>
    </row>
    <row r="69" spans="1:17" hidden="1" x14ac:dyDescent="0.3">
      <c r="A69" s="541"/>
      <c r="B69" s="538"/>
      <c r="C69" s="539"/>
      <c r="D69" s="207"/>
      <c r="E69" s="181">
        <f>E59</f>
        <v>0</v>
      </c>
      <c r="F69" s="183">
        <f>F59</f>
        <v>0</v>
      </c>
      <c r="G69" s="187" t="str">
        <f>"TVA"&amp;" "&amp;$C$17*100&amp;"%"</f>
        <v>TVA 0%</v>
      </c>
      <c r="H69" s="187" t="str">
        <f>"TVA"&amp;" "&amp;$E$17*100&amp;"%"</f>
        <v>TVA 0%</v>
      </c>
      <c r="I69" s="531"/>
      <c r="O69" s="533" t="s">
        <v>434</v>
      </c>
      <c r="P69" s="522">
        <f>E70-P71</f>
        <v>0</v>
      </c>
      <c r="Q69" s="522">
        <f>F70-Q71</f>
        <v>0</v>
      </c>
    </row>
    <row r="70" spans="1:17" ht="19.5" hidden="1" thickBot="1" x14ac:dyDescent="0.35">
      <c r="A70" s="541"/>
      <c r="B70" s="192" t="s">
        <v>247</v>
      </c>
      <c r="C70" s="42">
        <f>C48</f>
        <v>2</v>
      </c>
      <c r="D70" s="184"/>
      <c r="E70" s="449"/>
      <c r="F70" s="449"/>
      <c r="G70" s="188">
        <f>E70-SUM(G71:G76)</f>
        <v>0</v>
      </c>
      <c r="H70" s="189">
        <f>F70-SUM(H71:H76)</f>
        <v>0</v>
      </c>
      <c r="I70" s="532"/>
      <c r="O70" s="533"/>
      <c r="P70" s="521">
        <f>E69</f>
        <v>0</v>
      </c>
      <c r="Q70" s="521">
        <f>F69</f>
        <v>0</v>
      </c>
    </row>
    <row r="71" spans="1:17" hidden="1" x14ac:dyDescent="0.3">
      <c r="A71" s="541"/>
      <c r="B71" s="397"/>
      <c r="C71" s="394"/>
      <c r="D71" s="209" t="str">
        <f>B71&amp;" "&amp;C71&amp;" "&amp;"("&amp;$B$70&amp;")"</f>
        <v xml:space="preserve">  (Cotraitant)</v>
      </c>
      <c r="E71" s="132"/>
      <c r="F71" s="545" t="s">
        <v>243</v>
      </c>
      <c r="G71" s="395"/>
      <c r="H71" s="395"/>
      <c r="I71" s="523"/>
      <c r="O71" s="533"/>
      <c r="P71" s="130">
        <f>SUMIF($I$71:$I$76,"OUI",G71:G76)</f>
        <v>0</v>
      </c>
      <c r="Q71" s="130">
        <f>SUMIF($I$71:$I$76,"OUI",H71:H76)</f>
        <v>0</v>
      </c>
    </row>
    <row r="72" spans="1:17" hidden="1" x14ac:dyDescent="0.3">
      <c r="A72" s="541"/>
      <c r="B72" s="397"/>
      <c r="C72" s="394"/>
      <c r="D72" s="209" t="str">
        <f t="shared" ref="D72:D76" si="5">B72&amp;" "&amp;C72&amp;" "&amp;"("&amp;$B$70&amp;")"</f>
        <v xml:space="preserve">  (Cotraitant)</v>
      </c>
      <c r="E72" s="133"/>
      <c r="F72" s="546"/>
      <c r="G72" s="396"/>
      <c r="H72" s="396"/>
      <c r="I72" s="523"/>
    </row>
    <row r="73" spans="1:17" hidden="1" x14ac:dyDescent="0.3">
      <c r="A73" s="541"/>
      <c r="B73" s="397"/>
      <c r="C73" s="394"/>
      <c r="D73" s="209" t="str">
        <f t="shared" si="5"/>
        <v xml:space="preserve">  (Cotraitant)</v>
      </c>
      <c r="E73" s="133"/>
      <c r="F73" s="546"/>
      <c r="G73" s="396"/>
      <c r="H73" s="396"/>
      <c r="I73" s="523"/>
    </row>
    <row r="74" spans="1:17" hidden="1" x14ac:dyDescent="0.3">
      <c r="A74" s="541"/>
      <c r="B74" s="397"/>
      <c r="C74" s="394"/>
      <c r="D74" s="209" t="str">
        <f t="shared" si="5"/>
        <v xml:space="preserve">  (Cotraitant)</v>
      </c>
      <c r="E74" s="133"/>
      <c r="F74" s="546"/>
      <c r="G74" s="396"/>
      <c r="H74" s="396"/>
      <c r="I74" s="523"/>
    </row>
    <row r="75" spans="1:17" hidden="1" x14ac:dyDescent="0.3">
      <c r="A75" s="541"/>
      <c r="B75" s="397"/>
      <c r="C75" s="394"/>
      <c r="D75" s="209" t="str">
        <f t="shared" si="5"/>
        <v xml:space="preserve">  (Cotraitant)</v>
      </c>
      <c r="E75" s="133"/>
      <c r="F75" s="546"/>
      <c r="G75" s="396"/>
      <c r="H75" s="396"/>
      <c r="I75" s="523"/>
    </row>
    <row r="76" spans="1:17" ht="19.5" hidden="1" thickBot="1" x14ac:dyDescent="0.35">
      <c r="A76" s="542"/>
      <c r="B76" s="397"/>
      <c r="C76" s="394"/>
      <c r="D76" s="209" t="str">
        <f t="shared" si="5"/>
        <v xml:space="preserve">  (Cotraitant)</v>
      </c>
      <c r="E76" s="134"/>
      <c r="F76" s="547"/>
      <c r="G76" s="396"/>
      <c r="H76" s="396"/>
      <c r="I76" s="523"/>
    </row>
    <row r="77" spans="1:17" x14ac:dyDescent="0.3">
      <c r="A77" s="10"/>
      <c r="B77" s="177"/>
      <c r="C77" s="135"/>
      <c r="D77" s="135"/>
      <c r="E77" s="177"/>
      <c r="F77" s="191"/>
      <c r="G77" s="130"/>
      <c r="H77" s="130"/>
      <c r="I77" s="130"/>
    </row>
    <row r="78" spans="1:17" x14ac:dyDescent="0.3">
      <c r="A78" s="10"/>
      <c r="B78" s="177"/>
      <c r="C78" s="17" t="s">
        <v>273</v>
      </c>
      <c r="D78" s="214"/>
      <c r="E78" s="13" t="s">
        <v>274</v>
      </c>
      <c r="F78" s="475" t="s">
        <v>343</v>
      </c>
      <c r="G78" s="536" t="s">
        <v>405</v>
      </c>
      <c r="H78" s="536"/>
      <c r="I78" s="536" t="s">
        <v>406</v>
      </c>
      <c r="J78" s="536"/>
    </row>
    <row r="79" spans="1:17" ht="19.5" collapsed="1" thickBot="1" x14ac:dyDescent="0.35">
      <c r="A79" s="556" t="s">
        <v>246</v>
      </c>
      <c r="B79" s="556"/>
      <c r="C79" s="178">
        <f>F20</f>
        <v>0</v>
      </c>
      <c r="D79" s="11"/>
      <c r="E79" s="178">
        <f>C79-(E82+E92+F82+F92)</f>
        <v>0</v>
      </c>
      <c r="F79" s="476"/>
      <c r="G79" s="534"/>
      <c r="H79" s="534"/>
      <c r="I79" s="535"/>
      <c r="J79" s="535"/>
    </row>
    <row r="80" spans="1:17" ht="18.75" customHeight="1" x14ac:dyDescent="0.3">
      <c r="A80" s="540" t="str">
        <f>A79</f>
        <v>Tranche OPTIONNELLE 2</v>
      </c>
      <c r="B80" s="538" t="s">
        <v>34</v>
      </c>
      <c r="C80" s="539" t="s">
        <v>35</v>
      </c>
      <c r="D80" s="206"/>
      <c r="E80" s="180" t="s">
        <v>242</v>
      </c>
      <c r="F80" s="182" t="str">
        <f>E80</f>
        <v>Montant intial TVA</v>
      </c>
      <c r="G80" s="185" t="s">
        <v>220</v>
      </c>
      <c r="H80" s="186" t="s">
        <v>220</v>
      </c>
      <c r="I80" s="530" t="s">
        <v>428</v>
      </c>
      <c r="P80" s="513" t="s">
        <v>430</v>
      </c>
      <c r="Q80" s="502" t="s">
        <v>430</v>
      </c>
    </row>
    <row r="81" spans="1:17" x14ac:dyDescent="0.3">
      <c r="A81" s="541"/>
      <c r="B81" s="538"/>
      <c r="C81" s="539"/>
      <c r="D81" s="207"/>
      <c r="E81" s="181">
        <f>E69</f>
        <v>0</v>
      </c>
      <c r="F81" s="183">
        <f>F69</f>
        <v>0</v>
      </c>
      <c r="G81" s="187" t="str">
        <f>"TVA"&amp;" "&amp;$C$17*100&amp;"%"</f>
        <v>TVA 0%</v>
      </c>
      <c r="H81" s="187" t="str">
        <f>"TVA"&amp;" "&amp;$E$17*100&amp;"%"</f>
        <v>TVA 0%</v>
      </c>
      <c r="I81" s="531"/>
      <c r="O81" s="533" t="s">
        <v>436</v>
      </c>
      <c r="P81" s="522">
        <f>E82-P83</f>
        <v>0</v>
      </c>
      <c r="Q81" s="522">
        <f>F82-Q83</f>
        <v>0</v>
      </c>
    </row>
    <row r="82" spans="1:17" ht="19.5" thickBot="1" x14ac:dyDescent="0.35">
      <c r="A82" s="541"/>
      <c r="B82" s="192" t="s">
        <v>1</v>
      </c>
      <c r="C82" s="42">
        <f>C60</f>
        <v>0</v>
      </c>
      <c r="D82" s="208"/>
      <c r="E82" s="131">
        <f>C20-E92</f>
        <v>0</v>
      </c>
      <c r="F82" s="131">
        <f>E20-F92</f>
        <v>0</v>
      </c>
      <c r="G82" s="188">
        <f>E82-SUM(G83:G88)</f>
        <v>0</v>
      </c>
      <c r="H82" s="189">
        <f>F82-SUM(H83:H88)</f>
        <v>0</v>
      </c>
      <c r="I82" s="532"/>
      <c r="O82" s="533"/>
      <c r="P82" s="521">
        <f>E81</f>
        <v>0</v>
      </c>
      <c r="Q82" s="521">
        <f>F81</f>
        <v>0</v>
      </c>
    </row>
    <row r="83" spans="1:17" x14ac:dyDescent="0.3">
      <c r="A83" s="541"/>
      <c r="B83" s="397"/>
      <c r="C83" s="394"/>
      <c r="D83" s="209" t="str">
        <f>B83&amp;" "&amp;C83&amp;" "&amp;"("&amp;$B$82&amp;")"</f>
        <v xml:space="preserve">  (Titulaire)</v>
      </c>
      <c r="E83" s="132"/>
      <c r="F83" s="545" t="s">
        <v>243</v>
      </c>
      <c r="G83" s="395"/>
      <c r="H83" s="395"/>
      <c r="I83" s="523"/>
      <c r="O83" s="533"/>
      <c r="P83" s="130">
        <f>SUMIF($I$83:$I$88,"OUI",G83:G88)</f>
        <v>0</v>
      </c>
      <c r="Q83" s="130">
        <f>SUMIF($I$83:$I$88,"OUI",H83:H88)</f>
        <v>0</v>
      </c>
    </row>
    <row r="84" spans="1:17" x14ac:dyDescent="0.3">
      <c r="A84" s="541"/>
      <c r="B84" s="397"/>
      <c r="C84" s="394"/>
      <c r="D84" s="209" t="str">
        <f t="shared" ref="D84:D88" si="6">B84&amp;" "&amp;C84&amp;" "&amp;"("&amp;$B$82&amp;")"</f>
        <v xml:space="preserve">  (Titulaire)</v>
      </c>
      <c r="E84" s="133"/>
      <c r="F84" s="546"/>
      <c r="G84" s="396"/>
      <c r="H84" s="396"/>
      <c r="I84" s="523"/>
    </row>
    <row r="85" spans="1:17" x14ac:dyDescent="0.3">
      <c r="A85" s="541"/>
      <c r="B85" s="397"/>
      <c r="C85" s="394"/>
      <c r="D85" s="209" t="str">
        <f t="shared" si="6"/>
        <v xml:space="preserve">  (Titulaire)</v>
      </c>
      <c r="E85" s="133"/>
      <c r="F85" s="546"/>
      <c r="G85" s="396"/>
      <c r="H85" s="396"/>
      <c r="I85" s="523"/>
    </row>
    <row r="86" spans="1:17" x14ac:dyDescent="0.3">
      <c r="A86" s="541"/>
      <c r="B86" s="397"/>
      <c r="C86" s="394"/>
      <c r="D86" s="209" t="str">
        <f t="shared" si="6"/>
        <v xml:space="preserve">  (Titulaire)</v>
      </c>
      <c r="E86" s="133"/>
      <c r="F86" s="546"/>
      <c r="G86" s="396"/>
      <c r="H86" s="396"/>
      <c r="I86" s="523"/>
    </row>
    <row r="87" spans="1:17" x14ac:dyDescent="0.3">
      <c r="A87" s="541"/>
      <c r="B87" s="397"/>
      <c r="C87" s="394"/>
      <c r="D87" s="209" t="str">
        <f t="shared" si="6"/>
        <v xml:space="preserve">  (Titulaire)</v>
      </c>
      <c r="E87" s="133"/>
      <c r="F87" s="546"/>
      <c r="G87" s="396"/>
      <c r="H87" s="396"/>
      <c r="I87" s="523"/>
    </row>
    <row r="88" spans="1:17" ht="19.5" thickBot="1" x14ac:dyDescent="0.35">
      <c r="A88" s="542"/>
      <c r="B88" s="397"/>
      <c r="C88" s="394"/>
      <c r="D88" s="209" t="str">
        <f t="shared" si="6"/>
        <v xml:space="preserve">  (Titulaire)</v>
      </c>
      <c r="E88" s="134"/>
      <c r="F88" s="547"/>
      <c r="G88" s="396"/>
      <c r="H88" s="396"/>
      <c r="I88" s="523"/>
    </row>
    <row r="89" spans="1:17" x14ac:dyDescent="0.3">
      <c r="A89" s="10"/>
      <c r="B89" s="177"/>
      <c r="C89" s="135"/>
      <c r="D89" s="135"/>
      <c r="E89" s="177"/>
      <c r="F89" s="191"/>
      <c r="G89" s="130"/>
      <c r="H89" s="130"/>
      <c r="I89" s="130"/>
    </row>
    <row r="90" spans="1:17" ht="18.75" hidden="1" customHeight="1" x14ac:dyDescent="0.3">
      <c r="A90" s="540" t="str">
        <f>A80</f>
        <v>Tranche OPTIONNELLE 2</v>
      </c>
      <c r="B90" s="538" t="s">
        <v>34</v>
      </c>
      <c r="C90" s="539" t="s">
        <v>35</v>
      </c>
      <c r="D90" s="206"/>
      <c r="E90" s="180" t="s">
        <v>242</v>
      </c>
      <c r="F90" s="182" t="str">
        <f>E90</f>
        <v>Montant intial TVA</v>
      </c>
      <c r="G90" s="185" t="s">
        <v>220</v>
      </c>
      <c r="H90" s="186" t="s">
        <v>220</v>
      </c>
      <c r="I90" s="530" t="s">
        <v>428</v>
      </c>
      <c r="P90" s="513" t="s">
        <v>433</v>
      </c>
      <c r="Q90" s="502" t="s">
        <v>433</v>
      </c>
    </row>
    <row r="91" spans="1:17" hidden="1" x14ac:dyDescent="0.3">
      <c r="A91" s="541"/>
      <c r="B91" s="538"/>
      <c r="C91" s="539"/>
      <c r="D91" s="207"/>
      <c r="E91" s="181">
        <f>E81</f>
        <v>0</v>
      </c>
      <c r="F91" s="183">
        <f>F81</f>
        <v>0</v>
      </c>
      <c r="G91" s="187" t="str">
        <f>"TVA"&amp;" "&amp;$C$17*100&amp;"%"</f>
        <v>TVA 0%</v>
      </c>
      <c r="H91" s="187" t="str">
        <f>"TVA"&amp;" "&amp;$E$17*100&amp;"%"</f>
        <v>TVA 0%</v>
      </c>
      <c r="I91" s="531"/>
      <c r="O91" s="533" t="s">
        <v>436</v>
      </c>
      <c r="P91" s="522">
        <f>E92-P93</f>
        <v>0</v>
      </c>
      <c r="Q91" s="522">
        <f>F92-Q93</f>
        <v>0</v>
      </c>
    </row>
    <row r="92" spans="1:17" ht="19.5" hidden="1" thickBot="1" x14ac:dyDescent="0.35">
      <c r="A92" s="541"/>
      <c r="B92" s="192" t="s">
        <v>247</v>
      </c>
      <c r="C92" s="42">
        <f>C48</f>
        <v>2</v>
      </c>
      <c r="D92" s="184"/>
      <c r="E92" s="449"/>
      <c r="F92" s="449"/>
      <c r="G92" s="188">
        <f>E92-SUM(G93:G98)</f>
        <v>0</v>
      </c>
      <c r="H92" s="189">
        <f>F92-SUM(H93:H98)</f>
        <v>0</v>
      </c>
      <c r="I92" s="532"/>
      <c r="O92" s="533"/>
      <c r="P92" s="521">
        <f>E91</f>
        <v>0</v>
      </c>
      <c r="Q92" s="521">
        <f>F91</f>
        <v>0</v>
      </c>
    </row>
    <row r="93" spans="1:17" hidden="1" x14ac:dyDescent="0.3">
      <c r="A93" s="541"/>
      <c r="B93" s="397"/>
      <c r="C93" s="394"/>
      <c r="D93" s="209" t="str">
        <f>B93&amp;" "&amp;C93&amp;" "&amp;"("&amp;$B$92&amp;")"</f>
        <v xml:space="preserve">  (Cotraitant)</v>
      </c>
      <c r="E93" s="132"/>
      <c r="F93" s="545" t="s">
        <v>243</v>
      </c>
      <c r="G93" s="395"/>
      <c r="H93" s="395"/>
      <c r="I93" s="523"/>
      <c r="O93" s="533"/>
      <c r="P93" s="130">
        <f>SUMIF($I$93:$I$98,"OUI",G93:G98)</f>
        <v>0</v>
      </c>
      <c r="Q93" s="130">
        <f>SUMIF($I$93:$I$98,"OUI",H93:H98)</f>
        <v>0</v>
      </c>
    </row>
    <row r="94" spans="1:17" hidden="1" x14ac:dyDescent="0.3">
      <c r="A94" s="541"/>
      <c r="B94" s="397"/>
      <c r="C94" s="394"/>
      <c r="D94" s="209" t="str">
        <f t="shared" ref="D94:D98" si="7">B94&amp;" "&amp;C94&amp;" "&amp;"("&amp;$B$92&amp;")"</f>
        <v xml:space="preserve">  (Cotraitant)</v>
      </c>
      <c r="E94" s="133"/>
      <c r="F94" s="546"/>
      <c r="G94" s="396"/>
      <c r="H94" s="396"/>
      <c r="I94" s="523"/>
    </row>
    <row r="95" spans="1:17" hidden="1" x14ac:dyDescent="0.3">
      <c r="A95" s="541"/>
      <c r="B95" s="397"/>
      <c r="C95" s="394"/>
      <c r="D95" s="209" t="str">
        <f t="shared" si="7"/>
        <v xml:space="preserve">  (Cotraitant)</v>
      </c>
      <c r="E95" s="133"/>
      <c r="F95" s="546"/>
      <c r="G95" s="396"/>
      <c r="H95" s="396"/>
      <c r="I95" s="523"/>
    </row>
    <row r="96" spans="1:17" hidden="1" x14ac:dyDescent="0.3">
      <c r="A96" s="541"/>
      <c r="B96" s="397"/>
      <c r="C96" s="394"/>
      <c r="D96" s="209" t="str">
        <f t="shared" si="7"/>
        <v xml:space="preserve">  (Cotraitant)</v>
      </c>
      <c r="E96" s="133"/>
      <c r="F96" s="546"/>
      <c r="G96" s="396"/>
      <c r="H96" s="396"/>
      <c r="I96" s="523"/>
    </row>
    <row r="97" spans="1:17" hidden="1" x14ac:dyDescent="0.3">
      <c r="A97" s="541"/>
      <c r="B97" s="397"/>
      <c r="C97" s="394"/>
      <c r="D97" s="209" t="str">
        <f t="shared" si="7"/>
        <v xml:space="preserve">  (Cotraitant)</v>
      </c>
      <c r="E97" s="133"/>
      <c r="F97" s="546"/>
      <c r="G97" s="396"/>
      <c r="H97" s="396"/>
      <c r="I97" s="523"/>
    </row>
    <row r="98" spans="1:17" ht="19.5" hidden="1" thickBot="1" x14ac:dyDescent="0.35">
      <c r="A98" s="542"/>
      <c r="B98" s="397"/>
      <c r="C98" s="394"/>
      <c r="D98" s="209" t="str">
        <f t="shared" si="7"/>
        <v xml:space="preserve">  (Cotraitant)</v>
      </c>
      <c r="E98" s="134"/>
      <c r="F98" s="547"/>
      <c r="G98" s="396"/>
      <c r="H98" s="396"/>
      <c r="I98" s="523"/>
    </row>
    <row r="99" spans="1:17" collapsed="1" x14ac:dyDescent="0.3">
      <c r="A99" s="10"/>
      <c r="B99" s="177"/>
      <c r="C99" s="135"/>
      <c r="D99" s="135"/>
      <c r="E99" s="177"/>
      <c r="F99" s="191"/>
      <c r="G99" s="130"/>
      <c r="H99" s="130"/>
      <c r="I99" s="130"/>
    </row>
    <row r="100" spans="1:17" x14ac:dyDescent="0.3">
      <c r="A100" s="10"/>
      <c r="B100" s="177"/>
      <c r="C100" s="17" t="s">
        <v>273</v>
      </c>
      <c r="D100" s="214"/>
      <c r="E100" s="13" t="s">
        <v>274</v>
      </c>
      <c r="F100" s="475" t="s">
        <v>343</v>
      </c>
      <c r="G100" s="536" t="s">
        <v>405</v>
      </c>
      <c r="H100" s="536"/>
      <c r="I100" s="536" t="s">
        <v>406</v>
      </c>
      <c r="J100" s="536"/>
    </row>
    <row r="101" spans="1:17" ht="19.5" thickBot="1" x14ac:dyDescent="0.35">
      <c r="A101" s="557" t="s">
        <v>248</v>
      </c>
      <c r="B101" s="557"/>
      <c r="C101" s="178">
        <f>F21</f>
        <v>0</v>
      </c>
      <c r="D101" s="11"/>
      <c r="E101" s="178">
        <f>C101-(E104+E114+F104+F114)</f>
        <v>0</v>
      </c>
      <c r="F101" s="476"/>
      <c r="G101" s="534"/>
      <c r="H101" s="534"/>
      <c r="I101" s="535"/>
      <c r="J101" s="535"/>
    </row>
    <row r="102" spans="1:17" ht="18.75" customHeight="1" x14ac:dyDescent="0.3">
      <c r="A102" s="540" t="str">
        <f>A101</f>
        <v>Tranche OPTIONNELLE 3</v>
      </c>
      <c r="B102" s="538" t="s">
        <v>34</v>
      </c>
      <c r="C102" s="539" t="s">
        <v>35</v>
      </c>
      <c r="D102" s="206"/>
      <c r="E102" s="180" t="s">
        <v>242</v>
      </c>
      <c r="F102" s="182" t="str">
        <f>E102</f>
        <v>Montant intial TVA</v>
      </c>
      <c r="G102" s="185" t="s">
        <v>220</v>
      </c>
      <c r="H102" s="186" t="s">
        <v>220</v>
      </c>
      <c r="I102" s="530" t="s">
        <v>428</v>
      </c>
      <c r="P102" s="513" t="s">
        <v>437</v>
      </c>
      <c r="Q102" s="502" t="s">
        <v>430</v>
      </c>
    </row>
    <row r="103" spans="1:17" x14ac:dyDescent="0.3">
      <c r="A103" s="541"/>
      <c r="B103" s="538"/>
      <c r="C103" s="539"/>
      <c r="D103" s="207"/>
      <c r="E103" s="181">
        <f>E91</f>
        <v>0</v>
      </c>
      <c r="F103" s="183">
        <f>F91</f>
        <v>0</v>
      </c>
      <c r="G103" s="187" t="str">
        <f>"TVA"&amp;" "&amp;$C$17*100&amp;"%"</f>
        <v>TVA 0%</v>
      </c>
      <c r="H103" s="187" t="str">
        <f>"TVA"&amp;" "&amp;$E$17*100&amp;"%"</f>
        <v>TVA 0%</v>
      </c>
      <c r="I103" s="531"/>
      <c r="O103" s="533" t="s">
        <v>438</v>
      </c>
      <c r="P103" s="522">
        <f>E104-P105</f>
        <v>0</v>
      </c>
      <c r="Q103" s="522">
        <f>F104-Q105</f>
        <v>0</v>
      </c>
    </row>
    <row r="104" spans="1:17" ht="19.5" thickBot="1" x14ac:dyDescent="0.35">
      <c r="A104" s="541"/>
      <c r="B104" s="192" t="s">
        <v>1</v>
      </c>
      <c r="C104" s="42">
        <f>C82</f>
        <v>0</v>
      </c>
      <c r="D104" s="208"/>
      <c r="E104" s="131">
        <f>C21-E114</f>
        <v>0</v>
      </c>
      <c r="F104" s="131">
        <f>E21-F114</f>
        <v>0</v>
      </c>
      <c r="G104" s="188">
        <f>E104-SUM(G105:G110)</f>
        <v>0</v>
      </c>
      <c r="H104" s="189">
        <f>F104-SUM(H105:H110)</f>
        <v>0</v>
      </c>
      <c r="I104" s="532"/>
      <c r="O104" s="533"/>
      <c r="P104" s="521">
        <f>E103</f>
        <v>0</v>
      </c>
      <c r="Q104" s="521">
        <f>F103</f>
        <v>0</v>
      </c>
    </row>
    <row r="105" spans="1:17" x14ac:dyDescent="0.3">
      <c r="A105" s="541"/>
      <c r="B105" s="397"/>
      <c r="C105" s="394"/>
      <c r="D105" s="209" t="str">
        <f>B105&amp;" "&amp;C105&amp;" "&amp;"("&amp;$B$104&amp;")"</f>
        <v xml:space="preserve">  (Titulaire)</v>
      </c>
      <c r="E105" s="132"/>
      <c r="F105" s="545" t="s">
        <v>243</v>
      </c>
      <c r="G105" s="395"/>
      <c r="H105" s="395"/>
      <c r="I105" s="523"/>
      <c r="O105" s="533"/>
      <c r="P105" s="130">
        <f>SUMIF($I$105:$I$110,"OUI",G105:G110)</f>
        <v>0</v>
      </c>
      <c r="Q105" s="130">
        <f>SUMIF($I$105:$I$110,"OUI",H105:H110)</f>
        <v>0</v>
      </c>
    </row>
    <row r="106" spans="1:17" x14ac:dyDescent="0.3">
      <c r="A106" s="541"/>
      <c r="B106" s="397"/>
      <c r="C106" s="394"/>
      <c r="D106" s="209" t="str">
        <f t="shared" ref="D106:D110" si="8">B106&amp;" "&amp;C106&amp;" "&amp;"("&amp;$B$104&amp;")"</f>
        <v xml:space="preserve">  (Titulaire)</v>
      </c>
      <c r="E106" s="133"/>
      <c r="F106" s="546"/>
      <c r="G106" s="396"/>
      <c r="H106" s="396"/>
      <c r="I106" s="523"/>
    </row>
    <row r="107" spans="1:17" x14ac:dyDescent="0.3">
      <c r="A107" s="541"/>
      <c r="B107" s="397"/>
      <c r="C107" s="394"/>
      <c r="D107" s="209" t="str">
        <f t="shared" si="8"/>
        <v xml:space="preserve">  (Titulaire)</v>
      </c>
      <c r="E107" s="133"/>
      <c r="F107" s="546"/>
      <c r="G107" s="396"/>
      <c r="H107" s="396"/>
      <c r="I107" s="523"/>
    </row>
    <row r="108" spans="1:17" x14ac:dyDescent="0.3">
      <c r="A108" s="541"/>
      <c r="B108" s="397"/>
      <c r="C108" s="394"/>
      <c r="D108" s="209" t="str">
        <f t="shared" si="8"/>
        <v xml:space="preserve">  (Titulaire)</v>
      </c>
      <c r="E108" s="133"/>
      <c r="F108" s="546"/>
      <c r="G108" s="396"/>
      <c r="H108" s="396"/>
      <c r="I108" s="523"/>
    </row>
    <row r="109" spans="1:17" x14ac:dyDescent="0.3">
      <c r="A109" s="541"/>
      <c r="B109" s="397"/>
      <c r="C109" s="394"/>
      <c r="D109" s="209" t="str">
        <f t="shared" si="8"/>
        <v xml:space="preserve">  (Titulaire)</v>
      </c>
      <c r="E109" s="133"/>
      <c r="F109" s="546"/>
      <c r="G109" s="396"/>
      <c r="H109" s="396"/>
      <c r="I109" s="523"/>
    </row>
    <row r="110" spans="1:17" ht="19.5" thickBot="1" x14ac:dyDescent="0.35">
      <c r="A110" s="542"/>
      <c r="B110" s="397"/>
      <c r="C110" s="394"/>
      <c r="D110" s="209" t="str">
        <f t="shared" si="8"/>
        <v xml:space="preserve">  (Titulaire)</v>
      </c>
      <c r="E110" s="134"/>
      <c r="F110" s="547"/>
      <c r="G110" s="396"/>
      <c r="H110" s="396"/>
      <c r="I110" s="523"/>
    </row>
    <row r="111" spans="1:17" x14ac:dyDescent="0.3">
      <c r="A111" s="10"/>
      <c r="B111" s="177"/>
      <c r="C111" s="135"/>
      <c r="D111" s="135"/>
      <c r="E111" s="177"/>
      <c r="F111" s="191"/>
      <c r="G111" s="130"/>
      <c r="H111" s="130"/>
      <c r="I111" s="130"/>
    </row>
    <row r="112" spans="1:17" ht="18.75" hidden="1" customHeight="1" x14ac:dyDescent="0.3">
      <c r="A112" s="540" t="str">
        <f>A102</f>
        <v>Tranche OPTIONNELLE 3</v>
      </c>
      <c r="B112" s="538" t="s">
        <v>34</v>
      </c>
      <c r="C112" s="539" t="s">
        <v>35</v>
      </c>
      <c r="D112" s="206"/>
      <c r="E112" s="180" t="s">
        <v>242</v>
      </c>
      <c r="F112" s="182" t="str">
        <f>E112</f>
        <v>Montant intial TVA</v>
      </c>
      <c r="G112" s="185" t="s">
        <v>220</v>
      </c>
      <c r="H112" s="186" t="s">
        <v>220</v>
      </c>
      <c r="I112" s="530" t="s">
        <v>428</v>
      </c>
      <c r="P112" s="513" t="s">
        <v>433</v>
      </c>
      <c r="Q112" s="513" t="s">
        <v>433</v>
      </c>
    </row>
    <row r="113" spans="1:17" hidden="1" x14ac:dyDescent="0.3">
      <c r="A113" s="541"/>
      <c r="B113" s="538"/>
      <c r="C113" s="539"/>
      <c r="D113" s="207"/>
      <c r="E113" s="181">
        <f>E103</f>
        <v>0</v>
      </c>
      <c r="F113" s="183">
        <f>F103</f>
        <v>0</v>
      </c>
      <c r="G113" s="187" t="str">
        <f>"TVA"&amp;" "&amp;$C$17*100&amp;"%"</f>
        <v>TVA 0%</v>
      </c>
      <c r="H113" s="187" t="str">
        <f>"TVA"&amp;" "&amp;$E$17*100&amp;"%"</f>
        <v>TVA 0%</v>
      </c>
      <c r="I113" s="531"/>
      <c r="O113" s="533" t="s">
        <v>438</v>
      </c>
      <c r="P113" s="522">
        <f>E114-P115</f>
        <v>0</v>
      </c>
      <c r="Q113" s="522">
        <f>F114-Q115</f>
        <v>0</v>
      </c>
    </row>
    <row r="114" spans="1:17" ht="19.5" hidden="1" thickBot="1" x14ac:dyDescent="0.35">
      <c r="A114" s="541"/>
      <c r="B114" s="192" t="s">
        <v>247</v>
      </c>
      <c r="C114" s="42">
        <f>C48</f>
        <v>2</v>
      </c>
      <c r="D114" s="184"/>
      <c r="E114" s="449"/>
      <c r="F114" s="449"/>
      <c r="G114" s="188">
        <f>E114-SUM(G115:G120)</f>
        <v>0</v>
      </c>
      <c r="H114" s="189">
        <f>F114-SUM(H115:H120)</f>
        <v>0</v>
      </c>
      <c r="I114" s="532"/>
      <c r="O114" s="533"/>
      <c r="P114" s="521">
        <f>E113</f>
        <v>0</v>
      </c>
      <c r="Q114" s="521">
        <f>F113</f>
        <v>0</v>
      </c>
    </row>
    <row r="115" spans="1:17" hidden="1" x14ac:dyDescent="0.3">
      <c r="A115" s="541"/>
      <c r="B115" s="397"/>
      <c r="C115" s="394"/>
      <c r="D115" s="209" t="str">
        <f>B115&amp;" "&amp;C115&amp;" "&amp;"("&amp;$B$114&amp;")"</f>
        <v xml:space="preserve">  (Cotraitant)</v>
      </c>
      <c r="E115" s="132"/>
      <c r="F115" s="545" t="s">
        <v>243</v>
      </c>
      <c r="G115" s="395"/>
      <c r="H115" s="395"/>
      <c r="I115" s="523"/>
      <c r="O115" s="533"/>
      <c r="P115" s="130">
        <f>SUMIF($I$115:$I$120,"OUI",G115:G120)</f>
        <v>0</v>
      </c>
      <c r="Q115" s="130">
        <f>SUMIF($I$115:$I$120,"OUI",H115:H120)</f>
        <v>0</v>
      </c>
    </row>
    <row r="116" spans="1:17" hidden="1" x14ac:dyDescent="0.3">
      <c r="A116" s="541"/>
      <c r="B116" s="397"/>
      <c r="C116" s="394"/>
      <c r="D116" s="209" t="str">
        <f t="shared" ref="D116:D120" si="9">B116&amp;" "&amp;C116&amp;" "&amp;"("&amp;$B$114&amp;")"</f>
        <v xml:space="preserve">  (Cotraitant)</v>
      </c>
      <c r="E116" s="133"/>
      <c r="F116" s="546"/>
      <c r="G116" s="396"/>
      <c r="H116" s="396"/>
      <c r="I116" s="523"/>
    </row>
    <row r="117" spans="1:17" hidden="1" x14ac:dyDescent="0.3">
      <c r="A117" s="541"/>
      <c r="B117" s="397"/>
      <c r="C117" s="394"/>
      <c r="D117" s="209" t="str">
        <f t="shared" si="9"/>
        <v xml:space="preserve">  (Cotraitant)</v>
      </c>
      <c r="E117" s="133"/>
      <c r="F117" s="546"/>
      <c r="G117" s="396"/>
      <c r="H117" s="396"/>
      <c r="I117" s="523"/>
    </row>
    <row r="118" spans="1:17" hidden="1" x14ac:dyDescent="0.3">
      <c r="A118" s="541"/>
      <c r="B118" s="397"/>
      <c r="C118" s="394"/>
      <c r="D118" s="209" t="str">
        <f t="shared" si="9"/>
        <v xml:space="preserve">  (Cotraitant)</v>
      </c>
      <c r="E118" s="133"/>
      <c r="F118" s="546"/>
      <c r="G118" s="396"/>
      <c r="H118" s="396"/>
      <c r="I118" s="523"/>
    </row>
    <row r="119" spans="1:17" hidden="1" x14ac:dyDescent="0.3">
      <c r="A119" s="541"/>
      <c r="B119" s="397"/>
      <c r="C119" s="394"/>
      <c r="D119" s="209" t="str">
        <f t="shared" si="9"/>
        <v xml:space="preserve">  (Cotraitant)</v>
      </c>
      <c r="E119" s="133"/>
      <c r="F119" s="546"/>
      <c r="G119" s="396"/>
      <c r="H119" s="396"/>
      <c r="I119" s="523"/>
    </row>
    <row r="120" spans="1:17" ht="19.5" hidden="1" thickBot="1" x14ac:dyDescent="0.35">
      <c r="A120" s="542"/>
      <c r="B120" s="397"/>
      <c r="C120" s="394"/>
      <c r="D120" s="209" t="str">
        <f t="shared" si="9"/>
        <v xml:space="preserve">  (Cotraitant)</v>
      </c>
      <c r="E120" s="134"/>
      <c r="F120" s="547"/>
      <c r="G120" s="396"/>
      <c r="H120" s="396"/>
      <c r="I120" s="523"/>
    </row>
    <row r="121" spans="1:17" collapsed="1" x14ac:dyDescent="0.3">
      <c r="A121" s="10"/>
      <c r="B121" s="177"/>
      <c r="C121" s="135"/>
      <c r="D121" s="135"/>
      <c r="E121" s="177"/>
      <c r="F121" s="191"/>
      <c r="G121" s="130"/>
      <c r="H121" s="130"/>
      <c r="I121" s="130"/>
    </row>
    <row r="122" spans="1:17" x14ac:dyDescent="0.3">
      <c r="A122" s="10"/>
      <c r="B122" s="177"/>
      <c r="C122" s="17" t="s">
        <v>273</v>
      </c>
      <c r="D122" s="214"/>
      <c r="E122" s="13" t="s">
        <v>274</v>
      </c>
      <c r="F122" s="536" t="s">
        <v>427</v>
      </c>
      <c r="G122" s="536"/>
      <c r="H122" s="536"/>
      <c r="I122" s="536"/>
    </row>
    <row r="123" spans="1:17" collapsed="1" x14ac:dyDescent="0.3">
      <c r="A123" s="556" t="s">
        <v>249</v>
      </c>
      <c r="B123" s="556"/>
      <c r="C123" s="178">
        <f>F22</f>
        <v>0</v>
      </c>
      <c r="D123" s="11"/>
      <c r="E123" s="178">
        <f>C123-(E126+F126+E136+F136)</f>
        <v>0</v>
      </c>
      <c r="F123" s="555"/>
      <c r="G123" s="555"/>
      <c r="H123" s="555"/>
      <c r="I123" s="555"/>
      <c r="O123" s="130" t="s">
        <v>429</v>
      </c>
    </row>
    <row r="124" spans="1:17" ht="18.75" hidden="1" customHeight="1" x14ac:dyDescent="0.3">
      <c r="A124" s="540" t="str">
        <f>A123</f>
        <v>Montant OS et avenants</v>
      </c>
      <c r="B124" s="538" t="s">
        <v>34</v>
      </c>
      <c r="C124" s="539" t="s">
        <v>35</v>
      </c>
      <c r="D124" s="206"/>
      <c r="E124" s="180" t="s">
        <v>242</v>
      </c>
      <c r="F124" s="180" t="str">
        <f>E124</f>
        <v>Montant intial TVA</v>
      </c>
      <c r="G124" s="185" t="s">
        <v>220</v>
      </c>
      <c r="H124" s="186" t="s">
        <v>220</v>
      </c>
      <c r="I124" s="130"/>
    </row>
    <row r="125" spans="1:17" ht="18.75" hidden="1" customHeight="1" x14ac:dyDescent="0.3">
      <c r="A125" s="541"/>
      <c r="B125" s="538"/>
      <c r="C125" s="539"/>
      <c r="D125" s="207"/>
      <c r="E125" s="181">
        <f>E113</f>
        <v>0</v>
      </c>
      <c r="F125" s="181">
        <f>F113</f>
        <v>0</v>
      </c>
      <c r="G125" s="187" t="str">
        <f>"TVA"&amp;" "&amp;$C$17*100&amp;"%"</f>
        <v>TVA 0%</v>
      </c>
      <c r="H125" s="187" t="str">
        <f>"TVA"&amp;" "&amp;$E$17*100&amp;"%"</f>
        <v>TVA 0%</v>
      </c>
      <c r="I125" s="130"/>
    </row>
    <row r="126" spans="1:17" ht="19.5" hidden="1" customHeight="1" thickBot="1" x14ac:dyDescent="0.35">
      <c r="A126" s="541"/>
      <c r="B126" s="192" t="s">
        <v>1</v>
      </c>
      <c r="C126" s="42">
        <f>C104</f>
        <v>0</v>
      </c>
      <c r="D126" s="208"/>
      <c r="E126" s="131">
        <f>C22-E136</f>
        <v>0</v>
      </c>
      <c r="F126" s="131">
        <f>E22-F136</f>
        <v>0</v>
      </c>
      <c r="G126" s="188">
        <f>E126-SUM(G127:G132)</f>
        <v>0</v>
      </c>
      <c r="H126" s="189">
        <f>F126-SUM(H127:H132)</f>
        <v>0</v>
      </c>
      <c r="I126" s="130"/>
    </row>
    <row r="127" spans="1:17" ht="18.75" hidden="1" customHeight="1" x14ac:dyDescent="0.3">
      <c r="A127" s="541"/>
      <c r="B127" s="397"/>
      <c r="C127" s="394"/>
      <c r="D127" s="209" t="str">
        <f>B127&amp;" "&amp;C127&amp;" "&amp;"("&amp;$B$126&amp;")"</f>
        <v xml:space="preserve">  (Titulaire)</v>
      </c>
      <c r="E127" s="132"/>
      <c r="F127" s="545" t="s">
        <v>243</v>
      </c>
      <c r="G127" s="395"/>
      <c r="H127" s="395"/>
      <c r="I127" s="130"/>
    </row>
    <row r="128" spans="1:17" ht="18.75" hidden="1" customHeight="1" x14ac:dyDescent="0.3">
      <c r="A128" s="541"/>
      <c r="B128" s="397"/>
      <c r="C128" s="394"/>
      <c r="D128" s="209" t="str">
        <f t="shared" ref="D128:D132" si="10">B128&amp;" "&amp;C128&amp;" "&amp;"("&amp;$B$126&amp;")"</f>
        <v xml:space="preserve">  (Titulaire)</v>
      </c>
      <c r="E128" s="133"/>
      <c r="F128" s="546"/>
      <c r="G128" s="396"/>
      <c r="H128" s="396"/>
      <c r="I128" s="130"/>
    </row>
    <row r="129" spans="1:9" ht="18.75" hidden="1" customHeight="1" x14ac:dyDescent="0.3">
      <c r="A129" s="541"/>
      <c r="B129" s="397"/>
      <c r="C129" s="394"/>
      <c r="D129" s="209" t="str">
        <f t="shared" si="10"/>
        <v xml:space="preserve">  (Titulaire)</v>
      </c>
      <c r="E129" s="133"/>
      <c r="F129" s="546"/>
      <c r="G129" s="396"/>
      <c r="H129" s="396"/>
      <c r="I129" s="130"/>
    </row>
    <row r="130" spans="1:9" ht="18.75" hidden="1" customHeight="1" x14ac:dyDescent="0.3">
      <c r="A130" s="541"/>
      <c r="B130" s="397"/>
      <c r="C130" s="394"/>
      <c r="D130" s="209" t="str">
        <f t="shared" si="10"/>
        <v xml:space="preserve">  (Titulaire)</v>
      </c>
      <c r="E130" s="133"/>
      <c r="F130" s="546"/>
      <c r="G130" s="396"/>
      <c r="H130" s="396"/>
      <c r="I130" s="130"/>
    </row>
    <row r="131" spans="1:9" ht="18.75" hidden="1" customHeight="1" x14ac:dyDescent="0.3">
      <c r="A131" s="541"/>
      <c r="B131" s="397"/>
      <c r="C131" s="394"/>
      <c r="D131" s="209" t="str">
        <f t="shared" si="10"/>
        <v xml:space="preserve">  (Titulaire)</v>
      </c>
      <c r="E131" s="133"/>
      <c r="F131" s="546"/>
      <c r="G131" s="396"/>
      <c r="H131" s="396"/>
      <c r="I131" s="130"/>
    </row>
    <row r="132" spans="1:9" ht="19.5" hidden="1" customHeight="1" thickBot="1" x14ac:dyDescent="0.35">
      <c r="A132" s="542"/>
      <c r="B132" s="397"/>
      <c r="C132" s="394"/>
      <c r="D132" s="209" t="str">
        <f t="shared" si="10"/>
        <v xml:space="preserve">  (Titulaire)</v>
      </c>
      <c r="E132" s="134"/>
      <c r="F132" s="547"/>
      <c r="G132" s="396"/>
      <c r="H132" s="396"/>
      <c r="I132" s="130"/>
    </row>
    <row r="133" spans="1:9" ht="19.5" hidden="1" customHeight="1" thickBot="1" x14ac:dyDescent="0.35">
      <c r="A133" s="10"/>
      <c r="B133" s="177"/>
      <c r="C133" s="135"/>
      <c r="D133" s="135"/>
      <c r="E133" s="177"/>
      <c r="F133" s="130"/>
      <c r="G133" s="130"/>
      <c r="H133" s="130"/>
      <c r="I133" s="130"/>
    </row>
    <row r="134" spans="1:9" ht="18.75" hidden="1" customHeight="1" x14ac:dyDescent="0.3">
      <c r="A134" s="540" t="str">
        <f>A124</f>
        <v>Montant OS et avenants</v>
      </c>
      <c r="B134" s="538" t="s">
        <v>34</v>
      </c>
      <c r="C134" s="539" t="s">
        <v>35</v>
      </c>
      <c r="D134" s="206"/>
      <c r="E134" s="180" t="s">
        <v>242</v>
      </c>
      <c r="F134" s="180" t="str">
        <f>E134</f>
        <v>Montant intial TVA</v>
      </c>
      <c r="G134" s="185" t="s">
        <v>220</v>
      </c>
      <c r="H134" s="186" t="s">
        <v>220</v>
      </c>
      <c r="I134" s="130"/>
    </row>
    <row r="135" spans="1:9" ht="18.75" hidden="1" customHeight="1" x14ac:dyDescent="0.3">
      <c r="A135" s="541"/>
      <c r="B135" s="538"/>
      <c r="C135" s="539"/>
      <c r="D135" s="207"/>
      <c r="E135" s="181">
        <f>E125</f>
        <v>0</v>
      </c>
      <c r="F135" s="181">
        <f>F125</f>
        <v>0</v>
      </c>
      <c r="G135" s="187" t="str">
        <f>"TVA"&amp;" "&amp;$C$17*100&amp;"%"</f>
        <v>TVA 0%</v>
      </c>
      <c r="H135" s="187" t="str">
        <f>"TVA"&amp;" "&amp;$E$17*100&amp;"%"</f>
        <v>TVA 0%</v>
      </c>
      <c r="I135" s="130"/>
    </row>
    <row r="136" spans="1:9" ht="19.5" hidden="1" customHeight="1" thickBot="1" x14ac:dyDescent="0.35">
      <c r="A136" s="541"/>
      <c r="B136" s="192" t="s">
        <v>247</v>
      </c>
      <c r="C136" s="42">
        <f>C48</f>
        <v>2</v>
      </c>
      <c r="D136" s="184"/>
      <c r="E136" s="520"/>
      <c r="F136" s="520"/>
      <c r="G136" s="188">
        <f>E136-SUM(G137:G142)</f>
        <v>0</v>
      </c>
      <c r="H136" s="189">
        <f>F136-SUM(H137:H142)</f>
        <v>0</v>
      </c>
      <c r="I136" s="130"/>
    </row>
    <row r="137" spans="1:9" ht="18.75" hidden="1" customHeight="1" x14ac:dyDescent="0.3">
      <c r="A137" s="541"/>
      <c r="B137" s="397"/>
      <c r="C137" s="394"/>
      <c r="D137" s="209" t="str">
        <f>B137&amp;" "&amp;C137&amp;" "&amp;"("&amp;$B$136&amp;")"</f>
        <v xml:space="preserve">  (Cotraitant)</v>
      </c>
      <c r="E137" s="132"/>
      <c r="F137" s="545" t="s">
        <v>243</v>
      </c>
      <c r="G137" s="395"/>
      <c r="H137" s="395"/>
      <c r="I137" s="130"/>
    </row>
    <row r="138" spans="1:9" ht="18.75" hidden="1" customHeight="1" x14ac:dyDescent="0.3">
      <c r="A138" s="541"/>
      <c r="B138" s="397"/>
      <c r="C138" s="394"/>
      <c r="D138" s="209" t="str">
        <f t="shared" ref="D138:D142" si="11">B138&amp;" "&amp;C138&amp;" "&amp;"("&amp;$B$136&amp;")"</f>
        <v xml:space="preserve">  (Cotraitant)</v>
      </c>
      <c r="E138" s="133"/>
      <c r="F138" s="546"/>
      <c r="G138" s="396"/>
      <c r="H138" s="396"/>
      <c r="I138" s="130"/>
    </row>
    <row r="139" spans="1:9" ht="18.75" hidden="1" customHeight="1" x14ac:dyDescent="0.3">
      <c r="A139" s="541"/>
      <c r="B139" s="397"/>
      <c r="C139" s="394"/>
      <c r="D139" s="209" t="str">
        <f t="shared" si="11"/>
        <v xml:space="preserve">  (Cotraitant)</v>
      </c>
      <c r="E139" s="133"/>
      <c r="F139" s="546"/>
      <c r="G139" s="396"/>
      <c r="H139" s="396"/>
      <c r="I139" s="130"/>
    </row>
    <row r="140" spans="1:9" ht="18.75" hidden="1" customHeight="1" x14ac:dyDescent="0.3">
      <c r="A140" s="541"/>
      <c r="B140" s="397"/>
      <c r="C140" s="394"/>
      <c r="D140" s="209" t="str">
        <f t="shared" si="11"/>
        <v xml:space="preserve">  (Cotraitant)</v>
      </c>
      <c r="E140" s="133"/>
      <c r="F140" s="546"/>
      <c r="G140" s="396"/>
      <c r="H140" s="396"/>
      <c r="I140" s="130"/>
    </row>
    <row r="141" spans="1:9" ht="18.75" hidden="1" customHeight="1" x14ac:dyDescent="0.3">
      <c r="A141" s="541"/>
      <c r="B141" s="397"/>
      <c r="C141" s="394"/>
      <c r="D141" s="209" t="str">
        <f t="shared" si="11"/>
        <v xml:space="preserve">  (Cotraitant)</v>
      </c>
      <c r="E141" s="133"/>
      <c r="F141" s="546"/>
      <c r="G141" s="396"/>
      <c r="H141" s="396"/>
      <c r="I141" s="130"/>
    </row>
    <row r="142" spans="1:9" ht="19.5" hidden="1" customHeight="1" thickBot="1" x14ac:dyDescent="0.35">
      <c r="A142" s="542"/>
      <c r="B142" s="397"/>
      <c r="C142" s="394"/>
      <c r="D142" s="209" t="str">
        <f t="shared" si="11"/>
        <v xml:space="preserve">  (Cotraitant)</v>
      </c>
      <c r="E142" s="134"/>
      <c r="F142" s="547"/>
      <c r="G142" s="396"/>
      <c r="H142" s="396"/>
      <c r="I142" s="130"/>
    </row>
    <row r="143" spans="1:9" collapsed="1" x14ac:dyDescent="0.3">
      <c r="A143" s="130"/>
      <c r="F143" s="130"/>
      <c r="G143" s="130"/>
      <c r="H143" s="130"/>
      <c r="I143" s="130"/>
    </row>
    <row r="144" spans="1:9" x14ac:dyDescent="0.3">
      <c r="A144" s="130"/>
      <c r="B144" s="130"/>
      <c r="C144" s="130"/>
      <c r="D144" s="130"/>
      <c r="E144" s="130"/>
      <c r="F144" s="130"/>
      <c r="G144" s="130"/>
      <c r="H144" s="130"/>
      <c r="I144" s="130"/>
    </row>
    <row r="145" spans="1:9" x14ac:dyDescent="0.3">
      <c r="A145" s="130"/>
      <c r="B145" s="130"/>
      <c r="C145" s="130"/>
      <c r="D145" s="130"/>
      <c r="E145" s="130"/>
      <c r="F145" s="130"/>
      <c r="G145" s="130"/>
      <c r="H145" s="130"/>
      <c r="I145" s="130"/>
    </row>
    <row r="146" spans="1:9" x14ac:dyDescent="0.3">
      <c r="A146" s="130"/>
      <c r="B146" s="130"/>
      <c r="C146" s="130"/>
      <c r="D146" s="130"/>
      <c r="E146" s="130"/>
      <c r="F146" s="130"/>
      <c r="G146" s="130"/>
      <c r="H146" s="130"/>
      <c r="I146" s="130"/>
    </row>
    <row r="147" spans="1:9" x14ac:dyDescent="0.3">
      <c r="A147" s="130"/>
      <c r="B147" s="130"/>
      <c r="C147" s="130"/>
      <c r="D147" s="130"/>
      <c r="E147" s="130"/>
      <c r="F147" s="130"/>
      <c r="G147" s="130"/>
      <c r="H147" s="130"/>
      <c r="I147" s="130"/>
    </row>
    <row r="148" spans="1:9" x14ac:dyDescent="0.3">
      <c r="A148" s="130"/>
      <c r="B148" s="130"/>
      <c r="C148" s="130"/>
      <c r="D148" s="130"/>
      <c r="E148" s="130"/>
      <c r="F148" s="130"/>
      <c r="G148" s="130"/>
      <c r="H148" s="130"/>
      <c r="I148" s="130"/>
    </row>
    <row r="149" spans="1:9" x14ac:dyDescent="0.3">
      <c r="A149" s="130"/>
      <c r="B149" s="130"/>
      <c r="C149" s="130"/>
      <c r="D149" s="130"/>
      <c r="E149" s="130"/>
      <c r="F149" s="130"/>
      <c r="G149" s="130"/>
      <c r="H149" s="130"/>
      <c r="I149" s="130"/>
    </row>
    <row r="150" spans="1:9" x14ac:dyDescent="0.3">
      <c r="A150" s="130"/>
      <c r="B150" s="130"/>
      <c r="C150" s="130"/>
      <c r="D150" s="130"/>
      <c r="E150" s="130"/>
      <c r="F150" s="130"/>
      <c r="G150" s="130"/>
      <c r="H150" s="130"/>
      <c r="I150" s="130"/>
    </row>
    <row r="151" spans="1:9" x14ac:dyDescent="0.3">
      <c r="A151" s="130"/>
      <c r="B151" s="130"/>
      <c r="C151" s="130"/>
      <c r="D151" s="130"/>
      <c r="E151" s="130"/>
      <c r="F151" s="130"/>
      <c r="G151" s="130"/>
      <c r="H151" s="130"/>
      <c r="I151" s="130"/>
    </row>
    <row r="152" spans="1:9" x14ac:dyDescent="0.3">
      <c r="A152" s="130"/>
      <c r="B152" s="130"/>
      <c r="C152" s="130"/>
      <c r="D152" s="130"/>
      <c r="E152" s="130"/>
      <c r="F152" s="130"/>
      <c r="G152" s="130"/>
      <c r="H152" s="130"/>
      <c r="I152" s="130"/>
    </row>
    <row r="153" spans="1:9" x14ac:dyDescent="0.3">
      <c r="A153" s="130"/>
      <c r="B153" s="130"/>
      <c r="C153" s="130"/>
      <c r="D153" s="130"/>
      <c r="E153" s="130"/>
      <c r="F153" s="130"/>
      <c r="G153" s="130"/>
      <c r="H153" s="130"/>
      <c r="I153" s="130"/>
    </row>
    <row r="154" spans="1:9" x14ac:dyDescent="0.3">
      <c r="A154" s="130"/>
      <c r="B154" s="130"/>
      <c r="C154" s="130"/>
      <c r="D154" s="130"/>
      <c r="E154" s="130"/>
      <c r="F154" s="130"/>
      <c r="G154" s="130"/>
      <c r="H154" s="130"/>
      <c r="I154" s="130"/>
    </row>
    <row r="155" spans="1:9" x14ac:dyDescent="0.3">
      <c r="A155" s="130"/>
      <c r="B155" s="130"/>
      <c r="C155" s="130"/>
      <c r="D155" s="130"/>
      <c r="E155" s="130"/>
      <c r="F155" s="130"/>
      <c r="G155" s="130"/>
      <c r="H155" s="130"/>
      <c r="I155" s="130"/>
    </row>
    <row r="156" spans="1:9" x14ac:dyDescent="0.3">
      <c r="A156" s="130"/>
      <c r="B156" s="130"/>
      <c r="C156" s="130"/>
      <c r="D156" s="130"/>
      <c r="E156" s="130"/>
      <c r="F156" s="130"/>
      <c r="G156" s="130"/>
      <c r="H156" s="130"/>
      <c r="I156" s="130"/>
    </row>
    <row r="157" spans="1:9" x14ac:dyDescent="0.3">
      <c r="A157" s="130"/>
      <c r="B157" s="130"/>
      <c r="C157" s="130"/>
      <c r="D157" s="130"/>
      <c r="E157" s="130"/>
      <c r="F157" s="130"/>
      <c r="G157" s="130"/>
      <c r="H157" s="130"/>
      <c r="I157" s="130"/>
    </row>
    <row r="158" spans="1:9" x14ac:dyDescent="0.3">
      <c r="A158" s="130"/>
      <c r="B158" s="130"/>
      <c r="C158" s="130"/>
      <c r="D158" s="130"/>
      <c r="E158" s="130"/>
      <c r="F158" s="130"/>
      <c r="G158" s="130"/>
      <c r="H158" s="130"/>
      <c r="I158" s="130"/>
    </row>
    <row r="159" spans="1:9" x14ac:dyDescent="0.3">
      <c r="A159" s="130"/>
      <c r="B159" s="130"/>
      <c r="C159" s="130"/>
      <c r="D159" s="130"/>
      <c r="E159" s="130"/>
      <c r="F159" s="130"/>
      <c r="G159" s="130"/>
      <c r="H159" s="130"/>
      <c r="I159" s="130"/>
    </row>
    <row r="160" spans="1:9" x14ac:dyDescent="0.3">
      <c r="A160" s="130"/>
      <c r="B160" s="130"/>
      <c r="C160" s="130"/>
      <c r="D160" s="130"/>
      <c r="E160" s="130"/>
      <c r="F160" s="130"/>
      <c r="G160" s="130"/>
      <c r="H160" s="130"/>
      <c r="I160" s="130"/>
    </row>
    <row r="161" spans="1:9" x14ac:dyDescent="0.3">
      <c r="A161" s="130"/>
      <c r="B161" s="130"/>
      <c r="C161" s="130"/>
      <c r="D161" s="130"/>
      <c r="E161" s="130"/>
      <c r="F161" s="130"/>
      <c r="G161" s="130"/>
      <c r="H161" s="130"/>
      <c r="I161" s="130"/>
    </row>
    <row r="162" spans="1:9" x14ac:dyDescent="0.3">
      <c r="A162" s="130"/>
      <c r="B162" s="130"/>
      <c r="C162" s="130"/>
      <c r="D162" s="130"/>
      <c r="E162" s="130"/>
      <c r="F162" s="130"/>
      <c r="G162" s="130"/>
      <c r="H162" s="130"/>
      <c r="I162" s="130"/>
    </row>
    <row r="163" spans="1:9" x14ac:dyDescent="0.3">
      <c r="A163" s="130"/>
      <c r="B163" s="130"/>
      <c r="C163" s="130"/>
      <c r="D163" s="130"/>
      <c r="E163" s="130"/>
      <c r="F163" s="130"/>
      <c r="G163" s="130"/>
      <c r="H163" s="130"/>
      <c r="I163" s="130"/>
    </row>
    <row r="164" spans="1:9" x14ac:dyDescent="0.3">
      <c r="A164" s="130"/>
      <c r="B164" s="130"/>
      <c r="C164" s="130"/>
      <c r="D164" s="130"/>
      <c r="E164" s="130"/>
      <c r="F164" s="130"/>
      <c r="G164" s="130"/>
      <c r="H164" s="130"/>
      <c r="I164" s="130"/>
    </row>
    <row r="165" spans="1:9" x14ac:dyDescent="0.3">
      <c r="A165" s="130"/>
      <c r="B165" s="130"/>
      <c r="C165" s="130"/>
      <c r="D165" s="130"/>
      <c r="E165" s="130"/>
      <c r="F165" s="130"/>
      <c r="G165" s="130"/>
      <c r="H165" s="130"/>
      <c r="I165" s="130"/>
    </row>
    <row r="166" spans="1:9" x14ac:dyDescent="0.3">
      <c r="A166" s="130"/>
      <c r="B166" s="130"/>
      <c r="C166" s="130"/>
      <c r="D166" s="130"/>
      <c r="E166" s="130"/>
      <c r="F166" s="130"/>
      <c r="G166" s="130"/>
      <c r="H166" s="130"/>
      <c r="I166" s="130"/>
    </row>
    <row r="167" spans="1:9" x14ac:dyDescent="0.3">
      <c r="A167" s="130"/>
      <c r="B167" s="130"/>
      <c r="C167" s="130"/>
      <c r="D167" s="130"/>
      <c r="E167" s="130"/>
      <c r="F167" s="130"/>
      <c r="G167" s="130"/>
      <c r="H167" s="130"/>
      <c r="I167" s="130"/>
    </row>
    <row r="168" spans="1:9" x14ac:dyDescent="0.3">
      <c r="A168" s="130"/>
      <c r="B168" s="130"/>
      <c r="C168" s="130"/>
      <c r="D168" s="130"/>
      <c r="E168" s="130"/>
      <c r="F168" s="130"/>
      <c r="G168" s="130"/>
      <c r="H168" s="130"/>
      <c r="I168" s="130"/>
    </row>
    <row r="169" spans="1:9" x14ac:dyDescent="0.3">
      <c r="A169" s="130"/>
      <c r="B169" s="130"/>
      <c r="C169" s="130"/>
      <c r="D169" s="130"/>
      <c r="E169" s="130"/>
      <c r="F169" s="130"/>
      <c r="G169" s="130"/>
      <c r="H169" s="130"/>
      <c r="I169" s="130"/>
    </row>
    <row r="170" spans="1:9" x14ac:dyDescent="0.3">
      <c r="A170" s="130"/>
      <c r="B170" s="130"/>
      <c r="C170" s="130"/>
      <c r="D170" s="130"/>
      <c r="E170" s="130"/>
      <c r="F170" s="130"/>
      <c r="G170" s="130"/>
      <c r="H170" s="130"/>
      <c r="I170" s="130"/>
    </row>
    <row r="171" spans="1:9" x14ac:dyDescent="0.3">
      <c r="A171" s="130"/>
      <c r="B171" s="130"/>
      <c r="C171" s="130"/>
      <c r="D171" s="130"/>
      <c r="E171" s="130"/>
      <c r="F171" s="130"/>
      <c r="G171" s="130"/>
      <c r="H171" s="130"/>
      <c r="I171" s="130"/>
    </row>
    <row r="172" spans="1:9" x14ac:dyDescent="0.3">
      <c r="A172" s="130"/>
      <c r="B172" s="130"/>
      <c r="C172" s="130"/>
      <c r="D172" s="130"/>
      <c r="E172" s="130"/>
      <c r="F172" s="130"/>
      <c r="G172" s="130"/>
      <c r="H172" s="130"/>
      <c r="I172" s="130"/>
    </row>
    <row r="173" spans="1:9" x14ac:dyDescent="0.3">
      <c r="A173" s="130"/>
      <c r="B173" s="130"/>
      <c r="C173" s="130"/>
      <c r="D173" s="130"/>
      <c r="E173" s="130"/>
      <c r="F173" s="130"/>
      <c r="G173" s="130"/>
      <c r="H173" s="130"/>
      <c r="I173" s="130"/>
    </row>
    <row r="174" spans="1:9" x14ac:dyDescent="0.3">
      <c r="A174" s="130"/>
      <c r="B174" s="130"/>
      <c r="C174" s="130"/>
      <c r="D174" s="130"/>
      <c r="E174" s="130"/>
      <c r="F174" s="130"/>
      <c r="G174" s="130"/>
      <c r="H174" s="130"/>
      <c r="I174" s="130"/>
    </row>
    <row r="175" spans="1:9" x14ac:dyDescent="0.3">
      <c r="A175" s="130"/>
      <c r="B175" s="130"/>
      <c r="C175" s="130"/>
      <c r="D175" s="130"/>
      <c r="E175" s="130"/>
      <c r="F175" s="130"/>
      <c r="G175" s="130"/>
      <c r="H175" s="130"/>
      <c r="I175" s="130"/>
    </row>
    <row r="176" spans="1:9" x14ac:dyDescent="0.3">
      <c r="A176" s="130"/>
      <c r="B176" s="130"/>
      <c r="C176" s="130"/>
      <c r="D176" s="130"/>
      <c r="E176" s="130"/>
      <c r="F176" s="130"/>
      <c r="G176" s="130"/>
      <c r="H176" s="130"/>
      <c r="I176" s="130"/>
    </row>
    <row r="177" spans="1:9" x14ac:dyDescent="0.3">
      <c r="A177" s="130"/>
      <c r="B177" s="130"/>
      <c r="C177" s="130"/>
      <c r="D177" s="130"/>
      <c r="E177" s="130"/>
      <c r="F177" s="130"/>
      <c r="G177" s="130"/>
      <c r="H177" s="130"/>
      <c r="I177" s="130"/>
    </row>
    <row r="178" spans="1:9" x14ac:dyDescent="0.3">
      <c r="A178" s="130"/>
      <c r="B178" s="130"/>
      <c r="C178" s="130"/>
      <c r="D178" s="130"/>
      <c r="E178" s="130"/>
      <c r="F178" s="130"/>
      <c r="G178" s="130"/>
      <c r="H178" s="130"/>
      <c r="I178" s="130"/>
    </row>
    <row r="179" spans="1:9" x14ac:dyDescent="0.3">
      <c r="A179" s="130"/>
      <c r="B179" s="130"/>
      <c r="C179" s="130"/>
      <c r="D179" s="130"/>
      <c r="E179" s="130"/>
      <c r="F179" s="130"/>
      <c r="G179" s="130"/>
      <c r="H179" s="130"/>
      <c r="I179" s="130"/>
    </row>
    <row r="180" spans="1:9" x14ac:dyDescent="0.3">
      <c r="A180" s="130"/>
      <c r="B180" s="130"/>
      <c r="C180" s="130"/>
      <c r="D180" s="130"/>
      <c r="E180" s="130"/>
      <c r="F180" s="130"/>
      <c r="G180" s="130"/>
      <c r="H180" s="130"/>
      <c r="I180" s="130"/>
    </row>
    <row r="181" spans="1:9" x14ac:dyDescent="0.3">
      <c r="A181" s="130"/>
      <c r="B181" s="130"/>
      <c r="C181" s="130"/>
      <c r="D181" s="130"/>
      <c r="E181" s="130"/>
      <c r="F181" s="130"/>
      <c r="G181" s="130"/>
      <c r="H181" s="130"/>
      <c r="I181" s="130"/>
    </row>
    <row r="182" spans="1:9" x14ac:dyDescent="0.3">
      <c r="A182" s="130"/>
      <c r="B182" s="130"/>
      <c r="C182" s="130"/>
      <c r="D182" s="130"/>
      <c r="E182" s="130"/>
      <c r="F182" s="130"/>
      <c r="G182" s="130"/>
      <c r="H182" s="130"/>
      <c r="I182" s="130"/>
    </row>
    <row r="183" spans="1:9" x14ac:dyDescent="0.3">
      <c r="A183" s="130"/>
      <c r="B183" s="130"/>
      <c r="C183" s="130"/>
      <c r="D183" s="130"/>
      <c r="E183" s="130"/>
      <c r="F183" s="130"/>
      <c r="G183" s="130"/>
      <c r="H183" s="130"/>
      <c r="I183" s="130"/>
    </row>
    <row r="184" spans="1:9" x14ac:dyDescent="0.3">
      <c r="A184" s="130"/>
      <c r="B184" s="130"/>
      <c r="C184" s="130"/>
      <c r="D184" s="130"/>
      <c r="E184" s="130"/>
      <c r="F184" s="130"/>
      <c r="G184" s="130"/>
      <c r="H184" s="130"/>
      <c r="I184" s="130"/>
    </row>
    <row r="185" spans="1:9" x14ac:dyDescent="0.3">
      <c r="A185" s="130"/>
      <c r="B185" s="130"/>
      <c r="C185" s="130"/>
      <c r="D185" s="130"/>
      <c r="E185" s="130"/>
      <c r="F185" s="130"/>
      <c r="G185" s="130"/>
      <c r="H185" s="130"/>
      <c r="I185" s="130"/>
    </row>
    <row r="186" spans="1:9" x14ac:dyDescent="0.3">
      <c r="A186" s="130"/>
      <c r="B186" s="130"/>
      <c r="C186" s="130"/>
      <c r="D186" s="130"/>
      <c r="E186" s="130"/>
      <c r="F186" s="130"/>
      <c r="G186" s="130"/>
      <c r="H186" s="130"/>
      <c r="I186" s="130"/>
    </row>
    <row r="187" spans="1:9" x14ac:dyDescent="0.3">
      <c r="A187" s="130"/>
      <c r="B187" s="130"/>
      <c r="C187" s="130"/>
      <c r="D187" s="130"/>
      <c r="E187" s="130"/>
      <c r="F187" s="130"/>
      <c r="G187" s="130"/>
      <c r="H187" s="130"/>
      <c r="I187" s="130"/>
    </row>
    <row r="188" spans="1:9" x14ac:dyDescent="0.3">
      <c r="A188" s="130"/>
      <c r="B188" s="130"/>
      <c r="C188" s="130"/>
      <c r="D188" s="130"/>
      <c r="E188" s="130"/>
      <c r="F188" s="130"/>
      <c r="G188" s="130"/>
      <c r="H188" s="130"/>
      <c r="I188" s="130"/>
    </row>
    <row r="189" spans="1:9" x14ac:dyDescent="0.3">
      <c r="A189" s="130"/>
      <c r="B189" s="130"/>
      <c r="C189" s="130"/>
      <c r="D189" s="130"/>
      <c r="E189" s="130"/>
      <c r="F189" s="130"/>
      <c r="G189" s="130"/>
      <c r="H189" s="130"/>
      <c r="I189" s="130"/>
    </row>
    <row r="190" spans="1:9" x14ac:dyDescent="0.3">
      <c r="A190" s="130"/>
      <c r="B190" s="130"/>
      <c r="C190" s="130"/>
      <c r="D190" s="130"/>
      <c r="E190" s="130"/>
      <c r="F190" s="130"/>
      <c r="G190" s="130"/>
      <c r="H190" s="130"/>
      <c r="I190" s="130"/>
    </row>
    <row r="191" spans="1:9" x14ac:dyDescent="0.3">
      <c r="A191" s="130"/>
      <c r="B191" s="130"/>
      <c r="C191" s="130"/>
      <c r="D191" s="130"/>
      <c r="E191" s="130"/>
      <c r="F191" s="130"/>
      <c r="G191" s="130"/>
      <c r="H191" s="130"/>
      <c r="I191" s="130"/>
    </row>
    <row r="192" spans="1:9" x14ac:dyDescent="0.3">
      <c r="A192" s="130"/>
      <c r="B192" s="130"/>
      <c r="C192" s="130"/>
      <c r="D192" s="130"/>
      <c r="E192" s="130"/>
      <c r="F192" s="130"/>
      <c r="G192" s="130"/>
      <c r="H192" s="130"/>
      <c r="I192" s="130"/>
    </row>
    <row r="193" spans="1:9" x14ac:dyDescent="0.3">
      <c r="A193" s="130"/>
      <c r="B193" s="130"/>
      <c r="C193" s="130"/>
      <c r="D193" s="130"/>
      <c r="E193" s="130"/>
      <c r="F193" s="130"/>
      <c r="G193" s="130"/>
      <c r="H193" s="130"/>
      <c r="I193" s="130"/>
    </row>
    <row r="194" spans="1:9" x14ac:dyDescent="0.3">
      <c r="A194" s="130"/>
      <c r="B194" s="130"/>
      <c r="C194" s="130"/>
      <c r="D194" s="130"/>
      <c r="E194" s="130"/>
      <c r="F194" s="130"/>
      <c r="G194" s="130"/>
      <c r="H194" s="130"/>
      <c r="I194" s="130"/>
    </row>
    <row r="195" spans="1:9" x14ac:dyDescent="0.3">
      <c r="A195" s="130"/>
      <c r="B195" s="130"/>
      <c r="C195" s="130"/>
      <c r="D195" s="130"/>
      <c r="E195" s="130"/>
      <c r="F195" s="130"/>
      <c r="G195" s="130"/>
      <c r="H195" s="130"/>
      <c r="I195" s="130"/>
    </row>
    <row r="196" spans="1:9" x14ac:dyDescent="0.3">
      <c r="A196" s="130"/>
      <c r="B196" s="130"/>
      <c r="C196" s="130"/>
      <c r="D196" s="130"/>
      <c r="E196" s="130"/>
      <c r="F196" s="130"/>
      <c r="G196" s="130"/>
      <c r="H196" s="130"/>
      <c r="I196" s="130"/>
    </row>
    <row r="197" spans="1:9" x14ac:dyDescent="0.3">
      <c r="A197" s="130"/>
      <c r="B197" s="130"/>
      <c r="C197" s="130"/>
      <c r="D197" s="130"/>
      <c r="E197" s="130"/>
      <c r="F197" s="130"/>
      <c r="G197" s="130"/>
      <c r="H197" s="130"/>
      <c r="I197" s="130"/>
    </row>
    <row r="198" spans="1:9" x14ac:dyDescent="0.3">
      <c r="A198" s="130"/>
      <c r="B198" s="130"/>
      <c r="C198" s="130"/>
      <c r="D198" s="130"/>
      <c r="E198" s="130"/>
      <c r="F198" s="130"/>
      <c r="G198" s="130"/>
      <c r="H198" s="130"/>
      <c r="I198" s="130"/>
    </row>
    <row r="199" spans="1:9" x14ac:dyDescent="0.3">
      <c r="A199" s="130"/>
      <c r="B199" s="130"/>
      <c r="C199" s="130"/>
      <c r="D199" s="130"/>
      <c r="E199" s="130"/>
      <c r="F199" s="130"/>
      <c r="G199" s="130"/>
      <c r="H199" s="130"/>
      <c r="I199" s="130"/>
    </row>
    <row r="200" spans="1:9" x14ac:dyDescent="0.3">
      <c r="A200" s="130"/>
      <c r="B200" s="130"/>
      <c r="C200" s="130"/>
      <c r="D200" s="130"/>
      <c r="E200" s="130"/>
      <c r="F200" s="130"/>
      <c r="G200" s="130"/>
      <c r="H200" s="130"/>
      <c r="I200" s="130"/>
    </row>
    <row r="201" spans="1:9" x14ac:dyDescent="0.3">
      <c r="A201" s="130"/>
      <c r="B201" s="130"/>
      <c r="C201" s="130"/>
      <c r="D201" s="130"/>
      <c r="E201" s="130"/>
      <c r="F201" s="130"/>
      <c r="G201" s="130"/>
      <c r="H201" s="130"/>
      <c r="I201" s="130"/>
    </row>
    <row r="202" spans="1:9" x14ac:dyDescent="0.3">
      <c r="A202" s="130"/>
      <c r="B202" s="130"/>
      <c r="C202" s="130"/>
      <c r="D202" s="130"/>
      <c r="E202" s="130"/>
      <c r="F202" s="130"/>
      <c r="G202" s="130"/>
      <c r="H202" s="130"/>
      <c r="I202" s="130"/>
    </row>
    <row r="203" spans="1:9" x14ac:dyDescent="0.3">
      <c r="A203" s="130"/>
      <c r="B203" s="130"/>
      <c r="C203" s="130"/>
      <c r="D203" s="130"/>
      <c r="E203" s="130"/>
      <c r="F203" s="130"/>
      <c r="G203" s="130"/>
      <c r="H203" s="130"/>
      <c r="I203" s="130"/>
    </row>
    <row r="204" spans="1:9" x14ac:dyDescent="0.3">
      <c r="A204" s="130"/>
      <c r="B204" s="130"/>
      <c r="C204" s="130"/>
      <c r="D204" s="130"/>
      <c r="E204" s="130"/>
      <c r="F204" s="130"/>
      <c r="G204" s="130"/>
      <c r="H204" s="130"/>
      <c r="I204" s="130"/>
    </row>
    <row r="205" spans="1:9" x14ac:dyDescent="0.3">
      <c r="A205" s="130"/>
      <c r="B205" s="130"/>
      <c r="C205" s="130"/>
      <c r="D205" s="130"/>
      <c r="E205" s="130"/>
      <c r="F205" s="130"/>
      <c r="G205" s="130"/>
      <c r="H205" s="130"/>
      <c r="I205" s="130"/>
    </row>
    <row r="206" spans="1:9" x14ac:dyDescent="0.3">
      <c r="A206" s="130"/>
      <c r="B206" s="130"/>
      <c r="C206" s="130"/>
      <c r="D206" s="130"/>
      <c r="E206" s="130"/>
      <c r="F206" s="130"/>
      <c r="G206" s="130"/>
      <c r="H206" s="130"/>
      <c r="I206" s="130"/>
    </row>
    <row r="207" spans="1:9" x14ac:dyDescent="0.3">
      <c r="A207" s="130"/>
      <c r="B207" s="130"/>
      <c r="C207" s="130"/>
      <c r="D207" s="130"/>
      <c r="E207" s="130"/>
      <c r="F207" s="130"/>
      <c r="G207" s="130"/>
      <c r="H207" s="130"/>
      <c r="I207" s="130"/>
    </row>
    <row r="208" spans="1:9" x14ac:dyDescent="0.3">
      <c r="A208" s="130"/>
      <c r="B208" s="130"/>
      <c r="C208" s="130"/>
      <c r="D208" s="130"/>
      <c r="E208" s="130"/>
      <c r="F208" s="130"/>
      <c r="G208" s="130"/>
      <c r="H208" s="130"/>
      <c r="I208" s="130"/>
    </row>
    <row r="209" spans="1:9" x14ac:dyDescent="0.3">
      <c r="A209" s="130"/>
      <c r="B209" s="130"/>
      <c r="C209" s="130"/>
      <c r="D209" s="130"/>
      <c r="E209" s="130"/>
      <c r="F209" s="130"/>
      <c r="G209" s="130"/>
      <c r="H209" s="130"/>
      <c r="I209" s="130"/>
    </row>
    <row r="210" spans="1:9" x14ac:dyDescent="0.3">
      <c r="A210" s="130"/>
      <c r="B210" s="130"/>
      <c r="C210" s="130"/>
      <c r="D210" s="130"/>
      <c r="E210" s="130"/>
      <c r="F210" s="130"/>
      <c r="G210" s="130"/>
      <c r="H210" s="130"/>
      <c r="I210" s="130"/>
    </row>
    <row r="211" spans="1:9" x14ac:dyDescent="0.3">
      <c r="A211" s="130"/>
      <c r="B211" s="130"/>
      <c r="C211" s="130"/>
      <c r="D211" s="130"/>
      <c r="E211" s="130"/>
      <c r="F211" s="130"/>
      <c r="G211" s="130"/>
      <c r="H211" s="130"/>
      <c r="I211" s="130"/>
    </row>
    <row r="212" spans="1:9" x14ac:dyDescent="0.3">
      <c r="A212" s="130"/>
      <c r="B212" s="130"/>
      <c r="C212" s="130"/>
      <c r="D212" s="130"/>
      <c r="E212" s="130"/>
      <c r="F212" s="130"/>
      <c r="G212" s="130"/>
      <c r="H212" s="130"/>
      <c r="I212" s="130"/>
    </row>
    <row r="213" spans="1:9" x14ac:dyDescent="0.3">
      <c r="A213" s="130"/>
      <c r="B213" s="130"/>
      <c r="C213" s="130"/>
      <c r="D213" s="130"/>
      <c r="E213" s="130"/>
      <c r="F213" s="130"/>
      <c r="G213" s="130"/>
      <c r="H213" s="130"/>
      <c r="I213" s="130"/>
    </row>
    <row r="214" spans="1:9" x14ac:dyDescent="0.3">
      <c r="A214" s="130"/>
      <c r="B214" s="130"/>
      <c r="C214" s="130"/>
      <c r="D214" s="130"/>
      <c r="E214" s="130"/>
      <c r="F214" s="130"/>
      <c r="G214" s="130"/>
      <c r="H214" s="130"/>
      <c r="I214" s="130"/>
    </row>
    <row r="215" spans="1:9" x14ac:dyDescent="0.3">
      <c r="A215" s="130"/>
      <c r="B215" s="130"/>
      <c r="C215" s="130"/>
      <c r="D215" s="130"/>
      <c r="E215" s="130"/>
      <c r="F215" s="130"/>
      <c r="G215" s="130"/>
      <c r="H215" s="130"/>
      <c r="I215" s="130"/>
    </row>
    <row r="216" spans="1:9" x14ac:dyDescent="0.3">
      <c r="A216" s="130"/>
      <c r="B216" s="130"/>
      <c r="C216" s="130"/>
      <c r="D216" s="130"/>
      <c r="E216" s="130"/>
      <c r="F216" s="130"/>
      <c r="G216" s="130"/>
      <c r="H216" s="130"/>
      <c r="I216" s="130"/>
    </row>
    <row r="217" spans="1:9" x14ac:dyDescent="0.3">
      <c r="A217" s="130"/>
      <c r="B217" s="130"/>
      <c r="C217" s="130"/>
      <c r="D217" s="130"/>
      <c r="E217" s="130"/>
      <c r="F217" s="130"/>
      <c r="G217" s="130"/>
      <c r="H217" s="130"/>
      <c r="I217" s="130"/>
    </row>
    <row r="218" spans="1:9" x14ac:dyDescent="0.3">
      <c r="A218" s="130"/>
      <c r="B218" s="130"/>
      <c r="C218" s="130"/>
      <c r="D218" s="130"/>
      <c r="E218" s="130"/>
      <c r="F218" s="130"/>
      <c r="G218" s="130"/>
      <c r="H218" s="130"/>
      <c r="I218" s="130"/>
    </row>
    <row r="219" spans="1:9" x14ac:dyDescent="0.3">
      <c r="A219" s="130"/>
      <c r="B219" s="130"/>
      <c r="C219" s="130"/>
      <c r="D219" s="130"/>
      <c r="E219" s="130"/>
      <c r="F219" s="130"/>
      <c r="G219" s="130"/>
      <c r="H219" s="130"/>
      <c r="I219" s="130"/>
    </row>
    <row r="220" spans="1:9" x14ac:dyDescent="0.3">
      <c r="A220" s="130"/>
      <c r="B220" s="130"/>
      <c r="C220" s="130"/>
      <c r="D220" s="130"/>
      <c r="E220" s="130"/>
      <c r="F220" s="130"/>
      <c r="G220" s="130"/>
      <c r="H220" s="130"/>
      <c r="I220" s="130"/>
    </row>
    <row r="221" spans="1:9" x14ac:dyDescent="0.3">
      <c r="A221" s="130"/>
      <c r="B221" s="130"/>
      <c r="C221" s="130"/>
      <c r="D221" s="130"/>
      <c r="E221" s="130"/>
      <c r="F221" s="130"/>
      <c r="G221" s="130"/>
      <c r="H221" s="130"/>
      <c r="I221" s="130"/>
    </row>
    <row r="222" spans="1:9" x14ac:dyDescent="0.3">
      <c r="A222" s="130"/>
      <c r="B222" s="130"/>
      <c r="C222" s="130"/>
      <c r="D222" s="130"/>
      <c r="E222" s="130"/>
      <c r="F222" s="130"/>
      <c r="G222" s="130"/>
      <c r="H222" s="130"/>
      <c r="I222" s="130"/>
    </row>
    <row r="223" spans="1:9" x14ac:dyDescent="0.3">
      <c r="A223" s="130"/>
      <c r="B223" s="130"/>
      <c r="C223" s="130"/>
      <c r="D223" s="130"/>
      <c r="E223" s="130"/>
      <c r="F223" s="130"/>
      <c r="G223" s="130"/>
      <c r="H223" s="130"/>
      <c r="I223" s="130"/>
    </row>
    <row r="224" spans="1:9" x14ac:dyDescent="0.3">
      <c r="A224" s="130"/>
      <c r="B224" s="130"/>
      <c r="C224" s="130"/>
      <c r="D224" s="130"/>
      <c r="E224" s="130"/>
      <c r="F224" s="130"/>
      <c r="G224" s="130"/>
      <c r="H224" s="130"/>
      <c r="I224" s="130"/>
    </row>
    <row r="225" spans="1:9" x14ac:dyDescent="0.3">
      <c r="A225" s="130"/>
      <c r="B225" s="130"/>
      <c r="C225" s="130"/>
      <c r="D225" s="130"/>
      <c r="E225" s="130"/>
      <c r="F225" s="130"/>
      <c r="G225" s="130"/>
      <c r="H225" s="130"/>
      <c r="I225" s="130"/>
    </row>
    <row r="226" spans="1:9" x14ac:dyDescent="0.3">
      <c r="A226" s="130"/>
      <c r="B226" s="130"/>
      <c r="C226" s="130"/>
      <c r="D226" s="130"/>
      <c r="E226" s="130"/>
      <c r="F226" s="130"/>
      <c r="G226" s="130"/>
      <c r="H226" s="130"/>
      <c r="I226" s="130"/>
    </row>
    <row r="227" spans="1:9" x14ac:dyDescent="0.3">
      <c r="A227" s="130"/>
      <c r="B227" s="130"/>
      <c r="C227" s="130"/>
      <c r="D227" s="130"/>
      <c r="E227" s="130"/>
      <c r="F227" s="130"/>
      <c r="G227" s="130"/>
      <c r="H227" s="130"/>
      <c r="I227" s="130"/>
    </row>
    <row r="228" spans="1:9" x14ac:dyDescent="0.3">
      <c r="A228" s="130"/>
      <c r="B228" s="130"/>
      <c r="C228" s="130"/>
      <c r="D228" s="130"/>
      <c r="E228" s="130"/>
      <c r="F228" s="130"/>
      <c r="G228" s="130"/>
      <c r="H228" s="130"/>
      <c r="I228" s="130"/>
    </row>
    <row r="229" spans="1:9" x14ac:dyDescent="0.3">
      <c r="A229" s="130"/>
      <c r="B229" s="130"/>
      <c r="C229" s="130"/>
      <c r="D229" s="130"/>
      <c r="E229" s="130"/>
      <c r="F229" s="130"/>
      <c r="G229" s="130"/>
      <c r="H229" s="130"/>
      <c r="I229" s="130"/>
    </row>
    <row r="230" spans="1:9" x14ac:dyDescent="0.3">
      <c r="A230" s="130"/>
      <c r="B230" s="130"/>
      <c r="C230" s="130"/>
      <c r="D230" s="130"/>
      <c r="E230" s="130"/>
      <c r="F230" s="130"/>
      <c r="G230" s="130"/>
      <c r="H230" s="130"/>
      <c r="I230" s="130"/>
    </row>
    <row r="231" spans="1:9" x14ac:dyDescent="0.3">
      <c r="A231" s="130"/>
      <c r="B231" s="130"/>
      <c r="C231" s="130"/>
      <c r="D231" s="130"/>
      <c r="E231" s="130"/>
      <c r="F231" s="130"/>
      <c r="G231" s="130"/>
      <c r="H231" s="130"/>
      <c r="I231" s="130"/>
    </row>
    <row r="232" spans="1:9" x14ac:dyDescent="0.3">
      <c r="A232" s="130"/>
      <c r="B232" s="130"/>
      <c r="C232" s="130"/>
      <c r="D232" s="130"/>
      <c r="E232" s="130"/>
      <c r="F232" s="130"/>
      <c r="G232" s="130"/>
      <c r="H232" s="130"/>
      <c r="I232" s="130"/>
    </row>
    <row r="233" spans="1:9" x14ac:dyDescent="0.3">
      <c r="A233" s="130"/>
      <c r="B233" s="130"/>
      <c r="C233" s="130"/>
      <c r="D233" s="130"/>
      <c r="E233" s="130"/>
      <c r="F233" s="130"/>
      <c r="G233" s="130"/>
      <c r="H233" s="130"/>
      <c r="I233" s="130"/>
    </row>
    <row r="234" spans="1:9" x14ac:dyDescent="0.3">
      <c r="A234" s="130"/>
      <c r="B234" s="130"/>
      <c r="C234" s="130"/>
      <c r="D234" s="130"/>
      <c r="E234" s="130"/>
      <c r="F234" s="130"/>
      <c r="G234" s="130"/>
      <c r="H234" s="130"/>
      <c r="I234" s="130"/>
    </row>
    <row r="235" spans="1:9" x14ac:dyDescent="0.3">
      <c r="A235" s="130"/>
      <c r="B235" s="130"/>
      <c r="C235" s="130"/>
      <c r="D235" s="130"/>
      <c r="E235" s="130"/>
      <c r="F235" s="130"/>
      <c r="G235" s="130"/>
      <c r="H235" s="130"/>
      <c r="I235" s="130"/>
    </row>
    <row r="236" spans="1:9" x14ac:dyDescent="0.3">
      <c r="A236" s="130"/>
      <c r="B236" s="130"/>
      <c r="C236" s="130"/>
      <c r="D236" s="130"/>
      <c r="E236" s="130"/>
      <c r="F236" s="130"/>
      <c r="G236" s="130"/>
      <c r="H236" s="130"/>
      <c r="I236" s="130"/>
    </row>
    <row r="237" spans="1:9" x14ac:dyDescent="0.3">
      <c r="A237" s="130"/>
      <c r="B237" s="130"/>
      <c r="C237" s="130"/>
      <c r="D237" s="130"/>
      <c r="E237" s="130"/>
      <c r="F237" s="130"/>
      <c r="G237" s="130"/>
      <c r="H237" s="130"/>
      <c r="I237" s="130"/>
    </row>
    <row r="238" spans="1:9" x14ac:dyDescent="0.3">
      <c r="A238" s="130"/>
      <c r="B238" s="130"/>
      <c r="C238" s="130"/>
      <c r="D238" s="130"/>
      <c r="E238" s="130"/>
      <c r="F238" s="130"/>
      <c r="G238" s="130"/>
      <c r="H238" s="130"/>
      <c r="I238" s="130"/>
    </row>
    <row r="239" spans="1:9" x14ac:dyDescent="0.3">
      <c r="A239" s="130"/>
      <c r="B239" s="130"/>
      <c r="C239" s="130"/>
      <c r="D239" s="130"/>
      <c r="E239" s="130"/>
      <c r="F239" s="130"/>
      <c r="G239" s="130"/>
      <c r="H239" s="130"/>
      <c r="I239" s="130"/>
    </row>
    <row r="240" spans="1:9" x14ac:dyDescent="0.3">
      <c r="A240" s="130"/>
      <c r="B240" s="130"/>
      <c r="C240" s="130"/>
      <c r="D240" s="130"/>
      <c r="E240" s="130"/>
      <c r="F240" s="130"/>
      <c r="G240" s="130"/>
      <c r="H240" s="130"/>
      <c r="I240" s="130"/>
    </row>
    <row r="241" spans="1:9" x14ac:dyDescent="0.3">
      <c r="A241" s="130"/>
      <c r="B241" s="130"/>
      <c r="C241" s="130"/>
      <c r="D241" s="130"/>
      <c r="E241" s="130"/>
      <c r="F241" s="130"/>
      <c r="G241" s="130"/>
      <c r="H241" s="130"/>
      <c r="I241" s="130"/>
    </row>
    <row r="242" spans="1:9" x14ac:dyDescent="0.3">
      <c r="A242" s="130"/>
      <c r="B242" s="130"/>
      <c r="C242" s="130"/>
      <c r="D242" s="130"/>
      <c r="E242" s="130"/>
      <c r="F242" s="130"/>
      <c r="G242" s="130"/>
      <c r="H242" s="130"/>
      <c r="I242" s="130"/>
    </row>
    <row r="243" spans="1:9" x14ac:dyDescent="0.3">
      <c r="A243" s="130"/>
      <c r="B243" s="130"/>
      <c r="C243" s="130"/>
      <c r="D243" s="130"/>
      <c r="E243" s="130"/>
      <c r="F243" s="130"/>
      <c r="G243" s="130"/>
      <c r="H243" s="130"/>
      <c r="I243" s="130"/>
    </row>
    <row r="244" spans="1:9" x14ac:dyDescent="0.3">
      <c r="A244" s="130"/>
      <c r="B244" s="130"/>
      <c r="C244" s="130"/>
      <c r="D244" s="130"/>
      <c r="E244" s="130"/>
      <c r="F244" s="130"/>
      <c r="G244" s="130"/>
      <c r="H244" s="130"/>
      <c r="I244" s="130"/>
    </row>
    <row r="245" spans="1:9" x14ac:dyDescent="0.3">
      <c r="A245" s="130"/>
      <c r="B245" s="130"/>
      <c r="C245" s="130"/>
      <c r="D245" s="130"/>
      <c r="E245" s="130"/>
      <c r="F245" s="130"/>
      <c r="G245" s="130"/>
      <c r="H245" s="130"/>
      <c r="I245" s="130"/>
    </row>
    <row r="246" spans="1:9" x14ac:dyDescent="0.3">
      <c r="A246" s="130"/>
      <c r="B246" s="130"/>
      <c r="C246" s="130"/>
      <c r="D246" s="130"/>
      <c r="E246" s="130"/>
      <c r="F246" s="130"/>
      <c r="G246" s="130"/>
      <c r="H246" s="130"/>
      <c r="I246" s="130"/>
    </row>
    <row r="247" spans="1:9" x14ac:dyDescent="0.3">
      <c r="B247" s="130"/>
      <c r="C247" s="130"/>
      <c r="D247" s="130"/>
      <c r="E247" s="130"/>
      <c r="F247" s="130"/>
      <c r="G247" s="130"/>
      <c r="H247" s="130"/>
      <c r="I247" s="130"/>
    </row>
    <row r="248" spans="1:9" x14ac:dyDescent="0.3">
      <c r="B248" s="130"/>
      <c r="C248" s="130"/>
      <c r="D248" s="130"/>
      <c r="E248" s="130"/>
      <c r="F248" s="130"/>
      <c r="G248" s="130"/>
      <c r="H248" s="130"/>
      <c r="I248" s="130"/>
    </row>
    <row r="249" spans="1:9" x14ac:dyDescent="0.3">
      <c r="B249" s="130"/>
      <c r="C249" s="130"/>
      <c r="D249" s="130"/>
      <c r="E249" s="130"/>
      <c r="F249" s="130"/>
      <c r="G249" s="130"/>
      <c r="H249" s="130"/>
      <c r="I249" s="130"/>
    </row>
    <row r="250" spans="1:9" x14ac:dyDescent="0.3">
      <c r="B250" s="130"/>
      <c r="C250" s="130"/>
      <c r="D250" s="130"/>
      <c r="E250" s="130"/>
      <c r="F250" s="130"/>
      <c r="G250" s="130"/>
      <c r="H250" s="130"/>
      <c r="I250" s="130"/>
    </row>
    <row r="251" spans="1:9" x14ac:dyDescent="0.3">
      <c r="B251" s="130"/>
      <c r="C251" s="130"/>
      <c r="D251" s="130"/>
      <c r="E251" s="130"/>
      <c r="F251" s="130"/>
      <c r="G251" s="130"/>
      <c r="H251" s="130"/>
      <c r="I251" s="130"/>
    </row>
    <row r="252" spans="1:9" x14ac:dyDescent="0.3">
      <c r="B252" s="130"/>
      <c r="C252" s="130"/>
      <c r="D252" s="130"/>
      <c r="E252" s="130"/>
      <c r="F252" s="130"/>
      <c r="G252" s="130"/>
      <c r="H252" s="130"/>
      <c r="I252" s="130"/>
    </row>
    <row r="253" spans="1:9" x14ac:dyDescent="0.3">
      <c r="B253" s="130"/>
      <c r="C253" s="130"/>
      <c r="D253" s="130"/>
      <c r="E253" s="130"/>
      <c r="F253" s="130"/>
      <c r="G253" s="130"/>
      <c r="H253" s="130"/>
      <c r="I253" s="130"/>
    </row>
    <row r="254" spans="1:9" x14ac:dyDescent="0.3">
      <c r="B254" s="130"/>
      <c r="C254" s="130"/>
      <c r="D254" s="130"/>
      <c r="E254" s="130"/>
      <c r="F254" s="130"/>
      <c r="G254" s="130"/>
      <c r="H254" s="130"/>
      <c r="I254" s="130"/>
    </row>
    <row r="255" spans="1:9" x14ac:dyDescent="0.3">
      <c r="B255" s="130"/>
      <c r="C255" s="130"/>
      <c r="D255" s="130"/>
      <c r="E255" s="130"/>
      <c r="F255" s="130"/>
      <c r="G255" s="130"/>
      <c r="H255" s="130"/>
      <c r="I255" s="130"/>
    </row>
    <row r="256" spans="1:9" x14ac:dyDescent="0.3">
      <c r="B256" s="130"/>
      <c r="C256" s="130"/>
      <c r="D256" s="130"/>
      <c r="E256" s="130"/>
      <c r="F256" s="130"/>
      <c r="G256" s="130"/>
      <c r="H256" s="130"/>
      <c r="I256" s="130"/>
    </row>
    <row r="257" spans="2:9" x14ac:dyDescent="0.3">
      <c r="B257" s="130"/>
      <c r="C257" s="130"/>
      <c r="D257" s="130"/>
      <c r="E257" s="130"/>
      <c r="F257" s="130"/>
      <c r="G257" s="130"/>
      <c r="H257" s="130"/>
      <c r="I257" s="130"/>
    </row>
    <row r="258" spans="2:9" x14ac:dyDescent="0.3">
      <c r="B258" s="130"/>
      <c r="C258" s="130"/>
      <c r="D258" s="130"/>
      <c r="E258" s="130"/>
      <c r="F258" s="130"/>
      <c r="G258" s="130"/>
      <c r="H258" s="130"/>
      <c r="I258" s="130"/>
    </row>
    <row r="259" spans="2:9" x14ac:dyDescent="0.3">
      <c r="B259" s="130"/>
      <c r="C259" s="130"/>
      <c r="D259" s="130"/>
      <c r="E259" s="130"/>
      <c r="F259" s="130"/>
      <c r="G259" s="130"/>
      <c r="H259" s="130"/>
      <c r="I259" s="130"/>
    </row>
    <row r="260" spans="2:9" x14ac:dyDescent="0.3">
      <c r="B260" s="130"/>
      <c r="C260" s="130"/>
      <c r="D260" s="130"/>
      <c r="E260" s="130"/>
      <c r="F260" s="130"/>
      <c r="G260" s="130"/>
      <c r="H260" s="130"/>
      <c r="I260" s="130"/>
    </row>
    <row r="261" spans="2:9" x14ac:dyDescent="0.3">
      <c r="B261" s="130"/>
      <c r="C261" s="130"/>
      <c r="D261" s="130"/>
      <c r="E261" s="130"/>
      <c r="F261" s="130"/>
      <c r="G261" s="130"/>
      <c r="H261" s="130"/>
      <c r="I261" s="130"/>
    </row>
    <row r="262" spans="2:9" x14ac:dyDescent="0.3">
      <c r="B262" s="130"/>
      <c r="C262" s="130"/>
      <c r="D262" s="130"/>
      <c r="E262" s="130"/>
      <c r="F262" s="130"/>
      <c r="G262" s="130"/>
      <c r="H262" s="130"/>
      <c r="I262" s="130"/>
    </row>
    <row r="263" spans="2:9" x14ac:dyDescent="0.3">
      <c r="B263" s="130"/>
      <c r="C263" s="130"/>
      <c r="D263" s="130"/>
      <c r="E263" s="130"/>
      <c r="F263" s="130"/>
      <c r="G263" s="130"/>
      <c r="H263" s="130"/>
      <c r="I263" s="130"/>
    </row>
    <row r="264" spans="2:9" x14ac:dyDescent="0.3">
      <c r="B264" s="130"/>
      <c r="C264" s="130"/>
      <c r="D264" s="130"/>
      <c r="E264" s="130"/>
      <c r="F264" s="130"/>
      <c r="G264" s="130"/>
      <c r="H264" s="130"/>
      <c r="I264" s="130"/>
    </row>
    <row r="265" spans="2:9" x14ac:dyDescent="0.3">
      <c r="B265" s="130"/>
      <c r="C265" s="130"/>
      <c r="D265" s="130"/>
      <c r="E265" s="130"/>
      <c r="F265" s="130"/>
      <c r="G265" s="130"/>
      <c r="H265" s="130"/>
      <c r="I265" s="130"/>
    </row>
    <row r="266" spans="2:9" x14ac:dyDescent="0.3">
      <c r="B266" s="130"/>
      <c r="C266" s="130"/>
      <c r="D266" s="130"/>
      <c r="E266" s="130"/>
      <c r="F266" s="130"/>
      <c r="G266" s="130"/>
      <c r="H266" s="130"/>
      <c r="I266" s="130"/>
    </row>
    <row r="267" spans="2:9" x14ac:dyDescent="0.3">
      <c r="B267" s="130"/>
      <c r="C267" s="130"/>
      <c r="D267" s="130"/>
      <c r="E267" s="130"/>
      <c r="F267" s="130"/>
      <c r="G267" s="130"/>
      <c r="H267" s="130"/>
      <c r="I267" s="130"/>
    </row>
    <row r="268" spans="2:9" x14ac:dyDescent="0.3">
      <c r="B268" s="130"/>
      <c r="C268" s="130"/>
      <c r="D268" s="130"/>
      <c r="E268" s="130"/>
      <c r="F268" s="130"/>
      <c r="G268" s="130"/>
      <c r="H268" s="130"/>
      <c r="I268" s="130"/>
    </row>
    <row r="269" spans="2:9" x14ac:dyDescent="0.3">
      <c r="B269" s="130"/>
      <c r="C269" s="130"/>
      <c r="D269" s="130"/>
      <c r="E269" s="130"/>
      <c r="F269" s="130"/>
      <c r="G269" s="130"/>
      <c r="H269" s="130"/>
      <c r="I269" s="130"/>
    </row>
    <row r="270" spans="2:9" x14ac:dyDescent="0.3">
      <c r="B270" s="130"/>
      <c r="C270" s="130"/>
      <c r="D270" s="130"/>
      <c r="E270" s="130"/>
      <c r="F270" s="130"/>
      <c r="G270" s="130"/>
      <c r="H270" s="130"/>
      <c r="I270" s="130"/>
    </row>
    <row r="271" spans="2:9" x14ac:dyDescent="0.3">
      <c r="B271" s="130"/>
      <c r="C271" s="130"/>
      <c r="D271" s="130"/>
      <c r="E271" s="130"/>
      <c r="F271" s="130"/>
      <c r="G271" s="130"/>
      <c r="H271" s="130"/>
      <c r="I271" s="130"/>
    </row>
    <row r="272" spans="2:9" x14ac:dyDescent="0.3">
      <c r="B272" s="130"/>
      <c r="C272" s="130"/>
      <c r="D272" s="130"/>
      <c r="E272" s="130"/>
      <c r="F272" s="130"/>
      <c r="G272" s="130"/>
      <c r="H272" s="130"/>
      <c r="I272" s="130"/>
    </row>
    <row r="273" spans="2:9" x14ac:dyDescent="0.3">
      <c r="B273" s="130"/>
      <c r="C273" s="130"/>
      <c r="D273" s="130"/>
      <c r="E273" s="130"/>
      <c r="F273" s="130"/>
      <c r="G273" s="130"/>
      <c r="H273" s="130"/>
      <c r="I273" s="130"/>
    </row>
    <row r="274" spans="2:9" x14ac:dyDescent="0.3">
      <c r="B274" s="130"/>
      <c r="C274" s="130"/>
      <c r="D274" s="130"/>
      <c r="E274" s="130"/>
      <c r="F274" s="130"/>
      <c r="G274" s="130"/>
      <c r="H274" s="130"/>
      <c r="I274" s="130"/>
    </row>
    <row r="275" spans="2:9" x14ac:dyDescent="0.3">
      <c r="B275" s="130"/>
      <c r="C275" s="130"/>
      <c r="D275" s="130"/>
      <c r="E275" s="130"/>
      <c r="F275" s="130"/>
      <c r="G275" s="130"/>
      <c r="H275" s="130"/>
      <c r="I275" s="130"/>
    </row>
    <row r="276" spans="2:9" x14ac:dyDescent="0.3">
      <c r="B276" s="130"/>
      <c r="C276" s="130"/>
      <c r="D276" s="130"/>
      <c r="E276" s="130"/>
      <c r="F276" s="130"/>
      <c r="G276" s="130"/>
      <c r="H276" s="130"/>
      <c r="I276" s="130"/>
    </row>
    <row r="277" spans="2:9" x14ac:dyDescent="0.3">
      <c r="B277" s="130"/>
      <c r="C277" s="130"/>
      <c r="D277" s="130"/>
      <c r="E277" s="130"/>
      <c r="F277" s="130"/>
      <c r="G277" s="130"/>
      <c r="H277" s="130"/>
      <c r="I277" s="130"/>
    </row>
    <row r="278" spans="2:9" x14ac:dyDescent="0.3">
      <c r="B278" s="130"/>
      <c r="C278" s="130"/>
      <c r="D278" s="130"/>
      <c r="E278" s="130"/>
      <c r="F278" s="130"/>
      <c r="G278" s="130"/>
      <c r="H278" s="130"/>
      <c r="I278" s="130"/>
    </row>
    <row r="279" spans="2:9" x14ac:dyDescent="0.3">
      <c r="B279" s="130"/>
      <c r="C279" s="130"/>
      <c r="D279" s="130"/>
      <c r="E279" s="130"/>
      <c r="F279" s="130"/>
      <c r="G279" s="130"/>
      <c r="H279" s="130"/>
      <c r="I279" s="130"/>
    </row>
    <row r="280" spans="2:9" x14ac:dyDescent="0.3">
      <c r="B280" s="130"/>
      <c r="C280" s="130"/>
      <c r="D280" s="130"/>
      <c r="E280" s="130"/>
      <c r="F280" s="130"/>
      <c r="G280" s="130"/>
      <c r="H280" s="130"/>
      <c r="I280" s="130"/>
    </row>
    <row r="281" spans="2:9" x14ac:dyDescent="0.3">
      <c r="B281" s="130"/>
      <c r="C281" s="130"/>
      <c r="D281" s="130"/>
      <c r="E281" s="130"/>
      <c r="F281" s="130"/>
      <c r="G281" s="130"/>
      <c r="H281" s="130"/>
      <c r="I281" s="130"/>
    </row>
    <row r="282" spans="2:9" x14ac:dyDescent="0.3">
      <c r="B282" s="130"/>
      <c r="C282" s="130"/>
      <c r="D282" s="130"/>
      <c r="E282" s="130"/>
      <c r="F282" s="130"/>
      <c r="G282" s="130"/>
      <c r="H282" s="130"/>
      <c r="I282" s="130"/>
    </row>
    <row r="283" spans="2:9" x14ac:dyDescent="0.3">
      <c r="B283" s="130"/>
      <c r="C283" s="130"/>
      <c r="D283" s="130"/>
      <c r="E283" s="130"/>
      <c r="F283" s="130"/>
      <c r="G283" s="130"/>
      <c r="H283" s="130"/>
      <c r="I283" s="130"/>
    </row>
    <row r="284" spans="2:9" x14ac:dyDescent="0.3">
      <c r="B284" s="130"/>
      <c r="C284" s="130"/>
      <c r="D284" s="130"/>
      <c r="E284" s="130"/>
      <c r="F284" s="130"/>
      <c r="G284" s="130"/>
      <c r="H284" s="130"/>
      <c r="I284" s="130"/>
    </row>
    <row r="285" spans="2:9" x14ac:dyDescent="0.3">
      <c r="B285" s="130"/>
      <c r="C285" s="130"/>
      <c r="D285" s="130"/>
      <c r="E285" s="130"/>
      <c r="F285" s="130"/>
      <c r="G285" s="130"/>
      <c r="H285" s="130"/>
      <c r="I285" s="130"/>
    </row>
  </sheetData>
  <sheetProtection autoFilter="0"/>
  <mergeCells count="94">
    <mergeCell ref="A102:A110"/>
    <mergeCell ref="B102:B103"/>
    <mergeCell ref="A46:A54"/>
    <mergeCell ref="C102:C103"/>
    <mergeCell ref="A80:A88"/>
    <mergeCell ref="B80:B81"/>
    <mergeCell ref="C80:C81"/>
    <mergeCell ref="A58:A66"/>
    <mergeCell ref="B58:B59"/>
    <mergeCell ref="C58:C59"/>
    <mergeCell ref="A79:B79"/>
    <mergeCell ref="A101:B101"/>
    <mergeCell ref="F61:F66"/>
    <mergeCell ref="A68:A76"/>
    <mergeCell ref="B68:B69"/>
    <mergeCell ref="C68:C69"/>
    <mergeCell ref="F71:F76"/>
    <mergeCell ref="F83:F88"/>
    <mergeCell ref="A90:A98"/>
    <mergeCell ref="B90:B91"/>
    <mergeCell ref="C90:C91"/>
    <mergeCell ref="F93:F98"/>
    <mergeCell ref="A134:A142"/>
    <mergeCell ref="B134:B135"/>
    <mergeCell ref="C134:C135"/>
    <mergeCell ref="F137:F142"/>
    <mergeCell ref="F105:F110"/>
    <mergeCell ref="A112:A120"/>
    <mergeCell ref="B112:B113"/>
    <mergeCell ref="C112:C113"/>
    <mergeCell ref="F115:F120"/>
    <mergeCell ref="A124:A132"/>
    <mergeCell ref="B124:B125"/>
    <mergeCell ref="C124:C125"/>
    <mergeCell ref="F127:F132"/>
    <mergeCell ref="F122:I122"/>
    <mergeCell ref="F123:I123"/>
    <mergeCell ref="A123:B123"/>
    <mergeCell ref="C2:G2"/>
    <mergeCell ref="C3:G3"/>
    <mergeCell ref="C5:G5"/>
    <mergeCell ref="C7:G7"/>
    <mergeCell ref="C8:G8"/>
    <mergeCell ref="C6:G6"/>
    <mergeCell ref="C4:G4"/>
    <mergeCell ref="F49:F54"/>
    <mergeCell ref="B16:F16"/>
    <mergeCell ref="C27:E27"/>
    <mergeCell ref="F39:F44"/>
    <mergeCell ref="C31:E31"/>
    <mergeCell ref="C32:E32"/>
    <mergeCell ref="B46:B47"/>
    <mergeCell ref="C29:E30"/>
    <mergeCell ref="C46:C47"/>
    <mergeCell ref="B29:B30"/>
    <mergeCell ref="M34:N34"/>
    <mergeCell ref="A35:B35"/>
    <mergeCell ref="B36:B37"/>
    <mergeCell ref="C36:C37"/>
    <mergeCell ref="A36:A44"/>
    <mergeCell ref="K34:L34"/>
    <mergeCell ref="M42:N42"/>
    <mergeCell ref="G34:H34"/>
    <mergeCell ref="G35:H35"/>
    <mergeCell ref="I34:J34"/>
    <mergeCell ref="I35:J35"/>
    <mergeCell ref="I36:I38"/>
    <mergeCell ref="G56:H56"/>
    <mergeCell ref="I56:J56"/>
    <mergeCell ref="G57:H57"/>
    <mergeCell ref="I57:J57"/>
    <mergeCell ref="G78:H78"/>
    <mergeCell ref="I78:J78"/>
    <mergeCell ref="G79:H79"/>
    <mergeCell ref="I79:J79"/>
    <mergeCell ref="G100:H100"/>
    <mergeCell ref="I100:J100"/>
    <mergeCell ref="G101:H101"/>
    <mergeCell ref="I101:J101"/>
    <mergeCell ref="I102:I104"/>
    <mergeCell ref="I112:I114"/>
    <mergeCell ref="O37:O39"/>
    <mergeCell ref="O47:O49"/>
    <mergeCell ref="O60:O62"/>
    <mergeCell ref="O69:O71"/>
    <mergeCell ref="O81:O83"/>
    <mergeCell ref="O91:O93"/>
    <mergeCell ref="O103:O105"/>
    <mergeCell ref="O113:O115"/>
    <mergeCell ref="I46:I48"/>
    <mergeCell ref="I58:I60"/>
    <mergeCell ref="I68:I70"/>
    <mergeCell ref="I80:I82"/>
    <mergeCell ref="I90:I92"/>
  </mergeCells>
  <dataValidations count="2">
    <dataValidation type="decimal" operator="greaterThanOrEqual" allowBlank="1" showInputMessage="1" showErrorMessage="1" sqref="G39:H44 G49:H54 G61:H66 G71:H76 G83:H88 G93:H98 G105:H110 G115:H120 G127:H132 G137:H142">
      <formula1>0</formula1>
    </dataValidation>
    <dataValidation type="list" allowBlank="1" showInputMessage="1" showErrorMessage="1" sqref="C2:D2">
      <formula1>INDIRECT(C1)</formula1>
    </dataValidation>
  </dataValidations>
  <pageMargins left="0.7" right="0.7" top="0.75" bottom="0.75" header="0.3" footer="0.3"/>
  <pageSetup paperSize="9" scale="44" orientation="portrait" r:id="rId1"/>
  <rowBreaks count="1" manualBreakCount="1">
    <brk id="89" max="8" man="1"/>
  </rowBreaks>
  <legacyDrawing r:id="rId2"/>
  <extLst>
    <ext xmlns:x14="http://schemas.microsoft.com/office/spreadsheetml/2009/9/main" uri="{CCE6A557-97BC-4b89-ADB6-D9C93CAAB3DF}">
      <x14:dataValidations xmlns:xm="http://schemas.microsoft.com/office/excel/2006/main" count="19">
        <x14:dataValidation type="list" allowBlank="1" showInputMessage="1" showErrorMessage="1">
          <x14:formula1>
            <xm:f>LISTES!$H$1:$H$2</xm:f>
          </x14:formula1>
          <xm:sqref>F35 F101 F57 F79 D11:D13</xm:sqref>
        </x14:dataValidation>
        <x14:dataValidation type="list" allowBlank="1" showInputMessage="1" showErrorMessage="1">
          <x14:formula1>
            <xm:f>LISTES!$Q$1:$Q$5</xm:f>
          </x14:formula1>
          <xm:sqref>E11:F11</xm:sqref>
        </x14:dataValidation>
        <x14:dataValidation type="list" allowBlank="1" showInputMessage="1" showErrorMessage="1">
          <x14:formula1>
            <xm:f>LISTES!$A$1:$A$6</xm:f>
          </x14:formula1>
          <xm:sqref>C17:E17</xm:sqref>
        </x14:dataValidation>
        <x14:dataValidation type="list" allowBlank="1" showInputMessage="1" showErrorMessage="1">
          <x14:formula1>
            <xm:f>LISTES!$C$3:$C$5</xm:f>
          </x14:formula1>
          <xm:sqref>B39:B44 B49:B54 B61:B66 B71:B76 B83:B88 B93:B98 B105:B110 B115:B120 B127:B132 B137:B142</xm:sqref>
        </x14:dataValidation>
        <x14:dataValidation type="list" allowBlank="1" showInputMessage="1" showErrorMessage="1">
          <x14:formula1>
            <xm:f>LISTES!$P$1:$P$7</xm:f>
          </x14:formula1>
          <xm:sqref>C1</xm:sqref>
        </x14:dataValidation>
        <x14:dataValidation type="list" allowBlank="1" showInputMessage="1" showErrorMessage="1">
          <x14:formula1>
            <xm:f>LISTES!$P$1:$P$6</xm:f>
          </x14:formula1>
          <xm:sqref>D1</xm:sqref>
        </x14:dataValidation>
        <x14:dataValidation type="list" allowBlank="1" showInputMessage="1" showErrorMessage="1">
          <x14:formula1>
            <xm:f>LISTES!$A$8:$A$12</xm:f>
          </x14:formula1>
          <xm:sqref>C14:D14</xm:sqref>
        </x14:dataValidation>
        <x14:dataValidation type="list" allowBlank="1" showInputMessage="1" showErrorMessage="1">
          <x14:formula1>
            <xm:f>LISTES!$A$8:$A$10</xm:f>
          </x14:formula1>
          <xm:sqref>G35:H35</xm:sqref>
        </x14:dataValidation>
        <x14:dataValidation type="list" allowBlank="1" showInputMessage="1" showErrorMessage="1">
          <x14:formula1>
            <xm:f>LISTES!$A$27</xm:f>
          </x14:formula1>
          <xm:sqref>I57:J57</xm:sqref>
        </x14:dataValidation>
        <x14:dataValidation type="list" allowBlank="1" showInputMessage="1" showErrorMessage="1">
          <x14:formula1>
            <xm:f>LISTES!$A$20:$A$20</xm:f>
          </x14:formula1>
          <xm:sqref>I35:J35</xm:sqref>
        </x14:dataValidation>
        <x14:dataValidation type="list" allowBlank="1" showInputMessage="1" showErrorMessage="1">
          <x14:formula1>
            <xm:f>LISTES!$A$23:$A$25</xm:f>
          </x14:formula1>
          <xm:sqref>G57:H57</xm:sqref>
        </x14:dataValidation>
        <x14:dataValidation type="list" allowBlank="1" showInputMessage="1" showErrorMessage="1">
          <x14:formula1>
            <xm:f>LISTES!$A$29:$A$31</xm:f>
          </x14:formula1>
          <xm:sqref>G79:H79</xm:sqref>
        </x14:dataValidation>
        <x14:dataValidation type="list" allowBlank="1" showInputMessage="1" showErrorMessage="1">
          <x14:formula1>
            <xm:f>LISTES!$A$33</xm:f>
          </x14:formula1>
          <xm:sqref>I79:J79</xm:sqref>
        </x14:dataValidation>
        <x14:dataValidation type="list" allowBlank="1" showInputMessage="1" showErrorMessage="1">
          <x14:formula1>
            <xm:f>LISTES!$A$35:$A$37</xm:f>
          </x14:formula1>
          <xm:sqref>G101:H101</xm:sqref>
        </x14:dataValidation>
        <x14:dataValidation type="list" allowBlank="1" showInputMessage="1" showErrorMessage="1">
          <x14:formula1>
            <xm:f>LISTES!$A$39</xm:f>
          </x14:formula1>
          <xm:sqref>I101:J101</xm:sqref>
        </x14:dataValidation>
        <x14:dataValidation type="list" allowBlank="1" showInputMessage="1" showErrorMessage="1">
          <x14:formula1>
            <xm:f>LISTES!$A$41:$A$43</xm:f>
          </x14:formula1>
          <xm:sqref>F123:I123</xm:sqref>
        </x14:dataValidation>
        <x14:dataValidation type="list" allowBlank="1" showInputMessage="1" showErrorMessage="1">
          <x14:formula1>
            <xm:f>LISTES!$H$1:$H$1</xm:f>
          </x14:formula1>
          <xm:sqref>I39:I44 I49:I54 I61:I66 I71:I76 I83:I88 I93:I98 I105:I110 I115:I120</xm:sqref>
        </x14:dataValidation>
        <x14:dataValidation type="list" allowBlank="1" showInputMessage="1" showErrorMessage="1">
          <x14:formula1>
            <xm:f>LISTES!$P$9:$P$10</xm:f>
          </x14:formula1>
          <xm:sqref>C12</xm:sqref>
        </x14:dataValidation>
        <x14:dataValidation type="list" allowBlank="1" showInputMessage="1" showErrorMessage="1">
          <x14:formula1>
            <xm:f>LISTES!$H$1:$H$2</xm:f>
          </x14:formula1>
          <xm:sqref>C11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7030A0"/>
  </sheetPr>
  <dimension ref="A1:AJ52"/>
  <sheetViews>
    <sheetView topLeftCell="A19" zoomScaleNormal="100" workbookViewId="0">
      <selection activeCell="I35" sqref="I35:J35"/>
    </sheetView>
  </sheetViews>
  <sheetFormatPr baseColWidth="10" defaultRowHeight="18.75" outlineLevelRow="1" outlineLevelCol="1" x14ac:dyDescent="0.3"/>
  <cols>
    <col min="1" max="1" width="32.5703125" style="390" customWidth="1"/>
    <col min="2" max="2" width="16.42578125" style="390" customWidth="1" outlineLevel="1"/>
    <col min="3" max="3" width="19.85546875" style="390" bestFit="1" customWidth="1"/>
    <col min="4" max="4" width="29.7109375" style="390" customWidth="1"/>
    <col min="5" max="5" width="29" style="390" bestFit="1" customWidth="1"/>
    <col min="6" max="6" width="16.42578125" style="403" bestFit="1" customWidth="1"/>
    <col min="7" max="36" width="11.42578125" style="403"/>
    <col min="37" max="16384" width="11.42578125" style="390"/>
  </cols>
  <sheetData>
    <row r="1" spans="1:5" x14ac:dyDescent="0.3">
      <c r="A1" s="403"/>
      <c r="B1" s="403"/>
      <c r="C1" s="403"/>
      <c r="D1" s="403"/>
      <c r="E1" s="403"/>
    </row>
    <row r="2" spans="1:5" x14ac:dyDescent="0.3">
      <c r="A2" s="403"/>
      <c r="B2" s="403"/>
      <c r="C2" s="403"/>
      <c r="D2" s="403"/>
      <c r="E2" s="403"/>
    </row>
    <row r="3" spans="1:5" x14ac:dyDescent="0.3">
      <c r="A3" s="403"/>
      <c r="B3" s="403"/>
      <c r="C3" s="403"/>
      <c r="D3" s="403"/>
      <c r="E3" s="403"/>
    </row>
    <row r="4" spans="1:5" x14ac:dyDescent="0.3">
      <c r="A4" s="403"/>
      <c r="B4" s="403"/>
      <c r="C4" s="403"/>
      <c r="D4" s="403"/>
      <c r="E4" s="403"/>
    </row>
    <row r="5" spans="1:5" x14ac:dyDescent="0.3">
      <c r="A5" s="403"/>
      <c r="B5" s="403"/>
      <c r="C5" s="403"/>
      <c r="D5" s="403"/>
      <c r="E5" s="403"/>
    </row>
    <row r="6" spans="1:5" x14ac:dyDescent="0.3">
      <c r="A6" s="403"/>
      <c r="B6" s="403"/>
      <c r="C6" s="403"/>
      <c r="D6" s="403"/>
      <c r="E6" s="403"/>
    </row>
    <row r="7" spans="1:5" x14ac:dyDescent="0.3">
      <c r="A7" s="403"/>
      <c r="B7" s="403"/>
      <c r="C7" s="403"/>
      <c r="D7" s="403"/>
      <c r="E7" s="403"/>
    </row>
    <row r="8" spans="1:5" x14ac:dyDescent="0.3">
      <c r="A8" s="558" t="s">
        <v>210</v>
      </c>
      <c r="B8" s="558"/>
      <c r="C8" s="558"/>
      <c r="D8" s="558"/>
      <c r="E8" s="558"/>
    </row>
    <row r="9" spans="1:5" x14ac:dyDescent="0.3">
      <c r="A9" s="403"/>
      <c r="B9" s="403"/>
      <c r="C9" s="403"/>
      <c r="D9" s="403"/>
      <c r="E9" s="403"/>
    </row>
    <row r="10" spans="1:5" x14ac:dyDescent="0.3">
      <c r="A10" s="403"/>
      <c r="B10" s="403"/>
      <c r="C10" s="403"/>
      <c r="D10" s="403"/>
      <c r="E10" s="403"/>
    </row>
    <row r="11" spans="1:5" ht="43.5" customHeight="1" x14ac:dyDescent="0.3">
      <c r="A11" s="403" t="str">
        <f>"Vu le marché"&amp;" "&amp;DONNEES!C7&amp;" "&amp;"dont l'objet est"&amp;" "&amp;DONNEES!C4&amp;" "&amp;DONNEES!C2</f>
        <v xml:space="preserve">Vu le marché  dont l'objet est  </v>
      </c>
      <c r="B11" s="403"/>
      <c r="C11" s="403"/>
      <c r="D11" s="403"/>
      <c r="E11" s="403"/>
    </row>
    <row r="12" spans="1:5" x14ac:dyDescent="0.3">
      <c r="A12" s="403"/>
      <c r="B12" s="403"/>
      <c r="C12" s="403"/>
      <c r="D12" s="403"/>
      <c r="E12" s="403"/>
    </row>
    <row r="13" spans="1:5" x14ac:dyDescent="0.3">
      <c r="A13" s="403" t="str">
        <f>"Vu"&amp;" "&amp;DONNEES!E11&amp;" "&amp;"de l'acte d'engagement"</f>
        <v>Vu  de l'acte d'engagement</v>
      </c>
      <c r="B13" s="403"/>
      <c r="C13" s="403"/>
      <c r="D13" s="403"/>
      <c r="E13" s="403"/>
    </row>
    <row r="14" spans="1:5" x14ac:dyDescent="0.3">
      <c r="A14" s="403"/>
      <c r="B14" s="403"/>
      <c r="C14" s="403"/>
      <c r="D14" s="403"/>
      <c r="E14" s="403"/>
    </row>
    <row r="15" spans="1:5" x14ac:dyDescent="0.3">
      <c r="A15" s="403" t="s">
        <v>347</v>
      </c>
      <c r="B15" s="478">
        <f>DONNEES!C10</f>
        <v>0</v>
      </c>
      <c r="C15" s="403" t="s">
        <v>348</v>
      </c>
      <c r="D15" s="403"/>
      <c r="E15" s="403"/>
    </row>
    <row r="16" spans="1:5" x14ac:dyDescent="0.3">
      <c r="A16" s="403"/>
      <c r="B16" s="403"/>
      <c r="C16" s="403"/>
      <c r="D16" s="403"/>
      <c r="E16" s="403"/>
    </row>
    <row r="17" spans="1:36" x14ac:dyDescent="0.3">
      <c r="A17" s="403" t="str">
        <f>"Vu"&amp;" "&amp;DONNEES!F11&amp;" "&amp;"du cahier des charges prévoyant les taux d'avance"</f>
        <v>Vu  du cahier des charges prévoyant les taux d'avance</v>
      </c>
      <c r="B17" s="403"/>
      <c r="C17" s="403"/>
      <c r="D17" s="403"/>
      <c r="E17" s="403"/>
    </row>
    <row r="18" spans="1:36" x14ac:dyDescent="0.3">
      <c r="A18" s="403"/>
      <c r="B18" s="403"/>
      <c r="C18" s="403"/>
      <c r="D18" s="403"/>
      <c r="E18" s="403"/>
    </row>
    <row r="19" spans="1:36" x14ac:dyDescent="0.3">
      <c r="A19" s="403" t="str">
        <f>"Vu le(s) taux de TVA applicable(s) dans le marché :"</f>
        <v>Vu le(s) taux de TVA applicable(s) dans le marché :</v>
      </c>
      <c r="B19" s="403"/>
      <c r="C19" s="403"/>
      <c r="D19" s="403"/>
      <c r="E19" s="403"/>
    </row>
    <row r="20" spans="1:36" x14ac:dyDescent="0.3">
      <c r="A20" s="403"/>
      <c r="B20" s="403"/>
      <c r="C20" s="403"/>
      <c r="D20" s="403"/>
      <c r="E20" s="403"/>
    </row>
    <row r="21" spans="1:36" x14ac:dyDescent="0.3">
      <c r="A21" s="403"/>
      <c r="B21" s="403"/>
      <c r="C21" s="403"/>
      <c r="D21" s="403"/>
      <c r="E21" s="403"/>
    </row>
    <row r="22" spans="1:36" x14ac:dyDescent="0.3">
      <c r="A22" s="403" t="s">
        <v>262</v>
      </c>
      <c r="B22" s="403"/>
      <c r="C22" s="403"/>
      <c r="D22" s="403"/>
      <c r="E22" s="403"/>
    </row>
    <row r="23" spans="1:36" x14ac:dyDescent="0.3">
      <c r="A23" s="403"/>
      <c r="B23" s="403"/>
      <c r="C23" s="403"/>
      <c r="D23" s="403"/>
      <c r="E23" s="403"/>
    </row>
    <row r="24" spans="1:36" x14ac:dyDescent="0.3">
      <c r="A24" s="403"/>
      <c r="B24" s="403"/>
      <c r="C24" s="403"/>
      <c r="D24" s="403"/>
      <c r="E24" s="403"/>
    </row>
    <row r="25" spans="1:36" x14ac:dyDescent="0.3">
      <c r="A25" s="558" t="s">
        <v>263</v>
      </c>
      <c r="B25" s="558"/>
      <c r="C25" s="558"/>
      <c r="D25" s="558"/>
      <c r="E25" s="558"/>
    </row>
    <row r="26" spans="1:36" x14ac:dyDescent="0.3">
      <c r="A26" s="403"/>
      <c r="B26" s="403"/>
      <c r="C26" s="403"/>
      <c r="D26" s="403"/>
      <c r="E26" s="403"/>
    </row>
    <row r="27" spans="1:36" s="406" customFormat="1" x14ac:dyDescent="0.3">
      <c r="A27" s="560" t="s">
        <v>321</v>
      </c>
      <c r="B27" s="560"/>
      <c r="C27" s="560"/>
      <c r="D27" s="404">
        <f>IFERROR(DONNEES!P37+DONNEES!Q37+DONNEES!P60+DONNEES!Q60+DONNEES!P81+DONNEES!Q81+DONNEES!P103+DONNEES!Q103,0)</f>
        <v>0</v>
      </c>
      <c r="E27" s="405"/>
      <c r="F27" s="403"/>
      <c r="G27" s="403"/>
      <c r="H27" s="403"/>
      <c r="I27" s="403"/>
      <c r="J27" s="403"/>
      <c r="K27" s="403"/>
      <c r="L27" s="403"/>
      <c r="M27" s="403"/>
      <c r="N27" s="403"/>
      <c r="O27" s="403"/>
      <c r="P27" s="403"/>
      <c r="Q27" s="403"/>
      <c r="R27" s="403"/>
      <c r="S27" s="403"/>
      <c r="T27" s="403"/>
      <c r="U27" s="403"/>
      <c r="V27" s="403"/>
      <c r="W27" s="403"/>
      <c r="X27" s="403"/>
      <c r="Y27" s="403"/>
      <c r="Z27" s="403"/>
      <c r="AA27" s="403"/>
      <c r="AB27" s="403"/>
      <c r="AC27" s="403"/>
      <c r="AD27" s="403"/>
      <c r="AE27" s="403"/>
      <c r="AF27" s="403"/>
      <c r="AG27" s="403"/>
      <c r="AH27" s="403"/>
      <c r="AI27" s="403"/>
      <c r="AJ27" s="403"/>
    </row>
    <row r="28" spans="1:36" x14ac:dyDescent="0.3">
      <c r="A28" s="403" t="s">
        <v>344</v>
      </c>
      <c r="B28" s="403"/>
      <c r="C28" s="403"/>
      <c r="D28" s="483">
        <f>IFERROR(E38+E45,0)</f>
        <v>0</v>
      </c>
      <c r="E28" s="403"/>
    </row>
    <row r="29" spans="1:36" x14ac:dyDescent="0.3">
      <c r="A29" s="403" t="s">
        <v>264</v>
      </c>
      <c r="B29" s="403"/>
      <c r="C29" s="403"/>
      <c r="D29" s="408">
        <f>IFERROR(DONNEES!C5,0)</f>
        <v>0</v>
      </c>
      <c r="E29" s="403"/>
    </row>
    <row r="30" spans="1:36" x14ac:dyDescent="0.3">
      <c r="A30" s="403" t="s">
        <v>324</v>
      </c>
      <c r="B30" s="403"/>
      <c r="C30" s="403"/>
      <c r="D30" s="409">
        <f>IFERROR(E46+E39-D28,0)</f>
        <v>0</v>
      </c>
      <c r="E30" s="403"/>
    </row>
    <row r="31" spans="1:36" x14ac:dyDescent="0.3">
      <c r="A31" s="403"/>
      <c r="B31" s="403"/>
      <c r="C31" s="403"/>
      <c r="D31" s="407"/>
      <c r="E31" s="403"/>
    </row>
    <row r="32" spans="1:36" x14ac:dyDescent="0.3">
      <c r="A32" s="407"/>
      <c r="B32" s="410" t="s">
        <v>235</v>
      </c>
      <c r="C32" s="410" t="s">
        <v>36</v>
      </c>
      <c r="D32" s="410" t="s">
        <v>275</v>
      </c>
      <c r="E32" s="410" t="s">
        <v>294</v>
      </c>
    </row>
    <row r="33" spans="1:5" x14ac:dyDescent="0.3">
      <c r="A33" s="411" t="str">
        <f>DONNEES!B18</f>
        <v>Tranche ferme HT</v>
      </c>
      <c r="B33" s="412" t="str">
        <f>IF(DONNEES!C18&gt;=25000,DONNEES!$C$17,"")</f>
        <v/>
      </c>
      <c r="C33" s="413" t="str">
        <f>IF(DONNEES!F35="OUI",DONNEES!P37,"")</f>
        <v/>
      </c>
      <c r="D33" s="412" t="str">
        <f>IF(AND($D$27&gt;=25000,$D$27&lt;=149999),"30%",IF(AND($D$27&gt;149999,$D$27&lt;=999999),"25%",IF($D$27&gt;999999,"20"%," ")))</f>
        <v xml:space="preserve"> </v>
      </c>
      <c r="E33" s="414">
        <f>IFERROR(IF($B$15&lt;=12,(C33*D33),C33*D33*(12/$B$15)),0)</f>
        <v>0</v>
      </c>
    </row>
    <row r="34" spans="1:5" x14ac:dyDescent="0.3">
      <c r="A34" s="411" t="str">
        <f>DONNEES!B19</f>
        <v>Tranche optionnelle 1 HT</v>
      </c>
      <c r="B34" s="412" t="str">
        <f>IF(DONNEES!C19&gt;=25000,DONNEES!$C$17,"")</f>
        <v/>
      </c>
      <c r="C34" s="413" t="str">
        <f>IF(DONNEES!F57="OUI",DONNEES!P60,"")</f>
        <v/>
      </c>
      <c r="D34" s="412" t="str">
        <f t="shared" ref="D34:D43" si="0">IF(AND($D$27&gt;=25000,$D$27&lt;=149999),"30%",IF(AND($D$27&gt;149999,$D$27&lt;=999999),"25%",IF($D$27&gt;999999,"20"%," ")))</f>
        <v xml:space="preserve"> </v>
      </c>
      <c r="E34" s="414">
        <f t="shared" ref="E34:E36" si="1">IFERROR(IF($B$15&lt;=12,(C34*D34),C34*D34*(12/$B$15)),0)</f>
        <v>0</v>
      </c>
    </row>
    <row r="35" spans="1:5" x14ac:dyDescent="0.3">
      <c r="A35" s="411" t="str">
        <f>DONNEES!B20</f>
        <v>Tranche optionnelle 2 HT</v>
      </c>
      <c r="B35" s="412" t="str">
        <f>IF(DONNEES!C20&gt;=25000,DONNEES!$C$17,"")</f>
        <v/>
      </c>
      <c r="C35" s="413" t="str">
        <f>IF(DONNEES!F79="OUI",DONNEES!P81,"")</f>
        <v/>
      </c>
      <c r="D35" s="412" t="str">
        <f t="shared" si="0"/>
        <v xml:space="preserve"> </v>
      </c>
      <c r="E35" s="414">
        <f t="shared" si="1"/>
        <v>0</v>
      </c>
    </row>
    <row r="36" spans="1:5" x14ac:dyDescent="0.3">
      <c r="A36" s="411" t="str">
        <f>DONNEES!B21</f>
        <v>Tranche optionnelle 3 HT</v>
      </c>
      <c r="B36" s="412" t="str">
        <f>IF(DONNEES!C21&gt;=25000,DONNEES!$C$17,"")</f>
        <v/>
      </c>
      <c r="C36" s="413" t="str">
        <f>IF(DONNEES!F101="OUI",DONNEES!P103,"")</f>
        <v/>
      </c>
      <c r="D36" s="412" t="str">
        <f t="shared" si="0"/>
        <v xml:space="preserve"> </v>
      </c>
      <c r="E36" s="414">
        <f t="shared" si="1"/>
        <v>0</v>
      </c>
    </row>
    <row r="37" spans="1:5" x14ac:dyDescent="0.3">
      <c r="A37" s="411" t="s">
        <v>322</v>
      </c>
      <c r="B37" s="415"/>
      <c r="C37" s="416"/>
      <c r="D37" s="417"/>
      <c r="E37" s="414">
        <f>IFERROR(SUM(E33:E36)*B33,0)</f>
        <v>0</v>
      </c>
    </row>
    <row r="38" spans="1:5" x14ac:dyDescent="0.3">
      <c r="A38" s="411" t="s">
        <v>341</v>
      </c>
      <c r="B38" s="561"/>
      <c r="C38" s="562"/>
      <c r="D38" s="563"/>
      <c r="E38" s="392">
        <v>0</v>
      </c>
    </row>
    <row r="39" spans="1:5" x14ac:dyDescent="0.3">
      <c r="A39" s="418" t="s">
        <v>323</v>
      </c>
      <c r="B39" s="419"/>
      <c r="C39" s="420"/>
      <c r="D39" s="417"/>
      <c r="E39" s="421">
        <f>IFERROR(SUM(E33:E36)+E37-E38,0)</f>
        <v>0</v>
      </c>
    </row>
    <row r="40" spans="1:5" outlineLevel="1" x14ac:dyDescent="0.3">
      <c r="A40" s="411" t="str">
        <f>DONNEES!B18</f>
        <v>Tranche ferme HT</v>
      </c>
      <c r="B40" s="422" t="str">
        <f>IF(DONNEES!E18&gt;=25000,DONNEES!$E$17,"")</f>
        <v/>
      </c>
      <c r="C40" s="423" t="str">
        <f>IF(DONNEES!F35="OUI",DONNEES!Q37,"")</f>
        <v/>
      </c>
      <c r="D40" s="412" t="str">
        <f t="shared" si="0"/>
        <v xml:space="preserve"> </v>
      </c>
      <c r="E40" s="414">
        <f t="shared" ref="E40:E43" si="2">IFERROR(IF($B$15&lt;=12,(C40*D40),C40*D40*(12/$B$15)),0)</f>
        <v>0</v>
      </c>
    </row>
    <row r="41" spans="1:5" outlineLevel="1" x14ac:dyDescent="0.3">
      <c r="A41" s="411" t="str">
        <f>DONNEES!B19</f>
        <v>Tranche optionnelle 1 HT</v>
      </c>
      <c r="B41" s="422" t="str">
        <f>IF(DONNEES!E19&gt;=25000,DONNEES!$E$17,"")</f>
        <v/>
      </c>
      <c r="C41" s="423" t="str">
        <f>IF(DONNEES!F57="OUI",DONNEES!Q60,"")</f>
        <v/>
      </c>
      <c r="D41" s="412" t="str">
        <f t="shared" si="0"/>
        <v xml:space="preserve"> </v>
      </c>
      <c r="E41" s="414">
        <f t="shared" si="2"/>
        <v>0</v>
      </c>
    </row>
    <row r="42" spans="1:5" outlineLevel="1" x14ac:dyDescent="0.3">
      <c r="A42" s="411" t="str">
        <f>DONNEES!B20</f>
        <v>Tranche optionnelle 2 HT</v>
      </c>
      <c r="B42" s="422" t="str">
        <f>IF(DONNEES!E20&gt;=25000,DONNEES!$E$17,"")</f>
        <v/>
      </c>
      <c r="C42" s="423" t="str">
        <f>IF(DONNEES!F79="OUI",DONNEES!Q81,"")</f>
        <v/>
      </c>
      <c r="D42" s="412" t="str">
        <f t="shared" si="0"/>
        <v xml:space="preserve"> </v>
      </c>
      <c r="E42" s="414">
        <f t="shared" si="2"/>
        <v>0</v>
      </c>
    </row>
    <row r="43" spans="1:5" outlineLevel="1" x14ac:dyDescent="0.3">
      <c r="A43" s="411" t="str">
        <f>DONNEES!B21</f>
        <v>Tranche optionnelle 3 HT</v>
      </c>
      <c r="B43" s="422" t="str">
        <f>IF(DONNEES!E21&gt;=25000,DONNEES!$E$17,"")</f>
        <v/>
      </c>
      <c r="C43" s="423" t="str">
        <f>IF(DONNEES!F101="OUI",DONNEES!Q103,"")</f>
        <v/>
      </c>
      <c r="D43" s="412" t="str">
        <f t="shared" si="0"/>
        <v xml:space="preserve"> </v>
      </c>
      <c r="E43" s="414">
        <f t="shared" si="2"/>
        <v>0</v>
      </c>
    </row>
    <row r="44" spans="1:5" outlineLevel="1" x14ac:dyDescent="0.3">
      <c r="A44" s="411" t="s">
        <v>322</v>
      </c>
      <c r="B44" s="415"/>
      <c r="C44" s="416"/>
      <c r="D44" s="415"/>
      <c r="E44" s="414">
        <f>IFERROR(SUM(E40:E43)*B40,0)</f>
        <v>0</v>
      </c>
    </row>
    <row r="45" spans="1:5" outlineLevel="1" x14ac:dyDescent="0.3">
      <c r="A45" s="411" t="s">
        <v>341</v>
      </c>
      <c r="B45" s="415"/>
      <c r="C45" s="416"/>
      <c r="D45" s="415"/>
      <c r="E45" s="463">
        <v>0</v>
      </c>
    </row>
    <row r="46" spans="1:5" outlineLevel="1" x14ac:dyDescent="0.3">
      <c r="A46" s="418" t="s">
        <v>323</v>
      </c>
      <c r="B46" s="419"/>
      <c r="C46" s="420"/>
      <c r="D46" s="419"/>
      <c r="E46" s="421">
        <f>IFERROR(SUM(E40:E43)+E44-E45,0)</f>
        <v>0</v>
      </c>
    </row>
    <row r="47" spans="1:5" x14ac:dyDescent="0.3">
      <c r="A47" s="403"/>
      <c r="B47" s="403"/>
      <c r="C47" s="403"/>
      <c r="D47" s="403"/>
      <c r="E47" s="403"/>
    </row>
    <row r="48" spans="1:5" ht="95.25" customHeight="1" x14ac:dyDescent="0.3">
      <c r="A48" s="403"/>
      <c r="B48" s="403"/>
      <c r="C48" s="403"/>
      <c r="D48" s="559" t="s">
        <v>265</v>
      </c>
      <c r="E48" s="559"/>
    </row>
    <row r="49" spans="1:5" x14ac:dyDescent="0.3">
      <c r="A49" s="403"/>
      <c r="B49" s="403"/>
      <c r="C49" s="403"/>
      <c r="D49" s="403"/>
      <c r="E49" s="403"/>
    </row>
    <row r="50" spans="1:5" x14ac:dyDescent="0.3">
      <c r="A50" s="403"/>
      <c r="B50" s="403"/>
      <c r="C50" s="403"/>
      <c r="D50" s="403"/>
      <c r="E50" s="403"/>
    </row>
    <row r="51" spans="1:5" x14ac:dyDescent="0.3">
      <c r="A51" s="403"/>
      <c r="B51" s="403"/>
      <c r="C51" s="403"/>
      <c r="D51" s="403"/>
      <c r="E51" s="403"/>
    </row>
    <row r="52" spans="1:5" x14ac:dyDescent="0.3">
      <c r="A52" s="403"/>
      <c r="B52" s="403"/>
      <c r="C52" s="403"/>
      <c r="D52" s="403"/>
      <c r="E52" s="403"/>
    </row>
  </sheetData>
  <sheetProtection algorithmName="SHA-512" hashValue="tDXI7IAchhBJLQAoxRw8iiPmq1NwUhs5SfN1J70Eky8iHrbGuiI4dUYtDiNvCnVLO2ghjcF5mBT/2JDPn6VlcQ==" saltValue="mNOzYQDTKkxHWEmFZFdK/Q==" spinCount="100000" sheet="1" objects="1" scenarios="1" autoFilter="0"/>
  <mergeCells count="5">
    <mergeCell ref="A8:E8"/>
    <mergeCell ref="A25:E25"/>
    <mergeCell ref="D48:E48"/>
    <mergeCell ref="A27:C27"/>
    <mergeCell ref="B38:D38"/>
  </mergeCells>
  <pageMargins left="0.7" right="0.7" top="0.75" bottom="0.75" header="0.3" footer="0.3"/>
  <pageSetup paperSize="9" scale="6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7030A0"/>
  </sheetPr>
  <dimension ref="A1:BD51"/>
  <sheetViews>
    <sheetView topLeftCell="A13" zoomScaleNormal="100" workbookViewId="0">
      <selection activeCell="I35" sqref="I35:J35"/>
    </sheetView>
  </sheetViews>
  <sheetFormatPr baseColWidth="10" defaultRowHeight="18.75" outlineLevelRow="1" outlineLevelCol="1" x14ac:dyDescent="0.3"/>
  <cols>
    <col min="1" max="1" width="32.7109375" customWidth="1"/>
    <col min="2" max="2" width="16.42578125" customWidth="1" outlineLevel="1"/>
    <col min="3" max="3" width="19.85546875" bestFit="1" customWidth="1"/>
    <col min="4" max="4" width="29.7109375" customWidth="1"/>
    <col min="5" max="5" width="29" bestFit="1" customWidth="1"/>
    <col min="6" max="6" width="16.42578125" bestFit="1" customWidth="1"/>
    <col min="7" max="7" width="11.85546875" style="130" bestFit="1" customWidth="1"/>
    <col min="8" max="56" width="11.42578125" style="130"/>
  </cols>
  <sheetData>
    <row r="1" spans="1:6" x14ac:dyDescent="0.3">
      <c r="A1" s="130"/>
      <c r="B1" s="130"/>
      <c r="C1" s="130"/>
      <c r="D1" s="130"/>
      <c r="E1" s="130"/>
      <c r="F1" s="130"/>
    </row>
    <row r="2" spans="1:6" x14ac:dyDescent="0.3">
      <c r="A2" s="130"/>
      <c r="B2" s="130"/>
      <c r="C2" s="130"/>
      <c r="D2" s="130"/>
      <c r="E2" s="130"/>
      <c r="F2" s="130"/>
    </row>
    <row r="3" spans="1:6" x14ac:dyDescent="0.3">
      <c r="A3" s="130"/>
      <c r="B3" s="130"/>
      <c r="C3" s="130"/>
      <c r="D3" s="130"/>
      <c r="E3" s="130"/>
      <c r="F3" s="130"/>
    </row>
    <row r="4" spans="1:6" x14ac:dyDescent="0.3">
      <c r="A4" s="130"/>
      <c r="B4" s="130"/>
      <c r="C4" s="130"/>
      <c r="D4" s="130"/>
      <c r="E4" s="130"/>
      <c r="F4" s="130"/>
    </row>
    <row r="5" spans="1:6" x14ac:dyDescent="0.3">
      <c r="A5" s="130"/>
      <c r="B5" s="130"/>
      <c r="C5" s="130"/>
      <c r="D5" s="130"/>
      <c r="E5" s="130"/>
      <c r="F5" s="130"/>
    </row>
    <row r="6" spans="1:6" x14ac:dyDescent="0.3">
      <c r="A6" s="130"/>
      <c r="B6" s="130"/>
      <c r="C6" s="130"/>
      <c r="D6" s="130"/>
      <c r="E6" s="130"/>
      <c r="F6" s="130"/>
    </row>
    <row r="7" spans="1:6" x14ac:dyDescent="0.3">
      <c r="A7" s="130"/>
      <c r="B7" s="130"/>
      <c r="C7" s="130"/>
      <c r="D7" s="130"/>
      <c r="E7" s="130"/>
      <c r="F7" s="130"/>
    </row>
    <row r="8" spans="1:6" x14ac:dyDescent="0.3">
      <c r="A8" s="533" t="s">
        <v>210</v>
      </c>
      <c r="B8" s="533"/>
      <c r="C8" s="533"/>
      <c r="D8" s="533"/>
      <c r="E8" s="533"/>
      <c r="F8" s="130"/>
    </row>
    <row r="9" spans="1:6" x14ac:dyDescent="0.3">
      <c r="A9" s="130"/>
      <c r="B9" s="130"/>
      <c r="C9" s="130"/>
      <c r="D9" s="130"/>
      <c r="E9" s="130"/>
      <c r="F9" s="130"/>
    </row>
    <row r="10" spans="1:6" x14ac:dyDescent="0.3">
      <c r="A10" s="130"/>
      <c r="B10" s="130"/>
      <c r="C10" s="130"/>
      <c r="D10" s="130"/>
      <c r="E10" s="130"/>
      <c r="F10" s="130"/>
    </row>
    <row r="11" spans="1:6" ht="43.5" customHeight="1" x14ac:dyDescent="0.3">
      <c r="A11" s="130" t="str">
        <f>"Vu le marché"&amp;" "&amp;DONNEES!C7&amp;" "&amp;"dont l'objet est"&amp;" "&amp;DONNEES!C4&amp;" "&amp;DONNEES!C2</f>
        <v xml:space="preserve">Vu le marché  dont l'objet est  </v>
      </c>
      <c r="B11" s="130"/>
      <c r="C11" s="130"/>
      <c r="D11" s="130"/>
      <c r="E11" s="130"/>
      <c r="F11" s="130"/>
    </row>
    <row r="12" spans="1:6" x14ac:dyDescent="0.3">
      <c r="A12" s="130"/>
      <c r="B12" s="130"/>
      <c r="C12" s="130"/>
      <c r="D12" s="130"/>
      <c r="E12" s="130"/>
      <c r="F12" s="130"/>
    </row>
    <row r="13" spans="1:6" x14ac:dyDescent="0.3">
      <c r="A13" s="130" t="str">
        <f>"Vu"&amp;" "&amp;DONNEES!E11&amp;" "&amp;"de l'acte d'engagement"</f>
        <v>Vu  de l'acte d'engagement</v>
      </c>
      <c r="B13" s="130"/>
      <c r="C13" s="130"/>
      <c r="D13" s="130"/>
      <c r="E13" s="130"/>
      <c r="F13" s="130"/>
    </row>
    <row r="14" spans="1:6" x14ac:dyDescent="0.3">
      <c r="A14" s="130"/>
      <c r="B14" s="130"/>
      <c r="C14" s="130"/>
      <c r="D14" s="130"/>
      <c r="E14" s="130"/>
      <c r="F14" s="130"/>
    </row>
    <row r="15" spans="1:6" x14ac:dyDescent="0.3">
      <c r="A15" s="130" t="s">
        <v>347</v>
      </c>
      <c r="B15" s="479">
        <f>DONNEES!C10</f>
        <v>0</v>
      </c>
      <c r="C15" s="130" t="s">
        <v>348</v>
      </c>
      <c r="D15" s="130"/>
      <c r="E15" s="130"/>
      <c r="F15" s="130"/>
    </row>
    <row r="16" spans="1:6" x14ac:dyDescent="0.3">
      <c r="A16" s="130"/>
      <c r="B16" s="130"/>
      <c r="C16" s="130"/>
      <c r="D16" s="130"/>
      <c r="E16" s="130"/>
      <c r="F16" s="130"/>
    </row>
    <row r="17" spans="1:56" x14ac:dyDescent="0.3">
      <c r="A17" s="130" t="str">
        <f>"Vu"&amp;" "&amp;DONNEES!F11&amp;" "&amp;"du cahier des charges prévoyant les taux d'avance"</f>
        <v>Vu  du cahier des charges prévoyant les taux d'avance</v>
      </c>
      <c r="B17" s="130"/>
      <c r="C17" s="130"/>
      <c r="D17" s="130"/>
      <c r="E17" s="130"/>
      <c r="F17" s="130"/>
    </row>
    <row r="18" spans="1:56" x14ac:dyDescent="0.3">
      <c r="A18" s="130"/>
      <c r="B18" s="130"/>
      <c r="C18" s="130"/>
      <c r="D18" s="130"/>
      <c r="E18" s="130"/>
      <c r="F18" s="130"/>
    </row>
    <row r="19" spans="1:56" x14ac:dyDescent="0.3">
      <c r="A19" s="130" t="str">
        <f>"Vu le(s) taux de TVA applicable(s) dans le marché :"</f>
        <v>Vu le(s) taux de TVA applicable(s) dans le marché :</v>
      </c>
      <c r="B19" s="130"/>
      <c r="C19" s="130"/>
      <c r="D19" s="130"/>
      <c r="E19" s="130"/>
      <c r="F19" s="130"/>
    </row>
    <row r="20" spans="1:56" x14ac:dyDescent="0.3">
      <c r="A20" s="130"/>
      <c r="B20" s="130"/>
      <c r="C20" s="130"/>
      <c r="D20" s="130"/>
      <c r="E20" s="130"/>
      <c r="F20" s="130"/>
    </row>
    <row r="21" spans="1:56" x14ac:dyDescent="0.3">
      <c r="A21" s="130"/>
      <c r="B21" s="130"/>
      <c r="C21" s="130"/>
      <c r="D21" s="130"/>
      <c r="E21" s="130"/>
      <c r="F21" s="130"/>
    </row>
    <row r="22" spans="1:56" x14ac:dyDescent="0.3">
      <c r="A22" s="130" t="s">
        <v>262</v>
      </c>
      <c r="B22" s="130"/>
      <c r="C22" s="130"/>
      <c r="D22" s="130"/>
      <c r="E22" s="130"/>
      <c r="F22" s="130"/>
    </row>
    <row r="23" spans="1:56" x14ac:dyDescent="0.3">
      <c r="A23" s="130"/>
      <c r="B23" s="130"/>
      <c r="C23" s="130"/>
      <c r="D23" s="130"/>
      <c r="E23" s="130"/>
      <c r="F23" s="130"/>
    </row>
    <row r="24" spans="1:56" x14ac:dyDescent="0.3">
      <c r="A24" s="130"/>
      <c r="B24" s="130"/>
      <c r="C24" s="130"/>
      <c r="D24" s="130"/>
      <c r="E24" s="130"/>
      <c r="F24" s="130"/>
    </row>
    <row r="25" spans="1:56" x14ac:dyDescent="0.3">
      <c r="A25" s="533" t="s">
        <v>263</v>
      </c>
      <c r="B25" s="533"/>
      <c r="C25" s="533"/>
      <c r="D25" s="533"/>
      <c r="E25" s="533"/>
      <c r="F25" s="130"/>
    </row>
    <row r="26" spans="1:56" x14ac:dyDescent="0.3">
      <c r="A26" s="130"/>
      <c r="B26" s="130"/>
      <c r="C26" s="130"/>
      <c r="D26" s="130"/>
      <c r="E26" s="130"/>
      <c r="F26" s="130"/>
    </row>
    <row r="27" spans="1:56" s="334" customFormat="1" x14ac:dyDescent="0.3">
      <c r="A27" s="130" t="s">
        <v>321</v>
      </c>
      <c r="B27" s="130"/>
      <c r="C27" s="130"/>
      <c r="D27" s="337">
        <f>DONNEES!P47+DONNEES!Q47+DONNEES!P69+DONNEES!Q69+DONNEES!P91+DONNEES!Q91+DONNEES!P113+DONNEES!Q113</f>
        <v>0</v>
      </c>
      <c r="E27" s="130"/>
      <c r="F27" s="333"/>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row>
    <row r="28" spans="1:56" x14ac:dyDescent="0.3">
      <c r="A28" s="130" t="s">
        <v>345</v>
      </c>
      <c r="B28" s="130"/>
      <c r="C28" s="130"/>
      <c r="D28" s="484">
        <f>IFERROR(E38+E45,0)</f>
        <v>0</v>
      </c>
      <c r="E28" s="130"/>
      <c r="F28" s="10"/>
    </row>
    <row r="29" spans="1:56" x14ac:dyDescent="0.3">
      <c r="A29" s="130" t="s">
        <v>264</v>
      </c>
      <c r="B29" s="130"/>
      <c r="C29" s="130"/>
      <c r="D29" s="338">
        <f>DONNEES!C6</f>
        <v>2</v>
      </c>
      <c r="E29" s="130"/>
      <c r="F29" s="201"/>
    </row>
    <row r="30" spans="1:56" x14ac:dyDescent="0.3">
      <c r="A30" s="130" t="s">
        <v>324</v>
      </c>
      <c r="B30" s="130"/>
      <c r="C30" s="130"/>
      <c r="D30" s="343">
        <f>IFERROR(E46+E39-D28,0)</f>
        <v>0</v>
      </c>
      <c r="E30" s="130"/>
      <c r="F30" s="10"/>
    </row>
    <row r="31" spans="1:56" x14ac:dyDescent="0.3">
      <c r="A31" s="130"/>
      <c r="B31" s="130"/>
      <c r="C31" s="130"/>
      <c r="D31" s="10"/>
      <c r="E31" s="130"/>
      <c r="F31" s="10"/>
    </row>
    <row r="32" spans="1:56" x14ac:dyDescent="0.3">
      <c r="A32" s="10"/>
      <c r="B32" s="249" t="s">
        <v>235</v>
      </c>
      <c r="C32" s="249" t="s">
        <v>36</v>
      </c>
      <c r="D32" s="249" t="s">
        <v>275</v>
      </c>
      <c r="E32" s="249" t="s">
        <v>294</v>
      </c>
      <c r="F32" s="10"/>
    </row>
    <row r="33" spans="1:6" x14ac:dyDescent="0.3">
      <c r="A33" s="11" t="str">
        <f>DONNEES!B18</f>
        <v>Tranche ferme HT</v>
      </c>
      <c r="B33" s="335" t="str">
        <f>IF(DONNEES!C18&gt;=25000,DONNEES!$C$17,"")</f>
        <v/>
      </c>
      <c r="C33" s="250" t="str">
        <f>IF(DONNEES!F35="OUI",DONNEES!P47,"")</f>
        <v/>
      </c>
      <c r="D33" s="335" t="str">
        <f>IF(AND($D$27&gt;=25000,$D$27&lt;=149999),"30%",IF(AND($D$27&gt;149999,$D$27&lt;=999999),"25%",IF($D$27&gt;999999,"20"%," ")))</f>
        <v xml:space="preserve"> </v>
      </c>
      <c r="E33" s="38">
        <f>IFERROR(IF($B$15&lt;=12,(C33*D33),C33*D33*(12/$B$15)),0)</f>
        <v>0</v>
      </c>
    </row>
    <row r="34" spans="1:6" x14ac:dyDescent="0.3">
      <c r="A34" s="11" t="str">
        <f>DONNEES!B19</f>
        <v>Tranche optionnelle 1 HT</v>
      </c>
      <c r="B34" s="335" t="str">
        <f>IF(DONNEES!C19&gt;=25000,DONNEES!$C$17,"")</f>
        <v/>
      </c>
      <c r="C34" s="250" t="str">
        <f>IF(DONNEES!F57="OUI",DONNEES!P69,"")</f>
        <v/>
      </c>
      <c r="D34" s="335" t="str">
        <f t="shared" ref="D34:D43" si="0">IF(AND($D$27&gt;=25000,$D$27&lt;=149999),"30%",IF(AND($D$27&gt;149999,$D$27&lt;=999999),"25%",IF($D$27&gt;999999,"20"%," ")))</f>
        <v xml:space="preserve"> </v>
      </c>
      <c r="E34" s="38">
        <f t="shared" ref="E34:E36" si="1">IFERROR(IF($B$15&lt;=12,(C34*D34),C34*D34*(12/$B$15)),0)</f>
        <v>0</v>
      </c>
    </row>
    <row r="35" spans="1:6" x14ac:dyDescent="0.3">
      <c r="A35" s="11" t="str">
        <f>DONNEES!B20</f>
        <v>Tranche optionnelle 2 HT</v>
      </c>
      <c r="B35" s="335" t="str">
        <f>IF(DONNEES!C20&gt;=25000,DONNEES!$C$17,"")</f>
        <v/>
      </c>
      <c r="C35" s="250" t="str">
        <f>IF(DONNEES!F79="OUI",DONNEES!P91,"")</f>
        <v/>
      </c>
      <c r="D35" s="335" t="str">
        <f t="shared" si="0"/>
        <v xml:space="preserve"> </v>
      </c>
      <c r="E35" s="38">
        <f t="shared" si="1"/>
        <v>0</v>
      </c>
    </row>
    <row r="36" spans="1:6" x14ac:dyDescent="0.3">
      <c r="A36" s="11" t="str">
        <f>DONNEES!B21</f>
        <v>Tranche optionnelle 3 HT</v>
      </c>
      <c r="B36" s="335" t="str">
        <f>IF(DONNEES!C21&gt;=25000,DONNEES!$C$17,"")</f>
        <v/>
      </c>
      <c r="C36" s="250" t="str">
        <f>IF(DONNEES!F101="OUI",DONNEES!P113,"")</f>
        <v/>
      </c>
      <c r="D36" s="335" t="str">
        <f t="shared" si="0"/>
        <v xml:space="preserve"> </v>
      </c>
      <c r="E36" s="38">
        <f t="shared" si="1"/>
        <v>0</v>
      </c>
    </row>
    <row r="37" spans="1:6" x14ac:dyDescent="0.3">
      <c r="A37" s="11" t="s">
        <v>322</v>
      </c>
      <c r="B37" s="200"/>
      <c r="C37" s="215"/>
      <c r="D37" s="215"/>
      <c r="E37" s="38">
        <f>IFERROR(SUM(E33:E36)*B33,0)</f>
        <v>0</v>
      </c>
    </row>
    <row r="38" spans="1:6" x14ac:dyDescent="0.3">
      <c r="A38" s="11" t="s">
        <v>341</v>
      </c>
      <c r="B38" s="200"/>
      <c r="C38" s="215"/>
      <c r="D38" s="215"/>
      <c r="E38" s="463">
        <v>0</v>
      </c>
    </row>
    <row r="39" spans="1:6" x14ac:dyDescent="0.3">
      <c r="A39" s="339" t="s">
        <v>323</v>
      </c>
      <c r="B39" s="340"/>
      <c r="C39" s="341"/>
      <c r="D39" s="341"/>
      <c r="E39" s="342">
        <f>IFERROR(SUM(E33:E36)+E37-E38,0)</f>
        <v>0</v>
      </c>
    </row>
    <row r="40" spans="1:6" outlineLevel="1" x14ac:dyDescent="0.3">
      <c r="A40" s="11" t="str">
        <f>DONNEES!B18</f>
        <v>Tranche ferme HT</v>
      </c>
      <c r="B40" s="336" t="str">
        <f>IF(DONNEES!E18&gt;=25000,DONNEES!$E$17,"")</f>
        <v/>
      </c>
      <c r="C40" s="251" t="str">
        <f>IF(DONNEES!F35="OUI",DONNEES!Q47,"")</f>
        <v/>
      </c>
      <c r="D40" s="335" t="str">
        <f t="shared" si="0"/>
        <v xml:space="preserve"> </v>
      </c>
      <c r="E40" s="38">
        <f t="shared" ref="E40:E43" si="2">IFERROR(IF($B$15&lt;=12,(C40*D40),C40*D40*(12/$B$15)),0)</f>
        <v>0</v>
      </c>
      <c r="F40" s="10"/>
    </row>
    <row r="41" spans="1:6" outlineLevel="1" x14ac:dyDescent="0.3">
      <c r="A41" s="11" t="str">
        <f>DONNEES!B19</f>
        <v>Tranche optionnelle 1 HT</v>
      </c>
      <c r="B41" s="336" t="str">
        <f>IF(DONNEES!E19&gt;=25000,DONNEES!$E$17,"")</f>
        <v/>
      </c>
      <c r="C41" s="251" t="str">
        <f>IF(DONNEES!F57="OUI",DONNEES!Q69,"")</f>
        <v/>
      </c>
      <c r="D41" s="335" t="str">
        <f t="shared" si="0"/>
        <v xml:space="preserve"> </v>
      </c>
      <c r="E41" s="38">
        <f t="shared" si="2"/>
        <v>0</v>
      </c>
      <c r="F41" s="10"/>
    </row>
    <row r="42" spans="1:6" outlineLevel="1" x14ac:dyDescent="0.3">
      <c r="A42" s="11" t="str">
        <f>DONNEES!B20</f>
        <v>Tranche optionnelle 2 HT</v>
      </c>
      <c r="B42" s="336" t="str">
        <f>IF(DONNEES!E20&gt;=25000,DONNEES!$E$17,"")</f>
        <v/>
      </c>
      <c r="C42" s="251" t="str">
        <f>IF(DONNEES!F79="OUI",DONNEES!Q91,"")</f>
        <v/>
      </c>
      <c r="D42" s="335" t="str">
        <f t="shared" si="0"/>
        <v xml:space="preserve"> </v>
      </c>
      <c r="E42" s="38">
        <f t="shared" si="2"/>
        <v>0</v>
      </c>
      <c r="F42" s="10"/>
    </row>
    <row r="43" spans="1:6" outlineLevel="1" x14ac:dyDescent="0.3">
      <c r="A43" s="11" t="str">
        <f>DONNEES!B21</f>
        <v>Tranche optionnelle 3 HT</v>
      </c>
      <c r="B43" s="336" t="str">
        <f>IF(DONNEES!E21&gt;=25000,DONNEES!$E$17,"")</f>
        <v/>
      </c>
      <c r="C43" s="251" t="str">
        <f>IF(DONNEES!F101="OUI",DONNEES!Q113,"")</f>
        <v/>
      </c>
      <c r="D43" s="335" t="str">
        <f t="shared" si="0"/>
        <v xml:space="preserve"> </v>
      </c>
      <c r="E43" s="38">
        <f t="shared" si="2"/>
        <v>0</v>
      </c>
      <c r="F43" s="47"/>
    </row>
    <row r="44" spans="1:6" outlineLevel="1" x14ac:dyDescent="0.3">
      <c r="A44" s="11" t="s">
        <v>322</v>
      </c>
      <c r="B44" s="200"/>
      <c r="C44" s="215"/>
      <c r="D44" s="200"/>
      <c r="E44" s="38">
        <f>IFERROR(SUM(E40:E43)*B40,0)</f>
        <v>0</v>
      </c>
      <c r="F44" s="10"/>
    </row>
    <row r="45" spans="1:6" outlineLevel="1" x14ac:dyDescent="0.3">
      <c r="A45" s="11" t="s">
        <v>341</v>
      </c>
      <c r="B45" s="200"/>
      <c r="C45" s="215"/>
      <c r="D45" s="200"/>
      <c r="E45" s="463">
        <v>0</v>
      </c>
      <c r="F45" s="10"/>
    </row>
    <row r="46" spans="1:6" outlineLevel="1" x14ac:dyDescent="0.3">
      <c r="A46" s="339" t="s">
        <v>323</v>
      </c>
      <c r="B46" s="340"/>
      <c r="C46" s="341"/>
      <c r="D46" s="340"/>
      <c r="E46" s="342">
        <f>IFERROR(SUM(E40:E43)+E44-E45,0)</f>
        <v>0</v>
      </c>
      <c r="F46" s="10"/>
    </row>
    <row r="47" spans="1:6" x14ac:dyDescent="0.3">
      <c r="A47" s="130"/>
      <c r="B47" s="130"/>
      <c r="C47" s="130"/>
      <c r="D47" s="130"/>
      <c r="E47" s="130"/>
      <c r="F47" s="130"/>
    </row>
    <row r="48" spans="1:6" ht="97.5" customHeight="1" x14ac:dyDescent="0.3">
      <c r="A48" s="130"/>
      <c r="B48" s="130"/>
      <c r="C48" s="130"/>
      <c r="D48" s="564" t="s">
        <v>265</v>
      </c>
      <c r="E48" s="564"/>
      <c r="F48" s="130"/>
    </row>
    <row r="49" spans="1:5" x14ac:dyDescent="0.3">
      <c r="A49" s="130"/>
      <c r="B49" s="130"/>
      <c r="C49" s="130"/>
      <c r="D49" s="130"/>
      <c r="E49" s="130"/>
    </row>
    <row r="50" spans="1:5" x14ac:dyDescent="0.3">
      <c r="A50" s="130"/>
      <c r="B50" s="130"/>
      <c r="C50" s="130"/>
      <c r="D50" s="130"/>
      <c r="E50" s="130"/>
    </row>
    <row r="51" spans="1:5" x14ac:dyDescent="0.3">
      <c r="A51" s="130"/>
      <c r="B51" s="130"/>
      <c r="C51" s="130"/>
      <c r="D51" s="130"/>
      <c r="E51" s="130"/>
    </row>
  </sheetData>
  <sheetProtection algorithmName="SHA-512" hashValue="bB8/vfF00foIB3STxYYYu5znyT/SegDlJKCd//lp2bCGCbYRjI3YCPkiwJHt+oJPovQuh42nQnUhjE+/PPkFhQ==" saltValue="vfvAMFCY7uyAJQZvKI7pTg==" spinCount="100000" sheet="1" objects="1" scenarios="1" autoFilter="0"/>
  <mergeCells count="3">
    <mergeCell ref="A8:E8"/>
    <mergeCell ref="A25:E25"/>
    <mergeCell ref="D48:E48"/>
  </mergeCells>
  <pageMargins left="0.7" right="0.7" top="0.75" bottom="0.75" header="0.3" footer="0.3"/>
  <pageSetup paperSize="9" scale="6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7"/>
    <pageSetUpPr fitToPage="1"/>
  </sheetPr>
  <dimension ref="A1:AG94"/>
  <sheetViews>
    <sheetView zoomScale="80" zoomScaleNormal="80" zoomScaleSheetLayoutView="30" workbookViewId="0">
      <selection activeCell="G68" sqref="G68"/>
    </sheetView>
  </sheetViews>
  <sheetFormatPr baseColWidth="10" defaultRowHeight="18" customHeight="1" outlineLevelRow="1" x14ac:dyDescent="0.3"/>
  <cols>
    <col min="1" max="1" width="10.5703125" style="9" bestFit="1" customWidth="1"/>
    <col min="2" max="2" width="45.28515625" style="10" customWidth="1"/>
    <col min="3" max="3" width="17.42578125" style="10" customWidth="1"/>
    <col min="4" max="4" width="19.5703125" style="10" customWidth="1"/>
    <col min="5" max="5" width="17.5703125" style="10" customWidth="1"/>
    <col min="6" max="6" width="18.28515625" style="10" customWidth="1"/>
    <col min="7" max="7" width="17.7109375" style="10" customWidth="1"/>
    <col min="8" max="8" width="24.85546875" style="10" customWidth="1"/>
    <col min="9" max="9" width="17.85546875" style="10" bestFit="1" customWidth="1"/>
    <col min="10" max="10" width="17.85546875" style="10" customWidth="1"/>
    <col min="11" max="11" width="11.42578125" style="130"/>
    <col min="12" max="12" width="6.140625" style="130" customWidth="1"/>
    <col min="13" max="17" width="11.42578125" style="130"/>
    <col min="18" max="18" width="0" style="130" hidden="1" customWidth="1"/>
    <col min="19" max="33" width="11.42578125" style="130"/>
    <col min="34" max="16384" width="11.42578125" style="10"/>
  </cols>
  <sheetData>
    <row r="1" spans="1:10" ht="18" customHeight="1" x14ac:dyDescent="0.3">
      <c r="A1" s="130"/>
      <c r="B1" s="21"/>
      <c r="C1" s="11" t="s">
        <v>0</v>
      </c>
      <c r="D1" s="11"/>
      <c r="E1" s="568"/>
      <c r="F1" s="569"/>
      <c r="G1" s="130"/>
      <c r="H1" s="130"/>
      <c r="I1" s="130"/>
      <c r="J1" s="130"/>
    </row>
    <row r="2" spans="1:10" ht="18" customHeight="1" x14ac:dyDescent="0.3">
      <c r="A2" s="130"/>
      <c r="B2" s="21"/>
      <c r="C2" s="11" t="s">
        <v>72</v>
      </c>
      <c r="D2" s="580">
        <f>DONNEES!C2</f>
        <v>0</v>
      </c>
      <c r="E2" s="580"/>
      <c r="F2" s="580"/>
      <c r="G2" s="580"/>
      <c r="H2" s="580"/>
      <c r="I2" s="580"/>
    </row>
    <row r="3" spans="1:10" ht="18" customHeight="1" x14ac:dyDescent="0.3">
      <c r="A3" s="130"/>
      <c r="B3" s="21"/>
      <c r="C3" s="11" t="s">
        <v>2</v>
      </c>
      <c r="D3" s="580">
        <f>DONNEES!C3</f>
        <v>0</v>
      </c>
      <c r="E3" s="580"/>
      <c r="F3" s="580"/>
      <c r="G3" s="580"/>
      <c r="H3" s="580"/>
      <c r="I3" s="580"/>
      <c r="J3" s="130"/>
    </row>
    <row r="4" spans="1:10" ht="18" customHeight="1" x14ac:dyDescent="0.3">
      <c r="A4" s="130"/>
      <c r="B4" s="21"/>
      <c r="C4" s="11" t="s">
        <v>3</v>
      </c>
      <c r="D4" s="580">
        <f>DONNEES!C5</f>
        <v>0</v>
      </c>
      <c r="E4" s="580"/>
      <c r="F4" s="580"/>
      <c r="G4" s="580"/>
      <c r="H4" s="580"/>
      <c r="I4" s="580"/>
      <c r="J4" s="130"/>
    </row>
    <row r="5" spans="1:10" ht="18" customHeight="1" x14ac:dyDescent="0.3">
      <c r="A5" s="130"/>
      <c r="B5" s="21"/>
      <c r="C5" s="11" t="s">
        <v>4</v>
      </c>
      <c r="D5" s="580">
        <f>DONNEES!C7</f>
        <v>0</v>
      </c>
      <c r="E5" s="580"/>
      <c r="F5" s="580"/>
      <c r="G5" s="580"/>
      <c r="H5" s="580"/>
      <c r="I5" s="580"/>
      <c r="J5" s="130"/>
    </row>
    <row r="6" spans="1:10" ht="18" customHeight="1" x14ac:dyDescent="0.3">
      <c r="A6" s="130"/>
      <c r="B6" s="21"/>
      <c r="C6" s="11" t="s">
        <v>5</v>
      </c>
      <c r="D6" s="580">
        <f>DONNEES!C8</f>
        <v>0</v>
      </c>
      <c r="E6" s="580"/>
      <c r="F6" s="580"/>
      <c r="G6" s="580"/>
      <c r="H6" s="580"/>
      <c r="I6" s="580"/>
      <c r="J6" s="130"/>
    </row>
    <row r="7" spans="1:10" ht="18" customHeight="1" x14ac:dyDescent="0.3">
      <c r="A7" s="130"/>
      <c r="B7" s="130"/>
      <c r="C7" s="11" t="s">
        <v>6</v>
      </c>
      <c r="D7" s="11"/>
      <c r="E7" s="401"/>
      <c r="F7" s="350" t="s">
        <v>49</v>
      </c>
      <c r="G7" s="401"/>
      <c r="I7" s="130"/>
      <c r="J7" s="130"/>
    </row>
    <row r="8" spans="1:10" ht="18" customHeight="1" x14ac:dyDescent="0.3">
      <c r="A8" s="130"/>
      <c r="B8" s="130"/>
      <c r="E8" s="14"/>
      <c r="F8" s="14"/>
      <c r="G8" s="15"/>
      <c r="H8" s="14"/>
      <c r="I8" s="130"/>
      <c r="J8" s="130"/>
    </row>
    <row r="9" spans="1:10" ht="18" customHeight="1" x14ac:dyDescent="0.3">
      <c r="A9" s="130"/>
      <c r="B9" s="596" t="s">
        <v>7</v>
      </c>
      <c r="C9" s="596"/>
      <c r="D9" s="596"/>
      <c r="F9" s="21"/>
      <c r="G9" s="597" t="s">
        <v>33</v>
      </c>
      <c r="H9" s="597"/>
      <c r="I9" s="597"/>
      <c r="J9" s="597"/>
    </row>
    <row r="10" spans="1:10" ht="18" customHeight="1" x14ac:dyDescent="0.3">
      <c r="A10" s="130"/>
      <c r="B10" s="11" t="s">
        <v>8</v>
      </c>
      <c r="C10" s="387">
        <f>DONNEES!C17</f>
        <v>0</v>
      </c>
      <c r="D10" s="387">
        <f>DONNEES!E17</f>
        <v>0</v>
      </c>
      <c r="E10" s="17" t="s">
        <v>65</v>
      </c>
      <c r="F10" s="21"/>
      <c r="G10" s="539" t="s">
        <v>34</v>
      </c>
      <c r="H10" s="539" t="s">
        <v>35</v>
      </c>
      <c r="I10" s="180" t="s">
        <v>15</v>
      </c>
      <c r="J10" s="180" t="s">
        <v>15</v>
      </c>
    </row>
    <row r="11" spans="1:10" ht="18" customHeight="1" x14ac:dyDescent="0.3">
      <c r="A11" s="130"/>
      <c r="B11" s="11" t="s">
        <v>9</v>
      </c>
      <c r="C11" s="346">
        <f>DONNEES!E38</f>
        <v>0</v>
      </c>
      <c r="D11" s="346">
        <f>DONNEES!F38</f>
        <v>0</v>
      </c>
      <c r="E11" s="20">
        <f>C11+D11</f>
        <v>0</v>
      </c>
      <c r="F11" s="21"/>
      <c r="G11" s="539"/>
      <c r="H11" s="539"/>
      <c r="I11" s="253">
        <f>DONNEES!C17</f>
        <v>0</v>
      </c>
      <c r="J11" s="253">
        <f>DONNEES!E17</f>
        <v>0</v>
      </c>
    </row>
    <row r="12" spans="1:10" ht="18" customHeight="1" x14ac:dyDescent="0.3">
      <c r="A12" s="130"/>
      <c r="B12" s="11" t="s">
        <v>10</v>
      </c>
      <c r="C12" s="346">
        <f>DONNEES!E60</f>
        <v>0</v>
      </c>
      <c r="D12" s="346">
        <f>DONNEES!F60</f>
        <v>0</v>
      </c>
      <c r="E12" s="20">
        <f t="shared" ref="E12:E16" si="0">C12+D12</f>
        <v>0</v>
      </c>
      <c r="F12" s="21"/>
      <c r="G12" s="425" t="s">
        <v>1</v>
      </c>
      <c r="H12" s="349">
        <f>DONNEES!C38</f>
        <v>0</v>
      </c>
      <c r="I12" s="23">
        <f>DONNEES!G38+DONNEES!G60+DONNEES!G82+DONNEES!G104+DONNEES!G126</f>
        <v>0</v>
      </c>
      <c r="J12" s="23">
        <f>DONNEES!H38+DONNEES!H60+DONNEES!H82+DONNEES!H104+DONNEES!H126</f>
        <v>0</v>
      </c>
    </row>
    <row r="13" spans="1:10" ht="18" customHeight="1" x14ac:dyDescent="0.3">
      <c r="A13" s="130"/>
      <c r="B13" s="11" t="s">
        <v>11</v>
      </c>
      <c r="C13" s="346">
        <f>DONNEES!E82</f>
        <v>0</v>
      </c>
      <c r="D13" s="346">
        <f>DONNEES!F82</f>
        <v>0</v>
      </c>
      <c r="E13" s="20">
        <f t="shared" si="0"/>
        <v>0</v>
      </c>
      <c r="F13" s="21"/>
      <c r="G13" s="62">
        <f>DONNEES!B39</f>
        <v>0</v>
      </c>
      <c r="H13" s="349">
        <f>DONNEES!C39</f>
        <v>0</v>
      </c>
      <c r="I13" s="23">
        <f>DONNEES!G39+DONNEES!G61+DONNEES!G83+DONNEES!G105+DONNEES!G127</f>
        <v>0</v>
      </c>
      <c r="J13" s="23">
        <f>DONNEES!H39+DONNEES!H61+DONNEES!H83+DONNEES!H105+DONNEES!H127</f>
        <v>0</v>
      </c>
    </row>
    <row r="14" spans="1:10" ht="18" customHeight="1" x14ac:dyDescent="0.3">
      <c r="A14" s="130"/>
      <c r="B14" s="11" t="s">
        <v>12</v>
      </c>
      <c r="C14" s="346">
        <f>DONNEES!E104</f>
        <v>0</v>
      </c>
      <c r="D14" s="346">
        <f>DONNEES!F104</f>
        <v>0</v>
      </c>
      <c r="E14" s="20">
        <f t="shared" si="0"/>
        <v>0</v>
      </c>
      <c r="F14" s="21"/>
      <c r="G14" s="62">
        <f>DONNEES!B40</f>
        <v>0</v>
      </c>
      <c r="H14" s="349">
        <f>DONNEES!C40</f>
        <v>0</v>
      </c>
      <c r="I14" s="23">
        <f>DONNEES!G40+DONNEES!G62+DONNEES!G84+DONNEES!G106+DONNEES!G128</f>
        <v>0</v>
      </c>
      <c r="J14" s="23">
        <f>DONNEES!H40+DONNEES!H62+DONNEES!H84+DONNEES!H106+DONNEES!H128</f>
        <v>0</v>
      </c>
    </row>
    <row r="15" spans="1:10" ht="18" customHeight="1" x14ac:dyDescent="0.3">
      <c r="A15" s="130"/>
      <c r="B15" s="11" t="s">
        <v>13</v>
      </c>
      <c r="C15" s="346">
        <f>DONNEES!E126</f>
        <v>0</v>
      </c>
      <c r="D15" s="346">
        <f>DONNEES!F126</f>
        <v>0</v>
      </c>
      <c r="E15" s="20">
        <f t="shared" si="0"/>
        <v>0</v>
      </c>
      <c r="F15" s="21"/>
      <c r="G15" s="62">
        <f>DONNEES!B41</f>
        <v>0</v>
      </c>
      <c r="H15" s="349">
        <f>DONNEES!C41</f>
        <v>0</v>
      </c>
      <c r="I15" s="23">
        <f>DONNEES!G41+DONNEES!G63+DONNEES!G85+DONNEES!G107+DONNEES!G129</f>
        <v>0</v>
      </c>
      <c r="J15" s="23">
        <f>DONNEES!H41+DONNEES!H63+DONNEES!H85+DONNEES!H107+DONNEES!H129</f>
        <v>0</v>
      </c>
    </row>
    <row r="16" spans="1:10" ht="18" customHeight="1" x14ac:dyDescent="0.3">
      <c r="A16" s="130"/>
      <c r="B16" s="11" t="s">
        <v>73</v>
      </c>
      <c r="C16" s="393"/>
      <c r="D16" s="393"/>
      <c r="E16" s="20">
        <f t="shared" si="0"/>
        <v>0</v>
      </c>
      <c r="F16" s="21"/>
      <c r="G16" s="62">
        <f>DONNEES!B42</f>
        <v>0</v>
      </c>
      <c r="H16" s="349">
        <f>DONNEES!C42</f>
        <v>0</v>
      </c>
      <c r="I16" s="23">
        <f>DONNEES!G42+DONNEES!G64+DONNEES!G86+DONNEES!G108+DONNEES!G130</f>
        <v>0</v>
      </c>
      <c r="J16" s="23">
        <f>DONNEES!H42+DONNEES!H64+DONNEES!H86+DONNEES!H108+DONNEES!H130</f>
        <v>0</v>
      </c>
    </row>
    <row r="17" spans="1:13" ht="18" customHeight="1" x14ac:dyDescent="0.3">
      <c r="A17" s="130"/>
      <c r="B17" s="24" t="s">
        <v>14</v>
      </c>
      <c r="C17" s="346">
        <f>SUM(C11:C15)-C16</f>
        <v>0</v>
      </c>
      <c r="D17" s="346">
        <f>SUM(D11:D15)-D16</f>
        <v>0</v>
      </c>
      <c r="E17" s="20">
        <f>C17+D17</f>
        <v>0</v>
      </c>
      <c r="F17" s="26"/>
      <c r="G17" s="62">
        <f>DONNEES!B43</f>
        <v>0</v>
      </c>
      <c r="H17" s="349">
        <f>DONNEES!C43</f>
        <v>0</v>
      </c>
      <c r="I17" s="23">
        <f>DONNEES!G43+DONNEES!G65+DONNEES!G87+DONNEES!G109+DONNEES!G131</f>
        <v>0</v>
      </c>
      <c r="J17" s="23">
        <f>DONNEES!H43+DONNEES!H65+DONNEES!H87+DONNEES!H109+DONNEES!H131</f>
        <v>0</v>
      </c>
    </row>
    <row r="18" spans="1:13" ht="18" customHeight="1" x14ac:dyDescent="0.3">
      <c r="A18" s="130"/>
      <c r="B18" s="24" t="s">
        <v>15</v>
      </c>
      <c r="C18" s="346">
        <f>C17*C10</f>
        <v>0</v>
      </c>
      <c r="D18" s="346">
        <f>D17*D10</f>
        <v>0</v>
      </c>
      <c r="E18" s="130"/>
      <c r="F18" s="130"/>
      <c r="G18" s="62">
        <f>DONNEES!B44</f>
        <v>0</v>
      </c>
      <c r="H18" s="349">
        <f>DONNEES!C44</f>
        <v>0</v>
      </c>
      <c r="I18" s="23">
        <f>DONNEES!G44+DONNEES!G66+DONNEES!G88+DONNEES!G110+DONNEES!G132</f>
        <v>0</v>
      </c>
      <c r="J18" s="23">
        <f>DONNEES!H44+DONNEES!H66+DONNEES!H88+DONNEES!H110+DONNEES!H132</f>
        <v>0</v>
      </c>
    </row>
    <row r="19" spans="1:13" ht="18" customHeight="1" x14ac:dyDescent="0.3">
      <c r="A19" s="130"/>
      <c r="B19" s="24" t="s">
        <v>16</v>
      </c>
      <c r="C19" s="346">
        <f>C17+C18</f>
        <v>0</v>
      </c>
      <c r="D19" s="346">
        <f>D17+D18</f>
        <v>0</v>
      </c>
      <c r="E19" s="130"/>
      <c r="F19" s="130"/>
      <c r="G19" s="130"/>
      <c r="H19" s="130"/>
      <c r="I19" s="178">
        <f>SUM(I12:I18)</f>
        <v>0</v>
      </c>
      <c r="J19" s="178">
        <f>SUM(J12:J18)</f>
        <v>0</v>
      </c>
    </row>
    <row r="20" spans="1:13" ht="18" customHeight="1" x14ac:dyDescent="0.3">
      <c r="A20" s="130"/>
      <c r="B20" s="24" t="s">
        <v>17</v>
      </c>
      <c r="C20" s="549">
        <f>C19+D19</f>
        <v>0</v>
      </c>
      <c r="D20" s="549"/>
      <c r="E20" s="130"/>
      <c r="F20" s="130"/>
      <c r="G20" s="130"/>
      <c r="H20" s="130"/>
      <c r="I20" s="130"/>
      <c r="J20" s="130"/>
    </row>
    <row r="21" spans="1:13" ht="18" customHeight="1" x14ac:dyDescent="0.3">
      <c r="A21" s="130"/>
      <c r="E21" s="130"/>
      <c r="F21" s="130"/>
      <c r="G21" s="130"/>
      <c r="H21" s="130"/>
      <c r="I21" s="130"/>
      <c r="J21" s="130"/>
    </row>
    <row r="22" spans="1:13" ht="18" customHeight="1" x14ac:dyDescent="0.3">
      <c r="A22" s="130"/>
      <c r="B22" s="587" t="s">
        <v>18</v>
      </c>
      <c r="C22" s="590"/>
      <c r="D22" s="591"/>
      <c r="E22" s="592" t="s">
        <v>172</v>
      </c>
      <c r="F22" s="592" t="s">
        <v>172</v>
      </c>
      <c r="G22" s="594" t="s">
        <v>71</v>
      </c>
      <c r="H22" s="594" t="s">
        <v>31</v>
      </c>
      <c r="I22" s="130"/>
      <c r="J22" s="130"/>
    </row>
    <row r="23" spans="1:13" ht="28.5" customHeight="1" x14ac:dyDescent="0.3">
      <c r="A23" s="130"/>
      <c r="B23" s="588"/>
      <c r="C23" s="595" t="s">
        <v>30</v>
      </c>
      <c r="D23" s="595"/>
      <c r="E23" s="593"/>
      <c r="F23" s="593"/>
      <c r="G23" s="594"/>
      <c r="H23" s="594"/>
      <c r="I23" s="130"/>
      <c r="J23" s="130"/>
    </row>
    <row r="24" spans="1:13" ht="18" customHeight="1" x14ac:dyDescent="0.3">
      <c r="A24" s="130"/>
      <c r="B24" s="589"/>
      <c r="C24" s="197">
        <f>C10</f>
        <v>0</v>
      </c>
      <c r="D24" s="197">
        <f>D10</f>
        <v>0</v>
      </c>
      <c r="E24" s="30">
        <f>C10</f>
        <v>0</v>
      </c>
      <c r="F24" s="30">
        <f>D10</f>
        <v>0</v>
      </c>
      <c r="G24" s="594"/>
      <c r="H24" s="594"/>
      <c r="I24" s="130"/>
      <c r="J24" s="130"/>
    </row>
    <row r="25" spans="1:13" ht="18" hidden="1" customHeight="1" x14ac:dyDescent="0.3">
      <c r="A25" s="349">
        <v>1</v>
      </c>
      <c r="B25" s="11" t="s">
        <v>19</v>
      </c>
      <c r="C25" s="392"/>
      <c r="D25" s="392"/>
      <c r="E25" s="426"/>
      <c r="F25" s="427"/>
      <c r="G25" s="33">
        <f>E25+F25</f>
        <v>0</v>
      </c>
      <c r="H25" s="34"/>
      <c r="I25" s="130"/>
      <c r="J25" s="130"/>
    </row>
    <row r="26" spans="1:13" ht="42.75" hidden="1" customHeight="1" x14ac:dyDescent="0.3">
      <c r="A26" s="349" t="s">
        <v>184</v>
      </c>
      <c r="B26" s="359" t="s">
        <v>329</v>
      </c>
      <c r="C26" s="427"/>
      <c r="D26" s="429"/>
      <c r="E26" s="427"/>
      <c r="F26" s="427"/>
      <c r="G26" s="33">
        <f>C26+D26+E26+F26</f>
        <v>0</v>
      </c>
      <c r="H26" s="34"/>
      <c r="I26" s="130"/>
      <c r="J26" s="130"/>
    </row>
    <row r="27" spans="1:13" ht="37.5" hidden="1" x14ac:dyDescent="0.3">
      <c r="A27" s="349" t="s">
        <v>186</v>
      </c>
      <c r="B27" s="72" t="s">
        <v>175</v>
      </c>
      <c r="C27" s="427"/>
      <c r="D27" s="428"/>
      <c r="E27" s="427"/>
      <c r="F27" s="427"/>
      <c r="G27" s="33">
        <f>E27+F27+C27+D27</f>
        <v>0</v>
      </c>
      <c r="H27" s="496">
        <f>IFERROR((C27+D27+E27+F27)/(G25-G26),0)</f>
        <v>0</v>
      </c>
      <c r="J27" s="130"/>
      <c r="M27" s="495"/>
    </row>
    <row r="28" spans="1:13" ht="18" customHeight="1" x14ac:dyDescent="0.3">
      <c r="A28" s="349" t="s">
        <v>20</v>
      </c>
      <c r="B28" s="11" t="s">
        <v>21</v>
      </c>
      <c r="C28" s="427"/>
      <c r="D28" s="427"/>
      <c r="E28" s="427"/>
      <c r="F28" s="427"/>
      <c r="G28" s="33">
        <f>E28+C28+D28+F28</f>
        <v>0</v>
      </c>
      <c r="H28" s="496">
        <f>IFERROR((E28+C28+D28+F28)/E11,0)</f>
        <v>0</v>
      </c>
      <c r="I28" s="575" t="e">
        <f>IF(AND($G$25&lt;&gt;0,H28&gt;'RECUP AVANCE TITULAIRE '!I19),"PENSEZ A VERIFIER SI IL FAUT FAIRE UN REMBOURSEMENT","")</f>
        <v>#VALUE!</v>
      </c>
      <c r="J28" s="576"/>
      <c r="K28" s="576"/>
      <c r="L28" s="576"/>
      <c r="M28" s="576"/>
    </row>
    <row r="29" spans="1:13" ht="18" customHeight="1" x14ac:dyDescent="0.3">
      <c r="A29" s="349" t="s">
        <v>25</v>
      </c>
      <c r="B29" s="11" t="s">
        <v>22</v>
      </c>
      <c r="C29" s="427"/>
      <c r="D29" s="427"/>
      <c r="E29" s="427"/>
      <c r="F29" s="427"/>
      <c r="G29" s="33">
        <f>E29+C29+D29+F29</f>
        <v>0</v>
      </c>
      <c r="H29" s="496">
        <f>IFERROR((E29+C29+D29+F29)/E12,0)</f>
        <v>0</v>
      </c>
      <c r="I29" s="575" t="e">
        <f>IF(AND($G$25&lt;&gt;0,H29&gt;'RECUP AVANCE TITULAIRE '!I19),"PENSEZ A VERIFIER SI IL FAUT FAIRE UN REMBOURSEMENT","")</f>
        <v>#VALUE!</v>
      </c>
      <c r="J29" s="576"/>
      <c r="K29" s="576"/>
      <c r="L29" s="576"/>
      <c r="M29" s="576"/>
    </row>
    <row r="30" spans="1:13" ht="18" customHeight="1" x14ac:dyDescent="0.3">
      <c r="A30" s="349" t="s">
        <v>26</v>
      </c>
      <c r="B30" s="11" t="s">
        <v>23</v>
      </c>
      <c r="C30" s="427"/>
      <c r="D30" s="427"/>
      <c r="E30" s="427"/>
      <c r="F30" s="427"/>
      <c r="G30" s="33">
        <f>E30+C30+D30+F30</f>
        <v>0</v>
      </c>
      <c r="H30" s="496">
        <f>IFERROR((E30+C30+D30+F30)/E13,0)</f>
        <v>0</v>
      </c>
      <c r="I30" s="575" t="e">
        <f>IF(AND($G$25&lt;&gt;0,H30&gt;'RECUP AVANCE TITULAIRE '!I19),"PENSEZ A VERIFIER SI IL FAUT FAIRE UN REMBOURSEMENT","")</f>
        <v>#VALUE!</v>
      </c>
      <c r="J30" s="576"/>
      <c r="K30" s="576"/>
      <c r="L30" s="576"/>
      <c r="M30" s="576"/>
    </row>
    <row r="31" spans="1:13" ht="18" customHeight="1" x14ac:dyDescent="0.3">
      <c r="A31" s="349" t="s">
        <v>27</v>
      </c>
      <c r="B31" s="11" t="s">
        <v>24</v>
      </c>
      <c r="C31" s="427"/>
      <c r="D31" s="427"/>
      <c r="E31" s="427"/>
      <c r="F31" s="427"/>
      <c r="G31" s="33">
        <f>E31+C31+D31+F31</f>
        <v>0</v>
      </c>
      <c r="H31" s="496">
        <f>IFERROR((E31+C31+D31+F31)/E14,0)</f>
        <v>0</v>
      </c>
      <c r="I31" s="575" t="e">
        <f>IF(AND($G$25&lt;&gt;0,H31&gt;'RECUP AVANCE TITULAIRE '!I19),"PENSEZ A VERIFIER SI IL FAUT FAIRE UN REMBOURSEMENT","")</f>
        <v>#VALUE!</v>
      </c>
      <c r="J31" s="576"/>
      <c r="K31" s="576"/>
      <c r="L31" s="576"/>
      <c r="M31" s="576"/>
    </row>
    <row r="32" spans="1:13" ht="18" customHeight="1" x14ac:dyDescent="0.3">
      <c r="A32" s="349" t="s">
        <v>29</v>
      </c>
      <c r="B32" s="11" t="s">
        <v>28</v>
      </c>
      <c r="C32" s="427"/>
      <c r="D32" s="427"/>
      <c r="E32" s="427"/>
      <c r="F32" s="427"/>
      <c r="G32" s="33">
        <f>E32+C32+D32+F32</f>
        <v>0</v>
      </c>
      <c r="H32" s="496">
        <f>IFERROR((E32+C32+D32+F32)/E15,0)</f>
        <v>0</v>
      </c>
      <c r="I32" s="130"/>
      <c r="J32" s="130"/>
      <c r="M32" s="495"/>
    </row>
    <row r="33" spans="1:13" ht="18" customHeight="1" x14ac:dyDescent="0.3">
      <c r="A33" s="36" t="s">
        <v>177</v>
      </c>
      <c r="B33" s="37" t="s">
        <v>176</v>
      </c>
      <c r="C33" s="33">
        <f>SUM(C28:C32)</f>
        <v>0</v>
      </c>
      <c r="D33" s="33">
        <f>SUM(D28:D32)</f>
        <v>0</v>
      </c>
      <c r="E33" s="33">
        <f>SUM(E28:E32)</f>
        <v>0</v>
      </c>
      <c r="F33" s="33">
        <f>SUM(F28:F32)</f>
        <v>0</v>
      </c>
      <c r="G33" s="33">
        <f t="shared" ref="G33:G38" si="1">C33+D33+E33+F33</f>
        <v>0</v>
      </c>
      <c r="H33" s="496">
        <f>IFERROR((E33+D33+C33+F33)/(C17+D17),0)</f>
        <v>0</v>
      </c>
      <c r="I33" s="130"/>
      <c r="J33" s="130"/>
      <c r="M33" s="495"/>
    </row>
    <row r="34" spans="1:13" ht="37.5" x14ac:dyDescent="0.3">
      <c r="A34" s="36" t="s">
        <v>178</v>
      </c>
      <c r="B34" s="73" t="s">
        <v>353</v>
      </c>
      <c r="C34" s="38">
        <f>IF(C33&lt;=0,C25,(C33-C25-C27))</f>
        <v>0</v>
      </c>
      <c r="D34" s="38">
        <f>IF(D33&lt;=0,D25,(D33-D25-D27))</f>
        <v>0</v>
      </c>
      <c r="E34" s="38">
        <f>(E25-E27)+E33</f>
        <v>0</v>
      </c>
      <c r="F34" s="38">
        <f>(F25-F27)+F33</f>
        <v>0</v>
      </c>
      <c r="G34" s="38">
        <f t="shared" si="1"/>
        <v>0</v>
      </c>
      <c r="H34" s="130"/>
      <c r="I34" s="130"/>
      <c r="J34" s="130"/>
    </row>
    <row r="35" spans="1:13" ht="18" hidden="1" customHeight="1" x14ac:dyDescent="0.3">
      <c r="A35" s="349">
        <v>4</v>
      </c>
      <c r="B35" s="12">
        <f>DONNEES!C12</f>
        <v>0</v>
      </c>
      <c r="C35" s="430"/>
      <c r="D35" s="430"/>
      <c r="E35" s="430"/>
      <c r="F35" s="430"/>
      <c r="G35" s="33">
        <f t="shared" si="1"/>
        <v>0</v>
      </c>
      <c r="H35" s="130"/>
      <c r="I35" s="130"/>
      <c r="J35" s="130"/>
    </row>
    <row r="36" spans="1:13" ht="18" customHeight="1" x14ac:dyDescent="0.3">
      <c r="A36" s="36">
        <v>5</v>
      </c>
      <c r="B36" s="37" t="s">
        <v>250</v>
      </c>
      <c r="C36" s="38">
        <f>C34+C35</f>
        <v>0</v>
      </c>
      <c r="D36" s="38">
        <f t="shared" ref="D36:F36" si="2">D34+D35</f>
        <v>0</v>
      </c>
      <c r="E36" s="38">
        <f t="shared" si="2"/>
        <v>0</v>
      </c>
      <c r="F36" s="38">
        <f t="shared" si="2"/>
        <v>0</v>
      </c>
      <c r="G36" s="38">
        <f t="shared" si="1"/>
        <v>0</v>
      </c>
      <c r="H36" s="130"/>
      <c r="I36" s="130"/>
      <c r="J36" s="130"/>
    </row>
    <row r="37" spans="1:13" ht="18" hidden="1" customHeight="1" x14ac:dyDescent="0.3">
      <c r="A37" s="349">
        <v>6</v>
      </c>
      <c r="B37" s="40" t="s">
        <v>52</v>
      </c>
      <c r="C37" s="38">
        <f>C25*C10</f>
        <v>0</v>
      </c>
      <c r="D37" s="38">
        <f>D25*D10</f>
        <v>0</v>
      </c>
      <c r="E37" s="33">
        <f>E25*E24</f>
        <v>0</v>
      </c>
      <c r="F37" s="33">
        <f>F25*F24</f>
        <v>0</v>
      </c>
      <c r="G37" s="33">
        <f t="shared" si="1"/>
        <v>0</v>
      </c>
      <c r="H37" s="130"/>
      <c r="I37" s="130"/>
      <c r="J37" s="130"/>
    </row>
    <row r="38" spans="1:13" ht="18" customHeight="1" x14ac:dyDescent="0.3">
      <c r="A38" s="349" t="s">
        <v>188</v>
      </c>
      <c r="B38" s="40" t="s">
        <v>53</v>
      </c>
      <c r="C38" s="38">
        <f>C28*C10</f>
        <v>0</v>
      </c>
      <c r="D38" s="38">
        <f>D28*D10</f>
        <v>0</v>
      </c>
      <c r="E38" s="33">
        <f>E28*$C$10</f>
        <v>0</v>
      </c>
      <c r="F38" s="33">
        <f>F28*$D$10</f>
        <v>0</v>
      </c>
      <c r="G38" s="33">
        <f t="shared" si="1"/>
        <v>0</v>
      </c>
      <c r="H38" s="130"/>
      <c r="I38" s="130"/>
      <c r="J38" s="130"/>
    </row>
    <row r="39" spans="1:13" ht="18" customHeight="1" outlineLevel="1" x14ac:dyDescent="0.3">
      <c r="A39" s="349" t="s">
        <v>189</v>
      </c>
      <c r="B39" s="40" t="s">
        <v>54</v>
      </c>
      <c r="C39" s="38">
        <f>C29*C10</f>
        <v>0</v>
      </c>
      <c r="D39" s="38">
        <f>D29*D10</f>
        <v>0</v>
      </c>
      <c r="E39" s="33">
        <f>E29*$C$10</f>
        <v>0</v>
      </c>
      <c r="F39" s="33">
        <f>F29*$D$10</f>
        <v>0</v>
      </c>
      <c r="G39" s="33">
        <f t="shared" ref="G39:G42" si="3">C39+D39+E39</f>
        <v>0</v>
      </c>
      <c r="H39" s="130"/>
      <c r="I39" s="130"/>
      <c r="J39" s="130"/>
    </row>
    <row r="40" spans="1:13" ht="18" customHeight="1" outlineLevel="1" x14ac:dyDescent="0.3">
      <c r="A40" s="349" t="s">
        <v>190</v>
      </c>
      <c r="B40" s="40" t="s">
        <v>56</v>
      </c>
      <c r="C40" s="38">
        <f>C30*C10</f>
        <v>0</v>
      </c>
      <c r="D40" s="38">
        <f>D30*D10</f>
        <v>0</v>
      </c>
      <c r="E40" s="33">
        <f>E30*$C$10</f>
        <v>0</v>
      </c>
      <c r="F40" s="33">
        <f>F30*$D$10</f>
        <v>0</v>
      </c>
      <c r="G40" s="33">
        <f t="shared" si="3"/>
        <v>0</v>
      </c>
      <c r="H40" s="130"/>
      <c r="I40" s="130"/>
      <c r="J40" s="130"/>
    </row>
    <row r="41" spans="1:13" ht="18" customHeight="1" outlineLevel="1" x14ac:dyDescent="0.3">
      <c r="A41" s="349" t="s">
        <v>191</v>
      </c>
      <c r="B41" s="40" t="s">
        <v>55</v>
      </c>
      <c r="C41" s="38">
        <f>C31*C10</f>
        <v>0</v>
      </c>
      <c r="D41" s="38">
        <f>D31*D10</f>
        <v>0</v>
      </c>
      <c r="E41" s="33">
        <f>E31*$C$10</f>
        <v>0</v>
      </c>
      <c r="F41" s="33">
        <f>F31*$D$10</f>
        <v>0</v>
      </c>
      <c r="G41" s="33">
        <f t="shared" si="3"/>
        <v>0</v>
      </c>
      <c r="H41" s="130"/>
      <c r="I41" s="130"/>
      <c r="J41" s="130"/>
    </row>
    <row r="42" spans="1:13" ht="18" customHeight="1" x14ac:dyDescent="0.3">
      <c r="A42" s="349" t="s">
        <v>192</v>
      </c>
      <c r="B42" s="40" t="s">
        <v>57</v>
      </c>
      <c r="C42" s="38">
        <f>C32*C10</f>
        <v>0</v>
      </c>
      <c r="D42" s="38">
        <f>D32*D10</f>
        <v>0</v>
      </c>
      <c r="E42" s="33">
        <f>E32*$C$10</f>
        <v>0</v>
      </c>
      <c r="F42" s="33">
        <f>F32*$D$10</f>
        <v>0</v>
      </c>
      <c r="G42" s="33">
        <f t="shared" si="3"/>
        <v>0</v>
      </c>
      <c r="H42" s="130"/>
      <c r="I42" s="130"/>
      <c r="J42" s="130"/>
    </row>
    <row r="43" spans="1:13" ht="18" hidden="1" customHeight="1" x14ac:dyDescent="0.3">
      <c r="A43" s="349" t="s">
        <v>193</v>
      </c>
      <c r="B43" s="12" t="b">
        <f>IF(B35="REVISION","Tva Révision",IF(B35="ACTUALISATION","Tva Actualisation"))</f>
        <v>0</v>
      </c>
      <c r="C43" s="33">
        <f>C35*C10</f>
        <v>0</v>
      </c>
      <c r="D43" s="33">
        <f>D35*D10</f>
        <v>0</v>
      </c>
      <c r="E43" s="33">
        <f>E35*C10</f>
        <v>0</v>
      </c>
      <c r="F43" s="33">
        <f>F35*D10</f>
        <v>0</v>
      </c>
      <c r="G43" s="33">
        <f>C43+D43+E43+F43</f>
        <v>0</v>
      </c>
      <c r="H43" s="130"/>
      <c r="I43" s="130"/>
      <c r="J43" s="130"/>
    </row>
    <row r="44" spans="1:13" ht="18" hidden="1" customHeight="1" x14ac:dyDescent="0.3">
      <c r="A44" s="349">
        <v>7</v>
      </c>
      <c r="B44" s="65" t="s">
        <v>174</v>
      </c>
      <c r="C44" s="38">
        <f>C27*C10</f>
        <v>0</v>
      </c>
      <c r="D44" s="38">
        <f>D27*D10</f>
        <v>0</v>
      </c>
      <c r="E44" s="38">
        <f>E27*C10</f>
        <v>0</v>
      </c>
      <c r="F44" s="38">
        <f>F27*D10</f>
        <v>0</v>
      </c>
      <c r="G44" s="33">
        <f>C44+D44+E44+F44</f>
        <v>0</v>
      </c>
      <c r="H44" s="130"/>
      <c r="I44" s="130"/>
      <c r="J44" s="130"/>
    </row>
    <row r="45" spans="1:13" ht="42" hidden="1" customHeight="1" x14ac:dyDescent="0.3">
      <c r="A45" s="349" t="s">
        <v>179</v>
      </c>
      <c r="B45" s="74" t="s">
        <v>328</v>
      </c>
      <c r="C45" s="38">
        <f>C26*C10</f>
        <v>0</v>
      </c>
      <c r="D45" s="38">
        <f>D26*D10</f>
        <v>0</v>
      </c>
      <c r="E45" s="38">
        <f>E26*E24</f>
        <v>0</v>
      </c>
      <c r="F45" s="38">
        <f>F26*F24</f>
        <v>0</v>
      </c>
      <c r="G45" s="33">
        <f>C45+D45+E45+F45</f>
        <v>0</v>
      </c>
      <c r="H45" s="130"/>
      <c r="I45" s="130"/>
      <c r="J45" s="130"/>
    </row>
    <row r="46" spans="1:13" ht="18" customHeight="1" x14ac:dyDescent="0.3">
      <c r="A46" s="36">
        <v>8</v>
      </c>
      <c r="B46" s="37" t="s">
        <v>195</v>
      </c>
      <c r="C46" s="38">
        <f>SUM(C37:C43)-C44</f>
        <v>0</v>
      </c>
      <c r="D46" s="38">
        <f>SUM(D37:D43)-D44</f>
        <v>0</v>
      </c>
      <c r="E46" s="38">
        <f>SUM(E37:E43)-E44</f>
        <v>0</v>
      </c>
      <c r="F46" s="38">
        <f>SUM(F37:F43)-F44</f>
        <v>0</v>
      </c>
      <c r="G46" s="38">
        <f>SUM(G37:G43)-G44</f>
        <v>0</v>
      </c>
      <c r="H46" s="130"/>
      <c r="I46" s="130"/>
      <c r="J46" s="130"/>
    </row>
    <row r="47" spans="1:13" ht="18" customHeight="1" x14ac:dyDescent="0.3">
      <c r="A47" s="36">
        <v>9</v>
      </c>
      <c r="B47" s="37" t="s">
        <v>211</v>
      </c>
      <c r="C47" s="41">
        <f>C36+C46</f>
        <v>0</v>
      </c>
      <c r="D47" s="41">
        <f>D36+D46</f>
        <v>0</v>
      </c>
      <c r="E47" s="41">
        <f>E36+E46</f>
        <v>0</v>
      </c>
      <c r="F47" s="41">
        <f>F36+F46</f>
        <v>0</v>
      </c>
      <c r="G47" s="41">
        <f>G36+G46</f>
        <v>0</v>
      </c>
      <c r="H47" s="130"/>
      <c r="I47" s="130"/>
      <c r="J47" s="130"/>
    </row>
    <row r="48" spans="1:13" ht="34.5" customHeight="1" x14ac:dyDescent="0.3">
      <c r="A48" s="36">
        <v>10</v>
      </c>
      <c r="B48" s="176" t="s">
        <v>354</v>
      </c>
      <c r="C48" s="579">
        <f>C47+D47+E47+F47</f>
        <v>0</v>
      </c>
      <c r="D48" s="580"/>
      <c r="E48" s="43"/>
      <c r="F48" s="43"/>
      <c r="G48" s="43"/>
      <c r="H48" s="75" t="str">
        <f>IF(B49="Retenue de Garantie tranche ferme","RG MAXI",IF(B49="GAPD","",IF(B49="SANS OBJET","","")))</f>
        <v/>
      </c>
      <c r="I48" s="130"/>
      <c r="J48" s="130"/>
    </row>
    <row r="49" spans="1:18" ht="18" hidden="1" customHeight="1" x14ac:dyDescent="0.3">
      <c r="A49" s="504">
        <v>11</v>
      </c>
      <c r="B49" s="509">
        <f>DONNEES!G35</f>
        <v>0</v>
      </c>
      <c r="C49" s="510" t="str">
        <f>IF(AND($B$49="Retenue de Garantie tranche ferme",$B$50="RG tranche ferme remplacée par GAPD"),"0",IF(AND($B$49="Retenue de Garantie tranche ferme",$B$50="Sans Objet"),((C28+C38)*0.05),("0")))</f>
        <v>0</v>
      </c>
      <c r="D49" s="510" t="str">
        <f>IF(AND($B$49="Retenue de Garantie tranche ferme",$B$50="RG tranche ferme remplacée par GAPD"),"0",IF(AND($B$49="GAPD",$B$50="GAPD tranche ferme remplacée par RG"),((D28+D38)*0.05),IF(AND($B$49="Retenue de Garantie tranche ferme",$B$50="Sans Objet"),((D28+D32)*0.05),("0"))))</f>
        <v>0</v>
      </c>
      <c r="E49" s="503" t="str">
        <f>IF($B$49="Retenue de Garantie tranche ferme",((E28+E38)*0.05),"0")</f>
        <v>0</v>
      </c>
      <c r="F49" s="503" t="str">
        <f>IF($B$49="Retenue de Garantie tranche ferme",((F28+F38)*0.05),"0")</f>
        <v>0</v>
      </c>
      <c r="G49" s="503">
        <f>IFERROR(C49+D49+E49+F49,0)</f>
        <v>0</v>
      </c>
      <c r="H49" s="347" t="str">
        <f>IF(B49="Retenue de Garantie tranche ferme",(C20*0.05),IF(B49="SANS OBJET"," ","0"))</f>
        <v>0</v>
      </c>
      <c r="I49" s="130"/>
      <c r="J49" s="130"/>
      <c r="R49" s="130">
        <f>(C49+D49+C51+D51+C53+C55+C57+D53+D55+D57)</f>
        <v>0</v>
      </c>
    </row>
    <row r="50" spans="1:18" ht="18" hidden="1" customHeight="1" x14ac:dyDescent="0.3">
      <c r="A50" s="512" t="s">
        <v>410</v>
      </c>
      <c r="B50" s="511" t="str">
        <f>IF(DONNEES!I35="RG tranche ferme remplacée par GAPD","RG tranche ferme remplacée par GAPD","Sans Objet")</f>
        <v>Sans Objet</v>
      </c>
      <c r="C50" s="503"/>
      <c r="D50" s="503"/>
      <c r="E50" s="503"/>
      <c r="F50" s="503"/>
      <c r="G50" s="503"/>
      <c r="H50" s="508"/>
      <c r="I50" s="130"/>
      <c r="J50" s="130"/>
    </row>
    <row r="51" spans="1:18" ht="18" hidden="1" customHeight="1" x14ac:dyDescent="0.3">
      <c r="A51" s="512" t="s">
        <v>414</v>
      </c>
      <c r="B51" s="12">
        <f>DONNEES!G57</f>
        <v>0</v>
      </c>
      <c r="C51" s="503" t="str">
        <f>IF(AND($B$51="Retenue de Garantie TO 1",$B$52="RG TO 1 remplacée par GAPD"),"0",IF(AND($B$51="Retenue de Garantie TO 1",$B$52="Sans Objet"),((C29+C39)*0.05),("0")))</f>
        <v>0</v>
      </c>
      <c r="D51" s="503" t="str">
        <f>IF(AND($B$51="Retenue de Garantie TO 1",$B$52="RG TO 1 remplacée par GAPD"),"0",IF(AND($B$51="Retenue de Garantie TO 1",$B$52="Sans Objet"),((D29+D39)*0.05),("0")))</f>
        <v>0</v>
      </c>
      <c r="E51" s="503" t="str">
        <f>IF($B$51="Retenue de Garantie TO 1",((E29+E39)*0.05),"0")</f>
        <v>0</v>
      </c>
      <c r="F51" s="503" t="str">
        <f>IF($B$51="Retenue de Garantie TO 1",((F29+F39)*0.05),"0")</f>
        <v>0</v>
      </c>
      <c r="G51" s="503">
        <f>IFERROR(C51+D51+E51+F51,0)</f>
        <v>0</v>
      </c>
      <c r="H51" s="508"/>
      <c r="I51" s="130"/>
      <c r="J51" s="130"/>
    </row>
    <row r="52" spans="1:18" ht="18" hidden="1" customHeight="1" x14ac:dyDescent="0.3">
      <c r="A52" s="512" t="s">
        <v>415</v>
      </c>
      <c r="B52" s="12" t="str">
        <f>IF(DONNEES!I57="RG TO1 remplacée par GAPD","RG TO1 remplacée par GAPD","Sans Objet")</f>
        <v>Sans Objet</v>
      </c>
      <c r="C52" s="503"/>
      <c r="D52" s="503"/>
      <c r="E52" s="503"/>
      <c r="F52" s="503"/>
      <c r="G52" s="503"/>
      <c r="H52" s="508"/>
      <c r="I52" s="130"/>
      <c r="J52" s="130"/>
    </row>
    <row r="53" spans="1:18" ht="18" hidden="1" customHeight="1" collapsed="1" x14ac:dyDescent="0.3">
      <c r="A53" s="512" t="s">
        <v>419</v>
      </c>
      <c r="B53" s="12">
        <f>DONNEES!G79</f>
        <v>0</v>
      </c>
      <c r="C53" s="503" t="str">
        <f>IF(AND($B$53="Retenue de Garantie TO 2",$B$54="RG TO 2 remplacée par GAPD"),"0",IF(AND($B$53="Retenue de Garantie TO 2",$B$54="Sans Objet"),((C30+C40)*0.05),("0")))</f>
        <v>0</v>
      </c>
      <c r="D53" s="503" t="str">
        <f>IF(AND($B$53="Retenue de Garantie TO 2",$B$54="RG TO 2 remplacée par GAPD"),"0",IF(AND($B$53="Retenue de Garantie TO 2",$B$54="Sans Objet"),((D30+D40)*0.05),("0")))</f>
        <v>0</v>
      </c>
      <c r="E53" s="503" t="str">
        <f>IF($B$53="Retenue de Garantie TO 2",((E30+E40)*0.05),"0")</f>
        <v>0</v>
      </c>
      <c r="F53" s="503" t="str">
        <f>IF($B$53="Retenue de Garantie TO 2",((F30+F40)*0.05),"0")</f>
        <v>0</v>
      </c>
      <c r="G53" s="503">
        <f>IFERROR(C53+D53+E53+F53,0)</f>
        <v>0</v>
      </c>
      <c r="H53" s="508"/>
      <c r="I53" s="130"/>
      <c r="J53" s="130"/>
    </row>
    <row r="54" spans="1:18" ht="18" hidden="1" customHeight="1" x14ac:dyDescent="0.3">
      <c r="A54" s="512" t="s">
        <v>420</v>
      </c>
      <c r="B54" s="12" t="str">
        <f>IF(DONNEES!I79="RG TO2 remplacée par GAPD","RG TO2 remplacée par GAPD","Sans Objet")</f>
        <v>Sans Objet</v>
      </c>
      <c r="C54" s="505"/>
      <c r="D54" s="506"/>
      <c r="E54" s="505"/>
      <c r="F54" s="506"/>
      <c r="G54" s="503"/>
      <c r="H54" s="508"/>
      <c r="I54" s="130"/>
      <c r="J54" s="130"/>
    </row>
    <row r="55" spans="1:18" ht="18" hidden="1" customHeight="1" x14ac:dyDescent="0.3">
      <c r="A55" s="512" t="s">
        <v>424</v>
      </c>
      <c r="B55" s="12">
        <f>DONNEES!G101</f>
        <v>0</v>
      </c>
      <c r="C55" s="503" t="str">
        <f>IF(AND($B$55="Retenue de Garantie TO 3",$B$56="RG TO 3 remplacée par GAPD"),"0",IF(AND($B$55="Retenue de Garantie TO 3",$B$56="Sans Objet"),((C31+C41)*0.05),("0")))</f>
        <v>0</v>
      </c>
      <c r="D55" s="503" t="str">
        <f>IF(AND($B$55="Retenue de Garantie TO 3",$B$56="RG TO 3 remplacée par GAPD"),"0",IF(AND($B$55="Retenue de Garantie TO 3",$B$56="Sans Objet"),((D31+D41)*0.05),("0")))</f>
        <v>0</v>
      </c>
      <c r="E55" s="503" t="str">
        <f>IF($B$55="Retenue de Garantie TO 3",((E31+E41)*0.05),"0")</f>
        <v>0</v>
      </c>
      <c r="F55" s="503" t="str">
        <f>IF($B$55="Retenue de Garantie TO 3",((F31+F41)*0.05),"0")</f>
        <v>0</v>
      </c>
      <c r="G55" s="503">
        <f t="shared" ref="G55:G57" si="4">IFERROR(C55+D55+E55+F55,0)</f>
        <v>0</v>
      </c>
      <c r="H55" s="508"/>
      <c r="I55" s="130"/>
      <c r="J55" s="130"/>
    </row>
    <row r="56" spans="1:18" ht="18" hidden="1" customHeight="1" x14ac:dyDescent="0.3">
      <c r="A56" s="512" t="s">
        <v>425</v>
      </c>
      <c r="B56" s="12" t="str">
        <f>IF(DONNEES!I101="RG TO3 remplacée par GAPD","RG TO3 remplacée par GAPD","Sans Objet")</f>
        <v>Sans Objet</v>
      </c>
      <c r="C56" s="505"/>
      <c r="D56" s="506"/>
      <c r="E56" s="505"/>
      <c r="F56" s="506"/>
      <c r="G56" s="503"/>
      <c r="H56" s="508"/>
      <c r="I56" s="130"/>
      <c r="J56" s="130"/>
    </row>
    <row r="57" spans="1:18" ht="18" hidden="1" customHeight="1" x14ac:dyDescent="0.3">
      <c r="A57" s="512" t="s">
        <v>426</v>
      </c>
      <c r="B57" s="12" t="b">
        <f>IF(DONNEES!F123="RG",DONNEES!F123&amp;" "&amp;"complémentaire sur avenant / OS",IF(DONNEES!F123="GAPD",DONNEES!F123&amp;" "&amp;"complémentaire sur avenant / OS",IF(DONNEES!F123="Sans Objet","Sans Objet")))</f>
        <v>0</v>
      </c>
      <c r="C57" s="503" t="str">
        <f>IF($B$57="RG complémentaire sur avenant / OS",((C32+C42)*0.05),"0")</f>
        <v>0</v>
      </c>
      <c r="D57" s="503" t="str">
        <f>IF($B$57="RG complémentaire sur avenant / OS",((D32+D42)*0.05),"0")</f>
        <v>0</v>
      </c>
      <c r="E57" s="503" t="str">
        <f>IF($B$57="RG complémentaire sur avenant / OS",((E32+E42)*0.05),"0")</f>
        <v>0</v>
      </c>
      <c r="F57" s="503" t="str">
        <f>IF($B$57="RG complémentaire sur avenant / OS",((F32+F42)*0.05),"0")</f>
        <v>0</v>
      </c>
      <c r="G57" s="503">
        <f t="shared" si="4"/>
        <v>0</v>
      </c>
      <c r="H57" s="508"/>
      <c r="I57" s="130"/>
      <c r="J57" s="130"/>
    </row>
    <row r="58" spans="1:18" ht="18" customHeight="1" x14ac:dyDescent="0.3">
      <c r="A58" s="349">
        <v>12</v>
      </c>
      <c r="B58" s="40" t="s">
        <v>61</v>
      </c>
      <c r="C58" s="565"/>
      <c r="D58" s="566"/>
      <c r="E58" s="565"/>
      <c r="F58" s="566"/>
      <c r="G58" s="33">
        <f>E58+C58</f>
        <v>0</v>
      </c>
      <c r="H58" s="130"/>
      <c r="I58" s="130"/>
      <c r="J58" s="130"/>
    </row>
    <row r="59" spans="1:18" ht="18" customHeight="1" x14ac:dyDescent="0.3">
      <c r="A59" s="349">
        <v>13</v>
      </c>
      <c r="B59" s="40" t="s">
        <v>187</v>
      </c>
      <c r="C59" s="574"/>
      <c r="D59" s="574"/>
      <c r="E59" s="565"/>
      <c r="F59" s="566"/>
      <c r="G59" s="33">
        <f>E59+C59</f>
        <v>0</v>
      </c>
      <c r="H59" s="130"/>
      <c r="I59" s="130"/>
      <c r="J59" s="130"/>
    </row>
    <row r="60" spans="1:18" ht="18" customHeight="1" x14ac:dyDescent="0.3">
      <c r="A60" s="349">
        <v>14</v>
      </c>
      <c r="B60" s="40" t="s">
        <v>180</v>
      </c>
      <c r="C60" s="578">
        <f>IFERROR((C49+D49+C58+C59+E49+F49+C51+D51+E51+F51+C53+D53+E53+F53+C55+D55+E55+F55+C57+D57+E57+F57),0)</f>
        <v>0</v>
      </c>
      <c r="D60" s="578"/>
      <c r="E60" s="565"/>
      <c r="F60" s="566"/>
      <c r="G60" s="33">
        <f>E60+C60</f>
        <v>0</v>
      </c>
      <c r="H60" s="130"/>
      <c r="I60" s="130"/>
      <c r="J60" s="130"/>
    </row>
    <row r="61" spans="1:18" ht="18" customHeight="1" x14ac:dyDescent="0.3">
      <c r="A61" s="349">
        <v>15</v>
      </c>
      <c r="B61" s="40" t="s">
        <v>62</v>
      </c>
      <c r="C61" s="579">
        <f>C48-C60</f>
        <v>0</v>
      </c>
      <c r="D61" s="580"/>
      <c r="E61" s="130"/>
      <c r="F61" s="533"/>
      <c r="G61" s="533"/>
      <c r="H61" s="533"/>
      <c r="I61" s="533"/>
      <c r="J61" s="130"/>
    </row>
    <row r="62" spans="1:18" ht="18" customHeight="1" x14ac:dyDescent="0.3">
      <c r="A62" s="349">
        <v>16</v>
      </c>
      <c r="B62" s="40" t="s">
        <v>63</v>
      </c>
      <c r="C62" s="584">
        <f>SUM(E81:E94)</f>
        <v>0</v>
      </c>
      <c r="D62" s="585"/>
      <c r="E62" s="130"/>
      <c r="F62" s="533"/>
      <c r="G62" s="533"/>
      <c r="H62" s="533"/>
      <c r="I62" s="533"/>
      <c r="J62" s="130"/>
    </row>
    <row r="63" spans="1:18" ht="18" customHeight="1" x14ac:dyDescent="0.3">
      <c r="A63" s="48">
        <v>17</v>
      </c>
      <c r="B63" s="49" t="s">
        <v>64</v>
      </c>
      <c r="C63" s="567">
        <f>IF(E1="DGD",(C61-C62-C69),(C61-C62))</f>
        <v>0</v>
      </c>
      <c r="D63" s="586"/>
      <c r="E63" s="130"/>
      <c r="F63" s="130"/>
      <c r="G63" s="528"/>
      <c r="H63" s="528"/>
      <c r="I63" s="528"/>
      <c r="J63" s="130"/>
    </row>
    <row r="64" spans="1:18" ht="18" customHeight="1" x14ac:dyDescent="0.3">
      <c r="A64" s="50">
        <v>18</v>
      </c>
      <c r="B64" s="51" t="s">
        <v>212</v>
      </c>
      <c r="C64" s="567" t="str">
        <f>IF(R49&lt;=0,"sans objet",R49)</f>
        <v>sans objet</v>
      </c>
      <c r="D64" s="567"/>
      <c r="E64" s="130"/>
      <c r="F64" s="130"/>
      <c r="G64" s="130"/>
      <c r="H64" s="130"/>
      <c r="I64" s="130"/>
      <c r="J64" s="130"/>
    </row>
    <row r="65" spans="1:10" ht="18" customHeight="1" x14ac:dyDescent="0.3">
      <c r="A65" s="50">
        <v>19</v>
      </c>
      <c r="B65" s="51" t="s">
        <v>241</v>
      </c>
      <c r="C65" s="567">
        <f>C26+D26+C45+D45</f>
        <v>0</v>
      </c>
      <c r="D65" s="567"/>
      <c r="E65" s="130"/>
      <c r="F65" s="130"/>
      <c r="G65" s="130"/>
      <c r="H65" s="130"/>
      <c r="I65" s="130"/>
      <c r="J65" s="130"/>
    </row>
    <row r="66" spans="1:10" ht="18" customHeight="1" x14ac:dyDescent="0.3">
      <c r="A66" s="50"/>
      <c r="B66" s="51" t="s">
        <v>401</v>
      </c>
      <c r="C66" s="572">
        <f>C58+C59</f>
        <v>0</v>
      </c>
      <c r="D66" s="573"/>
      <c r="E66" s="130"/>
      <c r="F66" s="529"/>
      <c r="G66" s="130"/>
      <c r="H66" s="130"/>
      <c r="I66" s="130"/>
      <c r="J66" s="130"/>
    </row>
    <row r="67" spans="1:10" ht="18" customHeight="1" x14ac:dyDescent="0.3">
      <c r="A67" s="472">
        <v>20</v>
      </c>
      <c r="B67" s="473" t="s">
        <v>402</v>
      </c>
      <c r="C67" s="582">
        <f>IF(C64="Sans Objet",C63,C63+C64)</f>
        <v>0</v>
      </c>
      <c r="D67" s="582"/>
      <c r="E67" s="130"/>
      <c r="F67" s="529"/>
      <c r="G67" s="130"/>
      <c r="H67" s="130"/>
      <c r="I67" s="130"/>
      <c r="J67" s="130"/>
    </row>
    <row r="68" spans="1:10" ht="18" customHeight="1" x14ac:dyDescent="0.3">
      <c r="A68" s="70"/>
      <c r="B68" s="71"/>
      <c r="C68" s="581" t="s">
        <v>74</v>
      </c>
      <c r="D68" s="581"/>
      <c r="E68" s="130"/>
      <c r="F68" s="529"/>
      <c r="G68" s="130"/>
      <c r="H68" s="130"/>
      <c r="I68" s="130"/>
      <c r="J68" s="130"/>
    </row>
    <row r="69" spans="1:10" ht="18" customHeight="1" x14ac:dyDescent="0.3">
      <c r="A69" s="349">
        <v>21</v>
      </c>
      <c r="B69" s="40" t="str">
        <f>IF(E1="DGD","Refaction","Ne rien inscrire avant le DGD")</f>
        <v>Ne rien inscrire avant le DGD</v>
      </c>
      <c r="C69" s="574"/>
      <c r="D69" s="574"/>
      <c r="E69" s="130"/>
      <c r="F69" s="529"/>
      <c r="G69" s="130"/>
      <c r="H69" s="130"/>
      <c r="I69" s="130"/>
      <c r="J69" s="130"/>
    </row>
    <row r="70" spans="1:10" ht="18" customHeight="1" x14ac:dyDescent="0.3">
      <c r="A70" s="130"/>
      <c r="B70" s="130"/>
      <c r="C70" s="130"/>
      <c r="D70" s="130"/>
      <c r="E70" s="130"/>
      <c r="F70" s="130"/>
      <c r="G70" s="130"/>
      <c r="H70" s="130"/>
      <c r="I70" s="130"/>
      <c r="J70" s="130"/>
    </row>
    <row r="71" spans="1:10" ht="31.5" customHeight="1" x14ac:dyDescent="0.3">
      <c r="A71" s="130"/>
      <c r="B71" s="130"/>
      <c r="C71" s="53" t="s">
        <v>69</v>
      </c>
      <c r="D71" s="577" t="s">
        <v>75</v>
      </c>
      <c r="E71" s="577"/>
      <c r="F71" s="353" t="s">
        <v>76</v>
      </c>
      <c r="G71" s="348" t="s">
        <v>77</v>
      </c>
      <c r="H71" s="348" t="s">
        <v>78</v>
      </c>
      <c r="I71" s="349" t="s">
        <v>79</v>
      </c>
      <c r="J71" s="130"/>
    </row>
    <row r="72" spans="1:10" ht="18" customHeight="1" x14ac:dyDescent="0.3">
      <c r="A72" s="130"/>
      <c r="B72" s="55" t="str">
        <f>G12</f>
        <v>Titulaire</v>
      </c>
      <c r="C72" s="56">
        <f>H12</f>
        <v>0</v>
      </c>
      <c r="D72" s="583">
        <f>C67-SUM(D73:E77)</f>
        <v>0</v>
      </c>
      <c r="E72" s="583"/>
      <c r="F72" s="347">
        <f>C34+D34-SUM(F73:F77)</f>
        <v>0</v>
      </c>
      <c r="G72" s="431"/>
      <c r="H72" s="347">
        <f>G72+F72</f>
        <v>0</v>
      </c>
      <c r="I72" s="57">
        <f>I12+J12-H72</f>
        <v>0</v>
      </c>
      <c r="J72" s="130"/>
    </row>
    <row r="73" spans="1:10" ht="18" customHeight="1" x14ac:dyDescent="0.3">
      <c r="A73" s="130"/>
      <c r="B73" s="55">
        <f>G13</f>
        <v>0</v>
      </c>
      <c r="C73" s="56">
        <f>H13</f>
        <v>0</v>
      </c>
      <c r="D73" s="574"/>
      <c r="E73" s="574"/>
      <c r="F73" s="347" t="str">
        <f>IF(B73="ST TVA autoliquidée",D73,IF(B73="ST TVA non-autoliquidée",(D73/1.2),"0"))</f>
        <v>0</v>
      </c>
      <c r="G73" s="431"/>
      <c r="H73" s="347">
        <f>F73+G73</f>
        <v>0</v>
      </c>
      <c r="I73" s="57">
        <f>I13+J13-H73</f>
        <v>0</v>
      </c>
      <c r="J73" s="130"/>
    </row>
    <row r="74" spans="1:10" ht="18" customHeight="1" x14ac:dyDescent="0.3">
      <c r="A74" s="130"/>
      <c r="B74" s="55">
        <f>G14</f>
        <v>0</v>
      </c>
      <c r="C74" s="56">
        <f>H14</f>
        <v>0</v>
      </c>
      <c r="D74" s="574"/>
      <c r="E74" s="574"/>
      <c r="F74" s="347" t="str">
        <f t="shared" ref="F74:F77" si="5">IF(B74="ST TVA autoliquidée",D74,IF(B74="ST TVA non-autoliquidée",(D74/1.2),"0"))</f>
        <v>0</v>
      </c>
      <c r="G74" s="431"/>
      <c r="H74" s="347">
        <f>F74+G74</f>
        <v>0</v>
      </c>
      <c r="I74" s="57">
        <f>I14+J14-H74</f>
        <v>0</v>
      </c>
      <c r="J74" s="130"/>
    </row>
    <row r="75" spans="1:10" ht="18" customHeight="1" x14ac:dyDescent="0.3">
      <c r="A75" s="130"/>
      <c r="B75" s="55">
        <f>G15</f>
        <v>0</v>
      </c>
      <c r="C75" s="56">
        <f>H15</f>
        <v>0</v>
      </c>
      <c r="D75" s="574"/>
      <c r="E75" s="574"/>
      <c r="F75" s="347" t="str">
        <f t="shared" si="5"/>
        <v>0</v>
      </c>
      <c r="G75" s="431"/>
      <c r="H75" s="347">
        <f t="shared" ref="H75:H77" si="6">F75+G75</f>
        <v>0</v>
      </c>
      <c r="I75" s="57">
        <f>I15+J15-H75</f>
        <v>0</v>
      </c>
      <c r="J75" s="130"/>
    </row>
    <row r="76" spans="1:10" ht="18" customHeight="1" x14ac:dyDescent="0.3">
      <c r="A76" s="130"/>
      <c r="B76" s="55">
        <f>G16</f>
        <v>0</v>
      </c>
      <c r="C76" s="56">
        <f>H16</f>
        <v>0</v>
      </c>
      <c r="D76" s="574"/>
      <c r="E76" s="574"/>
      <c r="F76" s="347" t="str">
        <f t="shared" si="5"/>
        <v>0</v>
      </c>
      <c r="G76" s="431"/>
      <c r="H76" s="347">
        <f t="shared" si="6"/>
        <v>0</v>
      </c>
      <c r="I76" s="57">
        <f>I16+J16-H76</f>
        <v>0</v>
      </c>
      <c r="J76" s="130"/>
    </row>
    <row r="77" spans="1:10" ht="18" customHeight="1" x14ac:dyDescent="0.3">
      <c r="A77" s="130"/>
      <c r="B77" s="55">
        <f>G17</f>
        <v>0</v>
      </c>
      <c r="C77" s="56">
        <f>H17</f>
        <v>0</v>
      </c>
      <c r="D77" s="574"/>
      <c r="E77" s="574"/>
      <c r="F77" s="347" t="str">
        <f t="shared" si="5"/>
        <v>0</v>
      </c>
      <c r="G77" s="431"/>
      <c r="H77" s="347">
        <f t="shared" si="6"/>
        <v>0</v>
      </c>
      <c r="I77" s="57">
        <f>I17+J17-H77</f>
        <v>0</v>
      </c>
      <c r="J77" s="130"/>
    </row>
    <row r="78" spans="1:10" ht="18" customHeight="1" x14ac:dyDescent="0.3">
      <c r="A78" s="130"/>
      <c r="B78" s="130"/>
      <c r="I78" s="130"/>
      <c r="J78" s="130"/>
    </row>
    <row r="79" spans="1:10" ht="18" customHeight="1" x14ac:dyDescent="0.3">
      <c r="A79" s="130"/>
      <c r="B79" s="130"/>
      <c r="C79" s="129" t="s">
        <v>80</v>
      </c>
      <c r="D79" s="129"/>
      <c r="E79" s="129"/>
      <c r="F79" s="571" t="s">
        <v>330</v>
      </c>
      <c r="G79" s="571"/>
      <c r="H79" s="571"/>
      <c r="I79" s="130"/>
      <c r="J79" s="130"/>
    </row>
    <row r="80" spans="1:10" ht="18" customHeight="1" x14ac:dyDescent="0.3">
      <c r="A80" s="533"/>
      <c r="B80" s="570"/>
      <c r="C80" s="58" t="s">
        <v>81</v>
      </c>
      <c r="D80" s="58" t="s">
        <v>82</v>
      </c>
      <c r="E80" s="58" t="s">
        <v>83</v>
      </c>
      <c r="F80" s="58" t="s">
        <v>81</v>
      </c>
      <c r="G80" s="58" t="s">
        <v>85</v>
      </c>
      <c r="H80" s="58" t="s">
        <v>83</v>
      </c>
      <c r="I80" s="130"/>
      <c r="J80" s="130"/>
    </row>
    <row r="81" spans="1:10" ht="18" customHeight="1" x14ac:dyDescent="0.3">
      <c r="A81" s="533"/>
      <c r="B81" s="570"/>
      <c r="C81" s="432">
        <v>1</v>
      </c>
      <c r="D81" s="432"/>
      <c r="E81" s="433"/>
      <c r="F81" s="432"/>
      <c r="G81" s="432"/>
      <c r="H81" s="433"/>
      <c r="I81" s="130"/>
      <c r="J81" s="130"/>
    </row>
    <row r="82" spans="1:10" ht="18" customHeight="1" x14ac:dyDescent="0.3">
      <c r="B82" s="130"/>
      <c r="C82" s="432">
        <v>2</v>
      </c>
      <c r="D82" s="432"/>
      <c r="E82" s="433"/>
      <c r="F82" s="432"/>
      <c r="G82" s="432"/>
      <c r="H82" s="433"/>
      <c r="I82" s="130"/>
      <c r="J82" s="130"/>
    </row>
    <row r="83" spans="1:10" ht="18" customHeight="1" x14ac:dyDescent="0.3">
      <c r="A83" s="130"/>
      <c r="B83" s="130"/>
      <c r="C83" s="432">
        <v>3</v>
      </c>
      <c r="D83" s="432"/>
      <c r="E83" s="433"/>
      <c r="F83" s="432"/>
      <c r="G83" s="432"/>
      <c r="H83" s="433"/>
      <c r="I83" s="130"/>
      <c r="J83" s="130"/>
    </row>
    <row r="84" spans="1:10" ht="18" customHeight="1" x14ac:dyDescent="0.3">
      <c r="A84" s="130"/>
      <c r="B84" s="130"/>
      <c r="C84" s="432">
        <v>4</v>
      </c>
      <c r="D84" s="432"/>
      <c r="E84" s="433"/>
      <c r="F84" s="432"/>
      <c r="G84" s="432"/>
      <c r="H84" s="433"/>
      <c r="I84" s="130"/>
      <c r="J84" s="130"/>
    </row>
    <row r="85" spans="1:10" ht="18" customHeight="1" x14ac:dyDescent="0.3">
      <c r="A85" s="130"/>
      <c r="B85" s="130"/>
      <c r="C85" s="432">
        <v>5</v>
      </c>
      <c r="D85" s="432"/>
      <c r="E85" s="433"/>
      <c r="F85" s="432"/>
      <c r="G85" s="432"/>
      <c r="H85" s="433"/>
      <c r="I85" s="130"/>
      <c r="J85" s="130"/>
    </row>
    <row r="86" spans="1:10" ht="18" customHeight="1" x14ac:dyDescent="0.3">
      <c r="A86" s="130"/>
      <c r="B86" s="130"/>
      <c r="C86" s="432"/>
      <c r="D86" s="432"/>
      <c r="E86" s="433"/>
      <c r="F86" s="432"/>
      <c r="G86" s="432"/>
      <c r="H86" s="433"/>
      <c r="I86" s="130"/>
      <c r="J86" s="130"/>
    </row>
    <row r="87" spans="1:10" ht="18" customHeight="1" x14ac:dyDescent="0.3">
      <c r="A87" s="130"/>
      <c r="B87" s="130"/>
      <c r="C87" s="432"/>
      <c r="D87" s="432"/>
      <c r="E87" s="433"/>
      <c r="F87" s="432"/>
      <c r="G87" s="432"/>
      <c r="H87" s="433"/>
      <c r="I87" s="130"/>
      <c r="J87" s="130"/>
    </row>
    <row r="88" spans="1:10" ht="18" customHeight="1" x14ac:dyDescent="0.3">
      <c r="A88" s="130"/>
      <c r="B88" s="130"/>
      <c r="C88" s="432"/>
      <c r="D88" s="432"/>
      <c r="E88" s="433"/>
      <c r="F88" s="432"/>
      <c r="G88" s="432"/>
      <c r="H88" s="433"/>
      <c r="I88" s="130"/>
      <c r="J88" s="130"/>
    </row>
    <row r="89" spans="1:10" ht="18" customHeight="1" x14ac:dyDescent="0.3">
      <c r="A89" s="130"/>
      <c r="B89" s="130"/>
      <c r="C89" s="432"/>
      <c r="D89" s="432"/>
      <c r="E89" s="433"/>
      <c r="F89" s="432"/>
      <c r="G89" s="432"/>
      <c r="H89" s="433"/>
      <c r="I89" s="130"/>
      <c r="J89" s="130"/>
    </row>
    <row r="90" spans="1:10" ht="18" customHeight="1" x14ac:dyDescent="0.3">
      <c r="A90" s="130"/>
      <c r="B90" s="130"/>
      <c r="C90" s="432"/>
      <c r="D90" s="432"/>
      <c r="E90" s="433"/>
      <c r="F90" s="432"/>
      <c r="G90" s="432"/>
      <c r="H90" s="433"/>
      <c r="I90" s="130"/>
      <c r="J90" s="130"/>
    </row>
    <row r="91" spans="1:10" ht="18" customHeight="1" x14ac:dyDescent="0.3">
      <c r="A91" s="130"/>
      <c r="B91" s="130"/>
      <c r="C91" s="432"/>
      <c r="D91" s="432"/>
      <c r="E91" s="433"/>
      <c r="F91" s="432"/>
      <c r="G91" s="432"/>
      <c r="H91" s="433"/>
      <c r="I91" s="130"/>
      <c r="J91" s="130"/>
    </row>
    <row r="92" spans="1:10" ht="18" customHeight="1" x14ac:dyDescent="0.3">
      <c r="A92" s="130"/>
      <c r="B92" s="130"/>
      <c r="C92" s="432"/>
      <c r="D92" s="432"/>
      <c r="E92" s="433"/>
      <c r="F92" s="432"/>
      <c r="G92" s="432"/>
      <c r="H92" s="433"/>
      <c r="I92" s="130"/>
      <c r="J92" s="130"/>
    </row>
    <row r="93" spans="1:10" ht="18" customHeight="1" x14ac:dyDescent="0.3">
      <c r="A93" s="130"/>
      <c r="B93" s="130"/>
      <c r="C93" s="432"/>
      <c r="D93" s="432"/>
      <c r="E93" s="433"/>
      <c r="F93" s="432"/>
      <c r="G93" s="432"/>
      <c r="H93" s="433"/>
      <c r="I93" s="130"/>
      <c r="J93" s="130"/>
    </row>
    <row r="94" spans="1:10" ht="18" customHeight="1" x14ac:dyDescent="0.3">
      <c r="A94" s="130"/>
      <c r="B94" s="130"/>
      <c r="C94" s="432"/>
      <c r="D94" s="432"/>
      <c r="E94" s="433"/>
      <c r="F94" s="432"/>
      <c r="G94" s="432"/>
      <c r="H94" s="433"/>
      <c r="I94" s="130"/>
      <c r="J94" s="130"/>
    </row>
  </sheetData>
  <sheetProtection autoFilter="0"/>
  <mergeCells count="50">
    <mergeCell ref="B9:D9"/>
    <mergeCell ref="G9:J9"/>
    <mergeCell ref="D2:I2"/>
    <mergeCell ref="D3:I3"/>
    <mergeCell ref="D4:I4"/>
    <mergeCell ref="D5:I5"/>
    <mergeCell ref="D6:I6"/>
    <mergeCell ref="C64:D64"/>
    <mergeCell ref="G10:G11"/>
    <mergeCell ref="H10:H11"/>
    <mergeCell ref="C20:D20"/>
    <mergeCell ref="B22:B24"/>
    <mergeCell ref="C22:D22"/>
    <mergeCell ref="E22:E23"/>
    <mergeCell ref="F22:F23"/>
    <mergeCell ref="G22:G24"/>
    <mergeCell ref="H22:H24"/>
    <mergeCell ref="C23:D23"/>
    <mergeCell ref="C60:D60"/>
    <mergeCell ref="D74:E74"/>
    <mergeCell ref="D75:E75"/>
    <mergeCell ref="C48:D48"/>
    <mergeCell ref="C58:D58"/>
    <mergeCell ref="E58:F58"/>
    <mergeCell ref="C59:D59"/>
    <mergeCell ref="E59:F59"/>
    <mergeCell ref="C68:D68"/>
    <mergeCell ref="C69:D69"/>
    <mergeCell ref="C67:D67"/>
    <mergeCell ref="D72:E72"/>
    <mergeCell ref="D73:E73"/>
    <mergeCell ref="C61:D61"/>
    <mergeCell ref="C62:D62"/>
    <mergeCell ref="C63:D63"/>
    <mergeCell ref="E60:F60"/>
    <mergeCell ref="C65:D65"/>
    <mergeCell ref="E1:F1"/>
    <mergeCell ref="A80:B80"/>
    <mergeCell ref="A81:B81"/>
    <mergeCell ref="F62:I62"/>
    <mergeCell ref="F61:I61"/>
    <mergeCell ref="F79:H79"/>
    <mergeCell ref="C66:D66"/>
    <mergeCell ref="D76:E76"/>
    <mergeCell ref="I28:M28"/>
    <mergeCell ref="I29:M29"/>
    <mergeCell ref="I30:M30"/>
    <mergeCell ref="I31:M31"/>
    <mergeCell ref="D77:E77"/>
    <mergeCell ref="D71:E71"/>
  </mergeCells>
  <conditionalFormatting sqref="I28">
    <cfRule type="cellIs" dxfId="2" priority="2" operator="equal">
      <formula>"PENSEZ A VERIFIER SI IL FAUT FAIRE UN REMBOURSEMENT"</formula>
    </cfRule>
  </conditionalFormatting>
  <conditionalFormatting sqref="I29:I31">
    <cfRule type="cellIs" dxfId="1" priority="1" operator="equal">
      <formula>"PENSEZ A VERIFIER SI IL FAUT FAIRE UN REMBOURSEMENT"</formula>
    </cfRule>
  </conditionalFormatting>
  <dataValidations count="2">
    <dataValidation type="list" allowBlank="1" showInputMessage="1" showErrorMessage="1" sqref="D2:I4">
      <formula1>LYCEES1</formula1>
    </dataValidation>
    <dataValidation type="decimal" operator="greaterThanOrEqual" allowBlank="1" showInputMessage="1" showErrorMessage="1" sqref="C26:F31">
      <formula1>0</formula1>
    </dataValidation>
  </dataValidations>
  <pageMargins left="0.7" right="0.7" top="0.75" bottom="0.75" header="0.3" footer="0.3"/>
  <pageSetup paperSize="9" scale="42"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LISTES!$A$1:$A$6</xm:f>
          </x14:formula1>
          <xm:sqref>C10:D10</xm:sqref>
        </x14:dataValidation>
        <x14:dataValidation type="list" allowBlank="1" showInputMessage="1" showErrorMessage="1">
          <x14:formula1>
            <xm:f>LISTES!$F$1:$F$12</xm:f>
          </x14:formula1>
          <xm:sqref>E7</xm:sqref>
        </x14:dataValidation>
        <x14:dataValidation type="list" allowBlank="1" showInputMessage="1" showErrorMessage="1">
          <x14:formula1>
            <xm:f>LISTES!$G$1:$G$8</xm:f>
          </x14:formula1>
          <xm:sqref>G7</xm:sqref>
        </x14:dataValidation>
        <x14:dataValidation type="list" allowBlank="1" showInputMessage="1" showErrorMessage="1">
          <x14:formula1>
            <xm:f>LISTES!$E$1:$E$32</xm:f>
          </x14:formula1>
          <xm:sqref>E1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7"/>
    <pageSetUpPr fitToPage="1"/>
  </sheetPr>
  <dimension ref="A1:R40"/>
  <sheetViews>
    <sheetView showGridLines="0" topLeftCell="A16" zoomScale="85" zoomScaleNormal="85" workbookViewId="0">
      <selection activeCell="I35" sqref="I35:J35"/>
    </sheetView>
  </sheetViews>
  <sheetFormatPr baseColWidth="10" defaultRowHeight="18" outlineLevelCol="1" x14ac:dyDescent="0.25"/>
  <cols>
    <col min="1" max="1" width="30.140625" style="77" customWidth="1"/>
    <col min="2" max="2" width="51.85546875" style="77" customWidth="1"/>
    <col min="3" max="3" width="7.7109375" style="78" customWidth="1"/>
    <col min="4" max="4" width="19.5703125" style="78" customWidth="1"/>
    <col min="5" max="5" width="4.140625" style="78" customWidth="1"/>
    <col min="6" max="6" width="26.140625" style="79" customWidth="1"/>
    <col min="7" max="7" width="8.5703125" style="77" customWidth="1"/>
    <col min="8" max="8" width="56.28515625" style="77" hidden="1" customWidth="1" outlineLevel="1"/>
    <col min="9" max="9" width="28.85546875" style="77" bestFit="1" customWidth="1" collapsed="1"/>
    <col min="10" max="10" width="12.7109375" style="77" bestFit="1" customWidth="1"/>
    <col min="11" max="16384" width="11.42578125" style="77"/>
  </cols>
  <sheetData>
    <row r="1" spans="1:18" ht="59.25" customHeight="1" thickBot="1" x14ac:dyDescent="0.3">
      <c r="A1" s="648" t="s">
        <v>332</v>
      </c>
      <c r="B1" s="648"/>
      <c r="C1" s="648"/>
      <c r="D1" s="648"/>
      <c r="E1" s="648"/>
      <c r="F1" s="648"/>
    </row>
    <row r="2" spans="1:18" ht="38.25" customHeight="1" thickBot="1" x14ac:dyDescent="0.3">
      <c r="A2" s="649" t="s">
        <v>253</v>
      </c>
      <c r="B2" s="650"/>
      <c r="C2" s="650"/>
      <c r="D2" s="650"/>
      <c r="E2" s="650"/>
      <c r="F2" s="651"/>
      <c r="G2" s="76"/>
      <c r="H2" s="255">
        <f>C7+F7</f>
        <v>0</v>
      </c>
    </row>
    <row r="3" spans="1:18" ht="44.25" customHeight="1" thickBot="1" x14ac:dyDescent="0.3"/>
    <row r="4" spans="1:18" ht="30" customHeight="1" thickBot="1" x14ac:dyDescent="0.3">
      <c r="A4" s="80" t="s">
        <v>196</v>
      </c>
      <c r="B4" s="81">
        <f>DONNEES!C7</f>
        <v>0</v>
      </c>
      <c r="C4" s="82"/>
      <c r="D4" s="82"/>
      <c r="E4" s="105"/>
      <c r="F4" s="83"/>
      <c r="G4" s="84"/>
    </row>
    <row r="5" spans="1:18" ht="15" customHeight="1" thickBot="1" x14ac:dyDescent="0.3">
      <c r="A5" s="85"/>
      <c r="B5" s="85"/>
      <c r="C5" s="655" t="s">
        <v>235</v>
      </c>
      <c r="D5" s="656"/>
      <c r="E5" s="96"/>
      <c r="F5" s="91" t="s">
        <v>235</v>
      </c>
    </row>
    <row r="6" spans="1:18" ht="24.95" customHeight="1" x14ac:dyDescent="0.25">
      <c r="A6" s="88"/>
      <c r="B6" s="89"/>
      <c r="C6" s="652">
        <f>DONNEES!C17</f>
        <v>0</v>
      </c>
      <c r="D6" s="652"/>
      <c r="E6" s="90"/>
      <c r="F6" s="102">
        <f>DONNEES!E17</f>
        <v>0</v>
      </c>
      <c r="G6" s="213"/>
      <c r="H6" s="653"/>
      <c r="I6" s="653"/>
    </row>
    <row r="7" spans="1:18" ht="15" customHeight="1" x14ac:dyDescent="0.25">
      <c r="A7" s="620" t="s">
        <v>346</v>
      </c>
      <c r="B7" s="621"/>
      <c r="C7" s="619">
        <f>DONNEES!K36</f>
        <v>0</v>
      </c>
      <c r="D7" s="619"/>
      <c r="E7" s="361"/>
      <c r="F7" s="363">
        <f>DONNEES!L36</f>
        <v>0</v>
      </c>
      <c r="G7" s="92"/>
      <c r="H7" s="654" t="s">
        <v>336</v>
      </c>
      <c r="I7" s="654"/>
      <c r="J7" s="654"/>
      <c r="K7" s="654"/>
      <c r="L7" s="654"/>
      <c r="M7" s="654"/>
      <c r="N7" s="654"/>
    </row>
    <row r="8" spans="1:18" ht="15" customHeight="1" x14ac:dyDescent="0.25">
      <c r="A8" s="620" t="s">
        <v>197</v>
      </c>
      <c r="B8" s="621"/>
      <c r="C8" s="645" t="str">
        <f>IF(AND($H$2&gt;=25000,$H$2&lt;=149999),"30%",IF(AND($H$2&gt;149999,$H$2&lt;=999999),"25%",IF($H$2&gt;999999,"20"%," ")))</f>
        <v xml:space="preserve"> </v>
      </c>
      <c r="D8" s="646"/>
      <c r="E8" s="646"/>
      <c r="F8" s="647"/>
      <c r="H8" s="643"/>
      <c r="I8" s="643"/>
      <c r="J8" s="643"/>
      <c r="K8" s="643"/>
      <c r="L8" s="643"/>
      <c r="M8" s="643"/>
      <c r="N8" s="643"/>
      <c r="O8" s="643"/>
      <c r="P8" s="643"/>
      <c r="Q8" s="643"/>
      <c r="R8" s="643"/>
    </row>
    <row r="9" spans="1:18" ht="15" customHeight="1" x14ac:dyDescent="0.25">
      <c r="A9" s="77" t="s">
        <v>331</v>
      </c>
      <c r="C9" s="619">
        <f>IFERROR(IF(DONNEES!C10&lt;=12,C7*C8,C7*C8*(12/DONNEES!C10)),0)</f>
        <v>0</v>
      </c>
      <c r="D9" s="619"/>
      <c r="E9" s="362"/>
      <c r="F9" s="363">
        <f>IFERROR(IF(DONNEES!C10&lt;=12,F7*C8,F7*C8*(12/DONNEES!C10)),0)</f>
        <v>0</v>
      </c>
      <c r="H9" s="644"/>
      <c r="I9" s="644"/>
      <c r="J9" s="644"/>
      <c r="K9" s="644"/>
      <c r="L9" s="644"/>
      <c r="M9" s="644"/>
      <c r="N9" s="644"/>
    </row>
    <row r="10" spans="1:18" ht="30" customHeight="1" x14ac:dyDescent="0.25">
      <c r="A10" s="257" t="s">
        <v>295</v>
      </c>
      <c r="B10" s="258"/>
      <c r="C10" s="639"/>
      <c r="D10" s="640"/>
      <c r="E10" s="95"/>
      <c r="F10" s="434"/>
    </row>
    <row r="11" spans="1:18" ht="45" customHeight="1" x14ac:dyDescent="0.25">
      <c r="A11" s="641" t="s">
        <v>296</v>
      </c>
      <c r="B11" s="642"/>
      <c r="C11" s="637">
        <f>C9-C10</f>
        <v>0</v>
      </c>
      <c r="D11" s="638"/>
      <c r="E11" s="95"/>
      <c r="F11" s="363">
        <f>F9-F10</f>
        <v>0</v>
      </c>
      <c r="I11" s="466"/>
    </row>
    <row r="12" spans="1:18" ht="15" customHeight="1" x14ac:dyDescent="0.25">
      <c r="A12" s="620" t="s">
        <v>198</v>
      </c>
      <c r="B12" s="621"/>
      <c r="C12" s="636"/>
      <c r="D12" s="636"/>
      <c r="E12" s="95"/>
      <c r="F12" s="434"/>
      <c r="G12" s="92"/>
    </row>
    <row r="13" spans="1:18" ht="30" customHeight="1" x14ac:dyDescent="0.25">
      <c r="A13" s="93"/>
      <c r="B13" s="94"/>
      <c r="C13" s="615"/>
      <c r="D13" s="616"/>
      <c r="E13" s="95"/>
      <c r="F13" s="91"/>
    </row>
    <row r="14" spans="1:18" ht="15" customHeight="1" x14ac:dyDescent="0.25">
      <c r="A14" s="620" t="s">
        <v>199</v>
      </c>
      <c r="B14" s="621"/>
      <c r="C14" s="636"/>
      <c r="D14" s="636"/>
      <c r="E14" s="95"/>
      <c r="F14" s="434"/>
      <c r="G14" s="92"/>
    </row>
    <row r="15" spans="1:18" ht="30" customHeight="1" x14ac:dyDescent="0.25">
      <c r="A15" s="93"/>
      <c r="B15" s="94"/>
      <c r="C15" s="615"/>
      <c r="D15" s="616"/>
      <c r="E15" s="95"/>
      <c r="F15" s="91"/>
      <c r="I15" s="468"/>
    </row>
    <row r="16" spans="1:18" ht="15" customHeight="1" x14ac:dyDescent="0.25">
      <c r="A16" s="617" t="s">
        <v>200</v>
      </c>
      <c r="B16" s="618"/>
      <c r="C16" s="619">
        <f>+C12+C14</f>
        <v>0</v>
      </c>
      <c r="D16" s="619"/>
      <c r="E16" s="362"/>
      <c r="F16" s="363">
        <f>F14+F12</f>
        <v>0</v>
      </c>
      <c r="G16" s="602"/>
      <c r="H16" s="603"/>
      <c r="I16" s="468"/>
    </row>
    <row r="17" spans="1:11" ht="30" customHeight="1" x14ac:dyDescent="0.25">
      <c r="A17" s="632"/>
      <c r="B17" s="633"/>
      <c r="C17" s="615"/>
      <c r="D17" s="616"/>
      <c r="E17" s="95"/>
      <c r="F17" s="91"/>
      <c r="I17" s="468"/>
      <c r="J17" s="468"/>
      <c r="K17" s="468"/>
    </row>
    <row r="18" spans="1:11" ht="30" customHeight="1" x14ac:dyDescent="0.25">
      <c r="A18" s="634" t="s">
        <v>201</v>
      </c>
      <c r="B18" s="635"/>
      <c r="C18" s="626">
        <f>IFERROR(C16/C7*100,0)</f>
        <v>0</v>
      </c>
      <c r="D18" s="626"/>
      <c r="E18" s="364"/>
      <c r="F18" s="460">
        <f>IFERROR(F16/F7*100,0)</f>
        <v>0</v>
      </c>
      <c r="G18" s="602"/>
      <c r="H18" s="603"/>
      <c r="I18" s="469" t="e">
        <f>C16/C7</f>
        <v>#DIV/0!</v>
      </c>
      <c r="J18" s="469">
        <f>F18/100</f>
        <v>0</v>
      </c>
      <c r="K18" s="469"/>
    </row>
    <row r="19" spans="1:11" ht="15" customHeight="1" x14ac:dyDescent="0.25">
      <c r="A19" s="620" t="s">
        <v>208</v>
      </c>
      <c r="B19" s="621"/>
      <c r="C19" s="622" t="str">
        <f>IF(C8="30%","40",IF(C8="25%","45",IF(C8="20%","50%"," ")))</f>
        <v xml:space="preserve"> </v>
      </c>
      <c r="D19" s="623"/>
      <c r="E19" s="97"/>
      <c r="F19" s="467" t="str">
        <f>IF(C8="30%","40",IF(C8="25%","45",IF(C8="20%","50%"," ")))</f>
        <v xml:space="preserve"> </v>
      </c>
      <c r="G19" s="98"/>
      <c r="I19" s="497" t="e">
        <f>C19/100</f>
        <v>#VALUE!</v>
      </c>
      <c r="J19" s="469" t="e">
        <f>F19/100</f>
        <v>#VALUE!</v>
      </c>
      <c r="K19" s="469"/>
    </row>
    <row r="20" spans="1:11" ht="30" customHeight="1" x14ac:dyDescent="0.25">
      <c r="A20" s="109"/>
      <c r="B20" s="85"/>
      <c r="C20" s="615"/>
      <c r="D20" s="616"/>
      <c r="E20" s="95"/>
      <c r="F20" s="91"/>
      <c r="G20" s="98"/>
      <c r="I20" s="468">
        <v>0.8</v>
      </c>
      <c r="J20" s="468">
        <v>0.8</v>
      </c>
      <c r="K20" s="468"/>
    </row>
    <row r="21" spans="1:11" ht="15" customHeight="1" x14ac:dyDescent="0.25">
      <c r="A21" s="624" t="s">
        <v>209</v>
      </c>
      <c r="B21" s="625"/>
      <c r="C21" s="626">
        <f>IFERROR(C18-C19,0)</f>
        <v>0</v>
      </c>
      <c r="D21" s="626"/>
      <c r="E21" s="367"/>
      <c r="F21" s="365">
        <f>IFERROR(F18-F19,0)</f>
        <v>0</v>
      </c>
      <c r="G21" s="110"/>
      <c r="I21" s="468"/>
      <c r="J21" s="468"/>
      <c r="K21" s="468"/>
    </row>
    <row r="22" spans="1:11" ht="15" customHeight="1" x14ac:dyDescent="0.25">
      <c r="A22" s="99"/>
      <c r="B22" s="198" t="s">
        <v>251</v>
      </c>
      <c r="C22" s="626">
        <f>IFERROR(C18-C19,0)</f>
        <v>0</v>
      </c>
      <c r="D22" s="626"/>
      <c r="E22" s="367"/>
      <c r="F22" s="365">
        <f>IFERROR(F18-F19,0)</f>
        <v>0</v>
      </c>
      <c r="G22" s="113"/>
    </row>
    <row r="23" spans="1:11" ht="24.95" customHeight="1" thickBot="1" x14ac:dyDescent="0.3">
      <c r="A23" s="101"/>
      <c r="B23" s="199" t="s">
        <v>252</v>
      </c>
      <c r="C23" s="629">
        <f>IFERROR(80-C19,0)</f>
        <v>0</v>
      </c>
      <c r="D23" s="630"/>
      <c r="E23" s="367"/>
      <c r="F23" s="366">
        <f>IFERROR(80-F19,0)</f>
        <v>0</v>
      </c>
      <c r="G23" s="115"/>
    </row>
    <row r="24" spans="1:11" ht="24.95" customHeight="1" x14ac:dyDescent="0.25">
      <c r="A24" s="100"/>
      <c r="B24" s="100"/>
      <c r="C24" s="631"/>
      <c r="D24" s="631"/>
      <c r="E24" s="464"/>
      <c r="F24" s="465"/>
    </row>
    <row r="25" spans="1:11" ht="15" customHeight="1" thickBot="1" x14ac:dyDescent="0.3">
      <c r="A25" s="85"/>
      <c r="B25" s="85"/>
      <c r="C25" s="86"/>
      <c r="D25" s="86"/>
      <c r="E25" s="86"/>
      <c r="F25" s="87"/>
    </row>
    <row r="26" spans="1:11" ht="24.95" customHeight="1" x14ac:dyDescent="0.25">
      <c r="A26" s="103"/>
      <c r="B26" s="104"/>
      <c r="C26" s="105"/>
      <c r="D26" s="105"/>
      <c r="E26" s="105"/>
      <c r="F26" s="106"/>
    </row>
    <row r="27" spans="1:11" ht="15" customHeight="1" x14ac:dyDescent="0.25">
      <c r="A27" s="627" t="s">
        <v>202</v>
      </c>
      <c r="B27" s="628"/>
      <c r="C27" s="628"/>
      <c r="D27" s="628"/>
      <c r="E27" s="107"/>
      <c r="F27" s="108"/>
    </row>
    <row r="28" spans="1:11" ht="30" customHeight="1" x14ac:dyDescent="0.25">
      <c r="A28" s="109"/>
      <c r="B28" s="85"/>
      <c r="C28" s="606">
        <f>IFERROR(IF(AND(I18&lt;=I20,I18&gt;=I19,C12=""),C11*(C22/C23),IF(AND(I18&lt;=I20,I18&gt;=I19,C12&lt;&gt;""),C11*(C22/C23),IF(AND(I18&gt;=I20,C12&lt;&gt;""),C11,IF(AND(I18&gt;=I20,C12=""),C11,"PAS DE REMBOURSEMENT")))),0)</f>
        <v>0</v>
      </c>
      <c r="D28" s="607"/>
      <c r="E28" s="90"/>
      <c r="F28" s="612">
        <f>IFERROR(IF(AND(J18&lt;=J20,J18&gt;=J19,F12=""),F11*(F22/F23),IF(AND(J18&lt;=J20,J18&gt;=J19,F12&lt;&gt;""),F11*(F22/F23),IF(AND(J18&gt;=J20,F12&lt;&gt;""),F11,IF(AND(J18&gt;=J20,F12=""),F11,"PAS DE REMBOURSEMENT")))),0)</f>
        <v>0</v>
      </c>
    </row>
    <row r="29" spans="1:11" ht="15" customHeight="1" x14ac:dyDescent="0.25">
      <c r="A29" s="109" t="s">
        <v>203</v>
      </c>
      <c r="B29" s="111"/>
      <c r="C29" s="608"/>
      <c r="D29" s="609"/>
      <c r="E29" s="112"/>
      <c r="F29" s="613"/>
    </row>
    <row r="30" spans="1:11" ht="18" customHeight="1" x14ac:dyDescent="0.25">
      <c r="A30" s="109"/>
      <c r="B30" s="114" t="s">
        <v>204</v>
      </c>
      <c r="C30" s="608"/>
      <c r="D30" s="609"/>
      <c r="E30" s="368"/>
      <c r="F30" s="613"/>
    </row>
    <row r="31" spans="1:11" ht="30" customHeight="1" x14ac:dyDescent="0.25">
      <c r="A31" s="109"/>
      <c r="B31" s="85" t="s">
        <v>205</v>
      </c>
      <c r="C31" s="610"/>
      <c r="D31" s="611"/>
      <c r="E31" s="116"/>
      <c r="F31" s="614"/>
    </row>
    <row r="32" spans="1:11" ht="24.95" customHeight="1" x14ac:dyDescent="0.25">
      <c r="A32" s="109"/>
      <c r="B32" s="117" t="s">
        <v>206</v>
      </c>
      <c r="C32" s="600"/>
      <c r="D32" s="600"/>
      <c r="E32" s="362"/>
      <c r="F32" s="435"/>
      <c r="G32" s="256"/>
    </row>
    <row r="33" spans="1:8" ht="24.95" customHeight="1" x14ac:dyDescent="0.25">
      <c r="A33" s="118"/>
      <c r="B33" s="119" t="s">
        <v>207</v>
      </c>
      <c r="C33" s="601">
        <f>IFERROR(C28-C32,0)</f>
        <v>0</v>
      </c>
      <c r="D33" s="601"/>
      <c r="E33" s="362"/>
      <c r="F33" s="369">
        <f>IFERROR(F28-F32,0)</f>
        <v>0</v>
      </c>
      <c r="G33" s="602"/>
      <c r="H33" s="603"/>
    </row>
    <row r="34" spans="1:8" ht="24.95" customHeight="1" thickBot="1" x14ac:dyDescent="0.3">
      <c r="A34" s="120"/>
      <c r="B34" s="121"/>
      <c r="C34" s="370"/>
      <c r="D34" s="370"/>
      <c r="E34" s="370"/>
      <c r="F34" s="96"/>
      <c r="G34" s="122"/>
    </row>
    <row r="35" spans="1:8" ht="15" customHeight="1" x14ac:dyDescent="0.25">
      <c r="F35" s="78"/>
      <c r="G35" s="123"/>
    </row>
    <row r="36" spans="1:8" ht="15" customHeight="1" x14ac:dyDescent="0.25">
      <c r="G36" s="122"/>
    </row>
    <row r="37" spans="1:8" ht="15" customHeight="1" x14ac:dyDescent="0.25">
      <c r="A37" s="604"/>
      <c r="B37" s="604"/>
      <c r="G37" s="122"/>
    </row>
    <row r="38" spans="1:8" ht="15" customHeight="1" x14ac:dyDescent="0.25">
      <c r="A38" s="605"/>
      <c r="B38" s="605"/>
      <c r="G38" s="122"/>
    </row>
    <row r="39" spans="1:8" ht="30" customHeight="1" x14ac:dyDescent="0.25">
      <c r="A39" s="598"/>
      <c r="B39" s="598"/>
      <c r="C39" s="598"/>
      <c r="D39" s="598"/>
      <c r="E39" s="598"/>
      <c r="F39" s="598"/>
      <c r="G39" s="122"/>
    </row>
    <row r="40" spans="1:8" ht="15" customHeight="1" x14ac:dyDescent="0.25">
      <c r="A40" s="599"/>
      <c r="B40" s="599"/>
      <c r="G40" s="122"/>
    </row>
  </sheetData>
  <sheetProtection algorithmName="SHA-512" hashValue="eK0Ny7w4LkhA9v5hiwHkJX8Q1/nLDtObo9rgG2lHyqDwxAeFXJWmxIoUfiQIQyW/M77nsqP1tngYjFApPoNaMA==" saltValue="QiHGkbOmhI1Ai0l3brshuQ==" spinCount="100000" sheet="1" objects="1" scenarios="1" autoFilter="0"/>
  <mergeCells count="48">
    <mergeCell ref="A1:F1"/>
    <mergeCell ref="A2:F2"/>
    <mergeCell ref="C6:D6"/>
    <mergeCell ref="H6:I6"/>
    <mergeCell ref="A7:B7"/>
    <mergeCell ref="C7:D7"/>
    <mergeCell ref="H7:N7"/>
    <mergeCell ref="C5:D5"/>
    <mergeCell ref="C11:D11"/>
    <mergeCell ref="C10:D10"/>
    <mergeCell ref="A11:B11"/>
    <mergeCell ref="A8:B8"/>
    <mergeCell ref="H8:R8"/>
    <mergeCell ref="C9:D9"/>
    <mergeCell ref="H9:N9"/>
    <mergeCell ref="C8:F8"/>
    <mergeCell ref="A12:B12"/>
    <mergeCell ref="C12:D12"/>
    <mergeCell ref="C13:D13"/>
    <mergeCell ref="A14:B14"/>
    <mergeCell ref="C14:D14"/>
    <mergeCell ref="G16:H16"/>
    <mergeCell ref="A17:B17"/>
    <mergeCell ref="C17:D17"/>
    <mergeCell ref="A18:B18"/>
    <mergeCell ref="C18:D18"/>
    <mergeCell ref="G18:H18"/>
    <mergeCell ref="C28:D31"/>
    <mergeCell ref="F28:F31"/>
    <mergeCell ref="C20:D20"/>
    <mergeCell ref="C15:D15"/>
    <mergeCell ref="A16:B16"/>
    <mergeCell ref="C16:D16"/>
    <mergeCell ref="A19:B19"/>
    <mergeCell ref="C19:D19"/>
    <mergeCell ref="A21:B21"/>
    <mergeCell ref="C21:D21"/>
    <mergeCell ref="C22:D22"/>
    <mergeCell ref="A27:D27"/>
    <mergeCell ref="C23:D23"/>
    <mergeCell ref="C24:D24"/>
    <mergeCell ref="A39:F39"/>
    <mergeCell ref="A40:B40"/>
    <mergeCell ref="C32:D32"/>
    <mergeCell ref="C33:D33"/>
    <mergeCell ref="G33:H33"/>
    <mergeCell ref="A37:B37"/>
    <mergeCell ref="A38:B38"/>
  </mergeCells>
  <pageMargins left="0.78740157499999996" right="0.78740157499999996" top="0.984251969" bottom="0.984251969" header="0.4921259845" footer="0.4921259845"/>
  <pageSetup paperSize="9" scale="63"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F0"/>
  </sheetPr>
  <dimension ref="A1:R54"/>
  <sheetViews>
    <sheetView zoomScale="130" zoomScaleNormal="130" workbookViewId="0">
      <selection activeCell="I35" sqref="I35:J35"/>
    </sheetView>
  </sheetViews>
  <sheetFormatPr baseColWidth="10" defaultRowHeight="12.75" outlineLevelRow="1" outlineLevelCol="1" x14ac:dyDescent="0.2"/>
  <cols>
    <col min="1" max="1" width="13.28515625" style="136" customWidth="1"/>
    <col min="2" max="2" width="2.7109375" style="136" customWidth="1"/>
    <col min="3" max="3" width="13.28515625" style="136" customWidth="1"/>
    <col min="4" max="4" width="12.85546875" style="175" customWidth="1"/>
    <col min="5" max="5" width="1.7109375" style="175" customWidth="1"/>
    <col min="6" max="6" width="12.85546875" style="175" bestFit="1" customWidth="1"/>
    <col min="7" max="7" width="5.7109375" style="175" customWidth="1"/>
    <col min="8" max="8" width="1.7109375" style="175" customWidth="1"/>
    <col min="9" max="9" width="11.85546875" style="136" customWidth="1"/>
    <col min="10" max="10" width="6.85546875" style="136" customWidth="1"/>
    <col min="11" max="11" width="21.140625" style="136" customWidth="1"/>
    <col min="12" max="12" width="11.42578125" style="136"/>
    <col min="13" max="13" width="11.7109375" style="136" hidden="1" customWidth="1" outlineLevel="1"/>
    <col min="14" max="14" width="11.42578125" style="136" collapsed="1"/>
    <col min="15" max="256" width="11.42578125" style="136"/>
    <col min="257" max="257" width="13.28515625" style="136" customWidth="1"/>
    <col min="258" max="258" width="2.7109375" style="136" customWidth="1"/>
    <col min="259" max="259" width="13.28515625" style="136" customWidth="1"/>
    <col min="260" max="260" width="3.28515625" style="136" customWidth="1"/>
    <col min="261" max="261" width="1.7109375" style="136" customWidth="1"/>
    <col min="262" max="262" width="11.85546875" style="136" customWidth="1"/>
    <col min="263" max="263" width="3.28515625" style="136" customWidth="1"/>
    <col min="264" max="264" width="1.7109375" style="136" customWidth="1"/>
    <col min="265" max="265" width="11.85546875" style="136" customWidth="1"/>
    <col min="266" max="266" width="3.28515625" style="136" customWidth="1"/>
    <col min="267" max="267" width="21.140625" style="136" customWidth="1"/>
    <col min="268" max="512" width="11.42578125" style="136"/>
    <col min="513" max="513" width="13.28515625" style="136" customWidth="1"/>
    <col min="514" max="514" width="2.7109375" style="136" customWidth="1"/>
    <col min="515" max="515" width="13.28515625" style="136" customWidth="1"/>
    <col min="516" max="516" width="3.28515625" style="136" customWidth="1"/>
    <col min="517" max="517" width="1.7109375" style="136" customWidth="1"/>
    <col min="518" max="518" width="11.85546875" style="136" customWidth="1"/>
    <col min="519" max="519" width="3.28515625" style="136" customWidth="1"/>
    <col min="520" max="520" width="1.7109375" style="136" customWidth="1"/>
    <col min="521" max="521" width="11.85546875" style="136" customWidth="1"/>
    <col min="522" max="522" width="3.28515625" style="136" customWidth="1"/>
    <col min="523" max="523" width="21.140625" style="136" customWidth="1"/>
    <col min="524" max="768" width="11.42578125" style="136"/>
    <col min="769" max="769" width="13.28515625" style="136" customWidth="1"/>
    <col min="770" max="770" width="2.7109375" style="136" customWidth="1"/>
    <col min="771" max="771" width="13.28515625" style="136" customWidth="1"/>
    <col min="772" max="772" width="3.28515625" style="136" customWidth="1"/>
    <col min="773" max="773" width="1.7109375" style="136" customWidth="1"/>
    <col min="774" max="774" width="11.85546875" style="136" customWidth="1"/>
    <col min="775" max="775" width="3.28515625" style="136" customWidth="1"/>
    <col min="776" max="776" width="1.7109375" style="136" customWidth="1"/>
    <col min="777" max="777" width="11.85546875" style="136" customWidth="1"/>
    <col min="778" max="778" width="3.28515625" style="136" customWidth="1"/>
    <col min="779" max="779" width="21.140625" style="136" customWidth="1"/>
    <col min="780" max="1024" width="11.42578125" style="136"/>
    <col min="1025" max="1025" width="13.28515625" style="136" customWidth="1"/>
    <col min="1026" max="1026" width="2.7109375" style="136" customWidth="1"/>
    <col min="1027" max="1027" width="13.28515625" style="136" customWidth="1"/>
    <col min="1028" max="1028" width="3.28515625" style="136" customWidth="1"/>
    <col min="1029" max="1029" width="1.7109375" style="136" customWidth="1"/>
    <col min="1030" max="1030" width="11.85546875" style="136" customWidth="1"/>
    <col min="1031" max="1031" width="3.28515625" style="136" customWidth="1"/>
    <col min="1032" max="1032" width="1.7109375" style="136" customWidth="1"/>
    <col min="1033" max="1033" width="11.85546875" style="136" customWidth="1"/>
    <col min="1034" max="1034" width="3.28515625" style="136" customWidth="1"/>
    <col min="1035" max="1035" width="21.140625" style="136" customWidth="1"/>
    <col min="1036" max="1280" width="11.42578125" style="136"/>
    <col min="1281" max="1281" width="13.28515625" style="136" customWidth="1"/>
    <col min="1282" max="1282" width="2.7109375" style="136" customWidth="1"/>
    <col min="1283" max="1283" width="13.28515625" style="136" customWidth="1"/>
    <col min="1284" max="1284" width="3.28515625" style="136" customWidth="1"/>
    <col min="1285" max="1285" width="1.7109375" style="136" customWidth="1"/>
    <col min="1286" max="1286" width="11.85546875" style="136" customWidth="1"/>
    <col min="1287" max="1287" width="3.28515625" style="136" customWidth="1"/>
    <col min="1288" max="1288" width="1.7109375" style="136" customWidth="1"/>
    <col min="1289" max="1289" width="11.85546875" style="136" customWidth="1"/>
    <col min="1290" max="1290" width="3.28515625" style="136" customWidth="1"/>
    <col min="1291" max="1291" width="21.140625" style="136" customWidth="1"/>
    <col min="1292" max="1536" width="11.42578125" style="136"/>
    <col min="1537" max="1537" width="13.28515625" style="136" customWidth="1"/>
    <col min="1538" max="1538" width="2.7109375" style="136" customWidth="1"/>
    <col min="1539" max="1539" width="13.28515625" style="136" customWidth="1"/>
    <col min="1540" max="1540" width="3.28515625" style="136" customWidth="1"/>
    <col min="1541" max="1541" width="1.7109375" style="136" customWidth="1"/>
    <col min="1542" max="1542" width="11.85546875" style="136" customWidth="1"/>
    <col min="1543" max="1543" width="3.28515625" style="136" customWidth="1"/>
    <col min="1544" max="1544" width="1.7109375" style="136" customWidth="1"/>
    <col min="1545" max="1545" width="11.85546875" style="136" customWidth="1"/>
    <col min="1546" max="1546" width="3.28515625" style="136" customWidth="1"/>
    <col min="1547" max="1547" width="21.140625" style="136" customWidth="1"/>
    <col min="1548" max="1792" width="11.42578125" style="136"/>
    <col min="1793" max="1793" width="13.28515625" style="136" customWidth="1"/>
    <col min="1794" max="1794" width="2.7109375" style="136" customWidth="1"/>
    <col min="1795" max="1795" width="13.28515625" style="136" customWidth="1"/>
    <col min="1796" max="1796" width="3.28515625" style="136" customWidth="1"/>
    <col min="1797" max="1797" width="1.7109375" style="136" customWidth="1"/>
    <col min="1798" max="1798" width="11.85546875" style="136" customWidth="1"/>
    <col min="1799" max="1799" width="3.28515625" style="136" customWidth="1"/>
    <col min="1800" max="1800" width="1.7109375" style="136" customWidth="1"/>
    <col min="1801" max="1801" width="11.85546875" style="136" customWidth="1"/>
    <col min="1802" max="1802" width="3.28515625" style="136" customWidth="1"/>
    <col min="1803" max="1803" width="21.140625" style="136" customWidth="1"/>
    <col min="1804" max="2048" width="11.42578125" style="136"/>
    <col min="2049" max="2049" width="13.28515625" style="136" customWidth="1"/>
    <col min="2050" max="2050" width="2.7109375" style="136" customWidth="1"/>
    <col min="2051" max="2051" width="13.28515625" style="136" customWidth="1"/>
    <col min="2052" max="2052" width="3.28515625" style="136" customWidth="1"/>
    <col min="2053" max="2053" width="1.7109375" style="136" customWidth="1"/>
    <col min="2054" max="2054" width="11.85546875" style="136" customWidth="1"/>
    <col min="2055" max="2055" width="3.28515625" style="136" customWidth="1"/>
    <col min="2056" max="2056" width="1.7109375" style="136" customWidth="1"/>
    <col min="2057" max="2057" width="11.85546875" style="136" customWidth="1"/>
    <col min="2058" max="2058" width="3.28515625" style="136" customWidth="1"/>
    <col min="2059" max="2059" width="21.140625" style="136" customWidth="1"/>
    <col min="2060" max="2304" width="11.42578125" style="136"/>
    <col min="2305" max="2305" width="13.28515625" style="136" customWidth="1"/>
    <col min="2306" max="2306" width="2.7109375" style="136" customWidth="1"/>
    <col min="2307" max="2307" width="13.28515625" style="136" customWidth="1"/>
    <col min="2308" max="2308" width="3.28515625" style="136" customWidth="1"/>
    <col min="2309" max="2309" width="1.7109375" style="136" customWidth="1"/>
    <col min="2310" max="2310" width="11.85546875" style="136" customWidth="1"/>
    <col min="2311" max="2311" width="3.28515625" style="136" customWidth="1"/>
    <col min="2312" max="2312" width="1.7109375" style="136" customWidth="1"/>
    <col min="2313" max="2313" width="11.85546875" style="136" customWidth="1"/>
    <col min="2314" max="2314" width="3.28515625" style="136" customWidth="1"/>
    <col min="2315" max="2315" width="21.140625" style="136" customWidth="1"/>
    <col min="2316" max="2560" width="11.42578125" style="136"/>
    <col min="2561" max="2561" width="13.28515625" style="136" customWidth="1"/>
    <col min="2562" max="2562" width="2.7109375" style="136" customWidth="1"/>
    <col min="2563" max="2563" width="13.28515625" style="136" customWidth="1"/>
    <col min="2564" max="2564" width="3.28515625" style="136" customWidth="1"/>
    <col min="2565" max="2565" width="1.7109375" style="136" customWidth="1"/>
    <col min="2566" max="2566" width="11.85546875" style="136" customWidth="1"/>
    <col min="2567" max="2567" width="3.28515625" style="136" customWidth="1"/>
    <col min="2568" max="2568" width="1.7109375" style="136" customWidth="1"/>
    <col min="2569" max="2569" width="11.85546875" style="136" customWidth="1"/>
    <col min="2570" max="2570" width="3.28515625" style="136" customWidth="1"/>
    <col min="2571" max="2571" width="21.140625" style="136" customWidth="1"/>
    <col min="2572" max="2816" width="11.42578125" style="136"/>
    <col min="2817" max="2817" width="13.28515625" style="136" customWidth="1"/>
    <col min="2818" max="2818" width="2.7109375" style="136" customWidth="1"/>
    <col min="2819" max="2819" width="13.28515625" style="136" customWidth="1"/>
    <col min="2820" max="2820" width="3.28515625" style="136" customWidth="1"/>
    <col min="2821" max="2821" width="1.7109375" style="136" customWidth="1"/>
    <col min="2822" max="2822" width="11.85546875" style="136" customWidth="1"/>
    <col min="2823" max="2823" width="3.28515625" style="136" customWidth="1"/>
    <col min="2824" max="2824" width="1.7109375" style="136" customWidth="1"/>
    <col min="2825" max="2825" width="11.85546875" style="136" customWidth="1"/>
    <col min="2826" max="2826" width="3.28515625" style="136" customWidth="1"/>
    <col min="2827" max="2827" width="21.140625" style="136" customWidth="1"/>
    <col min="2828" max="3072" width="11.42578125" style="136"/>
    <col min="3073" max="3073" width="13.28515625" style="136" customWidth="1"/>
    <col min="3074" max="3074" width="2.7109375" style="136" customWidth="1"/>
    <col min="3075" max="3075" width="13.28515625" style="136" customWidth="1"/>
    <col min="3076" max="3076" width="3.28515625" style="136" customWidth="1"/>
    <col min="3077" max="3077" width="1.7109375" style="136" customWidth="1"/>
    <col min="3078" max="3078" width="11.85546875" style="136" customWidth="1"/>
    <col min="3079" max="3079" width="3.28515625" style="136" customWidth="1"/>
    <col min="3080" max="3080" width="1.7109375" style="136" customWidth="1"/>
    <col min="3081" max="3081" width="11.85546875" style="136" customWidth="1"/>
    <col min="3082" max="3082" width="3.28515625" style="136" customWidth="1"/>
    <col min="3083" max="3083" width="21.140625" style="136" customWidth="1"/>
    <col min="3084" max="3328" width="11.42578125" style="136"/>
    <col min="3329" max="3329" width="13.28515625" style="136" customWidth="1"/>
    <col min="3330" max="3330" width="2.7109375" style="136" customWidth="1"/>
    <col min="3331" max="3331" width="13.28515625" style="136" customWidth="1"/>
    <col min="3332" max="3332" width="3.28515625" style="136" customWidth="1"/>
    <col min="3333" max="3333" width="1.7109375" style="136" customWidth="1"/>
    <col min="3334" max="3334" width="11.85546875" style="136" customWidth="1"/>
    <col min="3335" max="3335" width="3.28515625" style="136" customWidth="1"/>
    <col min="3336" max="3336" width="1.7109375" style="136" customWidth="1"/>
    <col min="3337" max="3337" width="11.85546875" style="136" customWidth="1"/>
    <col min="3338" max="3338" width="3.28515625" style="136" customWidth="1"/>
    <col min="3339" max="3339" width="21.140625" style="136" customWidth="1"/>
    <col min="3340" max="3584" width="11.42578125" style="136"/>
    <col min="3585" max="3585" width="13.28515625" style="136" customWidth="1"/>
    <col min="3586" max="3586" width="2.7109375" style="136" customWidth="1"/>
    <col min="3587" max="3587" width="13.28515625" style="136" customWidth="1"/>
    <col min="3588" max="3588" width="3.28515625" style="136" customWidth="1"/>
    <col min="3589" max="3589" width="1.7109375" style="136" customWidth="1"/>
    <col min="3590" max="3590" width="11.85546875" style="136" customWidth="1"/>
    <col min="3591" max="3591" width="3.28515625" style="136" customWidth="1"/>
    <col min="3592" max="3592" width="1.7109375" style="136" customWidth="1"/>
    <col min="3593" max="3593" width="11.85546875" style="136" customWidth="1"/>
    <col min="3594" max="3594" width="3.28515625" style="136" customWidth="1"/>
    <col min="3595" max="3595" width="21.140625" style="136" customWidth="1"/>
    <col min="3596" max="3840" width="11.42578125" style="136"/>
    <col min="3841" max="3841" width="13.28515625" style="136" customWidth="1"/>
    <col min="3842" max="3842" width="2.7109375" style="136" customWidth="1"/>
    <col min="3843" max="3843" width="13.28515625" style="136" customWidth="1"/>
    <col min="3844" max="3844" width="3.28515625" style="136" customWidth="1"/>
    <col min="3845" max="3845" width="1.7109375" style="136" customWidth="1"/>
    <col min="3846" max="3846" width="11.85546875" style="136" customWidth="1"/>
    <col min="3847" max="3847" width="3.28515625" style="136" customWidth="1"/>
    <col min="3848" max="3848" width="1.7109375" style="136" customWidth="1"/>
    <col min="3849" max="3849" width="11.85546875" style="136" customWidth="1"/>
    <col min="3850" max="3850" width="3.28515625" style="136" customWidth="1"/>
    <col min="3851" max="3851" width="21.140625" style="136" customWidth="1"/>
    <col min="3852" max="4096" width="11.42578125" style="136"/>
    <col min="4097" max="4097" width="13.28515625" style="136" customWidth="1"/>
    <col min="4098" max="4098" width="2.7109375" style="136" customWidth="1"/>
    <col min="4099" max="4099" width="13.28515625" style="136" customWidth="1"/>
    <col min="4100" max="4100" width="3.28515625" style="136" customWidth="1"/>
    <col min="4101" max="4101" width="1.7109375" style="136" customWidth="1"/>
    <col min="4102" max="4102" width="11.85546875" style="136" customWidth="1"/>
    <col min="4103" max="4103" width="3.28515625" style="136" customWidth="1"/>
    <col min="4104" max="4104" width="1.7109375" style="136" customWidth="1"/>
    <col min="4105" max="4105" width="11.85546875" style="136" customWidth="1"/>
    <col min="4106" max="4106" width="3.28515625" style="136" customWidth="1"/>
    <col min="4107" max="4107" width="21.140625" style="136" customWidth="1"/>
    <col min="4108" max="4352" width="11.42578125" style="136"/>
    <col min="4353" max="4353" width="13.28515625" style="136" customWidth="1"/>
    <col min="4354" max="4354" width="2.7109375" style="136" customWidth="1"/>
    <col min="4355" max="4355" width="13.28515625" style="136" customWidth="1"/>
    <col min="4356" max="4356" width="3.28515625" style="136" customWidth="1"/>
    <col min="4357" max="4357" width="1.7109375" style="136" customWidth="1"/>
    <col min="4358" max="4358" width="11.85546875" style="136" customWidth="1"/>
    <col min="4359" max="4359" width="3.28515625" style="136" customWidth="1"/>
    <col min="4360" max="4360" width="1.7109375" style="136" customWidth="1"/>
    <col min="4361" max="4361" width="11.85546875" style="136" customWidth="1"/>
    <col min="4362" max="4362" width="3.28515625" style="136" customWidth="1"/>
    <col min="4363" max="4363" width="21.140625" style="136" customWidth="1"/>
    <col min="4364" max="4608" width="11.42578125" style="136"/>
    <col min="4609" max="4609" width="13.28515625" style="136" customWidth="1"/>
    <col min="4610" max="4610" width="2.7109375" style="136" customWidth="1"/>
    <col min="4611" max="4611" width="13.28515625" style="136" customWidth="1"/>
    <col min="4612" max="4612" width="3.28515625" style="136" customWidth="1"/>
    <col min="4613" max="4613" width="1.7109375" style="136" customWidth="1"/>
    <col min="4614" max="4614" width="11.85546875" style="136" customWidth="1"/>
    <col min="4615" max="4615" width="3.28515625" style="136" customWidth="1"/>
    <col min="4616" max="4616" width="1.7109375" style="136" customWidth="1"/>
    <col min="4617" max="4617" width="11.85546875" style="136" customWidth="1"/>
    <col min="4618" max="4618" width="3.28515625" style="136" customWidth="1"/>
    <col min="4619" max="4619" width="21.140625" style="136" customWidth="1"/>
    <col min="4620" max="4864" width="11.42578125" style="136"/>
    <col min="4865" max="4865" width="13.28515625" style="136" customWidth="1"/>
    <col min="4866" max="4866" width="2.7109375" style="136" customWidth="1"/>
    <col min="4867" max="4867" width="13.28515625" style="136" customWidth="1"/>
    <col min="4868" max="4868" width="3.28515625" style="136" customWidth="1"/>
    <col min="4869" max="4869" width="1.7109375" style="136" customWidth="1"/>
    <col min="4870" max="4870" width="11.85546875" style="136" customWidth="1"/>
    <col min="4871" max="4871" width="3.28515625" style="136" customWidth="1"/>
    <col min="4872" max="4872" width="1.7109375" style="136" customWidth="1"/>
    <col min="4873" max="4873" width="11.85546875" style="136" customWidth="1"/>
    <col min="4874" max="4874" width="3.28515625" style="136" customWidth="1"/>
    <col min="4875" max="4875" width="21.140625" style="136" customWidth="1"/>
    <col min="4876" max="5120" width="11.42578125" style="136"/>
    <col min="5121" max="5121" width="13.28515625" style="136" customWidth="1"/>
    <col min="5122" max="5122" width="2.7109375" style="136" customWidth="1"/>
    <col min="5123" max="5123" width="13.28515625" style="136" customWidth="1"/>
    <col min="5124" max="5124" width="3.28515625" style="136" customWidth="1"/>
    <col min="5125" max="5125" width="1.7109375" style="136" customWidth="1"/>
    <col min="5126" max="5126" width="11.85546875" style="136" customWidth="1"/>
    <col min="5127" max="5127" width="3.28515625" style="136" customWidth="1"/>
    <col min="5128" max="5128" width="1.7109375" style="136" customWidth="1"/>
    <col min="5129" max="5129" width="11.85546875" style="136" customWidth="1"/>
    <col min="5130" max="5130" width="3.28515625" style="136" customWidth="1"/>
    <col min="5131" max="5131" width="21.140625" style="136" customWidth="1"/>
    <col min="5132" max="5376" width="11.42578125" style="136"/>
    <col min="5377" max="5377" width="13.28515625" style="136" customWidth="1"/>
    <col min="5378" max="5378" width="2.7109375" style="136" customWidth="1"/>
    <col min="5379" max="5379" width="13.28515625" style="136" customWidth="1"/>
    <col min="5380" max="5380" width="3.28515625" style="136" customWidth="1"/>
    <col min="5381" max="5381" width="1.7109375" style="136" customWidth="1"/>
    <col min="5382" max="5382" width="11.85546875" style="136" customWidth="1"/>
    <col min="5383" max="5383" width="3.28515625" style="136" customWidth="1"/>
    <col min="5384" max="5384" width="1.7109375" style="136" customWidth="1"/>
    <col min="5385" max="5385" width="11.85546875" style="136" customWidth="1"/>
    <col min="5386" max="5386" width="3.28515625" style="136" customWidth="1"/>
    <col min="5387" max="5387" width="21.140625" style="136" customWidth="1"/>
    <col min="5388" max="5632" width="11.42578125" style="136"/>
    <col min="5633" max="5633" width="13.28515625" style="136" customWidth="1"/>
    <col min="5634" max="5634" width="2.7109375" style="136" customWidth="1"/>
    <col min="5635" max="5635" width="13.28515625" style="136" customWidth="1"/>
    <col min="5636" max="5636" width="3.28515625" style="136" customWidth="1"/>
    <col min="5637" max="5637" width="1.7109375" style="136" customWidth="1"/>
    <col min="5638" max="5638" width="11.85546875" style="136" customWidth="1"/>
    <col min="5639" max="5639" width="3.28515625" style="136" customWidth="1"/>
    <col min="5640" max="5640" width="1.7109375" style="136" customWidth="1"/>
    <col min="5641" max="5641" width="11.85546875" style="136" customWidth="1"/>
    <col min="5642" max="5642" width="3.28515625" style="136" customWidth="1"/>
    <col min="5643" max="5643" width="21.140625" style="136" customWidth="1"/>
    <col min="5644" max="5888" width="11.42578125" style="136"/>
    <col min="5889" max="5889" width="13.28515625" style="136" customWidth="1"/>
    <col min="5890" max="5890" width="2.7109375" style="136" customWidth="1"/>
    <col min="5891" max="5891" width="13.28515625" style="136" customWidth="1"/>
    <col min="5892" max="5892" width="3.28515625" style="136" customWidth="1"/>
    <col min="5893" max="5893" width="1.7109375" style="136" customWidth="1"/>
    <col min="5894" max="5894" width="11.85546875" style="136" customWidth="1"/>
    <col min="5895" max="5895" width="3.28515625" style="136" customWidth="1"/>
    <col min="5896" max="5896" width="1.7109375" style="136" customWidth="1"/>
    <col min="5897" max="5897" width="11.85546875" style="136" customWidth="1"/>
    <col min="5898" max="5898" width="3.28515625" style="136" customWidth="1"/>
    <col min="5899" max="5899" width="21.140625" style="136" customWidth="1"/>
    <col min="5900" max="6144" width="11.42578125" style="136"/>
    <col min="6145" max="6145" width="13.28515625" style="136" customWidth="1"/>
    <col min="6146" max="6146" width="2.7109375" style="136" customWidth="1"/>
    <col min="6147" max="6147" width="13.28515625" style="136" customWidth="1"/>
    <col min="6148" max="6148" width="3.28515625" style="136" customWidth="1"/>
    <col min="6149" max="6149" width="1.7109375" style="136" customWidth="1"/>
    <col min="6150" max="6150" width="11.85546875" style="136" customWidth="1"/>
    <col min="6151" max="6151" width="3.28515625" style="136" customWidth="1"/>
    <col min="6152" max="6152" width="1.7109375" style="136" customWidth="1"/>
    <col min="6153" max="6153" width="11.85546875" style="136" customWidth="1"/>
    <col min="6154" max="6154" width="3.28515625" style="136" customWidth="1"/>
    <col min="6155" max="6155" width="21.140625" style="136" customWidth="1"/>
    <col min="6156" max="6400" width="11.42578125" style="136"/>
    <col min="6401" max="6401" width="13.28515625" style="136" customWidth="1"/>
    <col min="6402" max="6402" width="2.7109375" style="136" customWidth="1"/>
    <col min="6403" max="6403" width="13.28515625" style="136" customWidth="1"/>
    <col min="6404" max="6404" width="3.28515625" style="136" customWidth="1"/>
    <col min="6405" max="6405" width="1.7109375" style="136" customWidth="1"/>
    <col min="6406" max="6406" width="11.85546875" style="136" customWidth="1"/>
    <col min="6407" max="6407" width="3.28515625" style="136" customWidth="1"/>
    <col min="6408" max="6408" width="1.7109375" style="136" customWidth="1"/>
    <col min="6409" max="6409" width="11.85546875" style="136" customWidth="1"/>
    <col min="6410" max="6410" width="3.28515625" style="136" customWidth="1"/>
    <col min="6411" max="6411" width="21.140625" style="136" customWidth="1"/>
    <col min="6412" max="6656" width="11.42578125" style="136"/>
    <col min="6657" max="6657" width="13.28515625" style="136" customWidth="1"/>
    <col min="6658" max="6658" width="2.7109375" style="136" customWidth="1"/>
    <col min="6659" max="6659" width="13.28515625" style="136" customWidth="1"/>
    <col min="6660" max="6660" width="3.28515625" style="136" customWidth="1"/>
    <col min="6661" max="6661" width="1.7109375" style="136" customWidth="1"/>
    <col min="6662" max="6662" width="11.85546875" style="136" customWidth="1"/>
    <col min="6663" max="6663" width="3.28515625" style="136" customWidth="1"/>
    <col min="6664" max="6664" width="1.7109375" style="136" customWidth="1"/>
    <col min="6665" max="6665" width="11.85546875" style="136" customWidth="1"/>
    <col min="6666" max="6666" width="3.28515625" style="136" customWidth="1"/>
    <col min="6667" max="6667" width="21.140625" style="136" customWidth="1"/>
    <col min="6668" max="6912" width="11.42578125" style="136"/>
    <col min="6913" max="6913" width="13.28515625" style="136" customWidth="1"/>
    <col min="6914" max="6914" width="2.7109375" style="136" customWidth="1"/>
    <col min="6915" max="6915" width="13.28515625" style="136" customWidth="1"/>
    <col min="6916" max="6916" width="3.28515625" style="136" customWidth="1"/>
    <col min="6917" max="6917" width="1.7109375" style="136" customWidth="1"/>
    <col min="6918" max="6918" width="11.85546875" style="136" customWidth="1"/>
    <col min="6919" max="6919" width="3.28515625" style="136" customWidth="1"/>
    <col min="6920" max="6920" width="1.7109375" style="136" customWidth="1"/>
    <col min="6921" max="6921" width="11.85546875" style="136" customWidth="1"/>
    <col min="6922" max="6922" width="3.28515625" style="136" customWidth="1"/>
    <col min="6923" max="6923" width="21.140625" style="136" customWidth="1"/>
    <col min="6924" max="7168" width="11.42578125" style="136"/>
    <col min="7169" max="7169" width="13.28515625" style="136" customWidth="1"/>
    <col min="7170" max="7170" width="2.7109375" style="136" customWidth="1"/>
    <col min="7171" max="7171" width="13.28515625" style="136" customWidth="1"/>
    <col min="7172" max="7172" width="3.28515625" style="136" customWidth="1"/>
    <col min="7173" max="7173" width="1.7109375" style="136" customWidth="1"/>
    <col min="7174" max="7174" width="11.85546875" style="136" customWidth="1"/>
    <col min="7175" max="7175" width="3.28515625" style="136" customWidth="1"/>
    <col min="7176" max="7176" width="1.7109375" style="136" customWidth="1"/>
    <col min="7177" max="7177" width="11.85546875" style="136" customWidth="1"/>
    <col min="7178" max="7178" width="3.28515625" style="136" customWidth="1"/>
    <col min="7179" max="7179" width="21.140625" style="136" customWidth="1"/>
    <col min="7180" max="7424" width="11.42578125" style="136"/>
    <col min="7425" max="7425" width="13.28515625" style="136" customWidth="1"/>
    <col min="7426" max="7426" width="2.7109375" style="136" customWidth="1"/>
    <col min="7427" max="7427" width="13.28515625" style="136" customWidth="1"/>
    <col min="7428" max="7428" width="3.28515625" style="136" customWidth="1"/>
    <col min="7429" max="7429" width="1.7109375" style="136" customWidth="1"/>
    <col min="7430" max="7430" width="11.85546875" style="136" customWidth="1"/>
    <col min="7431" max="7431" width="3.28515625" style="136" customWidth="1"/>
    <col min="7432" max="7432" width="1.7109375" style="136" customWidth="1"/>
    <col min="7433" max="7433" width="11.85546875" style="136" customWidth="1"/>
    <col min="7434" max="7434" width="3.28515625" style="136" customWidth="1"/>
    <col min="7435" max="7435" width="21.140625" style="136" customWidth="1"/>
    <col min="7436" max="7680" width="11.42578125" style="136"/>
    <col min="7681" max="7681" width="13.28515625" style="136" customWidth="1"/>
    <col min="7682" max="7682" width="2.7109375" style="136" customWidth="1"/>
    <col min="7683" max="7683" width="13.28515625" style="136" customWidth="1"/>
    <col min="7684" max="7684" width="3.28515625" style="136" customWidth="1"/>
    <col min="7685" max="7685" width="1.7109375" style="136" customWidth="1"/>
    <col min="7686" max="7686" width="11.85546875" style="136" customWidth="1"/>
    <col min="7687" max="7687" width="3.28515625" style="136" customWidth="1"/>
    <col min="7688" max="7688" width="1.7109375" style="136" customWidth="1"/>
    <col min="7689" max="7689" width="11.85546875" style="136" customWidth="1"/>
    <col min="7690" max="7690" width="3.28515625" style="136" customWidth="1"/>
    <col min="7691" max="7691" width="21.140625" style="136" customWidth="1"/>
    <col min="7692" max="7936" width="11.42578125" style="136"/>
    <col min="7937" max="7937" width="13.28515625" style="136" customWidth="1"/>
    <col min="7938" max="7938" width="2.7109375" style="136" customWidth="1"/>
    <col min="7939" max="7939" width="13.28515625" style="136" customWidth="1"/>
    <col min="7940" max="7940" width="3.28515625" style="136" customWidth="1"/>
    <col min="7941" max="7941" width="1.7109375" style="136" customWidth="1"/>
    <col min="7942" max="7942" width="11.85546875" style="136" customWidth="1"/>
    <col min="7943" max="7943" width="3.28515625" style="136" customWidth="1"/>
    <col min="7944" max="7944" width="1.7109375" style="136" customWidth="1"/>
    <col min="7945" max="7945" width="11.85546875" style="136" customWidth="1"/>
    <col min="7946" max="7946" width="3.28515625" style="136" customWidth="1"/>
    <col min="7947" max="7947" width="21.140625" style="136" customWidth="1"/>
    <col min="7948" max="8192" width="11.42578125" style="136"/>
    <col min="8193" max="8193" width="13.28515625" style="136" customWidth="1"/>
    <col min="8194" max="8194" width="2.7109375" style="136" customWidth="1"/>
    <col min="8195" max="8195" width="13.28515625" style="136" customWidth="1"/>
    <col min="8196" max="8196" width="3.28515625" style="136" customWidth="1"/>
    <col min="8197" max="8197" width="1.7109375" style="136" customWidth="1"/>
    <col min="8198" max="8198" width="11.85546875" style="136" customWidth="1"/>
    <col min="8199" max="8199" width="3.28515625" style="136" customWidth="1"/>
    <col min="8200" max="8200" width="1.7109375" style="136" customWidth="1"/>
    <col min="8201" max="8201" width="11.85546875" style="136" customWidth="1"/>
    <col min="8202" max="8202" width="3.28515625" style="136" customWidth="1"/>
    <col min="8203" max="8203" width="21.140625" style="136" customWidth="1"/>
    <col min="8204" max="8448" width="11.42578125" style="136"/>
    <col min="8449" max="8449" width="13.28515625" style="136" customWidth="1"/>
    <col min="8450" max="8450" width="2.7109375" style="136" customWidth="1"/>
    <col min="8451" max="8451" width="13.28515625" style="136" customWidth="1"/>
    <col min="8452" max="8452" width="3.28515625" style="136" customWidth="1"/>
    <col min="8453" max="8453" width="1.7109375" style="136" customWidth="1"/>
    <col min="8454" max="8454" width="11.85546875" style="136" customWidth="1"/>
    <col min="8455" max="8455" width="3.28515625" style="136" customWidth="1"/>
    <col min="8456" max="8456" width="1.7109375" style="136" customWidth="1"/>
    <col min="8457" max="8457" width="11.85546875" style="136" customWidth="1"/>
    <col min="8458" max="8458" width="3.28515625" style="136" customWidth="1"/>
    <col min="8459" max="8459" width="21.140625" style="136" customWidth="1"/>
    <col min="8460" max="8704" width="11.42578125" style="136"/>
    <col min="8705" max="8705" width="13.28515625" style="136" customWidth="1"/>
    <col min="8706" max="8706" width="2.7109375" style="136" customWidth="1"/>
    <col min="8707" max="8707" width="13.28515625" style="136" customWidth="1"/>
    <col min="8708" max="8708" width="3.28515625" style="136" customWidth="1"/>
    <col min="8709" max="8709" width="1.7109375" style="136" customWidth="1"/>
    <col min="8710" max="8710" width="11.85546875" style="136" customWidth="1"/>
    <col min="8711" max="8711" width="3.28515625" style="136" customWidth="1"/>
    <col min="8712" max="8712" width="1.7109375" style="136" customWidth="1"/>
    <col min="8713" max="8713" width="11.85546875" style="136" customWidth="1"/>
    <col min="8714" max="8714" width="3.28515625" style="136" customWidth="1"/>
    <col min="8715" max="8715" width="21.140625" style="136" customWidth="1"/>
    <col min="8716" max="8960" width="11.42578125" style="136"/>
    <col min="8961" max="8961" width="13.28515625" style="136" customWidth="1"/>
    <col min="8962" max="8962" width="2.7109375" style="136" customWidth="1"/>
    <col min="8963" max="8963" width="13.28515625" style="136" customWidth="1"/>
    <col min="8964" max="8964" width="3.28515625" style="136" customWidth="1"/>
    <col min="8965" max="8965" width="1.7109375" style="136" customWidth="1"/>
    <col min="8966" max="8966" width="11.85546875" style="136" customWidth="1"/>
    <col min="8967" max="8967" width="3.28515625" style="136" customWidth="1"/>
    <col min="8968" max="8968" width="1.7109375" style="136" customWidth="1"/>
    <col min="8969" max="8969" width="11.85546875" style="136" customWidth="1"/>
    <col min="8970" max="8970" width="3.28515625" style="136" customWidth="1"/>
    <col min="8971" max="8971" width="21.140625" style="136" customWidth="1"/>
    <col min="8972" max="9216" width="11.42578125" style="136"/>
    <col min="9217" max="9217" width="13.28515625" style="136" customWidth="1"/>
    <col min="9218" max="9218" width="2.7109375" style="136" customWidth="1"/>
    <col min="9219" max="9219" width="13.28515625" style="136" customWidth="1"/>
    <col min="9220" max="9220" width="3.28515625" style="136" customWidth="1"/>
    <col min="9221" max="9221" width="1.7109375" style="136" customWidth="1"/>
    <col min="9222" max="9222" width="11.85546875" style="136" customWidth="1"/>
    <col min="9223" max="9223" width="3.28515625" style="136" customWidth="1"/>
    <col min="9224" max="9224" width="1.7109375" style="136" customWidth="1"/>
    <col min="9225" max="9225" width="11.85546875" style="136" customWidth="1"/>
    <col min="9226" max="9226" width="3.28515625" style="136" customWidth="1"/>
    <col min="9227" max="9227" width="21.140625" style="136" customWidth="1"/>
    <col min="9228" max="9472" width="11.42578125" style="136"/>
    <col min="9473" max="9473" width="13.28515625" style="136" customWidth="1"/>
    <col min="9474" max="9474" width="2.7109375" style="136" customWidth="1"/>
    <col min="9475" max="9475" width="13.28515625" style="136" customWidth="1"/>
    <col min="9476" max="9476" width="3.28515625" style="136" customWidth="1"/>
    <col min="9477" max="9477" width="1.7109375" style="136" customWidth="1"/>
    <col min="9478" max="9478" width="11.85546875" style="136" customWidth="1"/>
    <col min="9479" max="9479" width="3.28515625" style="136" customWidth="1"/>
    <col min="9480" max="9480" width="1.7109375" style="136" customWidth="1"/>
    <col min="9481" max="9481" width="11.85546875" style="136" customWidth="1"/>
    <col min="9482" max="9482" width="3.28515625" style="136" customWidth="1"/>
    <col min="9483" max="9483" width="21.140625" style="136" customWidth="1"/>
    <col min="9484" max="9728" width="11.42578125" style="136"/>
    <col min="9729" max="9729" width="13.28515625" style="136" customWidth="1"/>
    <col min="9730" max="9730" width="2.7109375" style="136" customWidth="1"/>
    <col min="9731" max="9731" width="13.28515625" style="136" customWidth="1"/>
    <col min="9732" max="9732" width="3.28515625" style="136" customWidth="1"/>
    <col min="9733" max="9733" width="1.7109375" style="136" customWidth="1"/>
    <col min="9734" max="9734" width="11.85546875" style="136" customWidth="1"/>
    <col min="9735" max="9735" width="3.28515625" style="136" customWidth="1"/>
    <col min="9736" max="9736" width="1.7109375" style="136" customWidth="1"/>
    <col min="9737" max="9737" width="11.85546875" style="136" customWidth="1"/>
    <col min="9738" max="9738" width="3.28515625" style="136" customWidth="1"/>
    <col min="9739" max="9739" width="21.140625" style="136" customWidth="1"/>
    <col min="9740" max="9984" width="11.42578125" style="136"/>
    <col min="9985" max="9985" width="13.28515625" style="136" customWidth="1"/>
    <col min="9986" max="9986" width="2.7109375" style="136" customWidth="1"/>
    <col min="9987" max="9987" width="13.28515625" style="136" customWidth="1"/>
    <col min="9988" max="9988" width="3.28515625" style="136" customWidth="1"/>
    <col min="9989" max="9989" width="1.7109375" style="136" customWidth="1"/>
    <col min="9990" max="9990" width="11.85546875" style="136" customWidth="1"/>
    <col min="9991" max="9991" width="3.28515625" style="136" customWidth="1"/>
    <col min="9992" max="9992" width="1.7109375" style="136" customWidth="1"/>
    <col min="9993" max="9993" width="11.85546875" style="136" customWidth="1"/>
    <col min="9994" max="9994" width="3.28515625" style="136" customWidth="1"/>
    <col min="9995" max="9995" width="21.140625" style="136" customWidth="1"/>
    <col min="9996" max="10240" width="11.42578125" style="136"/>
    <col min="10241" max="10241" width="13.28515625" style="136" customWidth="1"/>
    <col min="10242" max="10242" width="2.7109375" style="136" customWidth="1"/>
    <col min="10243" max="10243" width="13.28515625" style="136" customWidth="1"/>
    <col min="10244" max="10244" width="3.28515625" style="136" customWidth="1"/>
    <col min="10245" max="10245" width="1.7109375" style="136" customWidth="1"/>
    <col min="10246" max="10246" width="11.85546875" style="136" customWidth="1"/>
    <col min="10247" max="10247" width="3.28515625" style="136" customWidth="1"/>
    <col min="10248" max="10248" width="1.7109375" style="136" customWidth="1"/>
    <col min="10249" max="10249" width="11.85546875" style="136" customWidth="1"/>
    <col min="10250" max="10250" width="3.28515625" style="136" customWidth="1"/>
    <col min="10251" max="10251" width="21.140625" style="136" customWidth="1"/>
    <col min="10252" max="10496" width="11.42578125" style="136"/>
    <col min="10497" max="10497" width="13.28515625" style="136" customWidth="1"/>
    <col min="10498" max="10498" width="2.7109375" style="136" customWidth="1"/>
    <col min="10499" max="10499" width="13.28515625" style="136" customWidth="1"/>
    <col min="10500" max="10500" width="3.28515625" style="136" customWidth="1"/>
    <col min="10501" max="10501" width="1.7109375" style="136" customWidth="1"/>
    <col min="10502" max="10502" width="11.85546875" style="136" customWidth="1"/>
    <col min="10503" max="10503" width="3.28515625" style="136" customWidth="1"/>
    <col min="10504" max="10504" width="1.7109375" style="136" customWidth="1"/>
    <col min="10505" max="10505" width="11.85546875" style="136" customWidth="1"/>
    <col min="10506" max="10506" width="3.28515625" style="136" customWidth="1"/>
    <col min="10507" max="10507" width="21.140625" style="136" customWidth="1"/>
    <col min="10508" max="10752" width="11.42578125" style="136"/>
    <col min="10753" max="10753" width="13.28515625" style="136" customWidth="1"/>
    <col min="10754" max="10754" width="2.7109375" style="136" customWidth="1"/>
    <col min="10755" max="10755" width="13.28515625" style="136" customWidth="1"/>
    <col min="10756" max="10756" width="3.28515625" style="136" customWidth="1"/>
    <col min="10757" max="10757" width="1.7109375" style="136" customWidth="1"/>
    <col min="10758" max="10758" width="11.85546875" style="136" customWidth="1"/>
    <col min="10759" max="10759" width="3.28515625" style="136" customWidth="1"/>
    <col min="10760" max="10760" width="1.7109375" style="136" customWidth="1"/>
    <col min="10761" max="10761" width="11.85546875" style="136" customWidth="1"/>
    <col min="10762" max="10762" width="3.28515625" style="136" customWidth="1"/>
    <col min="10763" max="10763" width="21.140625" style="136" customWidth="1"/>
    <col min="10764" max="11008" width="11.42578125" style="136"/>
    <col min="11009" max="11009" width="13.28515625" style="136" customWidth="1"/>
    <col min="11010" max="11010" width="2.7109375" style="136" customWidth="1"/>
    <col min="11011" max="11011" width="13.28515625" style="136" customWidth="1"/>
    <col min="11012" max="11012" width="3.28515625" style="136" customWidth="1"/>
    <col min="11013" max="11013" width="1.7109375" style="136" customWidth="1"/>
    <col min="11014" max="11014" width="11.85546875" style="136" customWidth="1"/>
    <col min="11015" max="11015" width="3.28515625" style="136" customWidth="1"/>
    <col min="11016" max="11016" width="1.7109375" style="136" customWidth="1"/>
    <col min="11017" max="11017" width="11.85546875" style="136" customWidth="1"/>
    <col min="11018" max="11018" width="3.28515625" style="136" customWidth="1"/>
    <col min="11019" max="11019" width="21.140625" style="136" customWidth="1"/>
    <col min="11020" max="11264" width="11.42578125" style="136"/>
    <col min="11265" max="11265" width="13.28515625" style="136" customWidth="1"/>
    <col min="11266" max="11266" width="2.7109375" style="136" customWidth="1"/>
    <col min="11267" max="11267" width="13.28515625" style="136" customWidth="1"/>
    <col min="11268" max="11268" width="3.28515625" style="136" customWidth="1"/>
    <col min="11269" max="11269" width="1.7109375" style="136" customWidth="1"/>
    <col min="11270" max="11270" width="11.85546875" style="136" customWidth="1"/>
    <col min="11271" max="11271" width="3.28515625" style="136" customWidth="1"/>
    <col min="11272" max="11272" width="1.7109375" style="136" customWidth="1"/>
    <col min="11273" max="11273" width="11.85546875" style="136" customWidth="1"/>
    <col min="11274" max="11274" width="3.28515625" style="136" customWidth="1"/>
    <col min="11275" max="11275" width="21.140625" style="136" customWidth="1"/>
    <col min="11276" max="11520" width="11.42578125" style="136"/>
    <col min="11521" max="11521" width="13.28515625" style="136" customWidth="1"/>
    <col min="11522" max="11522" width="2.7109375" style="136" customWidth="1"/>
    <col min="11523" max="11523" width="13.28515625" style="136" customWidth="1"/>
    <col min="11524" max="11524" width="3.28515625" style="136" customWidth="1"/>
    <col min="11525" max="11525" width="1.7109375" style="136" customWidth="1"/>
    <col min="11526" max="11526" width="11.85546875" style="136" customWidth="1"/>
    <col min="11527" max="11527" width="3.28515625" style="136" customWidth="1"/>
    <col min="11528" max="11528" width="1.7109375" style="136" customWidth="1"/>
    <col min="11529" max="11529" width="11.85546875" style="136" customWidth="1"/>
    <col min="11530" max="11530" width="3.28515625" style="136" customWidth="1"/>
    <col min="11531" max="11531" width="21.140625" style="136" customWidth="1"/>
    <col min="11532" max="11776" width="11.42578125" style="136"/>
    <col min="11777" max="11777" width="13.28515625" style="136" customWidth="1"/>
    <col min="11778" max="11778" width="2.7109375" style="136" customWidth="1"/>
    <col min="11779" max="11779" width="13.28515625" style="136" customWidth="1"/>
    <col min="11780" max="11780" width="3.28515625" style="136" customWidth="1"/>
    <col min="11781" max="11781" width="1.7109375" style="136" customWidth="1"/>
    <col min="11782" max="11782" width="11.85546875" style="136" customWidth="1"/>
    <col min="11783" max="11783" width="3.28515625" style="136" customWidth="1"/>
    <col min="11784" max="11784" width="1.7109375" style="136" customWidth="1"/>
    <col min="11785" max="11785" width="11.85546875" style="136" customWidth="1"/>
    <col min="11786" max="11786" width="3.28515625" style="136" customWidth="1"/>
    <col min="11787" max="11787" width="21.140625" style="136" customWidth="1"/>
    <col min="11788" max="12032" width="11.42578125" style="136"/>
    <col min="12033" max="12033" width="13.28515625" style="136" customWidth="1"/>
    <col min="12034" max="12034" width="2.7109375" style="136" customWidth="1"/>
    <col min="12035" max="12035" width="13.28515625" style="136" customWidth="1"/>
    <col min="12036" max="12036" width="3.28515625" style="136" customWidth="1"/>
    <col min="12037" max="12037" width="1.7109375" style="136" customWidth="1"/>
    <col min="12038" max="12038" width="11.85546875" style="136" customWidth="1"/>
    <col min="12039" max="12039" width="3.28515625" style="136" customWidth="1"/>
    <col min="12040" max="12040" width="1.7109375" style="136" customWidth="1"/>
    <col min="12041" max="12041" width="11.85546875" style="136" customWidth="1"/>
    <col min="12042" max="12042" width="3.28515625" style="136" customWidth="1"/>
    <col min="12043" max="12043" width="21.140625" style="136" customWidth="1"/>
    <col min="12044" max="12288" width="11.42578125" style="136"/>
    <col min="12289" max="12289" width="13.28515625" style="136" customWidth="1"/>
    <col min="12290" max="12290" width="2.7109375" style="136" customWidth="1"/>
    <col min="12291" max="12291" width="13.28515625" style="136" customWidth="1"/>
    <col min="12292" max="12292" width="3.28515625" style="136" customWidth="1"/>
    <col min="12293" max="12293" width="1.7109375" style="136" customWidth="1"/>
    <col min="12294" max="12294" width="11.85546875" style="136" customWidth="1"/>
    <col min="12295" max="12295" width="3.28515625" style="136" customWidth="1"/>
    <col min="12296" max="12296" width="1.7109375" style="136" customWidth="1"/>
    <col min="12297" max="12297" width="11.85546875" style="136" customWidth="1"/>
    <col min="12298" max="12298" width="3.28515625" style="136" customWidth="1"/>
    <col min="12299" max="12299" width="21.140625" style="136" customWidth="1"/>
    <col min="12300" max="12544" width="11.42578125" style="136"/>
    <col min="12545" max="12545" width="13.28515625" style="136" customWidth="1"/>
    <col min="12546" max="12546" width="2.7109375" style="136" customWidth="1"/>
    <col min="12547" max="12547" width="13.28515625" style="136" customWidth="1"/>
    <col min="12548" max="12548" width="3.28515625" style="136" customWidth="1"/>
    <col min="12549" max="12549" width="1.7109375" style="136" customWidth="1"/>
    <col min="12550" max="12550" width="11.85546875" style="136" customWidth="1"/>
    <col min="12551" max="12551" width="3.28515625" style="136" customWidth="1"/>
    <col min="12552" max="12552" width="1.7109375" style="136" customWidth="1"/>
    <col min="12553" max="12553" width="11.85546875" style="136" customWidth="1"/>
    <col min="12554" max="12554" width="3.28515625" style="136" customWidth="1"/>
    <col min="12555" max="12555" width="21.140625" style="136" customWidth="1"/>
    <col min="12556" max="12800" width="11.42578125" style="136"/>
    <col min="12801" max="12801" width="13.28515625" style="136" customWidth="1"/>
    <col min="12802" max="12802" width="2.7109375" style="136" customWidth="1"/>
    <col min="12803" max="12803" width="13.28515625" style="136" customWidth="1"/>
    <col min="12804" max="12804" width="3.28515625" style="136" customWidth="1"/>
    <col min="12805" max="12805" width="1.7109375" style="136" customWidth="1"/>
    <col min="12806" max="12806" width="11.85546875" style="136" customWidth="1"/>
    <col min="12807" max="12807" width="3.28515625" style="136" customWidth="1"/>
    <col min="12808" max="12808" width="1.7109375" style="136" customWidth="1"/>
    <col min="12809" max="12809" width="11.85546875" style="136" customWidth="1"/>
    <col min="12810" max="12810" width="3.28515625" style="136" customWidth="1"/>
    <col min="12811" max="12811" width="21.140625" style="136" customWidth="1"/>
    <col min="12812" max="13056" width="11.42578125" style="136"/>
    <col min="13057" max="13057" width="13.28515625" style="136" customWidth="1"/>
    <col min="13058" max="13058" width="2.7109375" style="136" customWidth="1"/>
    <col min="13059" max="13059" width="13.28515625" style="136" customWidth="1"/>
    <col min="13060" max="13060" width="3.28515625" style="136" customWidth="1"/>
    <col min="13061" max="13061" width="1.7109375" style="136" customWidth="1"/>
    <col min="13062" max="13062" width="11.85546875" style="136" customWidth="1"/>
    <col min="13063" max="13063" width="3.28515625" style="136" customWidth="1"/>
    <col min="13064" max="13064" width="1.7109375" style="136" customWidth="1"/>
    <col min="13065" max="13065" width="11.85546875" style="136" customWidth="1"/>
    <col min="13066" max="13066" width="3.28515625" style="136" customWidth="1"/>
    <col min="13067" max="13067" width="21.140625" style="136" customWidth="1"/>
    <col min="13068" max="13312" width="11.42578125" style="136"/>
    <col min="13313" max="13313" width="13.28515625" style="136" customWidth="1"/>
    <col min="13314" max="13314" width="2.7109375" style="136" customWidth="1"/>
    <col min="13315" max="13315" width="13.28515625" style="136" customWidth="1"/>
    <col min="13316" max="13316" width="3.28515625" style="136" customWidth="1"/>
    <col min="13317" max="13317" width="1.7109375" style="136" customWidth="1"/>
    <col min="13318" max="13318" width="11.85546875" style="136" customWidth="1"/>
    <col min="13319" max="13319" width="3.28515625" style="136" customWidth="1"/>
    <col min="13320" max="13320" width="1.7109375" style="136" customWidth="1"/>
    <col min="13321" max="13321" width="11.85546875" style="136" customWidth="1"/>
    <col min="13322" max="13322" width="3.28515625" style="136" customWidth="1"/>
    <col min="13323" max="13323" width="21.140625" style="136" customWidth="1"/>
    <col min="13324" max="13568" width="11.42578125" style="136"/>
    <col min="13569" max="13569" width="13.28515625" style="136" customWidth="1"/>
    <col min="13570" max="13570" width="2.7109375" style="136" customWidth="1"/>
    <col min="13571" max="13571" width="13.28515625" style="136" customWidth="1"/>
    <col min="13572" max="13572" width="3.28515625" style="136" customWidth="1"/>
    <col min="13573" max="13573" width="1.7109375" style="136" customWidth="1"/>
    <col min="13574" max="13574" width="11.85546875" style="136" customWidth="1"/>
    <col min="13575" max="13575" width="3.28515625" style="136" customWidth="1"/>
    <col min="13576" max="13576" width="1.7109375" style="136" customWidth="1"/>
    <col min="13577" max="13577" width="11.85546875" style="136" customWidth="1"/>
    <col min="13578" max="13578" width="3.28515625" style="136" customWidth="1"/>
    <col min="13579" max="13579" width="21.140625" style="136" customWidth="1"/>
    <col min="13580" max="13824" width="11.42578125" style="136"/>
    <col min="13825" max="13825" width="13.28515625" style="136" customWidth="1"/>
    <col min="13826" max="13826" width="2.7109375" style="136" customWidth="1"/>
    <col min="13827" max="13827" width="13.28515625" style="136" customWidth="1"/>
    <col min="13828" max="13828" width="3.28515625" style="136" customWidth="1"/>
    <col min="13829" max="13829" width="1.7109375" style="136" customWidth="1"/>
    <col min="13830" max="13830" width="11.85546875" style="136" customWidth="1"/>
    <col min="13831" max="13831" width="3.28515625" style="136" customWidth="1"/>
    <col min="13832" max="13832" width="1.7109375" style="136" customWidth="1"/>
    <col min="13833" max="13833" width="11.85546875" style="136" customWidth="1"/>
    <col min="13834" max="13834" width="3.28515625" style="136" customWidth="1"/>
    <col min="13835" max="13835" width="21.140625" style="136" customWidth="1"/>
    <col min="13836" max="14080" width="11.42578125" style="136"/>
    <col min="14081" max="14081" width="13.28515625" style="136" customWidth="1"/>
    <col min="14082" max="14082" width="2.7109375" style="136" customWidth="1"/>
    <col min="14083" max="14083" width="13.28515625" style="136" customWidth="1"/>
    <col min="14084" max="14084" width="3.28515625" style="136" customWidth="1"/>
    <col min="14085" max="14085" width="1.7109375" style="136" customWidth="1"/>
    <col min="14086" max="14086" width="11.85546875" style="136" customWidth="1"/>
    <col min="14087" max="14087" width="3.28515625" style="136" customWidth="1"/>
    <col min="14088" max="14088" width="1.7109375" style="136" customWidth="1"/>
    <col min="14089" max="14089" width="11.85546875" style="136" customWidth="1"/>
    <col min="14090" max="14090" width="3.28515625" style="136" customWidth="1"/>
    <col min="14091" max="14091" width="21.140625" style="136" customWidth="1"/>
    <col min="14092" max="14336" width="11.42578125" style="136"/>
    <col min="14337" max="14337" width="13.28515625" style="136" customWidth="1"/>
    <col min="14338" max="14338" width="2.7109375" style="136" customWidth="1"/>
    <col min="14339" max="14339" width="13.28515625" style="136" customWidth="1"/>
    <col min="14340" max="14340" width="3.28515625" style="136" customWidth="1"/>
    <col min="14341" max="14341" width="1.7109375" style="136" customWidth="1"/>
    <col min="14342" max="14342" width="11.85546875" style="136" customWidth="1"/>
    <col min="14343" max="14343" width="3.28515625" style="136" customWidth="1"/>
    <col min="14344" max="14344" width="1.7109375" style="136" customWidth="1"/>
    <col min="14345" max="14345" width="11.85546875" style="136" customWidth="1"/>
    <col min="14346" max="14346" width="3.28515625" style="136" customWidth="1"/>
    <col min="14347" max="14347" width="21.140625" style="136" customWidth="1"/>
    <col min="14348" max="14592" width="11.42578125" style="136"/>
    <col min="14593" max="14593" width="13.28515625" style="136" customWidth="1"/>
    <col min="14594" max="14594" width="2.7109375" style="136" customWidth="1"/>
    <col min="14595" max="14595" width="13.28515625" style="136" customWidth="1"/>
    <col min="14596" max="14596" width="3.28515625" style="136" customWidth="1"/>
    <col min="14597" max="14597" width="1.7109375" style="136" customWidth="1"/>
    <col min="14598" max="14598" width="11.85546875" style="136" customWidth="1"/>
    <col min="14599" max="14599" width="3.28515625" style="136" customWidth="1"/>
    <col min="14600" max="14600" width="1.7109375" style="136" customWidth="1"/>
    <col min="14601" max="14601" width="11.85546875" style="136" customWidth="1"/>
    <col min="14602" max="14602" width="3.28515625" style="136" customWidth="1"/>
    <col min="14603" max="14603" width="21.140625" style="136" customWidth="1"/>
    <col min="14604" max="14848" width="11.42578125" style="136"/>
    <col min="14849" max="14849" width="13.28515625" style="136" customWidth="1"/>
    <col min="14850" max="14850" width="2.7109375" style="136" customWidth="1"/>
    <col min="14851" max="14851" width="13.28515625" style="136" customWidth="1"/>
    <col min="14852" max="14852" width="3.28515625" style="136" customWidth="1"/>
    <col min="14853" max="14853" width="1.7109375" style="136" customWidth="1"/>
    <col min="14854" max="14854" width="11.85546875" style="136" customWidth="1"/>
    <col min="14855" max="14855" width="3.28515625" style="136" customWidth="1"/>
    <col min="14856" max="14856" width="1.7109375" style="136" customWidth="1"/>
    <col min="14857" max="14857" width="11.85546875" style="136" customWidth="1"/>
    <col min="14858" max="14858" width="3.28515625" style="136" customWidth="1"/>
    <col min="14859" max="14859" width="21.140625" style="136" customWidth="1"/>
    <col min="14860" max="15104" width="11.42578125" style="136"/>
    <col min="15105" max="15105" width="13.28515625" style="136" customWidth="1"/>
    <col min="15106" max="15106" width="2.7109375" style="136" customWidth="1"/>
    <col min="15107" max="15107" width="13.28515625" style="136" customWidth="1"/>
    <col min="15108" max="15108" width="3.28515625" style="136" customWidth="1"/>
    <col min="15109" max="15109" width="1.7109375" style="136" customWidth="1"/>
    <col min="15110" max="15110" width="11.85546875" style="136" customWidth="1"/>
    <col min="15111" max="15111" width="3.28515625" style="136" customWidth="1"/>
    <col min="15112" max="15112" width="1.7109375" style="136" customWidth="1"/>
    <col min="15113" max="15113" width="11.85546875" style="136" customWidth="1"/>
    <col min="15114" max="15114" width="3.28515625" style="136" customWidth="1"/>
    <col min="15115" max="15115" width="21.140625" style="136" customWidth="1"/>
    <col min="15116" max="15360" width="11.42578125" style="136"/>
    <col min="15361" max="15361" width="13.28515625" style="136" customWidth="1"/>
    <col min="15362" max="15362" width="2.7109375" style="136" customWidth="1"/>
    <col min="15363" max="15363" width="13.28515625" style="136" customWidth="1"/>
    <col min="15364" max="15364" width="3.28515625" style="136" customWidth="1"/>
    <col min="15365" max="15365" width="1.7109375" style="136" customWidth="1"/>
    <col min="15366" max="15366" width="11.85546875" style="136" customWidth="1"/>
    <col min="15367" max="15367" width="3.28515625" style="136" customWidth="1"/>
    <col min="15368" max="15368" width="1.7109375" style="136" customWidth="1"/>
    <col min="15369" max="15369" width="11.85546875" style="136" customWidth="1"/>
    <col min="15370" max="15370" width="3.28515625" style="136" customWidth="1"/>
    <col min="15371" max="15371" width="21.140625" style="136" customWidth="1"/>
    <col min="15372" max="15616" width="11.42578125" style="136"/>
    <col min="15617" max="15617" width="13.28515625" style="136" customWidth="1"/>
    <col min="15618" max="15618" width="2.7109375" style="136" customWidth="1"/>
    <col min="15619" max="15619" width="13.28515625" style="136" customWidth="1"/>
    <col min="15620" max="15620" width="3.28515625" style="136" customWidth="1"/>
    <col min="15621" max="15621" width="1.7109375" style="136" customWidth="1"/>
    <col min="15622" max="15622" width="11.85546875" style="136" customWidth="1"/>
    <col min="15623" max="15623" width="3.28515625" style="136" customWidth="1"/>
    <col min="15624" max="15624" width="1.7109375" style="136" customWidth="1"/>
    <col min="15625" max="15625" width="11.85546875" style="136" customWidth="1"/>
    <col min="15626" max="15626" width="3.28515625" style="136" customWidth="1"/>
    <col min="15627" max="15627" width="21.140625" style="136" customWidth="1"/>
    <col min="15628" max="15872" width="11.42578125" style="136"/>
    <col min="15873" max="15873" width="13.28515625" style="136" customWidth="1"/>
    <col min="15874" max="15874" width="2.7109375" style="136" customWidth="1"/>
    <col min="15875" max="15875" width="13.28515625" style="136" customWidth="1"/>
    <col min="15876" max="15876" width="3.28515625" style="136" customWidth="1"/>
    <col min="15877" max="15877" width="1.7109375" style="136" customWidth="1"/>
    <col min="15878" max="15878" width="11.85546875" style="136" customWidth="1"/>
    <col min="15879" max="15879" width="3.28515625" style="136" customWidth="1"/>
    <col min="15880" max="15880" width="1.7109375" style="136" customWidth="1"/>
    <col min="15881" max="15881" width="11.85546875" style="136" customWidth="1"/>
    <col min="15882" max="15882" width="3.28515625" style="136" customWidth="1"/>
    <col min="15883" max="15883" width="21.140625" style="136" customWidth="1"/>
    <col min="15884" max="16128" width="11.42578125" style="136"/>
    <col min="16129" max="16129" width="13.28515625" style="136" customWidth="1"/>
    <col min="16130" max="16130" width="2.7109375" style="136" customWidth="1"/>
    <col min="16131" max="16131" width="13.28515625" style="136" customWidth="1"/>
    <col min="16132" max="16132" width="3.28515625" style="136" customWidth="1"/>
    <col min="16133" max="16133" width="1.7109375" style="136" customWidth="1"/>
    <col min="16134" max="16134" width="11.85546875" style="136" customWidth="1"/>
    <col min="16135" max="16135" width="3.28515625" style="136" customWidth="1"/>
    <col min="16136" max="16136" width="1.7109375" style="136" customWidth="1"/>
    <col min="16137" max="16137" width="11.85546875" style="136" customWidth="1"/>
    <col min="16138" max="16138" width="3.28515625" style="136" customWidth="1"/>
    <col min="16139" max="16139" width="21.140625" style="136" customWidth="1"/>
    <col min="16140" max="16384" width="11.42578125" style="136"/>
  </cols>
  <sheetData>
    <row r="1" spans="1:18" s="219" customFormat="1" x14ac:dyDescent="0.25">
      <c r="A1" s="685" t="s">
        <v>297</v>
      </c>
      <c r="B1" s="685"/>
      <c r="C1" s="685"/>
      <c r="D1" s="685"/>
      <c r="E1" s="685"/>
      <c r="F1" s="685"/>
      <c r="G1" s="685"/>
      <c r="H1" s="685"/>
      <c r="I1" s="685"/>
      <c r="J1" s="685"/>
      <c r="K1" s="685"/>
    </row>
    <row r="2" spans="1:18" s="219" customFormat="1" ht="12.6" customHeight="1" x14ac:dyDescent="0.25">
      <c r="A2" s="685"/>
      <c r="B2" s="685"/>
      <c r="C2" s="685"/>
      <c r="D2" s="685"/>
      <c r="E2" s="685"/>
      <c r="F2" s="685"/>
      <c r="G2" s="685"/>
      <c r="H2" s="685"/>
      <c r="I2" s="685"/>
      <c r="J2" s="685"/>
      <c r="K2" s="685"/>
    </row>
    <row r="3" spans="1:18" s="219" customFormat="1" ht="12.75" hidden="1" customHeight="1" x14ac:dyDescent="0.25">
      <c r="D3" s="259"/>
      <c r="E3" s="259"/>
      <c r="F3" s="259"/>
      <c r="G3" s="259"/>
      <c r="H3" s="259"/>
    </row>
    <row r="4" spans="1:18" s="219" customFormat="1" ht="12.2" customHeight="1" x14ac:dyDescent="0.3">
      <c r="A4" s="130"/>
      <c r="B4" s="130"/>
      <c r="C4" s="130"/>
      <c r="D4" s="130"/>
      <c r="E4" s="130"/>
      <c r="F4" s="130"/>
      <c r="G4" s="130"/>
      <c r="H4" s="130"/>
      <c r="I4" s="130"/>
      <c r="J4" s="130"/>
      <c r="K4" s="130"/>
    </row>
    <row r="5" spans="1:18" s="219" customFormat="1" ht="18.75" x14ac:dyDescent="0.3">
      <c r="A5" s="130"/>
      <c r="B5" s="130"/>
      <c r="C5" s="130"/>
      <c r="D5" s="130"/>
      <c r="E5" s="130"/>
      <c r="F5" s="130"/>
      <c r="G5" s="130"/>
      <c r="H5" s="130"/>
      <c r="I5" s="130"/>
      <c r="J5" s="130"/>
      <c r="K5" s="130"/>
    </row>
    <row r="6" spans="1:18" ht="18.75" x14ac:dyDescent="0.3">
      <c r="A6" s="130"/>
      <c r="B6" s="130"/>
      <c r="C6" s="130"/>
      <c r="D6" s="130"/>
      <c r="E6" s="130"/>
      <c r="F6" s="130"/>
      <c r="G6" s="130"/>
      <c r="H6" s="130"/>
      <c r="I6" s="130"/>
      <c r="J6" s="130"/>
      <c r="K6" s="130"/>
      <c r="L6" s="686"/>
      <c r="M6" s="686"/>
      <c r="N6" s="260"/>
      <c r="O6" s="260"/>
      <c r="P6" s="260"/>
    </row>
    <row r="7" spans="1:18" ht="18.75" x14ac:dyDescent="0.3">
      <c r="A7" s="272" t="s">
        <v>317</v>
      </c>
      <c r="B7" s="130"/>
      <c r="C7" s="688">
        <f>DONNEES!C7</f>
        <v>0</v>
      </c>
      <c r="D7" s="688"/>
      <c r="E7" s="688"/>
      <c r="F7" s="688"/>
      <c r="G7" s="688"/>
      <c r="H7" s="688"/>
      <c r="I7" s="688"/>
      <c r="J7" s="688"/>
      <c r="K7" s="688"/>
      <c r="L7" s="687"/>
      <c r="M7" s="687"/>
      <c r="N7" s="687"/>
      <c r="O7" s="687"/>
      <c r="P7" s="687"/>
      <c r="Q7" s="687"/>
      <c r="R7" s="687"/>
    </row>
    <row r="8" spans="1:18" s="261" customFormat="1" ht="15.75" customHeight="1" x14ac:dyDescent="0.3">
      <c r="A8" s="130"/>
      <c r="B8" s="130"/>
      <c r="C8" s="130"/>
      <c r="D8" s="130"/>
      <c r="E8" s="130"/>
      <c r="F8" s="130"/>
      <c r="G8" s="130"/>
      <c r="H8" s="130"/>
      <c r="I8" s="130"/>
      <c r="J8" s="130"/>
      <c r="K8" s="130"/>
      <c r="L8" s="262"/>
      <c r="M8" s="263"/>
      <c r="N8" s="263"/>
      <c r="O8" s="263"/>
      <c r="P8" s="263"/>
      <c r="Q8" s="263"/>
      <c r="R8" s="263"/>
    </row>
    <row r="9" spans="1:18" ht="9" customHeight="1" thickBot="1" x14ac:dyDescent="0.35">
      <c r="A9" s="130"/>
      <c r="B9" s="130"/>
      <c r="C9" s="130"/>
      <c r="D9" s="130"/>
      <c r="E9" s="130"/>
      <c r="F9" s="130"/>
      <c r="G9" s="130"/>
      <c r="H9" s="130"/>
      <c r="I9" s="130"/>
      <c r="J9" s="130"/>
      <c r="K9" s="130"/>
    </row>
    <row r="10" spans="1:18" s="219" customFormat="1" ht="14.1" customHeight="1" thickTop="1" x14ac:dyDescent="0.25">
      <c r="A10" s="660" t="s">
        <v>298</v>
      </c>
      <c r="B10" s="661"/>
      <c r="C10" s="661"/>
      <c r="D10" s="661"/>
      <c r="E10" s="661"/>
      <c r="F10" s="661"/>
      <c r="G10" s="661"/>
      <c r="H10" s="661"/>
      <c r="I10" s="661"/>
      <c r="J10" s="661"/>
      <c r="K10" s="662"/>
    </row>
    <row r="11" spans="1:18" s="268" customFormat="1" ht="6" customHeight="1" x14ac:dyDescent="0.2">
      <c r="A11" s="264"/>
      <c r="B11" s="357"/>
      <c r="C11" s="357"/>
      <c r="D11" s="266"/>
      <c r="E11" s="266"/>
      <c r="F11" s="266"/>
      <c r="G11" s="266"/>
      <c r="H11" s="266"/>
      <c r="I11" s="357"/>
      <c r="J11" s="357"/>
      <c r="K11" s="358"/>
    </row>
    <row r="12" spans="1:18" s="268" customFormat="1" x14ac:dyDescent="0.2">
      <c r="A12" s="270"/>
      <c r="B12" s="269"/>
      <c r="C12" s="269" t="s">
        <v>299</v>
      </c>
      <c r="D12" s="383"/>
      <c r="E12" s="266"/>
      <c r="F12" s="266" t="s">
        <v>300</v>
      </c>
      <c r="G12" s="383"/>
      <c r="H12" s="266"/>
      <c r="I12" s="357" t="s">
        <v>301</v>
      </c>
      <c r="J12" s="383"/>
      <c r="K12" s="358"/>
    </row>
    <row r="13" spans="1:18" s="271" customFormat="1" ht="18.75" x14ac:dyDescent="0.3">
      <c r="A13" s="270"/>
      <c r="B13" s="130"/>
      <c r="C13" s="269" t="s">
        <v>439</v>
      </c>
      <c r="D13" s="383"/>
      <c r="E13" s="130"/>
      <c r="F13" s="130"/>
      <c r="G13" s="130"/>
      <c r="H13" s="130"/>
      <c r="I13" s="130"/>
      <c r="J13" s="130"/>
      <c r="K13" s="358"/>
    </row>
    <row r="14" spans="1:18" s="268" customFormat="1" x14ac:dyDescent="0.2">
      <c r="A14" s="272" t="s">
        <v>302</v>
      </c>
      <c r="B14" s="273"/>
      <c r="C14" s="689" t="str">
        <f>IF(D12="OUI",DONNEES!C5,IF(J12="OUI",DONNEES!C6,""))</f>
        <v/>
      </c>
      <c r="D14" s="689"/>
      <c r="E14" s="689"/>
      <c r="F14" s="689"/>
      <c r="G14" s="689"/>
      <c r="H14" s="689"/>
      <c r="I14" s="689"/>
      <c r="J14" s="689"/>
      <c r="K14" s="690"/>
    </row>
    <row r="15" spans="1:18" s="279" customFormat="1" ht="6" customHeight="1" thickBot="1" x14ac:dyDescent="0.25">
      <c r="A15" s="274"/>
      <c r="B15" s="275"/>
      <c r="C15" s="276"/>
      <c r="D15" s="277"/>
      <c r="E15" s="277"/>
      <c r="F15" s="277"/>
      <c r="G15" s="277"/>
      <c r="H15" s="277"/>
      <c r="I15" s="275"/>
      <c r="J15" s="275"/>
      <c r="K15" s="278"/>
    </row>
    <row r="16" spans="1:18" ht="9" customHeight="1" thickTop="1" thickBot="1" x14ac:dyDescent="0.25"/>
    <row r="17" spans="1:13" s="219" customFormat="1" ht="14.1" customHeight="1" thickTop="1" x14ac:dyDescent="0.25">
      <c r="A17" s="660" t="s">
        <v>303</v>
      </c>
      <c r="B17" s="661"/>
      <c r="C17" s="661"/>
      <c r="D17" s="661"/>
      <c r="E17" s="661"/>
      <c r="F17" s="661"/>
      <c r="G17" s="661"/>
      <c r="H17" s="661"/>
      <c r="I17" s="661"/>
      <c r="J17" s="661"/>
      <c r="K17" s="662"/>
    </row>
    <row r="18" spans="1:13" ht="6" customHeight="1" x14ac:dyDescent="0.2">
      <c r="A18" s="666"/>
      <c r="B18" s="667"/>
      <c r="C18" s="667"/>
      <c r="D18" s="667"/>
      <c r="E18" s="667"/>
      <c r="F18" s="667"/>
      <c r="G18" s="667"/>
      <c r="H18" s="667"/>
      <c r="I18" s="667"/>
      <c r="J18" s="667"/>
      <c r="K18" s="668"/>
    </row>
    <row r="19" spans="1:13" x14ac:dyDescent="0.2">
      <c r="A19" s="669">
        <f>DONNEES!C4</f>
        <v>0</v>
      </c>
      <c r="B19" s="670"/>
      <c r="C19" s="670"/>
      <c r="D19" s="670"/>
      <c r="E19" s="670"/>
      <c r="F19" s="670"/>
      <c r="G19" s="670"/>
      <c r="H19" s="670"/>
      <c r="I19" s="670"/>
      <c r="J19" s="670"/>
      <c r="K19" s="671"/>
    </row>
    <row r="20" spans="1:13" ht="6" customHeight="1" thickBot="1" x14ac:dyDescent="0.25">
      <c r="A20" s="280"/>
      <c r="B20" s="281"/>
      <c r="C20" s="281"/>
      <c r="D20" s="282"/>
      <c r="E20" s="282"/>
      <c r="F20" s="282"/>
      <c r="G20" s="282"/>
      <c r="H20" s="282"/>
      <c r="I20" s="281"/>
      <c r="J20" s="281"/>
      <c r="K20" s="283"/>
    </row>
    <row r="21" spans="1:13" ht="9" customHeight="1" thickTop="1" thickBot="1" x14ac:dyDescent="0.25"/>
    <row r="22" spans="1:13" ht="14.1" customHeight="1" thickTop="1" x14ac:dyDescent="0.2">
      <c r="A22" s="657" t="s">
        <v>304</v>
      </c>
      <c r="B22" s="658"/>
      <c r="C22" s="658"/>
      <c r="D22" s="658"/>
      <c r="E22" s="658"/>
      <c r="F22" s="658"/>
      <c r="G22" s="658"/>
      <c r="H22" s="658"/>
      <c r="I22" s="658"/>
      <c r="J22" s="658"/>
      <c r="K22" s="659"/>
    </row>
    <row r="23" spans="1:13" s="268" customFormat="1" ht="12" customHeight="1" x14ac:dyDescent="0.2">
      <c r="A23" s="270"/>
      <c r="B23" s="265"/>
      <c r="C23" s="360" t="s">
        <v>333</v>
      </c>
      <c r="D23" s="360" t="s">
        <v>334</v>
      </c>
      <c r="E23" s="265"/>
      <c r="F23" s="265"/>
      <c r="G23" s="265"/>
      <c r="H23" s="265"/>
      <c r="I23" s="265"/>
      <c r="J23" s="265"/>
      <c r="K23" s="267"/>
    </row>
    <row r="24" spans="1:13" x14ac:dyDescent="0.2">
      <c r="A24" s="672" t="s">
        <v>305</v>
      </c>
      <c r="B24" s="673"/>
      <c r="C24" s="436"/>
      <c r="D24" s="436"/>
      <c r="E24" s="329"/>
      <c r="F24" s="329"/>
      <c r="G24" s="286"/>
      <c r="H24" s="286"/>
      <c r="I24" s="287"/>
      <c r="J24" s="288"/>
      <c r="K24" s="289"/>
    </row>
    <row r="25" spans="1:13" ht="5.45" customHeight="1" thickBot="1" x14ac:dyDescent="0.25">
      <c r="A25" s="284"/>
      <c r="B25" s="168"/>
      <c r="C25" s="168"/>
      <c r="D25" s="168"/>
      <c r="E25" s="168"/>
      <c r="F25" s="285"/>
      <c r="G25" s="286"/>
      <c r="H25" s="286"/>
      <c r="I25" s="287"/>
      <c r="J25" s="288"/>
      <c r="K25" s="289"/>
    </row>
    <row r="26" spans="1:13" s="219" customFormat="1" ht="13.5" thickTop="1" x14ac:dyDescent="0.25">
      <c r="A26" s="660" t="s">
        <v>306</v>
      </c>
      <c r="B26" s="661"/>
      <c r="C26" s="661"/>
      <c r="D26" s="661"/>
      <c r="E26" s="661"/>
      <c r="F26" s="661"/>
      <c r="G26" s="661"/>
      <c r="H26" s="661"/>
      <c r="I26" s="661"/>
      <c r="J26" s="661"/>
      <c r="K26" s="662"/>
    </row>
    <row r="27" spans="1:13" s="290" customFormat="1" ht="42.2" customHeight="1" thickBot="1" x14ac:dyDescent="0.25">
      <c r="A27" s="681" t="s">
        <v>318</v>
      </c>
      <c r="B27" s="682"/>
      <c r="C27" s="682"/>
      <c r="D27" s="680"/>
      <c r="E27" s="680"/>
      <c r="F27" s="680"/>
      <c r="G27" s="680"/>
      <c r="H27" s="680"/>
      <c r="I27" s="330" t="s">
        <v>319</v>
      </c>
      <c r="J27" s="330"/>
      <c r="K27" s="331"/>
    </row>
    <row r="28" spans="1:13" s="219" customFormat="1" ht="14.1" customHeight="1" thickTop="1" x14ac:dyDescent="0.25">
      <c r="A28" s="660" t="s">
        <v>307</v>
      </c>
      <c r="B28" s="661"/>
      <c r="C28" s="661"/>
      <c r="D28" s="661"/>
      <c r="E28" s="661"/>
      <c r="F28" s="661"/>
      <c r="G28" s="661"/>
      <c r="H28" s="661"/>
      <c r="I28" s="661"/>
      <c r="J28" s="661"/>
      <c r="K28" s="662"/>
    </row>
    <row r="29" spans="1:13" s="294" customFormat="1" ht="14.25" customHeight="1" x14ac:dyDescent="0.25">
      <c r="A29" s="291"/>
      <c r="B29" s="292"/>
      <c r="C29" s="292"/>
      <c r="D29" s="292"/>
      <c r="E29" s="292"/>
      <c r="F29" s="292"/>
      <c r="G29" s="292"/>
      <c r="H29" s="292"/>
      <c r="I29" s="292"/>
      <c r="J29" s="292"/>
      <c r="K29" s="293"/>
      <c r="M29" s="332">
        <f>SUM(D30+F30+D31+D32+D33+F31+F32+F33)</f>
        <v>0</v>
      </c>
    </row>
    <row r="30" spans="1:13" s="294" customFormat="1" ht="25.5" customHeight="1" x14ac:dyDescent="0.25">
      <c r="A30" s="674" t="s">
        <v>441</v>
      </c>
      <c r="B30" s="675"/>
      <c r="C30" s="675"/>
      <c r="D30" s="524" t="str">
        <f>IF(AND(C14=DONNEES!C5,D13="Ferme",DONNEES!F35="OUI"),DONNEES!P37,IF(AND(C14=DONNEES!C6,D13="Ferme",DONNEES!F35="OUI"),DONNEES!P47,"0€"))</f>
        <v>0€</v>
      </c>
      <c r="E30" s="525"/>
      <c r="F30" s="526" t="str">
        <f>IF(AND(C14=DONNEES!C5,D13="Ferme",DONNEES!F35="OUI"),DONNEES!Q37,IF(AND(C14=DONNEES!C6,D13="Ferme",DONNEES!F35="OUI"),DONNEES!Q47,"0€"))</f>
        <v>0€</v>
      </c>
      <c r="G30" s="295"/>
      <c r="H30" s="296"/>
      <c r="J30" s="297"/>
      <c r="K30" s="298"/>
    </row>
    <row r="31" spans="1:13" s="294" customFormat="1" ht="25.5" hidden="1" customHeight="1" outlineLevel="1" x14ac:dyDescent="0.25">
      <c r="A31" s="674" t="s">
        <v>442</v>
      </c>
      <c r="B31" s="675"/>
      <c r="C31" s="675"/>
      <c r="D31" s="525" t="str">
        <f>IF(AND(C14=DONNEES!C5,D13="TO1",DONNEES!F57="OUI"),DONNEES!P60,IF(AND(C14=DONNEES!C6,D13="TO1",DONNEES!F57="OUI"),DONNEES!P69,"0€"))</f>
        <v>0€</v>
      </c>
      <c r="E31" s="525"/>
      <c r="F31" s="525" t="str">
        <f>IF(AND(C14=DONNEES!C5,D13="TO1",DONNEES!F57="OUI"),DONNEES!Q60,IF(AND(C14=DONNEES!C6,D13="TO1",DONNEES!F57="OUI"),DONNEES!Q69,"0€"))</f>
        <v>0€</v>
      </c>
      <c r="G31" s="295"/>
      <c r="H31" s="296"/>
      <c r="J31" s="297"/>
      <c r="K31" s="298"/>
    </row>
    <row r="32" spans="1:13" s="294" customFormat="1" ht="25.5" hidden="1" customHeight="1" outlineLevel="1" x14ac:dyDescent="0.25">
      <c r="A32" s="674" t="s">
        <v>443</v>
      </c>
      <c r="B32" s="675"/>
      <c r="C32" s="675"/>
      <c r="D32" s="486" t="str">
        <f>IF(AND(C14=DONNEES!C5,D13="TO2",DONNEES!F79="OUI"),DONNEES!P81,IF(AND(C14=DONNEES!C6,D13="TO2",DONNEES!F79="OUI"),DONNEES!P91,"0€"))</f>
        <v>0€</v>
      </c>
      <c r="E32" s="487"/>
      <c r="F32" s="488" t="str">
        <f>IF(AND(C14=DONNEES!C5,D13="TO2",DONNEES!F79="OUI"),DONNEES!Q81,IF(AND(C14=DONNEES!C6,D13="TO2",DONNEES!F79="OUI"),DONNEES!Q91,"0€"))</f>
        <v>0€</v>
      </c>
      <c r="G32" s="295"/>
      <c r="H32" s="296"/>
      <c r="J32" s="297"/>
      <c r="K32" s="298"/>
    </row>
    <row r="33" spans="1:12" s="294" customFormat="1" ht="25.5" hidden="1" customHeight="1" outlineLevel="1" x14ac:dyDescent="0.25">
      <c r="A33" s="674" t="s">
        <v>444</v>
      </c>
      <c r="B33" s="675"/>
      <c r="C33" s="675"/>
      <c r="D33" s="486" t="str">
        <f>IF(AND(C14=DONNEES!C5,D13="TO3",DONNEES!F101="OUI"),DONNEES!P103,IF(AND(C14=DONNEES!C6,D13="TO3",DONNEES!F101="OUI"),DONNEES!P113,"0€"))</f>
        <v>0€</v>
      </c>
      <c r="E33" s="487"/>
      <c r="F33" s="488" t="str">
        <f>IF(AND(C14=DONNEES!C5,D13="TO3",DONNEES!F101="OUI"),DONNEES!Q103,IF(AND(C14=DONNEES!C6,D13="TO3",DONNEES!F101="OUI"),DONNEES!Q113,"0€"))</f>
        <v>0€</v>
      </c>
      <c r="G33" s="295"/>
      <c r="H33" s="296"/>
      <c r="J33" s="297"/>
      <c r="K33" s="298"/>
    </row>
    <row r="34" spans="1:12" s="219" customFormat="1" collapsed="1" x14ac:dyDescent="0.25">
      <c r="A34" s="674" t="s">
        <v>308</v>
      </c>
      <c r="B34" s="675"/>
      <c r="C34" s="675"/>
      <c r="D34" s="489">
        <f>DONNEES!C17</f>
        <v>0</v>
      </c>
      <c r="E34" s="490"/>
      <c r="F34" s="491">
        <f>DONNEES!E17</f>
        <v>0</v>
      </c>
      <c r="G34" s="295"/>
      <c r="H34" s="296"/>
      <c r="J34" s="299"/>
      <c r="K34" s="298"/>
      <c r="L34" s="300"/>
    </row>
    <row r="35" spans="1:12" s="219" customFormat="1" ht="25.5" customHeight="1" x14ac:dyDescent="0.25">
      <c r="A35" s="674" t="s">
        <v>309</v>
      </c>
      <c r="B35" s="675"/>
      <c r="C35" s="675"/>
      <c r="D35" s="683" t="str">
        <f>IF(AND(M29&gt;=0,M29&lt;25000),"0",IF(AND(M29&gt;=25000,M29&lt;=149999),"30%",IF(AND(M29&gt;149999,M29&lt;=999999),"25%","20%")))</f>
        <v>0</v>
      </c>
      <c r="E35" s="683"/>
      <c r="F35" s="683"/>
      <c r="G35" s="305"/>
      <c r="H35" s="306"/>
      <c r="J35" s="305"/>
      <c r="K35" s="298"/>
    </row>
    <row r="36" spans="1:12" s="219" customFormat="1" ht="22.5" customHeight="1" x14ac:dyDescent="0.25">
      <c r="A36" s="674" t="s">
        <v>320</v>
      </c>
      <c r="B36" s="675"/>
      <c r="C36" s="675"/>
      <c r="D36" s="684">
        <f>DONNEES!C10</f>
        <v>0</v>
      </c>
      <c r="E36" s="684"/>
      <c r="F36" s="684"/>
      <c r="G36" s="305"/>
      <c r="H36" s="306"/>
      <c r="K36" s="298"/>
    </row>
    <row r="37" spans="1:12" s="219" customFormat="1" x14ac:dyDescent="0.25">
      <c r="A37" s="291"/>
      <c r="B37" s="305"/>
      <c r="C37" s="303"/>
      <c r="D37" s="306"/>
      <c r="E37" s="306"/>
      <c r="F37" s="306"/>
      <c r="G37" s="305"/>
      <c r="H37" s="306"/>
      <c r="I37" s="307"/>
      <c r="J37" s="305"/>
      <c r="K37" s="298"/>
    </row>
    <row r="38" spans="1:12" s="219" customFormat="1" x14ac:dyDescent="0.2">
      <c r="A38" s="663"/>
      <c r="B38" s="664"/>
      <c r="C38" s="664"/>
      <c r="D38" s="664"/>
      <c r="E38" s="664"/>
      <c r="F38" s="664"/>
      <c r="G38" s="664"/>
      <c r="H38" s="664"/>
      <c r="I38" s="664"/>
      <c r="J38" s="664"/>
      <c r="K38" s="665"/>
    </row>
    <row r="39" spans="1:12" s="219" customFormat="1" x14ac:dyDescent="0.2">
      <c r="A39" s="663"/>
      <c r="B39" s="664"/>
      <c r="C39" s="664"/>
      <c r="D39" s="664"/>
      <c r="E39" s="664"/>
      <c r="F39" s="664"/>
      <c r="G39" s="664"/>
      <c r="H39" s="664"/>
      <c r="I39" s="664"/>
      <c r="J39" s="664"/>
      <c r="K39" s="665"/>
    </row>
    <row r="40" spans="1:12" s="219" customFormat="1" x14ac:dyDescent="0.2">
      <c r="A40" s="308"/>
      <c r="B40" s="309"/>
      <c r="C40" s="309"/>
      <c r="D40" s="309"/>
      <c r="E40" s="309"/>
      <c r="F40" s="309"/>
      <c r="G40" s="309"/>
      <c r="H40" s="309"/>
      <c r="I40" s="309"/>
      <c r="J40" s="309"/>
      <c r="K40" s="310"/>
    </row>
    <row r="41" spans="1:12" s="219" customFormat="1" x14ac:dyDescent="0.25">
      <c r="A41" s="304"/>
      <c r="B41" s="305"/>
      <c r="C41" s="306" t="s">
        <v>310</v>
      </c>
      <c r="D41" s="306"/>
      <c r="E41" s="306"/>
      <c r="F41" s="306"/>
      <c r="G41" s="305"/>
      <c r="H41" s="306"/>
      <c r="I41" s="437">
        <f>IF(D36&lt;=12,(M29*D35),((M29*D35)*(12/D36)))</f>
        <v>0</v>
      </c>
      <c r="J41" s="305"/>
      <c r="K41" s="298"/>
    </row>
    <row r="42" spans="1:12" s="219" customFormat="1" x14ac:dyDescent="0.25">
      <c r="A42" s="304"/>
      <c r="B42" s="305"/>
      <c r="C42" s="306"/>
      <c r="D42" s="306"/>
      <c r="E42" s="306"/>
      <c r="F42" s="306"/>
      <c r="G42" s="305"/>
      <c r="H42" s="306"/>
      <c r="I42" s="305"/>
      <c r="J42" s="305"/>
      <c r="K42" s="298"/>
    </row>
    <row r="43" spans="1:12" s="219" customFormat="1" x14ac:dyDescent="0.25">
      <c r="A43" s="301"/>
      <c r="B43" s="302"/>
      <c r="C43" s="303" t="s">
        <v>311</v>
      </c>
      <c r="D43" s="303"/>
      <c r="E43" s="303"/>
      <c r="F43" s="303"/>
      <c r="G43" s="302"/>
      <c r="H43" s="303"/>
      <c r="I43" s="527"/>
      <c r="J43" s="312"/>
      <c r="K43" s="298"/>
    </row>
    <row r="44" spans="1:12" s="219" customFormat="1" x14ac:dyDescent="0.25">
      <c r="A44" s="301"/>
      <c r="B44" s="302"/>
      <c r="C44" s="303"/>
      <c r="D44" s="303"/>
      <c r="E44" s="303"/>
      <c r="F44" s="303"/>
      <c r="G44" s="302"/>
      <c r="H44" s="303"/>
      <c r="I44" s="311"/>
      <c r="J44" s="312"/>
      <c r="K44" s="298"/>
    </row>
    <row r="45" spans="1:12" s="219" customFormat="1" x14ac:dyDescent="0.25">
      <c r="A45" s="301"/>
      <c r="B45" s="302"/>
      <c r="C45" s="303" t="s">
        <v>312</v>
      </c>
      <c r="D45" s="303"/>
      <c r="E45" s="303"/>
      <c r="F45" s="303"/>
      <c r="G45" s="302"/>
      <c r="H45" s="303"/>
      <c r="I45" s="437">
        <f>M29-I43</f>
        <v>0</v>
      </c>
      <c r="J45" s="312"/>
      <c r="K45" s="298"/>
    </row>
    <row r="46" spans="1:12" s="219" customFormat="1" x14ac:dyDescent="0.25">
      <c r="A46" s="301"/>
      <c r="B46" s="302"/>
      <c r="C46" s="303" t="s">
        <v>313</v>
      </c>
      <c r="D46" s="303"/>
      <c r="E46" s="303"/>
      <c r="F46" s="303"/>
      <c r="G46" s="302"/>
      <c r="H46" s="303"/>
      <c r="I46" s="437">
        <f>IF(D36&lt;=12,I45*D35,I45*D35*(12/D36))</f>
        <v>0</v>
      </c>
      <c r="J46" s="312"/>
      <c r="K46" s="298"/>
    </row>
    <row r="47" spans="1:12" s="219" customFormat="1" x14ac:dyDescent="0.25">
      <c r="A47" s="301"/>
      <c r="B47" s="302"/>
      <c r="C47" s="303"/>
      <c r="D47" s="303"/>
      <c r="E47" s="303"/>
      <c r="F47" s="303"/>
      <c r="G47" s="302"/>
      <c r="H47" s="303"/>
      <c r="I47" s="313"/>
      <c r="J47" s="312"/>
      <c r="K47" s="298"/>
    </row>
    <row r="48" spans="1:12" s="219" customFormat="1" x14ac:dyDescent="0.25">
      <c r="A48" s="301"/>
      <c r="B48" s="302"/>
      <c r="C48" s="303"/>
      <c r="D48" s="303"/>
      <c r="E48" s="303"/>
      <c r="F48" s="303"/>
      <c r="G48" s="302"/>
      <c r="H48" s="303"/>
      <c r="I48" s="313"/>
      <c r="J48" s="312"/>
      <c r="K48" s="298"/>
    </row>
    <row r="49" spans="1:11" ht="13.5" thickBot="1" x14ac:dyDescent="0.25">
      <c r="A49" s="314"/>
      <c r="B49" s="315"/>
      <c r="C49" s="316"/>
      <c r="D49" s="317"/>
      <c r="E49" s="317"/>
      <c r="F49" s="317"/>
      <c r="G49" s="318"/>
      <c r="H49" s="317"/>
      <c r="I49" s="319"/>
      <c r="J49" s="320"/>
      <c r="K49" s="321"/>
    </row>
    <row r="50" spans="1:11" ht="14.25" thickTop="1" thickBot="1" x14ac:dyDescent="0.25">
      <c r="A50" s="322"/>
      <c r="B50" s="322"/>
      <c r="C50" s="303"/>
      <c r="D50" s="323"/>
      <c r="E50" s="323"/>
      <c r="F50" s="323"/>
      <c r="G50" s="302"/>
      <c r="H50" s="323"/>
      <c r="I50" s="324"/>
      <c r="J50" s="325"/>
      <c r="K50" s="326"/>
    </row>
    <row r="51" spans="1:11" s="219" customFormat="1" ht="17.25" thickTop="1" thickBot="1" x14ac:dyDescent="0.3">
      <c r="A51" s="676" t="s">
        <v>314</v>
      </c>
      <c r="B51" s="677"/>
      <c r="C51" s="677"/>
      <c r="D51" s="677"/>
      <c r="E51" s="677"/>
      <c r="F51" s="677"/>
      <c r="G51" s="677"/>
      <c r="H51" s="677"/>
      <c r="I51" s="677"/>
      <c r="J51" s="678"/>
      <c r="K51" s="327">
        <f>I41-I46</f>
        <v>0</v>
      </c>
    </row>
    <row r="52" spans="1:11" ht="13.5" thickTop="1" x14ac:dyDescent="0.2">
      <c r="A52" s="328"/>
    </row>
    <row r="53" spans="1:11" x14ac:dyDescent="0.2">
      <c r="A53" s="136" t="s">
        <v>315</v>
      </c>
      <c r="D53" s="136"/>
    </row>
    <row r="54" spans="1:11" x14ac:dyDescent="0.2">
      <c r="A54" s="679" t="s">
        <v>316</v>
      </c>
      <c r="B54" s="679"/>
      <c r="C54" s="679"/>
      <c r="D54" s="679"/>
    </row>
  </sheetData>
  <sheetProtection algorithmName="SHA-512" hashValue="uzZIB4z1doW86+C4jltTdKtHztnzamUp64re2VplPZTzwMtqTrLdc9bLZRWtrMlp/J9T65H1QXYr11Y46wipXw==" saltValue="htixWuDWUol9+K4qik0amQ==" spinCount="100000" sheet="1" objects="1" scenarios="1" autoFilter="0"/>
  <mergeCells count="28">
    <mergeCell ref="A1:K2"/>
    <mergeCell ref="L6:M6"/>
    <mergeCell ref="L7:R7"/>
    <mergeCell ref="C7:K7"/>
    <mergeCell ref="C14:K14"/>
    <mergeCell ref="A39:K39"/>
    <mergeCell ref="A51:J51"/>
    <mergeCell ref="A54:D54"/>
    <mergeCell ref="D27:H27"/>
    <mergeCell ref="A27:C27"/>
    <mergeCell ref="D35:F35"/>
    <mergeCell ref="D36:F36"/>
    <mergeCell ref="A30:C30"/>
    <mergeCell ref="A34:C34"/>
    <mergeCell ref="A35:C35"/>
    <mergeCell ref="A36:C36"/>
    <mergeCell ref="A22:K22"/>
    <mergeCell ref="A26:K26"/>
    <mergeCell ref="A28:K28"/>
    <mergeCell ref="A38:K38"/>
    <mergeCell ref="A10:K10"/>
    <mergeCell ref="A17:K17"/>
    <mergeCell ref="A18:K18"/>
    <mergeCell ref="A19:K19"/>
    <mergeCell ref="A24:B24"/>
    <mergeCell ref="A31:C31"/>
    <mergeCell ref="A32:C32"/>
    <mergeCell ref="A33:C33"/>
  </mergeCells>
  <pageMargins left="0.70866141732283472" right="0.70866141732283472" top="0.74803149606299213" bottom="0.74803149606299213" header="0.31496062992125984" footer="0.31496062992125984"/>
  <pageSetup paperSize="9" scale="83" fitToHeight="0" orientation="portrait" r:id="rId1"/>
  <headerFooter>
    <oddHeader>&amp;L&amp;G</oddHeader>
  </headerFooter>
  <legacy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LISTES!$H$1:$H$2</xm:f>
          </x14:formula1>
          <xm:sqref>J12 G12 D12</xm:sqref>
        </x14:dataValidation>
        <x14:dataValidation type="list" allowBlank="1" showInputMessage="1" showErrorMessage="1">
          <x14:formula1>
            <xm:f>LISTES!$E$35:$E$38</xm:f>
          </x14:formula1>
          <xm:sqref>D13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4"/>
    <pageSetUpPr fitToPage="1"/>
  </sheetPr>
  <dimension ref="A1:AS177"/>
  <sheetViews>
    <sheetView topLeftCell="A13" zoomScale="80" zoomScaleNormal="80" workbookViewId="0">
      <selection activeCell="I35" sqref="I35:J35"/>
    </sheetView>
  </sheetViews>
  <sheetFormatPr baseColWidth="10" defaultRowHeight="18" customHeight="1" x14ac:dyDescent="0.3"/>
  <cols>
    <col min="1" max="1" width="5.5703125" style="9" bestFit="1" customWidth="1"/>
    <col min="2" max="2" width="42.42578125" style="10" customWidth="1"/>
    <col min="3" max="3" width="17.42578125" style="10" customWidth="1"/>
    <col min="4" max="4" width="19.5703125" style="10" customWidth="1"/>
    <col min="5" max="5" width="17.5703125" style="10" customWidth="1"/>
    <col min="6" max="6" width="18.28515625" style="10" customWidth="1"/>
    <col min="7" max="7" width="17.7109375" style="10" customWidth="1"/>
    <col min="8" max="8" width="24.85546875" style="10" customWidth="1"/>
    <col min="9" max="9" width="17.85546875" style="10" bestFit="1" customWidth="1"/>
    <col min="10" max="10" width="17.85546875" style="10" customWidth="1"/>
    <col min="11" max="11" width="11.42578125" style="21"/>
    <col min="12" max="12" width="6.140625" style="21" customWidth="1"/>
    <col min="13" max="45" width="11.42578125" style="21"/>
    <col min="46" max="16384" width="11.42578125" style="10"/>
  </cols>
  <sheetData>
    <row r="1" spans="1:10" ht="18" customHeight="1" x14ac:dyDescent="0.3">
      <c r="A1" s="21"/>
      <c r="B1" s="21"/>
      <c r="C1" s="11" t="s">
        <v>0</v>
      </c>
      <c r="D1" s="11"/>
      <c r="E1" s="424"/>
      <c r="F1" s="21"/>
      <c r="G1" s="21"/>
      <c r="H1" s="21"/>
      <c r="I1" s="21"/>
      <c r="J1" s="21"/>
    </row>
    <row r="2" spans="1:10" ht="18" customHeight="1" x14ac:dyDescent="0.3">
      <c r="A2" s="21"/>
      <c r="B2" s="21"/>
      <c r="C2" s="11" t="s">
        <v>72</v>
      </c>
      <c r="D2" s="580">
        <f>DONNEES!C2</f>
        <v>0</v>
      </c>
      <c r="E2" s="580"/>
      <c r="F2" s="580"/>
      <c r="G2" s="580"/>
      <c r="H2" s="580"/>
      <c r="I2" s="580"/>
      <c r="J2" s="21"/>
    </row>
    <row r="3" spans="1:10" ht="18" customHeight="1" x14ac:dyDescent="0.3">
      <c r="A3" s="21"/>
      <c r="B3" s="21"/>
      <c r="C3" s="11" t="s">
        <v>2</v>
      </c>
      <c r="D3" s="692">
        <f>DONNEES!C3</f>
        <v>0</v>
      </c>
      <c r="E3" s="692"/>
      <c r="F3" s="692"/>
      <c r="G3" s="692"/>
      <c r="H3" s="692"/>
      <c r="I3" s="692"/>
      <c r="J3" s="21"/>
    </row>
    <row r="4" spans="1:10" ht="18" customHeight="1" x14ac:dyDescent="0.3">
      <c r="A4" s="21"/>
      <c r="B4" s="21"/>
      <c r="C4" s="11" t="s">
        <v>272</v>
      </c>
      <c r="D4" s="692">
        <f>DONNEES!C6</f>
        <v>2</v>
      </c>
      <c r="E4" s="692"/>
      <c r="F4" s="692"/>
      <c r="G4" s="692"/>
      <c r="H4" s="692"/>
      <c r="I4" s="692"/>
      <c r="J4" s="21"/>
    </row>
    <row r="5" spans="1:10" ht="18" customHeight="1" x14ac:dyDescent="0.3">
      <c r="A5" s="21"/>
      <c r="B5" s="21"/>
      <c r="C5" s="11" t="s">
        <v>4</v>
      </c>
      <c r="D5" s="692">
        <f>DONNEES!C7</f>
        <v>0</v>
      </c>
      <c r="E5" s="692"/>
      <c r="F5" s="692"/>
      <c r="G5" s="692"/>
      <c r="H5" s="692"/>
      <c r="I5" s="692"/>
      <c r="J5" s="21"/>
    </row>
    <row r="6" spans="1:10" ht="18" customHeight="1" x14ac:dyDescent="0.3">
      <c r="A6" s="21"/>
      <c r="B6" s="21"/>
      <c r="C6" s="11" t="s">
        <v>5</v>
      </c>
      <c r="D6" s="692">
        <f>DONNEES!C8</f>
        <v>0</v>
      </c>
      <c r="E6" s="692"/>
      <c r="F6" s="692"/>
      <c r="G6" s="692"/>
      <c r="H6" s="692"/>
      <c r="I6" s="692"/>
      <c r="J6" s="21"/>
    </row>
    <row r="7" spans="1:10" ht="18" customHeight="1" x14ac:dyDescent="0.3">
      <c r="A7" s="21"/>
      <c r="B7" s="21"/>
      <c r="C7" s="11" t="s">
        <v>6</v>
      </c>
      <c r="D7" s="11"/>
      <c r="E7" s="401" t="s">
        <v>42</v>
      </c>
      <c r="F7" s="126" t="s">
        <v>49</v>
      </c>
      <c r="G7" s="401">
        <v>2018</v>
      </c>
      <c r="I7" s="21"/>
      <c r="J7" s="21"/>
    </row>
    <row r="8" spans="1:10" ht="18" customHeight="1" x14ac:dyDescent="0.3">
      <c r="A8" s="21"/>
      <c r="B8" s="21"/>
      <c r="C8" s="21"/>
      <c r="D8" s="21"/>
      <c r="E8" s="21"/>
      <c r="F8" s="21"/>
      <c r="G8" s="15"/>
      <c r="H8" s="14"/>
      <c r="I8" s="21"/>
      <c r="J8" s="21"/>
    </row>
    <row r="9" spans="1:10" ht="18" customHeight="1" x14ac:dyDescent="0.3">
      <c r="B9" s="691" t="s">
        <v>7</v>
      </c>
      <c r="C9" s="691"/>
      <c r="D9" s="691"/>
      <c r="E9" s="21"/>
      <c r="F9" s="21"/>
      <c r="G9" s="597" t="s">
        <v>33</v>
      </c>
      <c r="H9" s="597"/>
      <c r="I9" s="597"/>
      <c r="J9" s="597"/>
    </row>
    <row r="10" spans="1:10" ht="18" customHeight="1" x14ac:dyDescent="0.3">
      <c r="A10" s="21"/>
      <c r="B10" s="11" t="s">
        <v>8</v>
      </c>
      <c r="C10" s="439">
        <f>DONNEES!C17</f>
        <v>0</v>
      </c>
      <c r="D10" s="439">
        <f>DONNEES!E17</f>
        <v>0</v>
      </c>
      <c r="E10" s="17" t="s">
        <v>65</v>
      </c>
      <c r="F10" s="18"/>
      <c r="G10" s="539" t="s">
        <v>34</v>
      </c>
      <c r="H10" s="539" t="s">
        <v>35</v>
      </c>
      <c r="I10" s="180" t="s">
        <v>15</v>
      </c>
      <c r="J10" s="180" t="s">
        <v>15</v>
      </c>
    </row>
    <row r="11" spans="1:10" ht="18" customHeight="1" x14ac:dyDescent="0.3">
      <c r="A11" s="21"/>
      <c r="B11" s="11" t="s">
        <v>9</v>
      </c>
      <c r="C11" s="125">
        <f>DONNEES!E48</f>
        <v>0</v>
      </c>
      <c r="D11" s="125">
        <f>DONNEES!F48</f>
        <v>0</v>
      </c>
      <c r="E11" s="20">
        <f>C11+D11</f>
        <v>0</v>
      </c>
      <c r="F11" s="21"/>
      <c r="G11" s="539"/>
      <c r="H11" s="539"/>
      <c r="I11" s="254">
        <f>DONNEES!C17</f>
        <v>0</v>
      </c>
      <c r="J11" s="254">
        <f>DONNEES!E17</f>
        <v>0</v>
      </c>
    </row>
    <row r="12" spans="1:10" ht="18" customHeight="1" x14ac:dyDescent="0.3">
      <c r="A12" s="21"/>
      <c r="B12" s="11" t="s">
        <v>10</v>
      </c>
      <c r="C12" s="125">
        <f>DONNEES!E60</f>
        <v>0</v>
      </c>
      <c r="D12" s="125">
        <f>DONNEES!F60</f>
        <v>0</v>
      </c>
      <c r="E12" s="20">
        <f t="shared" ref="E12:E16" si="0">C12+D12</f>
        <v>0</v>
      </c>
      <c r="F12" s="21"/>
      <c r="G12" s="39" t="s">
        <v>247</v>
      </c>
      <c r="H12" s="235">
        <f>DONNEES!C48</f>
        <v>2</v>
      </c>
      <c r="I12" s="64">
        <f>DONNEES!G48+DONNEES!G70+DONNEES!G92+DONNEES!G114+DONNEES!G136</f>
        <v>0</v>
      </c>
      <c r="J12" s="64">
        <f>DONNEES!H48+DONNEES!H70+DONNEES!H92+DONNEES!H114+DONNEES!H136</f>
        <v>0</v>
      </c>
    </row>
    <row r="13" spans="1:10" ht="18" customHeight="1" x14ac:dyDescent="0.3">
      <c r="A13" s="21"/>
      <c r="B13" s="11" t="s">
        <v>11</v>
      </c>
      <c r="C13" s="125">
        <f>DONNEES!E82</f>
        <v>0</v>
      </c>
      <c r="D13" s="125">
        <f>DONNEES!F82</f>
        <v>0</v>
      </c>
      <c r="E13" s="20">
        <f t="shared" si="0"/>
        <v>0</v>
      </c>
      <c r="F13" s="21"/>
      <c r="G13" s="62">
        <f>DONNEES!B49</f>
        <v>0</v>
      </c>
      <c r="H13" s="235">
        <f>DONNEES!C49</f>
        <v>0</v>
      </c>
      <c r="I13" s="64">
        <f>DONNEES!G49+DONNEES!G71+DONNEES!G93+DONNEES!G115+DONNEES!G137</f>
        <v>0</v>
      </c>
      <c r="J13" s="64">
        <f>DONNEES!H49+DONNEES!H71+DONNEES!H93+DONNEES!H115+DONNEES!H137</f>
        <v>0</v>
      </c>
    </row>
    <row r="14" spans="1:10" ht="18" customHeight="1" x14ac:dyDescent="0.3">
      <c r="A14" s="21"/>
      <c r="B14" s="11" t="s">
        <v>12</v>
      </c>
      <c r="C14" s="125">
        <f>DONNEES!E104</f>
        <v>0</v>
      </c>
      <c r="D14" s="125">
        <f>DONNEES!F104</f>
        <v>0</v>
      </c>
      <c r="E14" s="20">
        <f t="shared" si="0"/>
        <v>0</v>
      </c>
      <c r="F14" s="21"/>
      <c r="G14" s="62">
        <f>DONNEES!B50</f>
        <v>0</v>
      </c>
      <c r="H14" s="235">
        <f>DONNEES!C50</f>
        <v>0</v>
      </c>
      <c r="I14" s="64">
        <f>DONNEES!G50+DONNEES!G72+DONNEES!G94+DONNEES!G116+DONNEES!G138</f>
        <v>0</v>
      </c>
      <c r="J14" s="64">
        <f>DONNEES!H50+DONNEES!H72+DONNEES!H94+DONNEES!H116+DONNEES!H138</f>
        <v>0</v>
      </c>
    </row>
    <row r="15" spans="1:10" ht="18" customHeight="1" x14ac:dyDescent="0.3">
      <c r="A15" s="21"/>
      <c r="B15" s="11" t="s">
        <v>13</v>
      </c>
      <c r="C15" s="125">
        <f>DONNEES!E136</f>
        <v>0</v>
      </c>
      <c r="D15" s="125">
        <f>DONNEES!F136</f>
        <v>0</v>
      </c>
      <c r="E15" s="20">
        <f t="shared" si="0"/>
        <v>0</v>
      </c>
      <c r="F15" s="21"/>
      <c r="G15" s="62">
        <f>DONNEES!B51</f>
        <v>0</v>
      </c>
      <c r="H15" s="235">
        <f>DONNEES!C51</f>
        <v>0</v>
      </c>
      <c r="I15" s="64">
        <f>DONNEES!G51+DONNEES!G73+DONNEES!G95+DONNEES!G117+DONNEES!G139</f>
        <v>0</v>
      </c>
      <c r="J15" s="64">
        <f>DONNEES!H51+DONNEES!H73+DONNEES!H95+DONNEES!H117+DONNEES!H139</f>
        <v>0</v>
      </c>
    </row>
    <row r="16" spans="1:10" ht="18" customHeight="1" x14ac:dyDescent="0.3">
      <c r="A16" s="21"/>
      <c r="B16" s="11" t="s">
        <v>73</v>
      </c>
      <c r="C16" s="393"/>
      <c r="D16" s="393"/>
      <c r="E16" s="20">
        <f t="shared" si="0"/>
        <v>0</v>
      </c>
      <c r="F16" s="21"/>
      <c r="G16" s="62">
        <f>DONNEES!B52</f>
        <v>0</v>
      </c>
      <c r="H16" s="235">
        <f>DONNEES!C52</f>
        <v>0</v>
      </c>
      <c r="I16" s="64">
        <f>DONNEES!G52+DONNEES!G74+DONNEES!G96+DONNEES!G118+DONNEES!G140</f>
        <v>0</v>
      </c>
      <c r="J16" s="64">
        <f>DONNEES!H52+DONNEES!H74+DONNEES!H96+DONNEES!H118+DONNEES!H140</f>
        <v>0</v>
      </c>
    </row>
    <row r="17" spans="1:13" ht="18" customHeight="1" x14ac:dyDescent="0.3">
      <c r="A17" s="21"/>
      <c r="B17" s="24" t="s">
        <v>14</v>
      </c>
      <c r="C17" s="125">
        <f>SUM(C11:C15)-C16</f>
        <v>0</v>
      </c>
      <c r="D17" s="125">
        <f>SUM(D11:D15)-D16</f>
        <v>0</v>
      </c>
      <c r="E17" s="20">
        <f>C17+D17</f>
        <v>0</v>
      </c>
      <c r="F17" s="26"/>
      <c r="G17" s="62">
        <f>DONNEES!B53</f>
        <v>0</v>
      </c>
      <c r="H17" s="235">
        <f>DONNEES!C43</f>
        <v>0</v>
      </c>
      <c r="I17" s="64">
        <f>DONNEES!G53+DONNEES!G75+DONNEES!G97+DONNEES!G119+DONNEES!G141</f>
        <v>0</v>
      </c>
      <c r="J17" s="64">
        <f>DONNEES!H53+DONNEES!H75+DONNEES!H97+DONNEES!H119+DONNEES!H141</f>
        <v>0</v>
      </c>
    </row>
    <row r="18" spans="1:13" ht="18" customHeight="1" x14ac:dyDescent="0.3">
      <c r="A18" s="21"/>
      <c r="B18" s="24" t="s">
        <v>15</v>
      </c>
      <c r="C18" s="125">
        <f>C17*C10</f>
        <v>0</v>
      </c>
      <c r="D18" s="125">
        <f>D17*D10</f>
        <v>0</v>
      </c>
      <c r="E18" s="21"/>
      <c r="F18" s="21"/>
      <c r="G18" s="62">
        <f>DONNEES!B54</f>
        <v>0</v>
      </c>
      <c r="H18" s="235">
        <f>DONNEES!C44</f>
        <v>0</v>
      </c>
      <c r="I18" s="64">
        <f>DONNEES!G54+DONNEES!G76+DONNEES!G98+DONNEES!G120+DONNEES!G142</f>
        <v>0</v>
      </c>
      <c r="J18" s="64">
        <f>DONNEES!H54+DONNEES!H76+DONNEES!H98+DONNEES!H120+DONNEES!H142</f>
        <v>0</v>
      </c>
    </row>
    <row r="19" spans="1:13" ht="18" customHeight="1" x14ac:dyDescent="0.3">
      <c r="A19" s="21"/>
      <c r="B19" s="24" t="s">
        <v>16</v>
      </c>
      <c r="C19" s="125">
        <f>C17+C18</f>
        <v>0</v>
      </c>
      <c r="D19" s="125">
        <f>D17+D18</f>
        <v>0</v>
      </c>
      <c r="E19" s="21"/>
      <c r="F19" s="21"/>
      <c r="G19" s="21"/>
      <c r="H19" s="21"/>
      <c r="I19" s="64">
        <f>DONNEES!G55+DONNEES!G77+DONNEES!G99+DONNEES!G121+DONNEES!G143</f>
        <v>0</v>
      </c>
      <c r="J19" s="64">
        <f>DONNEES!H55+DONNEES!H77+DONNEES!H99+DONNEES!H121+DONNEES!H143</f>
        <v>0</v>
      </c>
    </row>
    <row r="20" spans="1:13" ht="18" customHeight="1" x14ac:dyDescent="0.3">
      <c r="A20" s="21"/>
      <c r="B20" s="24" t="s">
        <v>17</v>
      </c>
      <c r="C20" s="549">
        <f>C19+D19</f>
        <v>0</v>
      </c>
      <c r="D20" s="549"/>
      <c r="E20" s="21"/>
      <c r="F20" s="21"/>
      <c r="G20" s="21"/>
      <c r="H20" s="21"/>
      <c r="I20" s="21"/>
      <c r="J20" s="21"/>
    </row>
    <row r="21" spans="1:13" ht="18" customHeight="1" x14ac:dyDescent="0.3">
      <c r="A21" s="21"/>
      <c r="E21" s="21"/>
      <c r="F21" s="21"/>
      <c r="G21" s="21"/>
      <c r="H21" s="21"/>
      <c r="I21" s="21"/>
      <c r="J21" s="21"/>
    </row>
    <row r="22" spans="1:13" ht="18" customHeight="1" x14ac:dyDescent="0.3">
      <c r="A22" s="21"/>
      <c r="B22" s="587" t="s">
        <v>18</v>
      </c>
      <c r="C22" s="590"/>
      <c r="D22" s="591"/>
      <c r="E22" s="592" t="s">
        <v>172</v>
      </c>
      <c r="F22" s="592" t="s">
        <v>172</v>
      </c>
      <c r="G22" s="594" t="s">
        <v>71</v>
      </c>
      <c r="H22" s="594" t="s">
        <v>31</v>
      </c>
      <c r="I22" s="21"/>
      <c r="J22" s="21"/>
    </row>
    <row r="23" spans="1:13" ht="28.5" customHeight="1" x14ac:dyDescent="0.3">
      <c r="A23" s="21"/>
      <c r="B23" s="588"/>
      <c r="C23" s="595" t="s">
        <v>30</v>
      </c>
      <c r="D23" s="595"/>
      <c r="E23" s="593"/>
      <c r="F23" s="593"/>
      <c r="G23" s="594"/>
      <c r="H23" s="594"/>
      <c r="I23" s="21"/>
      <c r="J23" s="21"/>
    </row>
    <row r="24" spans="1:13" ht="18" customHeight="1" x14ac:dyDescent="0.3">
      <c r="A24" s="21"/>
      <c r="B24" s="589"/>
      <c r="C24" s="197">
        <f>C10</f>
        <v>0</v>
      </c>
      <c r="D24" s="197">
        <f>D10</f>
        <v>0</v>
      </c>
      <c r="E24" s="30">
        <f>C10</f>
        <v>0</v>
      </c>
      <c r="F24" s="30">
        <f>D10</f>
        <v>0</v>
      </c>
      <c r="G24" s="594"/>
      <c r="H24" s="594"/>
      <c r="I24" s="21"/>
      <c r="J24" s="21"/>
    </row>
    <row r="25" spans="1:13" ht="18" customHeight="1" x14ac:dyDescent="0.3">
      <c r="A25" s="124">
        <v>1</v>
      </c>
      <c r="B25" s="11" t="s">
        <v>19</v>
      </c>
      <c r="C25" s="392"/>
      <c r="D25" s="392"/>
      <c r="E25" s="430"/>
      <c r="F25" s="430"/>
      <c r="G25" s="33">
        <f>E25+F25</f>
        <v>0</v>
      </c>
      <c r="H25" s="34"/>
      <c r="I25" s="21"/>
      <c r="J25" s="21"/>
    </row>
    <row r="26" spans="1:13" ht="18" customHeight="1" x14ac:dyDescent="0.3">
      <c r="A26" s="124" t="s">
        <v>184</v>
      </c>
      <c r="B26" s="11" t="s">
        <v>185</v>
      </c>
      <c r="C26" s="438"/>
      <c r="D26" s="438"/>
      <c r="E26" s="430"/>
      <c r="F26" s="430"/>
      <c r="G26" s="33">
        <f>E26+F26</f>
        <v>0</v>
      </c>
      <c r="H26" s="34"/>
      <c r="I26" s="21"/>
      <c r="J26" s="21"/>
    </row>
    <row r="27" spans="1:13" ht="37.5" x14ac:dyDescent="0.3">
      <c r="A27" s="124" t="s">
        <v>186</v>
      </c>
      <c r="B27" s="72" t="s">
        <v>175</v>
      </c>
      <c r="C27" s="392"/>
      <c r="D27" s="392"/>
      <c r="E27" s="430"/>
      <c r="F27" s="430"/>
      <c r="G27" s="33">
        <f>E27+F27+C27+D27</f>
        <v>0</v>
      </c>
      <c r="H27" s="35">
        <f>IFERROR((C27+D27+E27+F27)/(G25-G26),0)</f>
        <v>0</v>
      </c>
      <c r="I27" s="21"/>
      <c r="J27" s="21"/>
    </row>
    <row r="28" spans="1:13" ht="18" customHeight="1" x14ac:dyDescent="0.3">
      <c r="A28" s="124" t="s">
        <v>20</v>
      </c>
      <c r="B28" s="11" t="s">
        <v>21</v>
      </c>
      <c r="C28" s="430"/>
      <c r="D28" s="430"/>
      <c r="E28" s="430"/>
      <c r="F28" s="430"/>
      <c r="G28" s="33">
        <f>E28+C28+D28+F28</f>
        <v>0</v>
      </c>
      <c r="H28" s="35">
        <f>IFERROR((E28+C28+D28+F28)/E11,0)</f>
        <v>0</v>
      </c>
      <c r="I28" s="693" t="e">
        <f>IF(AND($G$25&lt;&gt;0,H28&gt;='RECUP AVANCE O-TRAITANT'!I19),"PENSEZ A VERIFIER SI IL FAUT FAIRE UN REMBOURSEMENT","")</f>
        <v>#VALUE!</v>
      </c>
      <c r="J28" s="694"/>
      <c r="K28" s="694"/>
      <c r="L28" s="694"/>
      <c r="M28" s="694"/>
    </row>
    <row r="29" spans="1:13" ht="18" customHeight="1" x14ac:dyDescent="0.3">
      <c r="A29" s="124" t="s">
        <v>25</v>
      </c>
      <c r="B29" s="11" t="s">
        <v>22</v>
      </c>
      <c r="C29" s="430"/>
      <c r="D29" s="430"/>
      <c r="E29" s="430"/>
      <c r="F29" s="430"/>
      <c r="G29" s="33">
        <f>E29+C29+D29+F29</f>
        <v>0</v>
      </c>
      <c r="H29" s="35">
        <f t="shared" ref="H29:H32" si="1">IFERROR((E29+C29+D29+F29)/E12,0)</f>
        <v>0</v>
      </c>
      <c r="I29" s="693" t="e">
        <f>IF(AND($G$25&lt;&gt;0,H29&gt;='RECUP AVANCE O-TRAITANT'!I19),"PENSEZ A VERIFIER SI IL FAUT FAIRE UN REMBOURSEMENT","")</f>
        <v>#VALUE!</v>
      </c>
      <c r="J29" s="694"/>
      <c r="K29" s="694"/>
      <c r="L29" s="694"/>
      <c r="M29" s="694"/>
    </row>
    <row r="30" spans="1:13" ht="18" customHeight="1" x14ac:dyDescent="0.3">
      <c r="A30" s="124" t="s">
        <v>26</v>
      </c>
      <c r="B30" s="11" t="s">
        <v>23</v>
      </c>
      <c r="C30" s="430"/>
      <c r="D30" s="430"/>
      <c r="E30" s="430"/>
      <c r="F30" s="430"/>
      <c r="G30" s="33">
        <f t="shared" ref="G30:G32" si="2">E30+C30+D30+F30</f>
        <v>0</v>
      </c>
      <c r="H30" s="35">
        <f t="shared" si="1"/>
        <v>0</v>
      </c>
      <c r="I30" s="693" t="e">
        <f>IF(AND($G$25&lt;&gt;0,H30&gt;='RECUP AVANCE O-TRAITANT'!I19),"PENSEZ A VERIFIER SI IL FAUT FAIRE UN REMBOURSEMENT","")</f>
        <v>#VALUE!</v>
      </c>
      <c r="J30" s="694"/>
      <c r="K30" s="694"/>
      <c r="L30" s="694"/>
      <c r="M30" s="694"/>
    </row>
    <row r="31" spans="1:13" ht="18" customHeight="1" x14ac:dyDescent="0.3">
      <c r="A31" s="124" t="s">
        <v>27</v>
      </c>
      <c r="B31" s="11" t="s">
        <v>24</v>
      </c>
      <c r="C31" s="430"/>
      <c r="D31" s="430"/>
      <c r="E31" s="430"/>
      <c r="F31" s="430"/>
      <c r="G31" s="33">
        <f t="shared" si="2"/>
        <v>0</v>
      </c>
      <c r="H31" s="35">
        <f t="shared" si="1"/>
        <v>0</v>
      </c>
      <c r="I31" s="693" t="e">
        <f>IF(AND($G$25&lt;&gt;0,H31&gt;='RECUP AVANCE O-TRAITANT'!I19),"PENSEZ A VERIFIER SI IL FAUT FAIRE UN REMBOURSEMENT","")</f>
        <v>#VALUE!</v>
      </c>
      <c r="J31" s="694"/>
      <c r="K31" s="694"/>
      <c r="L31" s="694"/>
      <c r="M31" s="694"/>
    </row>
    <row r="32" spans="1:13" ht="18" customHeight="1" x14ac:dyDescent="0.3">
      <c r="A32" s="124" t="s">
        <v>29</v>
      </c>
      <c r="B32" s="11" t="s">
        <v>28</v>
      </c>
      <c r="C32" s="430"/>
      <c r="D32" s="430"/>
      <c r="E32" s="430"/>
      <c r="F32" s="430"/>
      <c r="G32" s="33">
        <f t="shared" si="2"/>
        <v>0</v>
      </c>
      <c r="H32" s="35">
        <f t="shared" si="1"/>
        <v>0</v>
      </c>
      <c r="I32" s="693"/>
      <c r="J32" s="694"/>
      <c r="K32" s="694"/>
      <c r="L32" s="694"/>
      <c r="M32" s="694"/>
    </row>
    <row r="33" spans="1:10" ht="18" customHeight="1" x14ac:dyDescent="0.3">
      <c r="A33" s="36" t="s">
        <v>177</v>
      </c>
      <c r="B33" s="37" t="s">
        <v>176</v>
      </c>
      <c r="C33" s="33">
        <f>SUM(C28:C32)</f>
        <v>0</v>
      </c>
      <c r="D33" s="33">
        <f>SUM(D28:D32)</f>
        <v>0</v>
      </c>
      <c r="E33" s="33">
        <f>SUM(E28:E32)</f>
        <v>0</v>
      </c>
      <c r="F33" s="33">
        <f>SUM(F28:F32)</f>
        <v>0</v>
      </c>
      <c r="G33" s="33">
        <f t="shared" ref="G33:G38" si="3">C33+D33+E33+F33</f>
        <v>0</v>
      </c>
      <c r="H33" s="35">
        <f>IFERROR((E33+D33+C33+F33)/(C17+D17),0)</f>
        <v>0</v>
      </c>
      <c r="I33" s="21"/>
      <c r="J33" s="21"/>
    </row>
    <row r="34" spans="1:10" ht="37.5" x14ac:dyDescent="0.3">
      <c r="A34" s="36" t="s">
        <v>178</v>
      </c>
      <c r="B34" s="73" t="s">
        <v>352</v>
      </c>
      <c r="C34" s="38">
        <f>C33-C25-C27</f>
        <v>0</v>
      </c>
      <c r="D34" s="38">
        <f>D33-D25-D27</f>
        <v>0</v>
      </c>
      <c r="E34" s="38">
        <f>(E25-E27)+E33</f>
        <v>0</v>
      </c>
      <c r="F34" s="38">
        <f>(F25-F27)+F33</f>
        <v>0</v>
      </c>
      <c r="G34" s="38">
        <f t="shared" si="3"/>
        <v>0</v>
      </c>
      <c r="H34" s="21"/>
      <c r="I34" s="21"/>
      <c r="J34" s="21"/>
    </row>
    <row r="35" spans="1:10" ht="18" customHeight="1" x14ac:dyDescent="0.3">
      <c r="A35" s="124">
        <v>4</v>
      </c>
      <c r="B35" s="12" t="e">
        <f>IF(DONNEES!C12="OUI","Actualisation",IF(DONNEES!#REF!="OUI","Révision","Sans Objet"))</f>
        <v>#REF!</v>
      </c>
      <c r="C35" s="430"/>
      <c r="D35" s="430"/>
      <c r="E35" s="430"/>
      <c r="F35" s="430"/>
      <c r="G35" s="33">
        <f t="shared" si="3"/>
        <v>0</v>
      </c>
      <c r="H35" s="21"/>
      <c r="I35" s="21"/>
      <c r="J35" s="21"/>
    </row>
    <row r="36" spans="1:10" ht="18" customHeight="1" x14ac:dyDescent="0.3">
      <c r="A36" s="36">
        <v>5</v>
      </c>
      <c r="B36" s="37" t="s">
        <v>250</v>
      </c>
      <c r="C36" s="38">
        <f>C34+C35</f>
        <v>0</v>
      </c>
      <c r="D36" s="38">
        <f t="shared" ref="D36:F36" si="4">D34+D35</f>
        <v>0</v>
      </c>
      <c r="E36" s="38">
        <f t="shared" si="4"/>
        <v>0</v>
      </c>
      <c r="F36" s="38">
        <f t="shared" si="4"/>
        <v>0</v>
      </c>
      <c r="G36" s="38">
        <f t="shared" si="3"/>
        <v>0</v>
      </c>
      <c r="H36" s="21"/>
      <c r="I36" s="21"/>
      <c r="J36" s="21"/>
    </row>
    <row r="37" spans="1:10" ht="18" customHeight="1" x14ac:dyDescent="0.3">
      <c r="A37" s="124">
        <v>6</v>
      </c>
      <c r="B37" s="40" t="s">
        <v>52</v>
      </c>
      <c r="C37" s="38">
        <f>C25*C10</f>
        <v>0</v>
      </c>
      <c r="D37" s="38">
        <f>D25*D10</f>
        <v>0</v>
      </c>
      <c r="E37" s="33">
        <f>E25*$C$10</f>
        <v>0</v>
      </c>
      <c r="F37" s="33">
        <f>F25*$D$10</f>
        <v>0</v>
      </c>
      <c r="G37" s="33">
        <f t="shared" si="3"/>
        <v>0</v>
      </c>
      <c r="H37" s="21"/>
      <c r="I37" s="21"/>
      <c r="J37" s="21"/>
    </row>
    <row r="38" spans="1:10" ht="18" customHeight="1" x14ac:dyDescent="0.3">
      <c r="A38" s="124" t="s">
        <v>188</v>
      </c>
      <c r="B38" s="40" t="s">
        <v>53</v>
      </c>
      <c r="C38" s="38">
        <f>C28*C10</f>
        <v>0</v>
      </c>
      <c r="D38" s="38">
        <f>D28*D10</f>
        <v>0</v>
      </c>
      <c r="E38" s="33">
        <f>E28*$C$10</f>
        <v>0</v>
      </c>
      <c r="F38" s="33">
        <f>F28*$D$10</f>
        <v>0</v>
      </c>
      <c r="G38" s="33">
        <f t="shared" si="3"/>
        <v>0</v>
      </c>
      <c r="H38" s="21"/>
      <c r="I38" s="21"/>
      <c r="J38" s="21"/>
    </row>
    <row r="39" spans="1:10" ht="18" customHeight="1" x14ac:dyDescent="0.3">
      <c r="A39" s="124" t="s">
        <v>189</v>
      </c>
      <c r="B39" s="40" t="s">
        <v>54</v>
      </c>
      <c r="C39" s="38">
        <f>C29*C10</f>
        <v>0</v>
      </c>
      <c r="D39" s="38">
        <f>D29*D10</f>
        <v>0</v>
      </c>
      <c r="E39" s="33">
        <f>E29*$C$10</f>
        <v>0</v>
      </c>
      <c r="F39" s="33">
        <f>F29*$D$10</f>
        <v>0</v>
      </c>
      <c r="G39" s="33">
        <f t="shared" ref="G39:G42" si="5">C39+D39+E39</f>
        <v>0</v>
      </c>
      <c r="H39" s="21"/>
      <c r="I39" s="21"/>
      <c r="J39" s="21"/>
    </row>
    <row r="40" spans="1:10" ht="18" customHeight="1" x14ac:dyDescent="0.3">
      <c r="A40" s="124" t="s">
        <v>190</v>
      </c>
      <c r="B40" s="40" t="s">
        <v>56</v>
      </c>
      <c r="C40" s="38">
        <f>C30*C10</f>
        <v>0</v>
      </c>
      <c r="D40" s="38">
        <f>D30*D10</f>
        <v>0</v>
      </c>
      <c r="E40" s="33">
        <f>E30*$C$10</f>
        <v>0</v>
      </c>
      <c r="F40" s="33">
        <f>F30*$D$10</f>
        <v>0</v>
      </c>
      <c r="G40" s="33">
        <f t="shared" si="5"/>
        <v>0</v>
      </c>
      <c r="H40" s="21"/>
      <c r="I40" s="21"/>
      <c r="J40" s="21"/>
    </row>
    <row r="41" spans="1:10" ht="18" customHeight="1" x14ac:dyDescent="0.3">
      <c r="A41" s="124" t="s">
        <v>191</v>
      </c>
      <c r="B41" s="40" t="s">
        <v>55</v>
      </c>
      <c r="C41" s="38">
        <f>C31*C10</f>
        <v>0</v>
      </c>
      <c r="D41" s="38">
        <f>D31*D10</f>
        <v>0</v>
      </c>
      <c r="E41" s="33">
        <f>E31*$C$10</f>
        <v>0</v>
      </c>
      <c r="F41" s="33">
        <f>F31*$D$10</f>
        <v>0</v>
      </c>
      <c r="G41" s="33">
        <f t="shared" si="5"/>
        <v>0</v>
      </c>
      <c r="H41" s="21"/>
      <c r="I41" s="21"/>
      <c r="J41" s="21"/>
    </row>
    <row r="42" spans="1:10" ht="18" customHeight="1" x14ac:dyDescent="0.3">
      <c r="A42" s="124" t="s">
        <v>192</v>
      </c>
      <c r="B42" s="40" t="s">
        <v>57</v>
      </c>
      <c r="C42" s="38">
        <f>C32*C10</f>
        <v>0</v>
      </c>
      <c r="D42" s="38">
        <f>D32*D10</f>
        <v>0</v>
      </c>
      <c r="E42" s="33">
        <f>E32*$C$10</f>
        <v>0</v>
      </c>
      <c r="F42" s="33">
        <f>F32*$D$10</f>
        <v>0</v>
      </c>
      <c r="G42" s="33">
        <f t="shared" si="5"/>
        <v>0</v>
      </c>
      <c r="H42" s="21"/>
      <c r="I42" s="21"/>
      <c r="J42" s="21"/>
    </row>
    <row r="43" spans="1:10" ht="18" customHeight="1" x14ac:dyDescent="0.3">
      <c r="A43" s="124" t="s">
        <v>193</v>
      </c>
      <c r="B43" s="12" t="e">
        <f>IF(B35="Révision","TVA Révision",IF(B35="Actualisation","TVA Actualisation","Sans Objet"))</f>
        <v>#REF!</v>
      </c>
      <c r="C43" s="33">
        <f>C35*C10</f>
        <v>0</v>
      </c>
      <c r="D43" s="33">
        <f>D35*D10</f>
        <v>0</v>
      </c>
      <c r="E43" s="33">
        <f>E35*C10</f>
        <v>0</v>
      </c>
      <c r="F43" s="33">
        <f>F35*D10</f>
        <v>0</v>
      </c>
      <c r="G43" s="33">
        <f>C43+D43+E43+F43</f>
        <v>0</v>
      </c>
      <c r="H43" s="21"/>
      <c r="I43" s="21"/>
      <c r="J43" s="21"/>
    </row>
    <row r="44" spans="1:10" ht="18" customHeight="1" x14ac:dyDescent="0.3">
      <c r="A44" s="124">
        <v>7</v>
      </c>
      <c r="B44" s="65" t="s">
        <v>174</v>
      </c>
      <c r="C44" s="38">
        <f>C27*C10</f>
        <v>0</v>
      </c>
      <c r="D44" s="38">
        <f>D27*D10</f>
        <v>0</v>
      </c>
      <c r="E44" s="38">
        <f>E27*C10</f>
        <v>0</v>
      </c>
      <c r="F44" s="38">
        <f>F27*D10</f>
        <v>0</v>
      </c>
      <c r="G44" s="33">
        <f>C44+D44+E44+F44</f>
        <v>0</v>
      </c>
      <c r="H44" s="21"/>
      <c r="I44" s="21"/>
      <c r="J44" s="21"/>
    </row>
    <row r="45" spans="1:10" ht="36" customHeight="1" x14ac:dyDescent="0.3">
      <c r="A45" s="124" t="s">
        <v>179</v>
      </c>
      <c r="B45" s="74" t="s">
        <v>194</v>
      </c>
      <c r="C45" s="38">
        <f>C26*C10</f>
        <v>0</v>
      </c>
      <c r="D45" s="38">
        <f>D26*D10</f>
        <v>0</v>
      </c>
      <c r="E45" s="38">
        <f>E26*E24</f>
        <v>0</v>
      </c>
      <c r="F45" s="38">
        <f>F26*F24</f>
        <v>0</v>
      </c>
      <c r="G45" s="33">
        <f>C45+D45+E45+F45</f>
        <v>0</v>
      </c>
      <c r="H45" s="21"/>
      <c r="I45" s="21"/>
      <c r="J45" s="21"/>
    </row>
    <row r="46" spans="1:10" ht="18" customHeight="1" x14ac:dyDescent="0.3">
      <c r="A46" s="36">
        <v>8</v>
      </c>
      <c r="B46" s="37" t="s">
        <v>335</v>
      </c>
      <c r="C46" s="38">
        <f>SUM(C37:C43)-C44</f>
        <v>0</v>
      </c>
      <c r="D46" s="38">
        <f>SUM(D37:D43)-D44</f>
        <v>0</v>
      </c>
      <c r="E46" s="38">
        <f>SUM(E37:E43)-E44</f>
        <v>0</v>
      </c>
      <c r="F46" s="38">
        <f>SUM(F37:F43)-F44</f>
        <v>0</v>
      </c>
      <c r="G46" s="38">
        <f>SUM(G37:G43)-G44-G45</f>
        <v>0</v>
      </c>
      <c r="H46" s="21"/>
      <c r="I46" s="21"/>
      <c r="J46" s="21"/>
    </row>
    <row r="47" spans="1:10" ht="18" customHeight="1" x14ac:dyDescent="0.3">
      <c r="A47" s="36">
        <v>9</v>
      </c>
      <c r="B47" s="37" t="s">
        <v>211</v>
      </c>
      <c r="C47" s="41">
        <f>C36+C46</f>
        <v>0</v>
      </c>
      <c r="D47" s="41">
        <f>D36+D46</f>
        <v>0</v>
      </c>
      <c r="E47" s="41">
        <f>E36+E46</f>
        <v>0</v>
      </c>
      <c r="F47" s="41">
        <f>F36+F46</f>
        <v>0</v>
      </c>
      <c r="G47" s="41">
        <f>G36+G46</f>
        <v>0</v>
      </c>
      <c r="H47" s="21"/>
      <c r="I47" s="21"/>
      <c r="J47" s="21"/>
    </row>
    <row r="48" spans="1:10" ht="34.5" customHeight="1" x14ac:dyDescent="0.3">
      <c r="A48" s="36">
        <v>10</v>
      </c>
      <c r="B48" s="176" t="s">
        <v>355</v>
      </c>
      <c r="C48" s="579">
        <f>C47+D47+E47+F47</f>
        <v>0</v>
      </c>
      <c r="D48" s="580"/>
      <c r="E48" s="43"/>
      <c r="F48" s="43"/>
      <c r="G48" s="43"/>
      <c r="H48" s="75" t="str">
        <f>IF(B49="Retenue de Garantie (4a x 5%)","RG MAXI",IF(B49="GAPD","",IF(B49="SANS OBJET","","0")))</f>
        <v>0</v>
      </c>
      <c r="I48" s="21"/>
      <c r="J48" s="21"/>
    </row>
    <row r="49" spans="1:10" ht="18" customHeight="1" x14ac:dyDescent="0.3">
      <c r="A49" s="124">
        <v>11</v>
      </c>
      <c r="B49" s="12">
        <f>DONNEES!C14</f>
        <v>0</v>
      </c>
      <c r="C49" s="45" t="str">
        <f>IF(B49="Retenue de Garantie (4a x 5%)",((C33+C38+C39+C40+C41+C42)*0.05),IF(B49="SANS OBJET"," ","0"))</f>
        <v>0</v>
      </c>
      <c r="D49" s="45" t="str">
        <f>IF(B49="Retenue de Garantie (4a x 5%)",((D33+D38+D39+D40+D41+D42)*0.05),IF(B49="SANS OBJET"," ","0"))</f>
        <v>0</v>
      </c>
      <c r="E49" s="32" t="str">
        <f>IF(B49="Retenue de Garantie (4a x 5%)",((E33+E38+E39+E40+E41+E42)*0.05),IF(B49="SANS OBJET"," ","0"))</f>
        <v>0</v>
      </c>
      <c r="F49" s="32" t="str">
        <f>IF(B49="Retenue de Garantie (4a x 5%)",((F33+F38+F39+F40+F41+F42)*0.05),IF(B49="SANS OBJET"," ","0"))</f>
        <v>0</v>
      </c>
      <c r="G49" s="32">
        <f>IFERROR(C49+D49+E49+F49,0)</f>
        <v>0</v>
      </c>
      <c r="H49" s="128" t="str">
        <f>IF(B49="Retenue de Garantie (4a x 5%)",(C20*0.05),IF(B49="SANS OBJET"," ","0"))</f>
        <v>0</v>
      </c>
      <c r="I49" s="21"/>
      <c r="J49" s="21"/>
    </row>
    <row r="50" spans="1:10" ht="18" customHeight="1" x14ac:dyDescent="0.3">
      <c r="A50" s="124">
        <v>12</v>
      </c>
      <c r="B50" s="40" t="s">
        <v>61</v>
      </c>
      <c r="C50" s="565"/>
      <c r="D50" s="566"/>
      <c r="E50" s="565"/>
      <c r="F50" s="566"/>
      <c r="G50" s="33">
        <f>E50+C50</f>
        <v>0</v>
      </c>
      <c r="H50" s="21"/>
      <c r="I50" s="21"/>
      <c r="J50" s="21"/>
    </row>
    <row r="51" spans="1:10" ht="18" customHeight="1" x14ac:dyDescent="0.3">
      <c r="A51" s="124">
        <v>13</v>
      </c>
      <c r="B51" s="40" t="s">
        <v>187</v>
      </c>
      <c r="C51" s="574"/>
      <c r="D51" s="574"/>
      <c r="E51" s="565"/>
      <c r="F51" s="566"/>
      <c r="G51" s="33">
        <f>E51+C51</f>
        <v>0</v>
      </c>
      <c r="H51" s="21"/>
      <c r="I51" s="21"/>
      <c r="J51" s="21"/>
    </row>
    <row r="52" spans="1:10" ht="18" customHeight="1" x14ac:dyDescent="0.3">
      <c r="A52" s="124">
        <v>14</v>
      </c>
      <c r="B52" s="40" t="s">
        <v>180</v>
      </c>
      <c r="C52" s="578">
        <f>IFERROR(SUM(C49+D49+C50+C51+E49+F49),0)</f>
        <v>0</v>
      </c>
      <c r="D52" s="578"/>
      <c r="E52" s="565"/>
      <c r="F52" s="566"/>
      <c r="G52" s="33">
        <f>E52+C52</f>
        <v>0</v>
      </c>
      <c r="H52" s="21"/>
      <c r="I52" s="21"/>
      <c r="J52" s="21"/>
    </row>
    <row r="53" spans="1:10" ht="18" customHeight="1" x14ac:dyDescent="0.3">
      <c r="A53" s="124">
        <v>15</v>
      </c>
      <c r="B53" s="40" t="s">
        <v>62</v>
      </c>
      <c r="C53" s="579">
        <f>C48-C52</f>
        <v>0</v>
      </c>
      <c r="D53" s="580"/>
      <c r="E53" s="21"/>
      <c r="F53" s="21"/>
      <c r="G53" s="21"/>
      <c r="H53" s="21"/>
      <c r="I53" s="21"/>
      <c r="J53" s="21"/>
    </row>
    <row r="54" spans="1:10" ht="18" customHeight="1" x14ac:dyDescent="0.3">
      <c r="A54" s="124">
        <v>16</v>
      </c>
      <c r="B54" s="40" t="s">
        <v>63</v>
      </c>
      <c r="C54" s="584">
        <f>SUM(E72:E85)</f>
        <v>0</v>
      </c>
      <c r="D54" s="585"/>
      <c r="E54" s="21"/>
      <c r="F54" s="21"/>
      <c r="G54" s="21"/>
      <c r="H54" s="21"/>
      <c r="I54" s="21"/>
      <c r="J54" s="21"/>
    </row>
    <row r="55" spans="1:10" ht="18" customHeight="1" x14ac:dyDescent="0.3">
      <c r="A55" s="48">
        <v>17</v>
      </c>
      <c r="B55" s="49" t="s">
        <v>64</v>
      </c>
      <c r="C55" s="567">
        <f>IF(E1="DGD",(C53-C54-C60),(C53-C54))</f>
        <v>0</v>
      </c>
      <c r="D55" s="586"/>
      <c r="E55" s="21"/>
      <c r="F55" s="21"/>
      <c r="G55" s="21"/>
      <c r="H55" s="21"/>
      <c r="I55" s="21"/>
      <c r="J55" s="21"/>
    </row>
    <row r="56" spans="1:10" ht="18" customHeight="1" x14ac:dyDescent="0.3">
      <c r="A56" s="50">
        <v>18</v>
      </c>
      <c r="B56" s="51" t="s">
        <v>212</v>
      </c>
      <c r="C56" s="567" t="str">
        <f>IF(B49="Retenue de Garantie (4a x 5%)",(C49+D49),"Sans objet")</f>
        <v>Sans objet</v>
      </c>
      <c r="D56" s="567"/>
      <c r="E56" s="21"/>
      <c r="F56" s="21"/>
      <c r="G56" s="21"/>
      <c r="H56" s="21"/>
      <c r="I56" s="21"/>
      <c r="J56" s="21"/>
    </row>
    <row r="57" spans="1:10" ht="18" customHeight="1" x14ac:dyDescent="0.3">
      <c r="A57" s="50">
        <v>19</v>
      </c>
      <c r="B57" s="51" t="s">
        <v>241</v>
      </c>
      <c r="C57" s="567">
        <f>C26+D26+C45+D45</f>
        <v>0</v>
      </c>
      <c r="D57" s="567"/>
      <c r="E57" s="21"/>
      <c r="F57" s="21"/>
      <c r="G57" s="21"/>
      <c r="H57" s="21"/>
      <c r="I57" s="21"/>
      <c r="J57" s="21"/>
    </row>
    <row r="58" spans="1:10" ht="18" customHeight="1" x14ac:dyDescent="0.3">
      <c r="A58" s="50">
        <v>20</v>
      </c>
      <c r="B58" s="51" t="s">
        <v>342</v>
      </c>
      <c r="C58" s="567">
        <f>IF(C56="Sans Objet",C55,C55+C56)</f>
        <v>0</v>
      </c>
      <c r="D58" s="567"/>
      <c r="E58" s="21"/>
      <c r="F58" s="21"/>
      <c r="G58" s="21"/>
      <c r="H58" s="21"/>
      <c r="I58" s="21"/>
      <c r="J58" s="21"/>
    </row>
    <row r="59" spans="1:10" ht="18" customHeight="1" x14ac:dyDescent="0.3">
      <c r="A59" s="70"/>
      <c r="B59" s="71"/>
      <c r="C59" s="581" t="s">
        <v>74</v>
      </c>
      <c r="D59" s="581"/>
      <c r="E59" s="21"/>
      <c r="F59" s="21"/>
      <c r="G59" s="21"/>
      <c r="H59" s="21"/>
      <c r="I59" s="21"/>
      <c r="J59" s="21"/>
    </row>
    <row r="60" spans="1:10" ht="18" customHeight="1" x14ac:dyDescent="0.3">
      <c r="A60" s="124">
        <v>20</v>
      </c>
      <c r="B60" s="40" t="str">
        <f>IF(E1="DGD","Refaction","Ne rien inscrire avant le DGD")</f>
        <v>Ne rien inscrire avant le DGD</v>
      </c>
      <c r="C60" s="574"/>
      <c r="D60" s="574"/>
      <c r="E60" s="21"/>
      <c r="F60" s="21"/>
      <c r="G60" s="21"/>
      <c r="H60" s="21"/>
      <c r="I60" s="21"/>
      <c r="J60" s="21"/>
    </row>
    <row r="61" spans="1:10" ht="18" customHeight="1" x14ac:dyDescent="0.3">
      <c r="A61" s="21"/>
      <c r="B61" s="21"/>
      <c r="C61" s="21"/>
      <c r="D61" s="21"/>
      <c r="E61" s="21"/>
      <c r="F61" s="21"/>
      <c r="G61" s="21"/>
      <c r="H61" s="21"/>
      <c r="I61" s="21"/>
      <c r="J61" s="21"/>
    </row>
    <row r="62" spans="1:10" ht="31.5" customHeight="1" x14ac:dyDescent="0.3">
      <c r="A62" s="21"/>
      <c r="C62" s="53" t="s">
        <v>69</v>
      </c>
      <c r="D62" s="577" t="s">
        <v>75</v>
      </c>
      <c r="E62" s="577"/>
      <c r="F62" s="353" t="s">
        <v>76</v>
      </c>
      <c r="G62" s="127" t="s">
        <v>77</v>
      </c>
      <c r="H62" s="127" t="s">
        <v>78</v>
      </c>
      <c r="I62" s="124" t="s">
        <v>79</v>
      </c>
      <c r="J62" s="21"/>
    </row>
    <row r="63" spans="1:10" ht="18" customHeight="1" x14ac:dyDescent="0.3">
      <c r="A63" s="21"/>
      <c r="B63" s="55" t="str">
        <f t="shared" ref="B63:C68" si="6">G12</f>
        <v>Cotraitant</v>
      </c>
      <c r="C63" s="56">
        <f t="shared" si="6"/>
        <v>2</v>
      </c>
      <c r="D63" s="578">
        <f>C58-D64-D65-D66-D67-D68</f>
        <v>0</v>
      </c>
      <c r="E63" s="578"/>
      <c r="F63" s="128">
        <f>C34+D34-SUM(F64:F68)</f>
        <v>0</v>
      </c>
      <c r="G63" s="431"/>
      <c r="H63" s="354">
        <f>G63+F63</f>
        <v>0</v>
      </c>
      <c r="I63" s="57">
        <f>I12+J12-H63</f>
        <v>0</v>
      </c>
      <c r="J63" s="21"/>
    </row>
    <row r="64" spans="1:10" ht="18" customHeight="1" x14ac:dyDescent="0.3">
      <c r="A64" s="21"/>
      <c r="B64" s="55">
        <f t="shared" si="6"/>
        <v>0</v>
      </c>
      <c r="C64" s="56">
        <f t="shared" si="6"/>
        <v>0</v>
      </c>
      <c r="D64" s="574"/>
      <c r="E64" s="574"/>
      <c r="F64" s="128" t="str">
        <f>IF(B64="ST TVA autoliquidée",D64,IF(B64="ST TVA non-autoliquidée",(D64/1.2),"0"))</f>
        <v>0</v>
      </c>
      <c r="G64" s="431"/>
      <c r="H64" s="128">
        <f>F64+G64</f>
        <v>0</v>
      </c>
      <c r="I64" s="57">
        <f>I13+J13-H64</f>
        <v>0</v>
      </c>
      <c r="J64" s="21"/>
    </row>
    <row r="65" spans="1:10" ht="18" customHeight="1" x14ac:dyDescent="0.3">
      <c r="A65" s="21"/>
      <c r="B65" s="55">
        <f t="shared" si="6"/>
        <v>0</v>
      </c>
      <c r="C65" s="56">
        <f t="shared" si="6"/>
        <v>0</v>
      </c>
      <c r="D65" s="574"/>
      <c r="E65" s="574"/>
      <c r="F65" s="128" t="str">
        <f t="shared" ref="F65:F68" si="7">IF(B65="ST TVA autoliquidée",D65,IF(B65="ST TVA non-autoliquidée",(D65/1.2),"0"))</f>
        <v>0</v>
      </c>
      <c r="G65" s="431"/>
      <c r="H65" s="128">
        <f>F65+G65</f>
        <v>0</v>
      </c>
      <c r="I65" s="57">
        <f t="shared" ref="I65:I68" si="8">I14+J14-H65</f>
        <v>0</v>
      </c>
      <c r="J65" s="21"/>
    </row>
    <row r="66" spans="1:10" ht="18" customHeight="1" x14ac:dyDescent="0.3">
      <c r="A66" s="21"/>
      <c r="B66" s="55">
        <f t="shared" si="6"/>
        <v>0</v>
      </c>
      <c r="C66" s="56">
        <f t="shared" si="6"/>
        <v>0</v>
      </c>
      <c r="D66" s="574"/>
      <c r="E66" s="574"/>
      <c r="F66" s="128" t="str">
        <f t="shared" si="7"/>
        <v>0</v>
      </c>
      <c r="G66" s="431"/>
      <c r="H66" s="128">
        <f t="shared" ref="H66:H68" si="9">F66+G66</f>
        <v>0</v>
      </c>
      <c r="I66" s="57">
        <f t="shared" si="8"/>
        <v>0</v>
      </c>
      <c r="J66" s="21"/>
    </row>
    <row r="67" spans="1:10" ht="18" customHeight="1" x14ac:dyDescent="0.3">
      <c r="A67" s="21"/>
      <c r="B67" s="55">
        <f t="shared" si="6"/>
        <v>0</v>
      </c>
      <c r="C67" s="56">
        <f t="shared" si="6"/>
        <v>0</v>
      </c>
      <c r="D67" s="574"/>
      <c r="E67" s="574"/>
      <c r="F67" s="128" t="str">
        <f t="shared" si="7"/>
        <v>0</v>
      </c>
      <c r="G67" s="431"/>
      <c r="H67" s="128">
        <f t="shared" si="9"/>
        <v>0</v>
      </c>
      <c r="I67" s="57">
        <f t="shared" si="8"/>
        <v>0</v>
      </c>
      <c r="J67" s="21"/>
    </row>
    <row r="68" spans="1:10" ht="18" customHeight="1" x14ac:dyDescent="0.3">
      <c r="A68" s="21"/>
      <c r="B68" s="55">
        <f t="shared" si="6"/>
        <v>0</v>
      </c>
      <c r="C68" s="56">
        <f t="shared" si="6"/>
        <v>0</v>
      </c>
      <c r="D68" s="574"/>
      <c r="E68" s="574"/>
      <c r="F68" s="128" t="str">
        <f t="shared" si="7"/>
        <v>0</v>
      </c>
      <c r="G68" s="431"/>
      <c r="H68" s="128">
        <f t="shared" si="9"/>
        <v>0</v>
      </c>
      <c r="I68" s="57">
        <f t="shared" si="8"/>
        <v>0</v>
      </c>
      <c r="J68" s="21"/>
    </row>
    <row r="69" spans="1:10" ht="18" customHeight="1" x14ac:dyDescent="0.3">
      <c r="A69" s="21"/>
      <c r="B69" s="21"/>
      <c r="I69" s="21"/>
      <c r="J69" s="21"/>
    </row>
    <row r="70" spans="1:10" ht="18" customHeight="1" x14ac:dyDescent="0.3">
      <c r="A70" s="21"/>
      <c r="B70" s="21"/>
      <c r="C70" s="129" t="s">
        <v>80</v>
      </c>
      <c r="D70" s="129"/>
      <c r="E70" s="129"/>
      <c r="F70" s="571" t="s">
        <v>84</v>
      </c>
      <c r="G70" s="571"/>
      <c r="H70" s="571"/>
      <c r="I70" s="21"/>
      <c r="J70" s="21"/>
    </row>
    <row r="71" spans="1:10" ht="18" customHeight="1" x14ac:dyDescent="0.3">
      <c r="A71" s="21"/>
      <c r="B71" s="21"/>
      <c r="C71" s="58" t="s">
        <v>81</v>
      </c>
      <c r="D71" s="58" t="s">
        <v>82</v>
      </c>
      <c r="E71" s="58" t="s">
        <v>83</v>
      </c>
      <c r="F71" s="58" t="s">
        <v>81</v>
      </c>
      <c r="G71" s="58" t="s">
        <v>85</v>
      </c>
      <c r="H71" s="58" t="s">
        <v>83</v>
      </c>
      <c r="I71" s="21"/>
      <c r="J71" s="21"/>
    </row>
    <row r="72" spans="1:10" ht="18" customHeight="1" x14ac:dyDescent="0.3">
      <c r="A72" s="21"/>
      <c r="B72" s="21"/>
      <c r="C72" s="432">
        <v>1</v>
      </c>
      <c r="D72" s="432"/>
      <c r="E72" s="433"/>
      <c r="F72" s="432"/>
      <c r="G72" s="432"/>
      <c r="H72" s="433"/>
      <c r="I72" s="21"/>
      <c r="J72" s="21"/>
    </row>
    <row r="73" spans="1:10" ht="18" customHeight="1" x14ac:dyDescent="0.3">
      <c r="A73" s="21"/>
      <c r="B73" s="21"/>
      <c r="C73" s="432">
        <v>2</v>
      </c>
      <c r="D73" s="432"/>
      <c r="E73" s="433"/>
      <c r="F73" s="432"/>
      <c r="G73" s="432"/>
      <c r="H73" s="433"/>
      <c r="I73" s="21"/>
      <c r="J73" s="21"/>
    </row>
    <row r="74" spans="1:10" ht="18" customHeight="1" x14ac:dyDescent="0.3">
      <c r="A74" s="21"/>
      <c r="B74" s="21"/>
      <c r="C74" s="432">
        <v>3</v>
      </c>
      <c r="D74" s="432"/>
      <c r="E74" s="433"/>
      <c r="F74" s="432"/>
      <c r="G74" s="432"/>
      <c r="H74" s="433"/>
      <c r="I74" s="21"/>
      <c r="J74" s="21"/>
    </row>
    <row r="75" spans="1:10" ht="18" customHeight="1" x14ac:dyDescent="0.3">
      <c r="A75" s="21"/>
      <c r="B75" s="21"/>
      <c r="C75" s="432"/>
      <c r="D75" s="432"/>
      <c r="E75" s="433"/>
      <c r="F75" s="432"/>
      <c r="G75" s="432"/>
      <c r="H75" s="433"/>
      <c r="I75" s="21"/>
      <c r="J75" s="21"/>
    </row>
    <row r="76" spans="1:10" ht="18" customHeight="1" x14ac:dyDescent="0.3">
      <c r="A76" s="21"/>
      <c r="B76" s="21"/>
      <c r="C76" s="432"/>
      <c r="D76" s="432"/>
      <c r="E76" s="433"/>
      <c r="F76" s="432"/>
      <c r="G76" s="432"/>
      <c r="H76" s="433"/>
      <c r="I76" s="21"/>
      <c r="J76" s="21"/>
    </row>
    <row r="77" spans="1:10" ht="18" customHeight="1" x14ac:dyDescent="0.3">
      <c r="A77" s="21"/>
      <c r="B77" s="21"/>
      <c r="C77" s="432"/>
      <c r="D77" s="432"/>
      <c r="E77" s="433"/>
      <c r="F77" s="432"/>
      <c r="G77" s="432"/>
      <c r="H77" s="433"/>
      <c r="I77" s="21"/>
      <c r="J77" s="21"/>
    </row>
    <row r="78" spans="1:10" ht="18" customHeight="1" x14ac:dyDescent="0.3">
      <c r="A78" s="21"/>
      <c r="B78" s="21"/>
      <c r="C78" s="432"/>
      <c r="D78" s="432"/>
      <c r="E78" s="433"/>
      <c r="F78" s="432"/>
      <c r="G78" s="432"/>
      <c r="H78" s="433"/>
      <c r="I78" s="21"/>
      <c r="J78" s="21"/>
    </row>
    <row r="79" spans="1:10" ht="18" customHeight="1" x14ac:dyDescent="0.3">
      <c r="A79" s="21"/>
      <c r="B79" s="21"/>
      <c r="C79" s="432"/>
      <c r="D79" s="432"/>
      <c r="E79" s="433"/>
      <c r="F79" s="432"/>
      <c r="G79" s="432"/>
      <c r="H79" s="433"/>
      <c r="I79" s="21"/>
      <c r="J79" s="21"/>
    </row>
    <row r="80" spans="1:10" ht="18" customHeight="1" x14ac:dyDescent="0.3">
      <c r="A80" s="21"/>
      <c r="B80" s="21"/>
      <c r="C80" s="432"/>
      <c r="D80" s="432"/>
      <c r="E80" s="433"/>
      <c r="F80" s="432"/>
      <c r="G80" s="432"/>
      <c r="H80" s="433"/>
      <c r="I80" s="21"/>
      <c r="J80" s="21"/>
    </row>
    <row r="81" spans="1:10" ht="18" customHeight="1" x14ac:dyDescent="0.3">
      <c r="A81" s="21"/>
      <c r="B81" s="21"/>
      <c r="C81" s="432"/>
      <c r="D81" s="432"/>
      <c r="E81" s="433"/>
      <c r="F81" s="432"/>
      <c r="G81" s="432"/>
      <c r="H81" s="433"/>
      <c r="I81" s="21"/>
      <c r="J81" s="21"/>
    </row>
    <row r="82" spans="1:10" ht="18" customHeight="1" x14ac:dyDescent="0.3">
      <c r="A82" s="21"/>
      <c r="B82" s="21"/>
      <c r="C82" s="432"/>
      <c r="D82" s="432"/>
      <c r="E82" s="433"/>
      <c r="F82" s="432"/>
      <c r="G82" s="432"/>
      <c r="H82" s="433"/>
      <c r="I82" s="21"/>
      <c r="J82" s="21"/>
    </row>
    <row r="83" spans="1:10" ht="18" customHeight="1" x14ac:dyDescent="0.3">
      <c r="A83" s="21"/>
      <c r="B83" s="21"/>
      <c r="C83" s="432"/>
      <c r="D83" s="432"/>
      <c r="E83" s="433"/>
      <c r="F83" s="432"/>
      <c r="G83" s="432"/>
      <c r="H83" s="433"/>
      <c r="I83" s="21"/>
      <c r="J83" s="21"/>
    </row>
    <row r="84" spans="1:10" ht="18" customHeight="1" x14ac:dyDescent="0.3">
      <c r="A84" s="21"/>
      <c r="B84" s="21"/>
      <c r="C84" s="432"/>
      <c r="D84" s="432"/>
      <c r="E84" s="433"/>
      <c r="F84" s="432"/>
      <c r="G84" s="432"/>
      <c r="H84" s="433"/>
      <c r="I84" s="21"/>
      <c r="J84" s="21"/>
    </row>
    <row r="85" spans="1:10" ht="18" customHeight="1" x14ac:dyDescent="0.3">
      <c r="A85" s="21"/>
      <c r="B85" s="21"/>
      <c r="C85" s="432"/>
      <c r="D85" s="432"/>
      <c r="E85" s="433"/>
      <c r="F85" s="432"/>
      <c r="G85" s="432"/>
      <c r="H85" s="433"/>
      <c r="I85" s="21"/>
      <c r="J85" s="21"/>
    </row>
    <row r="86" spans="1:10" ht="18" customHeight="1" x14ac:dyDescent="0.3">
      <c r="J86" s="21"/>
    </row>
    <row r="87" spans="1:10" ht="18" customHeight="1" x14ac:dyDescent="0.3">
      <c r="J87" s="21"/>
    </row>
    <row r="88" spans="1:10" ht="18" customHeight="1" x14ac:dyDescent="0.3">
      <c r="J88" s="21"/>
    </row>
    <row r="89" spans="1:10" ht="18" customHeight="1" x14ac:dyDescent="0.3">
      <c r="J89" s="21"/>
    </row>
    <row r="90" spans="1:10" ht="18" customHeight="1" x14ac:dyDescent="0.3">
      <c r="J90" s="21"/>
    </row>
    <row r="91" spans="1:10" ht="18" customHeight="1" x14ac:dyDescent="0.3">
      <c r="J91" s="21"/>
    </row>
    <row r="92" spans="1:10" ht="18" customHeight="1" x14ac:dyDescent="0.3">
      <c r="J92" s="21"/>
    </row>
    <row r="93" spans="1:10" ht="18" customHeight="1" x14ac:dyDescent="0.3">
      <c r="J93" s="21"/>
    </row>
    <row r="94" spans="1:10" ht="18" customHeight="1" x14ac:dyDescent="0.3">
      <c r="J94" s="21"/>
    </row>
    <row r="95" spans="1:10" ht="18" customHeight="1" x14ac:dyDescent="0.3">
      <c r="J95" s="21"/>
    </row>
    <row r="96" spans="1:10" ht="18" customHeight="1" x14ac:dyDescent="0.3">
      <c r="J96" s="21"/>
    </row>
    <row r="97" spans="10:10" ht="18" customHeight="1" x14ac:dyDescent="0.3">
      <c r="J97" s="21"/>
    </row>
    <row r="98" spans="10:10" ht="18" customHeight="1" x14ac:dyDescent="0.3">
      <c r="J98" s="21"/>
    </row>
    <row r="99" spans="10:10" ht="18" customHeight="1" x14ac:dyDescent="0.3">
      <c r="J99" s="21"/>
    </row>
    <row r="100" spans="10:10" ht="18" customHeight="1" x14ac:dyDescent="0.3">
      <c r="J100" s="21"/>
    </row>
    <row r="101" spans="10:10" ht="18" customHeight="1" x14ac:dyDescent="0.3">
      <c r="J101" s="21"/>
    </row>
    <row r="102" spans="10:10" ht="18" customHeight="1" x14ac:dyDescent="0.3">
      <c r="J102" s="21"/>
    </row>
    <row r="103" spans="10:10" ht="18" customHeight="1" x14ac:dyDescent="0.3">
      <c r="J103" s="21"/>
    </row>
    <row r="104" spans="10:10" ht="18" customHeight="1" x14ac:dyDescent="0.3">
      <c r="J104" s="21"/>
    </row>
    <row r="105" spans="10:10" ht="18" customHeight="1" x14ac:dyDescent="0.3">
      <c r="J105" s="21"/>
    </row>
    <row r="106" spans="10:10" ht="18" customHeight="1" x14ac:dyDescent="0.3">
      <c r="J106" s="21"/>
    </row>
    <row r="107" spans="10:10" ht="18" customHeight="1" x14ac:dyDescent="0.3">
      <c r="J107" s="21"/>
    </row>
    <row r="108" spans="10:10" ht="18" customHeight="1" x14ac:dyDescent="0.3">
      <c r="J108" s="21"/>
    </row>
    <row r="109" spans="10:10" ht="18" customHeight="1" x14ac:dyDescent="0.3">
      <c r="J109" s="21"/>
    </row>
    <row r="110" spans="10:10" ht="18" customHeight="1" x14ac:dyDescent="0.3">
      <c r="J110" s="21"/>
    </row>
    <row r="111" spans="10:10" ht="18" customHeight="1" x14ac:dyDescent="0.3">
      <c r="J111" s="21"/>
    </row>
    <row r="112" spans="10:10" ht="18" customHeight="1" x14ac:dyDescent="0.3">
      <c r="J112" s="21"/>
    </row>
    <row r="113" spans="10:10" ht="18" customHeight="1" x14ac:dyDescent="0.3">
      <c r="J113" s="21"/>
    </row>
    <row r="114" spans="10:10" ht="18" customHeight="1" x14ac:dyDescent="0.3">
      <c r="J114" s="21"/>
    </row>
    <row r="115" spans="10:10" ht="18" customHeight="1" x14ac:dyDescent="0.3">
      <c r="J115" s="21"/>
    </row>
    <row r="116" spans="10:10" ht="18" customHeight="1" x14ac:dyDescent="0.3">
      <c r="J116" s="21"/>
    </row>
    <row r="117" spans="10:10" ht="18" customHeight="1" x14ac:dyDescent="0.3">
      <c r="J117" s="21"/>
    </row>
    <row r="118" spans="10:10" ht="18" customHeight="1" x14ac:dyDescent="0.3">
      <c r="J118" s="21"/>
    </row>
    <row r="119" spans="10:10" ht="18" customHeight="1" x14ac:dyDescent="0.3">
      <c r="J119" s="21"/>
    </row>
    <row r="120" spans="10:10" ht="18" customHeight="1" x14ac:dyDescent="0.3">
      <c r="J120" s="21"/>
    </row>
    <row r="121" spans="10:10" ht="18" customHeight="1" x14ac:dyDescent="0.3">
      <c r="J121" s="21"/>
    </row>
    <row r="122" spans="10:10" ht="18" customHeight="1" x14ac:dyDescent="0.3">
      <c r="J122" s="21"/>
    </row>
    <row r="123" spans="10:10" ht="18" customHeight="1" x14ac:dyDescent="0.3">
      <c r="J123" s="21"/>
    </row>
    <row r="124" spans="10:10" ht="18" customHeight="1" x14ac:dyDescent="0.3">
      <c r="J124" s="21"/>
    </row>
    <row r="125" spans="10:10" ht="18" customHeight="1" x14ac:dyDescent="0.3">
      <c r="J125" s="21"/>
    </row>
    <row r="126" spans="10:10" ht="18" customHeight="1" x14ac:dyDescent="0.3">
      <c r="J126" s="21"/>
    </row>
    <row r="127" spans="10:10" ht="18" customHeight="1" x14ac:dyDescent="0.3">
      <c r="J127" s="21"/>
    </row>
    <row r="128" spans="10:10" ht="18" customHeight="1" x14ac:dyDescent="0.3">
      <c r="J128" s="21"/>
    </row>
    <row r="129" spans="10:10" ht="18" customHeight="1" x14ac:dyDescent="0.3">
      <c r="J129" s="21"/>
    </row>
    <row r="130" spans="10:10" ht="18" customHeight="1" x14ac:dyDescent="0.3">
      <c r="J130" s="21"/>
    </row>
    <row r="131" spans="10:10" ht="18" customHeight="1" x14ac:dyDescent="0.3">
      <c r="J131" s="21"/>
    </row>
    <row r="132" spans="10:10" ht="18" customHeight="1" x14ac:dyDescent="0.3">
      <c r="J132" s="21"/>
    </row>
    <row r="133" spans="10:10" ht="18" customHeight="1" x14ac:dyDescent="0.3">
      <c r="J133" s="21"/>
    </row>
    <row r="134" spans="10:10" ht="18" customHeight="1" x14ac:dyDescent="0.3">
      <c r="J134" s="21"/>
    </row>
    <row r="135" spans="10:10" ht="18" customHeight="1" x14ac:dyDescent="0.3">
      <c r="J135" s="21"/>
    </row>
    <row r="136" spans="10:10" ht="18" customHeight="1" x14ac:dyDescent="0.3">
      <c r="J136" s="21"/>
    </row>
    <row r="137" spans="10:10" ht="18" customHeight="1" x14ac:dyDescent="0.3">
      <c r="J137" s="21"/>
    </row>
    <row r="138" spans="10:10" ht="18" customHeight="1" x14ac:dyDescent="0.3">
      <c r="J138" s="21"/>
    </row>
    <row r="139" spans="10:10" ht="18" customHeight="1" x14ac:dyDescent="0.3">
      <c r="J139" s="21"/>
    </row>
    <row r="140" spans="10:10" ht="18" customHeight="1" x14ac:dyDescent="0.3">
      <c r="J140" s="21"/>
    </row>
    <row r="141" spans="10:10" ht="18" customHeight="1" x14ac:dyDescent="0.3">
      <c r="J141" s="21"/>
    </row>
    <row r="142" spans="10:10" ht="18" customHeight="1" x14ac:dyDescent="0.3">
      <c r="J142" s="21"/>
    </row>
    <row r="143" spans="10:10" ht="18" customHeight="1" x14ac:dyDescent="0.3">
      <c r="J143" s="21"/>
    </row>
    <row r="144" spans="10:10" ht="18" customHeight="1" x14ac:dyDescent="0.3">
      <c r="J144" s="21"/>
    </row>
    <row r="145" spans="10:10" ht="18" customHeight="1" x14ac:dyDescent="0.3">
      <c r="J145" s="21"/>
    </row>
    <row r="146" spans="10:10" ht="18" customHeight="1" x14ac:dyDescent="0.3">
      <c r="J146" s="21"/>
    </row>
    <row r="147" spans="10:10" ht="18" customHeight="1" x14ac:dyDescent="0.3">
      <c r="J147" s="21"/>
    </row>
    <row r="148" spans="10:10" ht="18" customHeight="1" x14ac:dyDescent="0.3">
      <c r="J148" s="21"/>
    </row>
    <row r="149" spans="10:10" ht="18" customHeight="1" x14ac:dyDescent="0.3">
      <c r="J149" s="21"/>
    </row>
    <row r="150" spans="10:10" ht="18" customHeight="1" x14ac:dyDescent="0.3">
      <c r="J150" s="21"/>
    </row>
    <row r="151" spans="10:10" ht="18" customHeight="1" x14ac:dyDescent="0.3">
      <c r="J151" s="21"/>
    </row>
    <row r="152" spans="10:10" ht="18" customHeight="1" x14ac:dyDescent="0.3">
      <c r="J152" s="21"/>
    </row>
    <row r="153" spans="10:10" ht="18" customHeight="1" x14ac:dyDescent="0.3">
      <c r="J153" s="21"/>
    </row>
    <row r="154" spans="10:10" ht="18" customHeight="1" x14ac:dyDescent="0.3">
      <c r="J154" s="21"/>
    </row>
    <row r="155" spans="10:10" ht="18" customHeight="1" x14ac:dyDescent="0.3">
      <c r="J155" s="21"/>
    </row>
    <row r="156" spans="10:10" ht="18" customHeight="1" x14ac:dyDescent="0.3">
      <c r="J156" s="21"/>
    </row>
    <row r="157" spans="10:10" ht="18" customHeight="1" x14ac:dyDescent="0.3">
      <c r="J157" s="21"/>
    </row>
    <row r="158" spans="10:10" ht="18" customHeight="1" x14ac:dyDescent="0.3">
      <c r="J158" s="21"/>
    </row>
    <row r="159" spans="10:10" ht="18" customHeight="1" x14ac:dyDescent="0.3">
      <c r="J159" s="21"/>
    </row>
    <row r="160" spans="10:10" ht="18" customHeight="1" x14ac:dyDescent="0.3">
      <c r="J160" s="21"/>
    </row>
    <row r="161" spans="10:10" ht="18" customHeight="1" x14ac:dyDescent="0.3">
      <c r="J161" s="21"/>
    </row>
    <row r="162" spans="10:10" ht="18" customHeight="1" x14ac:dyDescent="0.3">
      <c r="J162" s="21"/>
    </row>
    <row r="163" spans="10:10" ht="18" customHeight="1" x14ac:dyDescent="0.3">
      <c r="J163" s="21"/>
    </row>
    <row r="164" spans="10:10" ht="18" customHeight="1" x14ac:dyDescent="0.3">
      <c r="J164" s="21"/>
    </row>
    <row r="165" spans="10:10" ht="18" customHeight="1" x14ac:dyDescent="0.3">
      <c r="J165" s="21"/>
    </row>
    <row r="166" spans="10:10" ht="18" customHeight="1" x14ac:dyDescent="0.3">
      <c r="J166" s="21"/>
    </row>
    <row r="167" spans="10:10" ht="18" customHeight="1" x14ac:dyDescent="0.3">
      <c r="J167" s="21"/>
    </row>
    <row r="168" spans="10:10" ht="18" customHeight="1" x14ac:dyDescent="0.3">
      <c r="J168" s="21"/>
    </row>
    <row r="169" spans="10:10" ht="18" customHeight="1" x14ac:dyDescent="0.3">
      <c r="J169" s="21"/>
    </row>
    <row r="170" spans="10:10" ht="18" customHeight="1" x14ac:dyDescent="0.3">
      <c r="J170" s="21"/>
    </row>
    <row r="171" spans="10:10" ht="18" customHeight="1" x14ac:dyDescent="0.3">
      <c r="J171" s="21"/>
    </row>
    <row r="172" spans="10:10" ht="18" customHeight="1" x14ac:dyDescent="0.3">
      <c r="J172" s="21"/>
    </row>
    <row r="173" spans="10:10" ht="18" customHeight="1" x14ac:dyDescent="0.3">
      <c r="J173" s="21"/>
    </row>
    <row r="174" spans="10:10" ht="18" customHeight="1" x14ac:dyDescent="0.3">
      <c r="J174" s="21"/>
    </row>
    <row r="175" spans="10:10" ht="18" customHeight="1" x14ac:dyDescent="0.3">
      <c r="J175" s="21"/>
    </row>
    <row r="176" spans="10:10" ht="18" customHeight="1" x14ac:dyDescent="0.3">
      <c r="J176" s="21"/>
    </row>
    <row r="177" spans="10:10" ht="18" customHeight="1" x14ac:dyDescent="0.3">
      <c r="J177" s="21"/>
    </row>
  </sheetData>
  <sheetProtection algorithmName="SHA-512" hashValue="Jfe2pqwX5ZicGFrY8jZng8POSfyJyIestl5KzPsCQxcFI5Y3NuppY0dAqqDlFm9hz7PVeWoO1dnZkjjaQAy32Q==" saltValue="ZcNw8gj5CKcwzDUACo4vxA==" spinCount="100000" sheet="1" objects="1" scenarios="1" autoFilter="0"/>
  <mergeCells count="45">
    <mergeCell ref="I28:M28"/>
    <mergeCell ref="I29:M29"/>
    <mergeCell ref="I30:M30"/>
    <mergeCell ref="I31:M31"/>
    <mergeCell ref="I32:M32"/>
    <mergeCell ref="B9:D9"/>
    <mergeCell ref="G9:J9"/>
    <mergeCell ref="D2:I2"/>
    <mergeCell ref="D3:I3"/>
    <mergeCell ref="D4:I4"/>
    <mergeCell ref="D5:I5"/>
    <mergeCell ref="D6:I6"/>
    <mergeCell ref="G10:G11"/>
    <mergeCell ref="H10:H11"/>
    <mergeCell ref="C20:D20"/>
    <mergeCell ref="B22:B24"/>
    <mergeCell ref="C22:D22"/>
    <mergeCell ref="E22:E23"/>
    <mergeCell ref="F22:F23"/>
    <mergeCell ref="G22:G24"/>
    <mergeCell ref="H22:H24"/>
    <mergeCell ref="C23:D23"/>
    <mergeCell ref="C48:D48"/>
    <mergeCell ref="C50:D50"/>
    <mergeCell ref="E50:F50"/>
    <mergeCell ref="C51:D51"/>
    <mergeCell ref="E51:F51"/>
    <mergeCell ref="D62:E62"/>
    <mergeCell ref="C52:D52"/>
    <mergeCell ref="E52:F52"/>
    <mergeCell ref="C53:D53"/>
    <mergeCell ref="C54:D54"/>
    <mergeCell ref="C55:D55"/>
    <mergeCell ref="C56:D56"/>
    <mergeCell ref="C57:D57"/>
    <mergeCell ref="C59:D59"/>
    <mergeCell ref="C60:D60"/>
    <mergeCell ref="C58:D58"/>
    <mergeCell ref="F70:H70"/>
    <mergeCell ref="D63:E63"/>
    <mergeCell ref="D64:E64"/>
    <mergeCell ref="D65:E65"/>
    <mergeCell ref="D66:E66"/>
    <mergeCell ref="D67:E67"/>
    <mergeCell ref="D68:E68"/>
  </mergeCells>
  <conditionalFormatting sqref="I28:M32">
    <cfRule type="cellIs" dxfId="0" priority="1" operator="equal">
      <formula>"PENSEZ A VERIFIER SI IL FAUT FAIRE UN REMBOURSEMENT"</formula>
    </cfRule>
  </conditionalFormatting>
  <dataValidations count="2">
    <dataValidation type="decimal" operator="greaterThanOrEqual" allowBlank="1" showInputMessage="1" showErrorMessage="1" sqref="C26:F31">
      <formula1>0</formula1>
    </dataValidation>
    <dataValidation type="list" allowBlank="1" showInputMessage="1" showErrorMessage="1" sqref="D2:I2">
      <formula1>LYCEES1</formula1>
    </dataValidation>
  </dataValidations>
  <pageMargins left="0.7" right="0.7" top="0.75" bottom="0.75" header="0.3" footer="0.3"/>
  <pageSetup paperSize="9" scale="43"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14:formula1>
            <xm:f>LISTES!$E$1:$E$31</xm:f>
          </x14:formula1>
          <xm:sqref>E1</xm:sqref>
        </x14:dataValidation>
        <x14:dataValidation type="list" allowBlank="1" showInputMessage="1" showErrorMessage="1">
          <x14:formula1>
            <xm:f>LISTES!$D$4:$D$5</xm:f>
          </x14:formula1>
          <xm:sqref>B43</xm:sqref>
        </x14:dataValidation>
        <x14:dataValidation type="list" allowBlank="1" showInputMessage="1" showErrorMessage="1">
          <x14:formula1>
            <xm:f>LISTES!$G$1:$G$8</xm:f>
          </x14:formula1>
          <xm:sqref>G7</xm:sqref>
        </x14:dataValidation>
        <x14:dataValidation type="list" allowBlank="1" showInputMessage="1" showErrorMessage="1">
          <x14:formula1>
            <xm:f>LISTES!$F$1:$F$12</xm:f>
          </x14:formula1>
          <xm:sqref>E7</xm:sqref>
        </x14:dataValidation>
        <x14:dataValidation type="list" allowBlank="1" showInputMessage="1" showErrorMessage="1">
          <x14:formula1>
            <xm:f>LISTES!$A$1:$A$6</xm:f>
          </x14:formula1>
          <xm:sqref>C10:D10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4"/>
    <pageSetUpPr fitToPage="1"/>
  </sheetPr>
  <dimension ref="A1:R40"/>
  <sheetViews>
    <sheetView showGridLines="0" topLeftCell="A19" zoomScale="85" zoomScaleNormal="85" workbookViewId="0">
      <selection activeCell="I35" sqref="I35:J35"/>
    </sheetView>
  </sheetViews>
  <sheetFormatPr baseColWidth="10" defaultRowHeight="18" outlineLevelCol="1" x14ac:dyDescent="0.25"/>
  <cols>
    <col min="1" max="1" width="30.140625" style="77" customWidth="1"/>
    <col min="2" max="2" width="51.85546875" style="77" customWidth="1"/>
    <col min="3" max="3" width="7.7109375" style="78" customWidth="1"/>
    <col min="4" max="4" width="19.5703125" style="78" customWidth="1"/>
    <col min="5" max="5" width="4.140625" style="78" customWidth="1"/>
    <col min="6" max="6" width="26.140625" style="79" customWidth="1"/>
    <col min="7" max="7" width="8.5703125" style="77" customWidth="1"/>
    <col min="8" max="8" width="56.28515625" style="77" hidden="1" customWidth="1" outlineLevel="1"/>
    <col min="9" max="9" width="28.85546875" style="77" bestFit="1" customWidth="1" collapsed="1"/>
    <col min="10" max="10" width="12.7109375" style="77" bestFit="1" customWidth="1"/>
    <col min="11" max="16384" width="11.42578125" style="77"/>
  </cols>
  <sheetData>
    <row r="1" spans="1:18" ht="59.25" customHeight="1" thickBot="1" x14ac:dyDescent="0.3">
      <c r="A1" s="648" t="s">
        <v>332</v>
      </c>
      <c r="B1" s="648"/>
      <c r="C1" s="648"/>
      <c r="D1" s="648"/>
      <c r="E1" s="648"/>
      <c r="F1" s="648"/>
    </row>
    <row r="2" spans="1:18" ht="38.25" customHeight="1" thickBot="1" x14ac:dyDescent="0.3">
      <c r="A2" s="649" t="s">
        <v>253</v>
      </c>
      <c r="B2" s="650"/>
      <c r="C2" s="650"/>
      <c r="D2" s="650"/>
      <c r="E2" s="650"/>
      <c r="F2" s="651"/>
      <c r="G2" s="76"/>
      <c r="H2" s="255">
        <f>C7+F7</f>
        <v>0</v>
      </c>
    </row>
    <row r="3" spans="1:18" ht="44.25" customHeight="1" thickBot="1" x14ac:dyDescent="0.3"/>
    <row r="4" spans="1:18" ht="30" customHeight="1" thickBot="1" x14ac:dyDescent="0.3">
      <c r="A4" s="80" t="s">
        <v>196</v>
      </c>
      <c r="B4" s="81">
        <f>DONNEES!C7</f>
        <v>0</v>
      </c>
      <c r="C4" s="82"/>
      <c r="D4" s="82"/>
      <c r="E4" s="105"/>
      <c r="F4" s="83"/>
      <c r="G4" s="84"/>
    </row>
    <row r="5" spans="1:18" ht="15" customHeight="1" thickBot="1" x14ac:dyDescent="0.3">
      <c r="A5" s="455"/>
      <c r="B5" s="455"/>
      <c r="C5" s="655" t="s">
        <v>235</v>
      </c>
      <c r="D5" s="656"/>
      <c r="E5" s="462"/>
      <c r="F5" s="91" t="s">
        <v>235</v>
      </c>
    </row>
    <row r="6" spans="1:18" ht="24.95" customHeight="1" x14ac:dyDescent="0.25">
      <c r="A6" s="88"/>
      <c r="B6" s="89"/>
      <c r="C6" s="652">
        <f>DONNEES!C17</f>
        <v>0</v>
      </c>
      <c r="D6" s="652"/>
      <c r="E6" s="90"/>
      <c r="F6" s="252">
        <f>DONNEES!E17</f>
        <v>0</v>
      </c>
      <c r="G6" s="213"/>
      <c r="H6" s="653"/>
      <c r="I6" s="653"/>
    </row>
    <row r="7" spans="1:18" ht="15" customHeight="1" x14ac:dyDescent="0.25">
      <c r="A7" s="620" t="s">
        <v>346</v>
      </c>
      <c r="B7" s="621"/>
      <c r="C7" s="619">
        <f>DONNEES!M36</f>
        <v>0</v>
      </c>
      <c r="D7" s="619"/>
      <c r="E7" s="361"/>
      <c r="F7" s="456">
        <f>DONNEES!N36</f>
        <v>0</v>
      </c>
      <c r="G7" s="92"/>
      <c r="H7" s="654" t="s">
        <v>336</v>
      </c>
      <c r="I7" s="654"/>
      <c r="J7" s="654"/>
      <c r="K7" s="654"/>
      <c r="L7" s="654"/>
      <c r="M7" s="654"/>
      <c r="N7" s="654"/>
    </row>
    <row r="8" spans="1:18" ht="15" customHeight="1" x14ac:dyDescent="0.25">
      <c r="A8" s="620" t="s">
        <v>197</v>
      </c>
      <c r="B8" s="621"/>
      <c r="C8" s="645" t="str">
        <f>IF(AND($H$2&gt;=25000,$H$2&lt;=149999),"30%",IF(AND($H$2&gt;149999,$H$2&lt;=999999),"25%",IF($H$2&gt;999999,"20"%," ")))</f>
        <v xml:space="preserve"> </v>
      </c>
      <c r="D8" s="646"/>
      <c r="E8" s="646"/>
      <c r="F8" s="647"/>
      <c r="H8" s="643"/>
      <c r="I8" s="643"/>
      <c r="J8" s="643"/>
      <c r="K8" s="643"/>
      <c r="L8" s="643"/>
      <c r="M8" s="643"/>
      <c r="N8" s="643"/>
      <c r="O8" s="643"/>
      <c r="P8" s="643"/>
      <c r="Q8" s="643"/>
      <c r="R8" s="643"/>
    </row>
    <row r="9" spans="1:18" ht="15" customHeight="1" x14ac:dyDescent="0.25">
      <c r="A9" s="77" t="s">
        <v>331</v>
      </c>
      <c r="C9" s="619">
        <f>IFERROR(IF(DONNEES!C10&lt;=12,C7*C8,C7*C8*(12/DONNEES!C10)),0)</f>
        <v>0</v>
      </c>
      <c r="D9" s="619"/>
      <c r="E9" s="362"/>
      <c r="F9" s="456">
        <f>IFERROR(IF(DONNEES!C10&lt;=12,F7*C8,F7*C8*(12/DONNEES!C10)),0)</f>
        <v>0</v>
      </c>
      <c r="H9" s="644"/>
      <c r="I9" s="644"/>
      <c r="J9" s="644"/>
      <c r="K9" s="644"/>
      <c r="L9" s="644"/>
      <c r="M9" s="644"/>
      <c r="N9" s="644"/>
    </row>
    <row r="10" spans="1:18" ht="30" customHeight="1" x14ac:dyDescent="0.25">
      <c r="A10" s="257" t="s">
        <v>295</v>
      </c>
      <c r="B10" s="258"/>
      <c r="C10" s="639"/>
      <c r="D10" s="640"/>
      <c r="E10" s="95"/>
      <c r="F10" s="457">
        <v>0</v>
      </c>
    </row>
    <row r="11" spans="1:18" ht="45" customHeight="1" x14ac:dyDescent="0.25">
      <c r="A11" s="641" t="s">
        <v>296</v>
      </c>
      <c r="B11" s="642"/>
      <c r="C11" s="637">
        <f>C9-C10</f>
        <v>0</v>
      </c>
      <c r="D11" s="638"/>
      <c r="E11" s="95"/>
      <c r="F11" s="456">
        <f>F9-F10</f>
        <v>0</v>
      </c>
      <c r="I11" s="466"/>
    </row>
    <row r="12" spans="1:18" ht="15" customHeight="1" x14ac:dyDescent="0.25">
      <c r="A12" s="620" t="s">
        <v>198</v>
      </c>
      <c r="B12" s="621"/>
      <c r="C12" s="636"/>
      <c r="D12" s="636"/>
      <c r="E12" s="95"/>
      <c r="F12" s="457"/>
      <c r="G12" s="92"/>
    </row>
    <row r="13" spans="1:18" ht="30" customHeight="1" x14ac:dyDescent="0.25">
      <c r="A13" s="458"/>
      <c r="B13" s="459"/>
      <c r="C13" s="615"/>
      <c r="D13" s="616"/>
      <c r="E13" s="95"/>
      <c r="F13" s="91"/>
    </row>
    <row r="14" spans="1:18" ht="15" customHeight="1" x14ac:dyDescent="0.25">
      <c r="A14" s="620" t="s">
        <v>199</v>
      </c>
      <c r="B14" s="621"/>
      <c r="C14" s="636"/>
      <c r="D14" s="636"/>
      <c r="E14" s="95"/>
      <c r="F14" s="457"/>
      <c r="G14" s="92"/>
    </row>
    <row r="15" spans="1:18" ht="30" customHeight="1" x14ac:dyDescent="0.25">
      <c r="A15" s="458"/>
      <c r="B15" s="459"/>
      <c r="C15" s="615"/>
      <c r="D15" s="616"/>
      <c r="E15" s="95"/>
      <c r="F15" s="91"/>
    </row>
    <row r="16" spans="1:18" ht="15" customHeight="1" x14ac:dyDescent="0.25">
      <c r="A16" s="617" t="s">
        <v>200</v>
      </c>
      <c r="B16" s="618"/>
      <c r="C16" s="619">
        <f>+C12+C14</f>
        <v>0</v>
      </c>
      <c r="D16" s="619"/>
      <c r="E16" s="362"/>
      <c r="F16" s="456">
        <f>F14+F12</f>
        <v>0</v>
      </c>
      <c r="G16" s="602"/>
      <c r="H16" s="603"/>
    </row>
    <row r="17" spans="1:11" ht="30" customHeight="1" x14ac:dyDescent="0.25">
      <c r="A17" s="632"/>
      <c r="B17" s="633"/>
      <c r="C17" s="615"/>
      <c r="D17" s="616"/>
      <c r="E17" s="95"/>
      <c r="F17" s="91"/>
      <c r="I17" s="468"/>
      <c r="J17" s="468"/>
      <c r="K17" s="468"/>
    </row>
    <row r="18" spans="1:11" ht="30" customHeight="1" x14ac:dyDescent="0.25">
      <c r="A18" s="634" t="s">
        <v>201</v>
      </c>
      <c r="B18" s="635"/>
      <c r="C18" s="626">
        <f>IFERROR(C16/C7*100,0)</f>
        <v>0</v>
      </c>
      <c r="D18" s="626"/>
      <c r="E18" s="364"/>
      <c r="F18" s="460">
        <f>IFERROR(F16/F7*100,0)</f>
        <v>0</v>
      </c>
      <c r="G18" s="602"/>
      <c r="H18" s="603"/>
      <c r="I18" s="469" t="e">
        <f>C16/C7</f>
        <v>#DIV/0!</v>
      </c>
      <c r="J18" s="469">
        <f>F18/100</f>
        <v>0</v>
      </c>
      <c r="K18" s="469"/>
    </row>
    <row r="19" spans="1:11" ht="15" customHeight="1" x14ac:dyDescent="0.25">
      <c r="A19" s="620" t="s">
        <v>208</v>
      </c>
      <c r="B19" s="621"/>
      <c r="C19" s="622" t="str">
        <f>IF(C8="30%","40",IF(C8="25%","45",IF(C8="20%","50%"," ")))</f>
        <v xml:space="preserve"> </v>
      </c>
      <c r="D19" s="623"/>
      <c r="E19" s="97"/>
      <c r="F19" s="467" t="str">
        <f>IF(C8="30%","40",IF(C8="25%","45",IF(C8="20%","50%"," ")))</f>
        <v xml:space="preserve"> </v>
      </c>
      <c r="G19" s="98"/>
      <c r="I19" s="497" t="e">
        <f>C19/100</f>
        <v>#VALUE!</v>
      </c>
      <c r="J19" s="469" t="e">
        <f>F19/100</f>
        <v>#VALUE!</v>
      </c>
      <c r="K19" s="469"/>
    </row>
    <row r="20" spans="1:11" ht="30" customHeight="1" x14ac:dyDescent="0.25">
      <c r="A20" s="454"/>
      <c r="B20" s="455"/>
      <c r="C20" s="615"/>
      <c r="D20" s="616"/>
      <c r="E20" s="95"/>
      <c r="F20" s="91"/>
      <c r="G20" s="98"/>
      <c r="I20" s="468">
        <v>0.8</v>
      </c>
      <c r="J20" s="468">
        <v>0.8</v>
      </c>
      <c r="K20" s="468"/>
    </row>
    <row r="21" spans="1:11" ht="15" customHeight="1" x14ac:dyDescent="0.25">
      <c r="A21" s="624" t="s">
        <v>209</v>
      </c>
      <c r="B21" s="625"/>
      <c r="C21" s="626">
        <f>IFERROR(C18-C19,0)</f>
        <v>0</v>
      </c>
      <c r="D21" s="626"/>
      <c r="E21" s="367"/>
      <c r="F21" s="460">
        <f>IFERROR(F18-F19,0)</f>
        <v>0</v>
      </c>
      <c r="G21" s="110"/>
      <c r="I21" s="468"/>
      <c r="J21" s="468"/>
      <c r="K21" s="468"/>
    </row>
    <row r="22" spans="1:11" ht="15" customHeight="1" x14ac:dyDescent="0.25">
      <c r="A22" s="355"/>
      <c r="B22" s="198" t="s">
        <v>251</v>
      </c>
      <c r="C22" s="626">
        <f>IFERROR(C18-C19,0)</f>
        <v>0</v>
      </c>
      <c r="D22" s="626"/>
      <c r="E22" s="367"/>
      <c r="F22" s="460">
        <f>IFERROR(F18-F19,0)</f>
        <v>0</v>
      </c>
      <c r="G22" s="113"/>
      <c r="K22" s="468"/>
    </row>
    <row r="23" spans="1:11" ht="24.95" customHeight="1" thickBot="1" x14ac:dyDescent="0.3">
      <c r="A23" s="101"/>
      <c r="B23" s="199" t="s">
        <v>252</v>
      </c>
      <c r="C23" s="629">
        <f>IFERROR(80-C19,0)</f>
        <v>0</v>
      </c>
      <c r="D23" s="630"/>
      <c r="E23" s="367"/>
      <c r="F23" s="366">
        <f>IFERROR(80-F19,0)</f>
        <v>0</v>
      </c>
      <c r="G23" s="115"/>
    </row>
    <row r="24" spans="1:11" ht="24.95" customHeight="1" x14ac:dyDescent="0.25">
      <c r="A24" s="356"/>
      <c r="B24" s="356"/>
      <c r="C24" s="631"/>
      <c r="D24" s="631"/>
      <c r="E24" s="464"/>
      <c r="F24" s="465"/>
    </row>
    <row r="25" spans="1:11" ht="15" customHeight="1" thickBot="1" x14ac:dyDescent="0.3">
      <c r="A25" s="455"/>
      <c r="B25" s="455"/>
      <c r="C25" s="86"/>
      <c r="D25" s="86"/>
      <c r="E25" s="86"/>
      <c r="F25" s="87"/>
    </row>
    <row r="26" spans="1:11" ht="24.95" customHeight="1" x14ac:dyDescent="0.25">
      <c r="A26" s="103"/>
      <c r="B26" s="104"/>
      <c r="C26" s="105"/>
      <c r="D26" s="105"/>
      <c r="E26" s="105"/>
      <c r="F26" s="106"/>
    </row>
    <row r="27" spans="1:11" ht="15" customHeight="1" x14ac:dyDescent="0.25">
      <c r="A27" s="627" t="s">
        <v>202</v>
      </c>
      <c r="B27" s="628"/>
      <c r="C27" s="628"/>
      <c r="D27" s="628"/>
      <c r="E27" s="461"/>
      <c r="F27" s="108"/>
    </row>
    <row r="28" spans="1:11" ht="30" customHeight="1" x14ac:dyDescent="0.25">
      <c r="A28" s="454"/>
      <c r="B28" s="455"/>
      <c r="C28" s="606">
        <f>IFERROR(IF(AND(I18&lt;=I20,I18&gt;=I19,C12=""),C11*(C22/C23),IF(AND(I18&lt;=I20,I18&gt;=I19,C12&lt;&gt;""),C11*(C22/C23),IF(AND(I18&gt;=I20,C12&lt;&gt;""),C11,IF(AND(I18&gt;=I20,C12=""),C11,"PAS DE REMBOURSEMENT")))),0)</f>
        <v>0</v>
      </c>
      <c r="D28" s="607"/>
      <c r="E28" s="90"/>
      <c r="F28" s="612">
        <f>IFERROR(IF(AND(J18&lt;=J20,J18&gt;=J19,F12=""),F11*(F22/F23),IF(AND(J18&lt;=J20,J18&gt;=J19,F12&lt;&gt;""),F11*(F22/F23),IF(AND(J18&gt;=J20,F12&lt;&gt;""),F11,IF(AND(J18&gt;=J20,F12=""),F11,"PAS DE REMBOURSEMENT")))),0)</f>
        <v>0</v>
      </c>
    </row>
    <row r="29" spans="1:11" ht="15" customHeight="1" x14ac:dyDescent="0.25">
      <c r="A29" s="454" t="s">
        <v>203</v>
      </c>
      <c r="B29" s="111"/>
      <c r="C29" s="608"/>
      <c r="D29" s="609"/>
      <c r="E29" s="112"/>
      <c r="F29" s="613"/>
    </row>
    <row r="30" spans="1:11" ht="18" customHeight="1" x14ac:dyDescent="0.25">
      <c r="A30" s="454"/>
      <c r="B30" s="114" t="s">
        <v>204</v>
      </c>
      <c r="C30" s="608"/>
      <c r="D30" s="609"/>
      <c r="E30" s="368"/>
      <c r="F30" s="613"/>
    </row>
    <row r="31" spans="1:11" ht="30" customHeight="1" x14ac:dyDescent="0.25">
      <c r="A31" s="454"/>
      <c r="B31" s="455" t="s">
        <v>205</v>
      </c>
      <c r="C31" s="610"/>
      <c r="D31" s="611"/>
      <c r="E31" s="116"/>
      <c r="F31" s="614"/>
    </row>
    <row r="32" spans="1:11" ht="24.95" customHeight="1" x14ac:dyDescent="0.25">
      <c r="A32" s="454"/>
      <c r="B32" s="117" t="s">
        <v>206</v>
      </c>
      <c r="C32" s="600"/>
      <c r="D32" s="600"/>
      <c r="E32" s="362"/>
      <c r="F32" s="435"/>
      <c r="G32" s="256"/>
    </row>
    <row r="33" spans="1:8" ht="24.95" customHeight="1" x14ac:dyDescent="0.25">
      <c r="A33" s="118"/>
      <c r="B33" s="119" t="s">
        <v>207</v>
      </c>
      <c r="C33" s="601">
        <f>IFERROR(C28-C32,0)</f>
        <v>0</v>
      </c>
      <c r="D33" s="601"/>
      <c r="E33" s="362"/>
      <c r="F33" s="369">
        <f>IFERROR(F28-F32,0)</f>
        <v>0</v>
      </c>
      <c r="G33" s="602"/>
      <c r="H33" s="603"/>
    </row>
    <row r="34" spans="1:8" ht="24.95" customHeight="1" thickBot="1" x14ac:dyDescent="0.3">
      <c r="A34" s="120"/>
      <c r="B34" s="121"/>
      <c r="C34" s="370"/>
      <c r="D34" s="370"/>
      <c r="E34" s="370"/>
      <c r="F34" s="462"/>
      <c r="G34" s="122"/>
    </row>
    <row r="35" spans="1:8" ht="15" customHeight="1" x14ac:dyDescent="0.25">
      <c r="F35" s="78"/>
      <c r="G35" s="123"/>
    </row>
    <row r="36" spans="1:8" ht="15" customHeight="1" x14ac:dyDescent="0.25">
      <c r="G36" s="122"/>
    </row>
    <row r="37" spans="1:8" ht="15" customHeight="1" x14ac:dyDescent="0.25">
      <c r="A37" s="604"/>
      <c r="B37" s="604"/>
      <c r="G37" s="122"/>
    </row>
    <row r="38" spans="1:8" ht="15" customHeight="1" x14ac:dyDescent="0.25">
      <c r="A38" s="605"/>
      <c r="B38" s="605"/>
      <c r="G38" s="122"/>
    </row>
    <row r="39" spans="1:8" ht="30" customHeight="1" x14ac:dyDescent="0.25">
      <c r="A39" s="598"/>
      <c r="B39" s="598"/>
      <c r="C39" s="598"/>
      <c r="D39" s="598"/>
      <c r="E39" s="598"/>
      <c r="F39" s="598"/>
      <c r="G39" s="122"/>
    </row>
    <row r="40" spans="1:8" ht="15" customHeight="1" x14ac:dyDescent="0.25">
      <c r="A40" s="599"/>
      <c r="B40" s="599"/>
      <c r="G40" s="122"/>
    </row>
  </sheetData>
  <sheetProtection algorithmName="SHA-512" hashValue="foW05Dta1xdn7PT4HwyB3cTIrwleCwhF2aclPIkcGkxMop0oLeqgHgia/FjlGHLeq/lbiG0hKUXbVRt+6Aq2ug==" saltValue="9g/uDWJ5G5tR2B2EhYjxpA==" spinCount="100000" sheet="1" objects="1" scenarios="1" autoFilter="0"/>
  <mergeCells count="48">
    <mergeCell ref="A38:B38"/>
    <mergeCell ref="A39:F39"/>
    <mergeCell ref="A40:B40"/>
    <mergeCell ref="C28:D31"/>
    <mergeCell ref="F28:F31"/>
    <mergeCell ref="C32:D32"/>
    <mergeCell ref="C33:D33"/>
    <mergeCell ref="G33:H33"/>
    <mergeCell ref="A37:B37"/>
    <mergeCell ref="A21:B21"/>
    <mergeCell ref="C21:D21"/>
    <mergeCell ref="C22:D22"/>
    <mergeCell ref="C23:D23"/>
    <mergeCell ref="C24:D24"/>
    <mergeCell ref="A27:D27"/>
    <mergeCell ref="C20:D20"/>
    <mergeCell ref="C15:D15"/>
    <mergeCell ref="A16:B16"/>
    <mergeCell ref="C16:D16"/>
    <mergeCell ref="G16:H16"/>
    <mergeCell ref="A17:B17"/>
    <mergeCell ref="C17:D17"/>
    <mergeCell ref="A18:B18"/>
    <mergeCell ref="C18:D18"/>
    <mergeCell ref="G18:H18"/>
    <mergeCell ref="A19:B19"/>
    <mergeCell ref="C19:D19"/>
    <mergeCell ref="A14:B14"/>
    <mergeCell ref="C14:D14"/>
    <mergeCell ref="A8:B8"/>
    <mergeCell ref="C8:F8"/>
    <mergeCell ref="H8:R8"/>
    <mergeCell ref="C9:D9"/>
    <mergeCell ref="H9:N9"/>
    <mergeCell ref="C10:D10"/>
    <mergeCell ref="A11:B11"/>
    <mergeCell ref="C11:D11"/>
    <mergeCell ref="A12:B12"/>
    <mergeCell ref="C12:D12"/>
    <mergeCell ref="C13:D13"/>
    <mergeCell ref="A7:B7"/>
    <mergeCell ref="C7:D7"/>
    <mergeCell ref="H7:N7"/>
    <mergeCell ref="A1:F1"/>
    <mergeCell ref="A2:F2"/>
    <mergeCell ref="C5:D5"/>
    <mergeCell ref="C6:D6"/>
    <mergeCell ref="H6:I6"/>
  </mergeCells>
  <pageMargins left="0.78740157499999996" right="0.78740157499999996" top="0.984251969" bottom="0.984251969" header="0.4921259845" footer="0.4921259845"/>
  <pageSetup paperSize="9" scale="63"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FF00"/>
  </sheetPr>
  <dimension ref="A2:I32"/>
  <sheetViews>
    <sheetView topLeftCell="A16" zoomScale="90" zoomScaleNormal="90" workbookViewId="0">
      <selection activeCell="I35" sqref="I35:J35"/>
    </sheetView>
  </sheetViews>
  <sheetFormatPr baseColWidth="10" defaultRowHeight="12.75" x14ac:dyDescent="0.2"/>
  <cols>
    <col min="1" max="1" width="12.28515625" style="136" bestFit="1" customWidth="1"/>
    <col min="2" max="2" width="32.28515625" style="136" customWidth="1"/>
    <col min="3" max="3" width="20.7109375" style="136" customWidth="1"/>
    <col min="4" max="4" width="11.5703125" style="136" customWidth="1"/>
    <col min="5" max="5" width="33" style="136" customWidth="1"/>
    <col min="6" max="6" width="36.5703125" style="136" customWidth="1"/>
    <col min="7" max="7" width="11.5703125" style="136" customWidth="1"/>
    <col min="8" max="8" width="20.7109375" style="136" customWidth="1"/>
    <col min="9" max="9" width="20.140625" style="136" customWidth="1"/>
    <col min="10" max="257" width="11.42578125" style="136"/>
    <col min="258" max="259" width="20.7109375" style="136" customWidth="1"/>
    <col min="260" max="260" width="11.5703125" style="136" customWidth="1"/>
    <col min="261" max="261" width="19.7109375" style="136" customWidth="1"/>
    <col min="262" max="263" width="11.5703125" style="136" customWidth="1"/>
    <col min="264" max="264" width="20.7109375" style="136" customWidth="1"/>
    <col min="265" max="265" width="20.140625" style="136" customWidth="1"/>
    <col min="266" max="513" width="11.42578125" style="136"/>
    <col min="514" max="515" width="20.7109375" style="136" customWidth="1"/>
    <col min="516" max="516" width="11.5703125" style="136" customWidth="1"/>
    <col min="517" max="517" width="19.7109375" style="136" customWidth="1"/>
    <col min="518" max="519" width="11.5703125" style="136" customWidth="1"/>
    <col min="520" max="520" width="20.7109375" style="136" customWidth="1"/>
    <col min="521" max="521" width="20.140625" style="136" customWidth="1"/>
    <col min="522" max="769" width="11.42578125" style="136"/>
    <col min="770" max="771" width="20.7109375" style="136" customWidth="1"/>
    <col min="772" max="772" width="11.5703125" style="136" customWidth="1"/>
    <col min="773" max="773" width="19.7109375" style="136" customWidth="1"/>
    <col min="774" max="775" width="11.5703125" style="136" customWidth="1"/>
    <col min="776" max="776" width="20.7109375" style="136" customWidth="1"/>
    <col min="777" max="777" width="20.140625" style="136" customWidth="1"/>
    <col min="778" max="1025" width="11.42578125" style="136"/>
    <col min="1026" max="1027" width="20.7109375" style="136" customWidth="1"/>
    <col min="1028" max="1028" width="11.5703125" style="136" customWidth="1"/>
    <col min="1029" max="1029" width="19.7109375" style="136" customWidth="1"/>
    <col min="1030" max="1031" width="11.5703125" style="136" customWidth="1"/>
    <col min="1032" max="1032" width="20.7109375" style="136" customWidth="1"/>
    <col min="1033" max="1033" width="20.140625" style="136" customWidth="1"/>
    <col min="1034" max="1281" width="11.42578125" style="136"/>
    <col min="1282" max="1283" width="20.7109375" style="136" customWidth="1"/>
    <col min="1284" max="1284" width="11.5703125" style="136" customWidth="1"/>
    <col min="1285" max="1285" width="19.7109375" style="136" customWidth="1"/>
    <col min="1286" max="1287" width="11.5703125" style="136" customWidth="1"/>
    <col min="1288" max="1288" width="20.7109375" style="136" customWidth="1"/>
    <col min="1289" max="1289" width="20.140625" style="136" customWidth="1"/>
    <col min="1290" max="1537" width="11.42578125" style="136"/>
    <col min="1538" max="1539" width="20.7109375" style="136" customWidth="1"/>
    <col min="1540" max="1540" width="11.5703125" style="136" customWidth="1"/>
    <col min="1541" max="1541" width="19.7109375" style="136" customWidth="1"/>
    <col min="1542" max="1543" width="11.5703125" style="136" customWidth="1"/>
    <col min="1544" max="1544" width="20.7109375" style="136" customWidth="1"/>
    <col min="1545" max="1545" width="20.140625" style="136" customWidth="1"/>
    <col min="1546" max="1793" width="11.42578125" style="136"/>
    <col min="1794" max="1795" width="20.7109375" style="136" customWidth="1"/>
    <col min="1796" max="1796" width="11.5703125" style="136" customWidth="1"/>
    <col min="1797" max="1797" width="19.7109375" style="136" customWidth="1"/>
    <col min="1798" max="1799" width="11.5703125" style="136" customWidth="1"/>
    <col min="1800" max="1800" width="20.7109375" style="136" customWidth="1"/>
    <col min="1801" max="1801" width="20.140625" style="136" customWidth="1"/>
    <col min="1802" max="2049" width="11.42578125" style="136"/>
    <col min="2050" max="2051" width="20.7109375" style="136" customWidth="1"/>
    <col min="2052" max="2052" width="11.5703125" style="136" customWidth="1"/>
    <col min="2053" max="2053" width="19.7109375" style="136" customWidth="1"/>
    <col min="2054" max="2055" width="11.5703125" style="136" customWidth="1"/>
    <col min="2056" max="2056" width="20.7109375" style="136" customWidth="1"/>
    <col min="2057" max="2057" width="20.140625" style="136" customWidth="1"/>
    <col min="2058" max="2305" width="11.42578125" style="136"/>
    <col min="2306" max="2307" width="20.7109375" style="136" customWidth="1"/>
    <col min="2308" max="2308" width="11.5703125" style="136" customWidth="1"/>
    <col min="2309" max="2309" width="19.7109375" style="136" customWidth="1"/>
    <col min="2310" max="2311" width="11.5703125" style="136" customWidth="1"/>
    <col min="2312" max="2312" width="20.7109375" style="136" customWidth="1"/>
    <col min="2313" max="2313" width="20.140625" style="136" customWidth="1"/>
    <col min="2314" max="2561" width="11.42578125" style="136"/>
    <col min="2562" max="2563" width="20.7109375" style="136" customWidth="1"/>
    <col min="2564" max="2564" width="11.5703125" style="136" customWidth="1"/>
    <col min="2565" max="2565" width="19.7109375" style="136" customWidth="1"/>
    <col min="2566" max="2567" width="11.5703125" style="136" customWidth="1"/>
    <col min="2568" max="2568" width="20.7109375" style="136" customWidth="1"/>
    <col min="2569" max="2569" width="20.140625" style="136" customWidth="1"/>
    <col min="2570" max="2817" width="11.42578125" style="136"/>
    <col min="2818" max="2819" width="20.7109375" style="136" customWidth="1"/>
    <col min="2820" max="2820" width="11.5703125" style="136" customWidth="1"/>
    <col min="2821" max="2821" width="19.7109375" style="136" customWidth="1"/>
    <col min="2822" max="2823" width="11.5703125" style="136" customWidth="1"/>
    <col min="2824" max="2824" width="20.7109375" style="136" customWidth="1"/>
    <col min="2825" max="2825" width="20.140625" style="136" customWidth="1"/>
    <col min="2826" max="3073" width="11.42578125" style="136"/>
    <col min="3074" max="3075" width="20.7109375" style="136" customWidth="1"/>
    <col min="3076" max="3076" width="11.5703125" style="136" customWidth="1"/>
    <col min="3077" max="3077" width="19.7109375" style="136" customWidth="1"/>
    <col min="3078" max="3079" width="11.5703125" style="136" customWidth="1"/>
    <col min="3080" max="3080" width="20.7109375" style="136" customWidth="1"/>
    <col min="3081" max="3081" width="20.140625" style="136" customWidth="1"/>
    <col min="3082" max="3329" width="11.42578125" style="136"/>
    <col min="3330" max="3331" width="20.7109375" style="136" customWidth="1"/>
    <col min="3332" max="3332" width="11.5703125" style="136" customWidth="1"/>
    <col min="3333" max="3333" width="19.7109375" style="136" customWidth="1"/>
    <col min="3334" max="3335" width="11.5703125" style="136" customWidth="1"/>
    <col min="3336" max="3336" width="20.7109375" style="136" customWidth="1"/>
    <col min="3337" max="3337" width="20.140625" style="136" customWidth="1"/>
    <col min="3338" max="3585" width="11.42578125" style="136"/>
    <col min="3586" max="3587" width="20.7109375" style="136" customWidth="1"/>
    <col min="3588" max="3588" width="11.5703125" style="136" customWidth="1"/>
    <col min="3589" max="3589" width="19.7109375" style="136" customWidth="1"/>
    <col min="3590" max="3591" width="11.5703125" style="136" customWidth="1"/>
    <col min="3592" max="3592" width="20.7109375" style="136" customWidth="1"/>
    <col min="3593" max="3593" width="20.140625" style="136" customWidth="1"/>
    <col min="3594" max="3841" width="11.42578125" style="136"/>
    <col min="3842" max="3843" width="20.7109375" style="136" customWidth="1"/>
    <col min="3844" max="3844" width="11.5703125" style="136" customWidth="1"/>
    <col min="3845" max="3845" width="19.7109375" style="136" customWidth="1"/>
    <col min="3846" max="3847" width="11.5703125" style="136" customWidth="1"/>
    <col min="3848" max="3848" width="20.7109375" style="136" customWidth="1"/>
    <col min="3849" max="3849" width="20.140625" style="136" customWidth="1"/>
    <col min="3850" max="4097" width="11.42578125" style="136"/>
    <col min="4098" max="4099" width="20.7109375" style="136" customWidth="1"/>
    <col min="4100" max="4100" width="11.5703125" style="136" customWidth="1"/>
    <col min="4101" max="4101" width="19.7109375" style="136" customWidth="1"/>
    <col min="4102" max="4103" width="11.5703125" style="136" customWidth="1"/>
    <col min="4104" max="4104" width="20.7109375" style="136" customWidth="1"/>
    <col min="4105" max="4105" width="20.140625" style="136" customWidth="1"/>
    <col min="4106" max="4353" width="11.42578125" style="136"/>
    <col min="4354" max="4355" width="20.7109375" style="136" customWidth="1"/>
    <col min="4356" max="4356" width="11.5703125" style="136" customWidth="1"/>
    <col min="4357" max="4357" width="19.7109375" style="136" customWidth="1"/>
    <col min="4358" max="4359" width="11.5703125" style="136" customWidth="1"/>
    <col min="4360" max="4360" width="20.7109375" style="136" customWidth="1"/>
    <col min="4361" max="4361" width="20.140625" style="136" customWidth="1"/>
    <col min="4362" max="4609" width="11.42578125" style="136"/>
    <col min="4610" max="4611" width="20.7109375" style="136" customWidth="1"/>
    <col min="4612" max="4612" width="11.5703125" style="136" customWidth="1"/>
    <col min="4613" max="4613" width="19.7109375" style="136" customWidth="1"/>
    <col min="4614" max="4615" width="11.5703125" style="136" customWidth="1"/>
    <col min="4616" max="4616" width="20.7109375" style="136" customWidth="1"/>
    <col min="4617" max="4617" width="20.140625" style="136" customWidth="1"/>
    <col min="4618" max="4865" width="11.42578125" style="136"/>
    <col min="4866" max="4867" width="20.7109375" style="136" customWidth="1"/>
    <col min="4868" max="4868" width="11.5703125" style="136" customWidth="1"/>
    <col min="4869" max="4869" width="19.7109375" style="136" customWidth="1"/>
    <col min="4870" max="4871" width="11.5703125" style="136" customWidth="1"/>
    <col min="4872" max="4872" width="20.7109375" style="136" customWidth="1"/>
    <col min="4873" max="4873" width="20.140625" style="136" customWidth="1"/>
    <col min="4874" max="5121" width="11.42578125" style="136"/>
    <col min="5122" max="5123" width="20.7109375" style="136" customWidth="1"/>
    <col min="5124" max="5124" width="11.5703125" style="136" customWidth="1"/>
    <col min="5125" max="5125" width="19.7109375" style="136" customWidth="1"/>
    <col min="5126" max="5127" width="11.5703125" style="136" customWidth="1"/>
    <col min="5128" max="5128" width="20.7109375" style="136" customWidth="1"/>
    <col min="5129" max="5129" width="20.140625" style="136" customWidth="1"/>
    <col min="5130" max="5377" width="11.42578125" style="136"/>
    <col min="5378" max="5379" width="20.7109375" style="136" customWidth="1"/>
    <col min="5380" max="5380" width="11.5703125" style="136" customWidth="1"/>
    <col min="5381" max="5381" width="19.7109375" style="136" customWidth="1"/>
    <col min="5382" max="5383" width="11.5703125" style="136" customWidth="1"/>
    <col min="5384" max="5384" width="20.7109375" style="136" customWidth="1"/>
    <col min="5385" max="5385" width="20.140625" style="136" customWidth="1"/>
    <col min="5386" max="5633" width="11.42578125" style="136"/>
    <col min="5634" max="5635" width="20.7109375" style="136" customWidth="1"/>
    <col min="5636" max="5636" width="11.5703125" style="136" customWidth="1"/>
    <col min="5637" max="5637" width="19.7109375" style="136" customWidth="1"/>
    <col min="5638" max="5639" width="11.5703125" style="136" customWidth="1"/>
    <col min="5640" max="5640" width="20.7109375" style="136" customWidth="1"/>
    <col min="5641" max="5641" width="20.140625" style="136" customWidth="1"/>
    <col min="5642" max="5889" width="11.42578125" style="136"/>
    <col min="5890" max="5891" width="20.7109375" style="136" customWidth="1"/>
    <col min="5892" max="5892" width="11.5703125" style="136" customWidth="1"/>
    <col min="5893" max="5893" width="19.7109375" style="136" customWidth="1"/>
    <col min="5894" max="5895" width="11.5703125" style="136" customWidth="1"/>
    <col min="5896" max="5896" width="20.7109375" style="136" customWidth="1"/>
    <col min="5897" max="5897" width="20.140625" style="136" customWidth="1"/>
    <col min="5898" max="6145" width="11.42578125" style="136"/>
    <col min="6146" max="6147" width="20.7109375" style="136" customWidth="1"/>
    <col min="6148" max="6148" width="11.5703125" style="136" customWidth="1"/>
    <col min="6149" max="6149" width="19.7109375" style="136" customWidth="1"/>
    <col min="6150" max="6151" width="11.5703125" style="136" customWidth="1"/>
    <col min="6152" max="6152" width="20.7109375" style="136" customWidth="1"/>
    <col min="6153" max="6153" width="20.140625" style="136" customWidth="1"/>
    <col min="6154" max="6401" width="11.42578125" style="136"/>
    <col min="6402" max="6403" width="20.7109375" style="136" customWidth="1"/>
    <col min="6404" max="6404" width="11.5703125" style="136" customWidth="1"/>
    <col min="6405" max="6405" width="19.7109375" style="136" customWidth="1"/>
    <col min="6406" max="6407" width="11.5703125" style="136" customWidth="1"/>
    <col min="6408" max="6408" width="20.7109375" style="136" customWidth="1"/>
    <col min="6409" max="6409" width="20.140625" style="136" customWidth="1"/>
    <col min="6410" max="6657" width="11.42578125" style="136"/>
    <col min="6658" max="6659" width="20.7109375" style="136" customWidth="1"/>
    <col min="6660" max="6660" width="11.5703125" style="136" customWidth="1"/>
    <col min="6661" max="6661" width="19.7109375" style="136" customWidth="1"/>
    <col min="6662" max="6663" width="11.5703125" style="136" customWidth="1"/>
    <col min="6664" max="6664" width="20.7109375" style="136" customWidth="1"/>
    <col min="6665" max="6665" width="20.140625" style="136" customWidth="1"/>
    <col min="6666" max="6913" width="11.42578125" style="136"/>
    <col min="6914" max="6915" width="20.7109375" style="136" customWidth="1"/>
    <col min="6916" max="6916" width="11.5703125" style="136" customWidth="1"/>
    <col min="6917" max="6917" width="19.7109375" style="136" customWidth="1"/>
    <col min="6918" max="6919" width="11.5703125" style="136" customWidth="1"/>
    <col min="6920" max="6920" width="20.7109375" style="136" customWidth="1"/>
    <col min="6921" max="6921" width="20.140625" style="136" customWidth="1"/>
    <col min="6922" max="7169" width="11.42578125" style="136"/>
    <col min="7170" max="7171" width="20.7109375" style="136" customWidth="1"/>
    <col min="7172" max="7172" width="11.5703125" style="136" customWidth="1"/>
    <col min="7173" max="7173" width="19.7109375" style="136" customWidth="1"/>
    <col min="7174" max="7175" width="11.5703125" style="136" customWidth="1"/>
    <col min="7176" max="7176" width="20.7109375" style="136" customWidth="1"/>
    <col min="7177" max="7177" width="20.140625" style="136" customWidth="1"/>
    <col min="7178" max="7425" width="11.42578125" style="136"/>
    <col min="7426" max="7427" width="20.7109375" style="136" customWidth="1"/>
    <col min="7428" max="7428" width="11.5703125" style="136" customWidth="1"/>
    <col min="7429" max="7429" width="19.7109375" style="136" customWidth="1"/>
    <col min="7430" max="7431" width="11.5703125" style="136" customWidth="1"/>
    <col min="7432" max="7432" width="20.7109375" style="136" customWidth="1"/>
    <col min="7433" max="7433" width="20.140625" style="136" customWidth="1"/>
    <col min="7434" max="7681" width="11.42578125" style="136"/>
    <col min="7682" max="7683" width="20.7109375" style="136" customWidth="1"/>
    <col min="7684" max="7684" width="11.5703125" style="136" customWidth="1"/>
    <col min="7685" max="7685" width="19.7109375" style="136" customWidth="1"/>
    <col min="7686" max="7687" width="11.5703125" style="136" customWidth="1"/>
    <col min="7688" max="7688" width="20.7109375" style="136" customWidth="1"/>
    <col min="7689" max="7689" width="20.140625" style="136" customWidth="1"/>
    <col min="7690" max="7937" width="11.42578125" style="136"/>
    <col min="7938" max="7939" width="20.7109375" style="136" customWidth="1"/>
    <col min="7940" max="7940" width="11.5703125" style="136" customWidth="1"/>
    <col min="7941" max="7941" width="19.7109375" style="136" customWidth="1"/>
    <col min="7942" max="7943" width="11.5703125" style="136" customWidth="1"/>
    <col min="7944" max="7944" width="20.7109375" style="136" customWidth="1"/>
    <col min="7945" max="7945" width="20.140625" style="136" customWidth="1"/>
    <col min="7946" max="8193" width="11.42578125" style="136"/>
    <col min="8194" max="8195" width="20.7109375" style="136" customWidth="1"/>
    <col min="8196" max="8196" width="11.5703125" style="136" customWidth="1"/>
    <col min="8197" max="8197" width="19.7109375" style="136" customWidth="1"/>
    <col min="8198" max="8199" width="11.5703125" style="136" customWidth="1"/>
    <col min="8200" max="8200" width="20.7109375" style="136" customWidth="1"/>
    <col min="8201" max="8201" width="20.140625" style="136" customWidth="1"/>
    <col min="8202" max="8449" width="11.42578125" style="136"/>
    <col min="8450" max="8451" width="20.7109375" style="136" customWidth="1"/>
    <col min="8452" max="8452" width="11.5703125" style="136" customWidth="1"/>
    <col min="8453" max="8453" width="19.7109375" style="136" customWidth="1"/>
    <col min="8454" max="8455" width="11.5703125" style="136" customWidth="1"/>
    <col min="8456" max="8456" width="20.7109375" style="136" customWidth="1"/>
    <col min="8457" max="8457" width="20.140625" style="136" customWidth="1"/>
    <col min="8458" max="8705" width="11.42578125" style="136"/>
    <col min="8706" max="8707" width="20.7109375" style="136" customWidth="1"/>
    <col min="8708" max="8708" width="11.5703125" style="136" customWidth="1"/>
    <col min="8709" max="8709" width="19.7109375" style="136" customWidth="1"/>
    <col min="8710" max="8711" width="11.5703125" style="136" customWidth="1"/>
    <col min="8712" max="8712" width="20.7109375" style="136" customWidth="1"/>
    <col min="8713" max="8713" width="20.140625" style="136" customWidth="1"/>
    <col min="8714" max="8961" width="11.42578125" style="136"/>
    <col min="8962" max="8963" width="20.7109375" style="136" customWidth="1"/>
    <col min="8964" max="8964" width="11.5703125" style="136" customWidth="1"/>
    <col min="8965" max="8965" width="19.7109375" style="136" customWidth="1"/>
    <col min="8966" max="8967" width="11.5703125" style="136" customWidth="1"/>
    <col min="8968" max="8968" width="20.7109375" style="136" customWidth="1"/>
    <col min="8969" max="8969" width="20.140625" style="136" customWidth="1"/>
    <col min="8970" max="9217" width="11.42578125" style="136"/>
    <col min="9218" max="9219" width="20.7109375" style="136" customWidth="1"/>
    <col min="9220" max="9220" width="11.5703125" style="136" customWidth="1"/>
    <col min="9221" max="9221" width="19.7109375" style="136" customWidth="1"/>
    <col min="9222" max="9223" width="11.5703125" style="136" customWidth="1"/>
    <col min="9224" max="9224" width="20.7109375" style="136" customWidth="1"/>
    <col min="9225" max="9225" width="20.140625" style="136" customWidth="1"/>
    <col min="9226" max="9473" width="11.42578125" style="136"/>
    <col min="9474" max="9475" width="20.7109375" style="136" customWidth="1"/>
    <col min="9476" max="9476" width="11.5703125" style="136" customWidth="1"/>
    <col min="9477" max="9477" width="19.7109375" style="136" customWidth="1"/>
    <col min="9478" max="9479" width="11.5703125" style="136" customWidth="1"/>
    <col min="9480" max="9480" width="20.7109375" style="136" customWidth="1"/>
    <col min="9481" max="9481" width="20.140625" style="136" customWidth="1"/>
    <col min="9482" max="9729" width="11.42578125" style="136"/>
    <col min="9730" max="9731" width="20.7109375" style="136" customWidth="1"/>
    <col min="9732" max="9732" width="11.5703125" style="136" customWidth="1"/>
    <col min="9733" max="9733" width="19.7109375" style="136" customWidth="1"/>
    <col min="9734" max="9735" width="11.5703125" style="136" customWidth="1"/>
    <col min="9736" max="9736" width="20.7109375" style="136" customWidth="1"/>
    <col min="9737" max="9737" width="20.140625" style="136" customWidth="1"/>
    <col min="9738" max="9985" width="11.42578125" style="136"/>
    <col min="9986" max="9987" width="20.7109375" style="136" customWidth="1"/>
    <col min="9988" max="9988" width="11.5703125" style="136" customWidth="1"/>
    <col min="9989" max="9989" width="19.7109375" style="136" customWidth="1"/>
    <col min="9990" max="9991" width="11.5703125" style="136" customWidth="1"/>
    <col min="9992" max="9992" width="20.7109375" style="136" customWidth="1"/>
    <col min="9993" max="9993" width="20.140625" style="136" customWidth="1"/>
    <col min="9994" max="10241" width="11.42578125" style="136"/>
    <col min="10242" max="10243" width="20.7109375" style="136" customWidth="1"/>
    <col min="10244" max="10244" width="11.5703125" style="136" customWidth="1"/>
    <col min="10245" max="10245" width="19.7109375" style="136" customWidth="1"/>
    <col min="10246" max="10247" width="11.5703125" style="136" customWidth="1"/>
    <col min="10248" max="10248" width="20.7109375" style="136" customWidth="1"/>
    <col min="10249" max="10249" width="20.140625" style="136" customWidth="1"/>
    <col min="10250" max="10497" width="11.42578125" style="136"/>
    <col min="10498" max="10499" width="20.7109375" style="136" customWidth="1"/>
    <col min="10500" max="10500" width="11.5703125" style="136" customWidth="1"/>
    <col min="10501" max="10501" width="19.7109375" style="136" customWidth="1"/>
    <col min="10502" max="10503" width="11.5703125" style="136" customWidth="1"/>
    <col min="10504" max="10504" width="20.7109375" style="136" customWidth="1"/>
    <col min="10505" max="10505" width="20.140625" style="136" customWidth="1"/>
    <col min="10506" max="10753" width="11.42578125" style="136"/>
    <col min="10754" max="10755" width="20.7109375" style="136" customWidth="1"/>
    <col min="10756" max="10756" width="11.5703125" style="136" customWidth="1"/>
    <col min="10757" max="10757" width="19.7109375" style="136" customWidth="1"/>
    <col min="10758" max="10759" width="11.5703125" style="136" customWidth="1"/>
    <col min="10760" max="10760" width="20.7109375" style="136" customWidth="1"/>
    <col min="10761" max="10761" width="20.140625" style="136" customWidth="1"/>
    <col min="10762" max="11009" width="11.42578125" style="136"/>
    <col min="11010" max="11011" width="20.7109375" style="136" customWidth="1"/>
    <col min="11012" max="11012" width="11.5703125" style="136" customWidth="1"/>
    <col min="11013" max="11013" width="19.7109375" style="136" customWidth="1"/>
    <col min="11014" max="11015" width="11.5703125" style="136" customWidth="1"/>
    <col min="11016" max="11016" width="20.7109375" style="136" customWidth="1"/>
    <col min="11017" max="11017" width="20.140625" style="136" customWidth="1"/>
    <col min="11018" max="11265" width="11.42578125" style="136"/>
    <col min="11266" max="11267" width="20.7109375" style="136" customWidth="1"/>
    <col min="11268" max="11268" width="11.5703125" style="136" customWidth="1"/>
    <col min="11269" max="11269" width="19.7109375" style="136" customWidth="1"/>
    <col min="11270" max="11271" width="11.5703125" style="136" customWidth="1"/>
    <col min="11272" max="11272" width="20.7109375" style="136" customWidth="1"/>
    <col min="11273" max="11273" width="20.140625" style="136" customWidth="1"/>
    <col min="11274" max="11521" width="11.42578125" style="136"/>
    <col min="11522" max="11523" width="20.7109375" style="136" customWidth="1"/>
    <col min="11524" max="11524" width="11.5703125" style="136" customWidth="1"/>
    <col min="11525" max="11525" width="19.7109375" style="136" customWidth="1"/>
    <col min="11526" max="11527" width="11.5703125" style="136" customWidth="1"/>
    <col min="11528" max="11528" width="20.7109375" style="136" customWidth="1"/>
    <col min="11529" max="11529" width="20.140625" style="136" customWidth="1"/>
    <col min="11530" max="11777" width="11.42578125" style="136"/>
    <col min="11778" max="11779" width="20.7109375" style="136" customWidth="1"/>
    <col min="11780" max="11780" width="11.5703125" style="136" customWidth="1"/>
    <col min="11781" max="11781" width="19.7109375" style="136" customWidth="1"/>
    <col min="11782" max="11783" width="11.5703125" style="136" customWidth="1"/>
    <col min="11784" max="11784" width="20.7109375" style="136" customWidth="1"/>
    <col min="11785" max="11785" width="20.140625" style="136" customWidth="1"/>
    <col min="11786" max="12033" width="11.42578125" style="136"/>
    <col min="12034" max="12035" width="20.7109375" style="136" customWidth="1"/>
    <col min="12036" max="12036" width="11.5703125" style="136" customWidth="1"/>
    <col min="12037" max="12037" width="19.7109375" style="136" customWidth="1"/>
    <col min="12038" max="12039" width="11.5703125" style="136" customWidth="1"/>
    <col min="12040" max="12040" width="20.7109375" style="136" customWidth="1"/>
    <col min="12041" max="12041" width="20.140625" style="136" customWidth="1"/>
    <col min="12042" max="12289" width="11.42578125" style="136"/>
    <col min="12290" max="12291" width="20.7109375" style="136" customWidth="1"/>
    <col min="12292" max="12292" width="11.5703125" style="136" customWidth="1"/>
    <col min="12293" max="12293" width="19.7109375" style="136" customWidth="1"/>
    <col min="12294" max="12295" width="11.5703125" style="136" customWidth="1"/>
    <col min="12296" max="12296" width="20.7109375" style="136" customWidth="1"/>
    <col min="12297" max="12297" width="20.140625" style="136" customWidth="1"/>
    <col min="12298" max="12545" width="11.42578125" style="136"/>
    <col min="12546" max="12547" width="20.7109375" style="136" customWidth="1"/>
    <col min="12548" max="12548" width="11.5703125" style="136" customWidth="1"/>
    <col min="12549" max="12549" width="19.7109375" style="136" customWidth="1"/>
    <col min="12550" max="12551" width="11.5703125" style="136" customWidth="1"/>
    <col min="12552" max="12552" width="20.7109375" style="136" customWidth="1"/>
    <col min="12553" max="12553" width="20.140625" style="136" customWidth="1"/>
    <col min="12554" max="12801" width="11.42578125" style="136"/>
    <col min="12802" max="12803" width="20.7109375" style="136" customWidth="1"/>
    <col min="12804" max="12804" width="11.5703125" style="136" customWidth="1"/>
    <col min="12805" max="12805" width="19.7109375" style="136" customWidth="1"/>
    <col min="12806" max="12807" width="11.5703125" style="136" customWidth="1"/>
    <col min="12808" max="12808" width="20.7109375" style="136" customWidth="1"/>
    <col min="12809" max="12809" width="20.140625" style="136" customWidth="1"/>
    <col min="12810" max="13057" width="11.42578125" style="136"/>
    <col min="13058" max="13059" width="20.7109375" style="136" customWidth="1"/>
    <col min="13060" max="13060" width="11.5703125" style="136" customWidth="1"/>
    <col min="13061" max="13061" width="19.7109375" style="136" customWidth="1"/>
    <col min="13062" max="13063" width="11.5703125" style="136" customWidth="1"/>
    <col min="13064" max="13064" width="20.7109375" style="136" customWidth="1"/>
    <col min="13065" max="13065" width="20.140625" style="136" customWidth="1"/>
    <col min="13066" max="13313" width="11.42578125" style="136"/>
    <col min="13314" max="13315" width="20.7109375" style="136" customWidth="1"/>
    <col min="13316" max="13316" width="11.5703125" style="136" customWidth="1"/>
    <col min="13317" max="13317" width="19.7109375" style="136" customWidth="1"/>
    <col min="13318" max="13319" width="11.5703125" style="136" customWidth="1"/>
    <col min="13320" max="13320" width="20.7109375" style="136" customWidth="1"/>
    <col min="13321" max="13321" width="20.140625" style="136" customWidth="1"/>
    <col min="13322" max="13569" width="11.42578125" style="136"/>
    <col min="13570" max="13571" width="20.7109375" style="136" customWidth="1"/>
    <col min="13572" max="13572" width="11.5703125" style="136" customWidth="1"/>
    <col min="13573" max="13573" width="19.7109375" style="136" customWidth="1"/>
    <col min="13574" max="13575" width="11.5703125" style="136" customWidth="1"/>
    <col min="13576" max="13576" width="20.7109375" style="136" customWidth="1"/>
    <col min="13577" max="13577" width="20.140625" style="136" customWidth="1"/>
    <col min="13578" max="13825" width="11.42578125" style="136"/>
    <col min="13826" max="13827" width="20.7109375" style="136" customWidth="1"/>
    <col min="13828" max="13828" width="11.5703125" style="136" customWidth="1"/>
    <col min="13829" max="13829" width="19.7109375" style="136" customWidth="1"/>
    <col min="13830" max="13831" width="11.5703125" style="136" customWidth="1"/>
    <col min="13832" max="13832" width="20.7109375" style="136" customWidth="1"/>
    <col min="13833" max="13833" width="20.140625" style="136" customWidth="1"/>
    <col min="13834" max="14081" width="11.42578125" style="136"/>
    <col min="14082" max="14083" width="20.7109375" style="136" customWidth="1"/>
    <col min="14084" max="14084" width="11.5703125" style="136" customWidth="1"/>
    <col min="14085" max="14085" width="19.7109375" style="136" customWidth="1"/>
    <col min="14086" max="14087" width="11.5703125" style="136" customWidth="1"/>
    <col min="14088" max="14088" width="20.7109375" style="136" customWidth="1"/>
    <col min="14089" max="14089" width="20.140625" style="136" customWidth="1"/>
    <col min="14090" max="14337" width="11.42578125" style="136"/>
    <col min="14338" max="14339" width="20.7109375" style="136" customWidth="1"/>
    <col min="14340" max="14340" width="11.5703125" style="136" customWidth="1"/>
    <col min="14341" max="14341" width="19.7109375" style="136" customWidth="1"/>
    <col min="14342" max="14343" width="11.5703125" style="136" customWidth="1"/>
    <col min="14344" max="14344" width="20.7109375" style="136" customWidth="1"/>
    <col min="14345" max="14345" width="20.140625" style="136" customWidth="1"/>
    <col min="14346" max="14593" width="11.42578125" style="136"/>
    <col min="14594" max="14595" width="20.7109375" style="136" customWidth="1"/>
    <col min="14596" max="14596" width="11.5703125" style="136" customWidth="1"/>
    <col min="14597" max="14597" width="19.7109375" style="136" customWidth="1"/>
    <col min="14598" max="14599" width="11.5703125" style="136" customWidth="1"/>
    <col min="14600" max="14600" width="20.7109375" style="136" customWidth="1"/>
    <col min="14601" max="14601" width="20.140625" style="136" customWidth="1"/>
    <col min="14602" max="14849" width="11.42578125" style="136"/>
    <col min="14850" max="14851" width="20.7109375" style="136" customWidth="1"/>
    <col min="14852" max="14852" width="11.5703125" style="136" customWidth="1"/>
    <col min="14853" max="14853" width="19.7109375" style="136" customWidth="1"/>
    <col min="14854" max="14855" width="11.5703125" style="136" customWidth="1"/>
    <col min="14856" max="14856" width="20.7109375" style="136" customWidth="1"/>
    <col min="14857" max="14857" width="20.140625" style="136" customWidth="1"/>
    <col min="14858" max="15105" width="11.42578125" style="136"/>
    <col min="15106" max="15107" width="20.7109375" style="136" customWidth="1"/>
    <col min="15108" max="15108" width="11.5703125" style="136" customWidth="1"/>
    <col min="15109" max="15109" width="19.7109375" style="136" customWidth="1"/>
    <col min="15110" max="15111" width="11.5703125" style="136" customWidth="1"/>
    <col min="15112" max="15112" width="20.7109375" style="136" customWidth="1"/>
    <col min="15113" max="15113" width="20.140625" style="136" customWidth="1"/>
    <col min="15114" max="15361" width="11.42578125" style="136"/>
    <col min="15362" max="15363" width="20.7109375" style="136" customWidth="1"/>
    <col min="15364" max="15364" width="11.5703125" style="136" customWidth="1"/>
    <col min="15365" max="15365" width="19.7109375" style="136" customWidth="1"/>
    <col min="15366" max="15367" width="11.5703125" style="136" customWidth="1"/>
    <col min="15368" max="15368" width="20.7109375" style="136" customWidth="1"/>
    <col min="15369" max="15369" width="20.140625" style="136" customWidth="1"/>
    <col min="15370" max="15617" width="11.42578125" style="136"/>
    <col min="15618" max="15619" width="20.7109375" style="136" customWidth="1"/>
    <col min="15620" max="15620" width="11.5703125" style="136" customWidth="1"/>
    <col min="15621" max="15621" width="19.7109375" style="136" customWidth="1"/>
    <col min="15622" max="15623" width="11.5703125" style="136" customWidth="1"/>
    <col min="15624" max="15624" width="20.7109375" style="136" customWidth="1"/>
    <col min="15625" max="15625" width="20.140625" style="136" customWidth="1"/>
    <col min="15626" max="15873" width="11.42578125" style="136"/>
    <col min="15874" max="15875" width="20.7109375" style="136" customWidth="1"/>
    <col min="15876" max="15876" width="11.5703125" style="136" customWidth="1"/>
    <col min="15877" max="15877" width="19.7109375" style="136" customWidth="1"/>
    <col min="15878" max="15879" width="11.5703125" style="136" customWidth="1"/>
    <col min="15880" max="15880" width="20.7109375" style="136" customWidth="1"/>
    <col min="15881" max="15881" width="20.140625" style="136" customWidth="1"/>
    <col min="15882" max="16129" width="11.42578125" style="136"/>
    <col min="16130" max="16131" width="20.7109375" style="136" customWidth="1"/>
    <col min="16132" max="16132" width="11.5703125" style="136" customWidth="1"/>
    <col min="16133" max="16133" width="19.7109375" style="136" customWidth="1"/>
    <col min="16134" max="16135" width="11.5703125" style="136" customWidth="1"/>
    <col min="16136" max="16136" width="20.7109375" style="136" customWidth="1"/>
    <col min="16137" max="16137" width="20.140625" style="136" customWidth="1"/>
    <col min="16138" max="16384" width="11.42578125" style="136"/>
  </cols>
  <sheetData>
    <row r="2" spans="2:8" ht="13.5" thickBot="1" x14ac:dyDescent="0.25"/>
    <row r="3" spans="2:8" ht="33" customHeight="1" thickTop="1" thickBot="1" x14ac:dyDescent="0.25">
      <c r="B3" s="699" t="s">
        <v>222</v>
      </c>
      <c r="C3" s="699"/>
      <c r="D3" s="699"/>
      <c r="E3" s="699"/>
      <c r="F3" s="699"/>
      <c r="G3" s="699"/>
      <c r="H3" s="699"/>
    </row>
    <row r="4" spans="2:8" ht="15.75" customHeight="1" thickTop="1" x14ac:dyDescent="0.2">
      <c r="B4" s="216"/>
      <c r="C4" s="216"/>
      <c r="D4" s="216"/>
      <c r="E4" s="216"/>
      <c r="F4" s="216"/>
      <c r="G4" s="216"/>
      <c r="H4" s="216"/>
    </row>
    <row r="5" spans="2:8" s="219" customFormat="1" ht="21.75" customHeight="1" x14ac:dyDescent="0.25">
      <c r="B5" s="217" t="s">
        <v>276</v>
      </c>
      <c r="C5" s="217"/>
      <c r="D5" s="218"/>
      <c r="E5" s="218"/>
      <c r="F5" s="218"/>
      <c r="G5" s="218"/>
      <c r="H5" s="218"/>
    </row>
    <row r="6" spans="2:8" s="219" customFormat="1" ht="21.75" customHeight="1" x14ac:dyDescent="0.25">
      <c r="B6" s="377" t="s">
        <v>2</v>
      </c>
      <c r="C6" s="701">
        <f>DONNEES!C3</f>
        <v>0</v>
      </c>
      <c r="D6" s="701"/>
      <c r="E6" s="701"/>
      <c r="F6" s="701"/>
      <c r="G6" s="701"/>
      <c r="H6" s="701"/>
    </row>
    <row r="7" spans="2:8" s="219" customFormat="1" ht="21.75" customHeight="1" x14ac:dyDescent="0.25">
      <c r="B7" s="377" t="s">
        <v>277</v>
      </c>
      <c r="C7" s="702">
        <f>DONNEES!C7</f>
        <v>0</v>
      </c>
      <c r="D7" s="702"/>
      <c r="E7" s="702"/>
      <c r="F7" s="702"/>
      <c r="G7" s="702"/>
      <c r="H7" s="702"/>
    </row>
    <row r="8" spans="2:8" s="219" customFormat="1" ht="21.75" customHeight="1" x14ac:dyDescent="0.25">
      <c r="B8" s="377" t="s">
        <v>288</v>
      </c>
      <c r="C8" s="701">
        <f>DONNEES!C5</f>
        <v>0</v>
      </c>
      <c r="D8" s="701"/>
      <c r="E8" s="701"/>
      <c r="F8" s="701"/>
      <c r="G8" s="701"/>
      <c r="H8" s="701"/>
    </row>
    <row r="9" spans="2:8" s="219" customFormat="1" ht="21.75" customHeight="1" x14ac:dyDescent="0.25">
      <c r="B9" s="377" t="str">
        <f>IF(COUNTBLANK(C9),"","Entreprise Cotraitante")</f>
        <v>Entreprise Cotraitante</v>
      </c>
      <c r="C9" s="701">
        <f>DONNEES!C6</f>
        <v>2</v>
      </c>
      <c r="D9" s="701"/>
      <c r="E9" s="701"/>
      <c r="F9" s="701"/>
      <c r="G9" s="701"/>
      <c r="H9" s="701"/>
    </row>
    <row r="10" spans="2:8" s="219" customFormat="1" ht="9.9499999999999993" customHeight="1" x14ac:dyDescent="0.25">
      <c r="B10" s="218"/>
      <c r="C10" s="218"/>
      <c r="D10" s="218"/>
      <c r="E10" s="218"/>
      <c r="F10" s="218"/>
      <c r="G10" s="218"/>
      <c r="H10" s="218"/>
    </row>
    <row r="11" spans="2:8" s="219" customFormat="1" ht="21.95" customHeight="1" x14ac:dyDescent="0.25">
      <c r="B11" s="220" t="s">
        <v>278</v>
      </c>
      <c r="C11" s="220"/>
      <c r="D11" s="218"/>
      <c r="E11" s="218"/>
      <c r="F11" s="218"/>
      <c r="G11" s="218"/>
      <c r="H11" s="218"/>
    </row>
    <row r="12" spans="2:8" s="219" customFormat="1" ht="9.75" customHeight="1" x14ac:dyDescent="0.25">
      <c r="B12" s="220"/>
      <c r="C12" s="220"/>
      <c r="D12" s="218"/>
      <c r="E12" s="218"/>
      <c r="F12" s="218"/>
      <c r="G12" s="218"/>
      <c r="H12" s="218"/>
    </row>
    <row r="13" spans="2:8" s="219" customFormat="1" ht="35.25" customHeight="1" x14ac:dyDescent="0.25">
      <c r="B13" s="218"/>
      <c r="C13" s="218"/>
      <c r="D13" s="218"/>
      <c r="E13" s="375" t="s">
        <v>290</v>
      </c>
      <c r="F13" s="375" t="s">
        <v>291</v>
      </c>
      <c r="G13" s="218"/>
      <c r="H13" s="218"/>
    </row>
    <row r="14" spans="2:8" s="219" customFormat="1" ht="35.25" customHeight="1" x14ac:dyDescent="0.25">
      <c r="B14" s="218"/>
      <c r="C14" s="218"/>
      <c r="D14" s="218"/>
      <c r="E14" s="372">
        <f>DONNEES!C5</f>
        <v>0</v>
      </c>
      <c r="F14" s="372">
        <f>DONNEES!C6</f>
        <v>2</v>
      </c>
      <c r="G14" s="218"/>
      <c r="H14" s="218"/>
    </row>
    <row r="15" spans="2:8" s="219" customFormat="1" ht="21.95" customHeight="1" x14ac:dyDescent="0.25">
      <c r="B15" s="376" t="s">
        <v>292</v>
      </c>
      <c r="C15" s="706">
        <f>DONNEES!C17</f>
        <v>0</v>
      </c>
      <c r="D15" s="707"/>
      <c r="E15" s="373">
        <f>DONNEES!F31</f>
        <v>0</v>
      </c>
      <c r="F15" s="374">
        <f>DONNEES!F32</f>
        <v>0</v>
      </c>
      <c r="G15" s="218"/>
      <c r="H15" s="218"/>
    </row>
    <row r="16" spans="2:8" s="219" customFormat="1" ht="21.95" customHeight="1" x14ac:dyDescent="0.25">
      <c r="B16" s="376" t="s">
        <v>292</v>
      </c>
      <c r="C16" s="706">
        <f>DONNEES!E17</f>
        <v>0</v>
      </c>
      <c r="D16" s="707"/>
      <c r="E16" s="373">
        <f>DONNEES!G31</f>
        <v>0</v>
      </c>
      <c r="F16" s="374">
        <f>DONNEES!G32</f>
        <v>0</v>
      </c>
      <c r="G16" s="218"/>
      <c r="H16" s="218"/>
    </row>
    <row r="17" spans="1:9" s="219" customFormat="1" ht="21.95" customHeight="1" x14ac:dyDescent="0.25">
      <c r="B17" s="703" t="s">
        <v>337</v>
      </c>
      <c r="C17" s="703"/>
      <c r="D17" s="704"/>
      <c r="E17" s="440"/>
      <c r="F17" s="218"/>
      <c r="G17" s="218"/>
      <c r="H17" s="218"/>
    </row>
    <row r="18" spans="1:9" s="219" customFormat="1" ht="21.95" customHeight="1" x14ac:dyDescent="0.25">
      <c r="C18" s="705" t="s">
        <v>279</v>
      </c>
      <c r="D18" s="705"/>
      <c r="E18" s="371">
        <f>DONNEES!G13</f>
        <v>0</v>
      </c>
      <c r="F18" s="218"/>
      <c r="G18" s="218"/>
      <c r="H18" s="218"/>
    </row>
    <row r="19" spans="1:9" s="219" customFormat="1" ht="21.95" customHeight="1" x14ac:dyDescent="0.25">
      <c r="C19" s="218" t="s">
        <v>280</v>
      </c>
      <c r="D19" s="232">
        <f>IFERROR(EDATE(E17,-3),0)</f>
        <v>0</v>
      </c>
      <c r="E19" s="441"/>
      <c r="F19" s="218"/>
      <c r="G19" s="218"/>
      <c r="H19" s="218"/>
    </row>
    <row r="20" spans="1:9" s="219" customFormat="1" ht="21.95" customHeight="1" x14ac:dyDescent="0.25">
      <c r="C20" s="218" t="s">
        <v>281</v>
      </c>
      <c r="D20" s="233">
        <f>DONNEES!E13</f>
        <v>0</v>
      </c>
      <c r="E20" s="441"/>
      <c r="F20" s="218"/>
      <c r="G20" s="218"/>
      <c r="H20" s="218"/>
    </row>
    <row r="21" spans="1:9" s="219" customFormat="1" ht="13.5" customHeight="1" x14ac:dyDescent="0.25">
      <c r="B21" s="218"/>
      <c r="C21" s="218"/>
      <c r="D21" s="218"/>
      <c r="E21" s="221"/>
      <c r="F21" s="218"/>
      <c r="G21" s="218"/>
      <c r="H21" s="218"/>
    </row>
    <row r="22" spans="1:9" s="219" customFormat="1" ht="27" customHeight="1" x14ac:dyDescent="0.25">
      <c r="D22" s="700" t="s">
        <v>282</v>
      </c>
      <c r="E22" s="700"/>
      <c r="F22" s="700"/>
      <c r="G22" s="700"/>
      <c r="H22" s="223" t="s">
        <v>293</v>
      </c>
      <c r="I22" s="223" t="s">
        <v>293</v>
      </c>
    </row>
    <row r="23" spans="1:9" s="219" customFormat="1" ht="51" customHeight="1" x14ac:dyDescent="0.25">
      <c r="B23" s="222" t="s">
        <v>289</v>
      </c>
      <c r="C23" s="222" t="s">
        <v>283</v>
      </c>
      <c r="D23" s="222" t="s">
        <v>284</v>
      </c>
      <c r="E23" s="222" t="s">
        <v>285</v>
      </c>
      <c r="F23" s="222" t="s">
        <v>286</v>
      </c>
      <c r="G23" s="241" t="s">
        <v>287</v>
      </c>
      <c r="H23" s="244">
        <f>C15</f>
        <v>0</v>
      </c>
      <c r="I23" s="244">
        <f>C16</f>
        <v>0</v>
      </c>
    </row>
    <row r="24" spans="1:9" s="219" customFormat="1" ht="21.95" customHeight="1" x14ac:dyDescent="0.25">
      <c r="A24" s="219" t="s">
        <v>290</v>
      </c>
      <c r="B24" s="236">
        <f>SUM(E15)</f>
        <v>0</v>
      </c>
      <c r="C24" s="236">
        <f>E16</f>
        <v>0</v>
      </c>
      <c r="D24" s="237">
        <f>E19</f>
        <v>0</v>
      </c>
      <c r="E24" s="237">
        <f>E20</f>
        <v>0</v>
      </c>
      <c r="F24" s="238">
        <f>IFERROR(SUM(D24/E24),0)</f>
        <v>0</v>
      </c>
      <c r="G24" s="224">
        <f>ROUND(F24,3)-1</f>
        <v>-1</v>
      </c>
      <c r="H24" s="242">
        <f>SUM(B24*G24)</f>
        <v>0</v>
      </c>
      <c r="I24" s="243">
        <f>C24*G24</f>
        <v>0</v>
      </c>
    </row>
    <row r="25" spans="1:9" ht="21.95" customHeight="1" x14ac:dyDescent="0.2">
      <c r="B25" s="695"/>
      <c r="C25" s="695"/>
      <c r="D25" s="695"/>
      <c r="E25" s="695"/>
      <c r="F25" s="696"/>
      <c r="G25" s="227" t="s">
        <v>235</v>
      </c>
      <c r="H25" s="228">
        <f>SUM(H24*H23)</f>
        <v>0</v>
      </c>
      <c r="I25" s="228">
        <f>SUM(I24*I23)</f>
        <v>0</v>
      </c>
    </row>
    <row r="26" spans="1:9" ht="21.95" customHeight="1" x14ac:dyDescent="0.2">
      <c r="B26" s="697"/>
      <c r="C26" s="697"/>
      <c r="D26" s="697"/>
      <c r="E26" s="697"/>
      <c r="F26" s="698"/>
      <c r="G26" s="230" t="s">
        <v>17</v>
      </c>
      <c r="H26" s="231">
        <f>SUM(H24:H25)</f>
        <v>0</v>
      </c>
      <c r="I26" s="226">
        <f>I24+I25</f>
        <v>0</v>
      </c>
    </row>
    <row r="27" spans="1:9" ht="21.95" customHeight="1" x14ac:dyDescent="0.2">
      <c r="B27" s="239"/>
      <c r="C27" s="239"/>
      <c r="D27" s="239"/>
      <c r="E27" s="239"/>
      <c r="F27" s="245"/>
      <c r="G27" s="246"/>
      <c r="H27" s="247"/>
      <c r="I27" s="248"/>
    </row>
    <row r="28" spans="1:9" ht="41.25" customHeight="1" x14ac:dyDescent="0.2">
      <c r="B28" s="239"/>
      <c r="C28" s="239"/>
      <c r="D28" s="239"/>
      <c r="E28" s="239"/>
      <c r="F28" s="240"/>
      <c r="G28" s="230"/>
      <c r="H28" s="223" t="s">
        <v>293</v>
      </c>
      <c r="I28" s="223" t="s">
        <v>293</v>
      </c>
    </row>
    <row r="29" spans="1:9" ht="45" x14ac:dyDescent="0.2">
      <c r="B29" s="222" t="s">
        <v>289</v>
      </c>
      <c r="C29" s="222" t="s">
        <v>283</v>
      </c>
      <c r="D29" s="222" t="s">
        <v>284</v>
      </c>
      <c r="E29" s="222" t="s">
        <v>285</v>
      </c>
      <c r="F29" s="222" t="s">
        <v>286</v>
      </c>
      <c r="G29" s="222" t="s">
        <v>287</v>
      </c>
      <c r="H29" s="244">
        <f>C15</f>
        <v>0</v>
      </c>
      <c r="I29" s="244">
        <f>C16</f>
        <v>0</v>
      </c>
    </row>
    <row r="30" spans="1:9" ht="15.75" x14ac:dyDescent="0.2">
      <c r="A30" s="136" t="s">
        <v>291</v>
      </c>
      <c r="B30" s="236">
        <f>F15</f>
        <v>0</v>
      </c>
      <c r="C30" s="236">
        <f>F16</f>
        <v>0</v>
      </c>
      <c r="D30" s="237">
        <f>E19</f>
        <v>0</v>
      </c>
      <c r="E30" s="237">
        <f>E24</f>
        <v>0</v>
      </c>
      <c r="F30" s="238">
        <f>IFERROR(SUM(D30/E30),0)</f>
        <v>0</v>
      </c>
      <c r="G30" s="224">
        <f>ROUND(F30,3)-1</f>
        <v>-1</v>
      </c>
      <c r="H30" s="225">
        <f>SUM(B30*G30)</f>
        <v>0</v>
      </c>
      <c r="I30" s="226">
        <f>C30*G30</f>
        <v>0</v>
      </c>
    </row>
    <row r="31" spans="1:9" ht="15" x14ac:dyDescent="0.2">
      <c r="B31" s="695"/>
      <c r="C31" s="695"/>
      <c r="D31" s="695"/>
      <c r="E31" s="695"/>
      <c r="F31" s="696"/>
      <c r="G31" s="227" t="s">
        <v>235</v>
      </c>
      <c r="H31" s="228">
        <f>SUM(H30*H29)</f>
        <v>0</v>
      </c>
      <c r="I31" s="228">
        <f>SUM(I30*I29)</f>
        <v>0</v>
      </c>
    </row>
    <row r="32" spans="1:9" ht="15" x14ac:dyDescent="0.2">
      <c r="B32" s="697"/>
      <c r="C32" s="697"/>
      <c r="D32" s="697"/>
      <c r="E32" s="697"/>
      <c r="F32" s="698"/>
      <c r="G32" s="230" t="s">
        <v>17</v>
      </c>
      <c r="H32" s="231">
        <f>SUM(H30:H31)</f>
        <v>0</v>
      </c>
      <c r="I32" s="229">
        <f>I30+I31</f>
        <v>0</v>
      </c>
    </row>
  </sheetData>
  <sheetProtection algorithmName="SHA-512" hashValue="eFhC/Zl5NCqvr9rY7fKv5fts18jDP0EQtPyfG9kchmjGqTGvw9eSLzG07cJgth5TfHXkLYZDYGdWZt68kawSdw==" saltValue="3vhnxNL8PJ4Zx6+xCcT5Bw==" spinCount="100000" sheet="1" objects="1" scenarios="1" autoFilter="0"/>
  <mergeCells count="12">
    <mergeCell ref="B25:F26"/>
    <mergeCell ref="B31:F32"/>
    <mergeCell ref="B3:H3"/>
    <mergeCell ref="D22:G22"/>
    <mergeCell ref="C6:H6"/>
    <mergeCell ref="C7:H7"/>
    <mergeCell ref="C8:H8"/>
    <mergeCell ref="C9:H9"/>
    <mergeCell ref="B17:D17"/>
    <mergeCell ref="C18:D18"/>
    <mergeCell ref="C15:D15"/>
    <mergeCell ref="C16:D16"/>
  </mergeCells>
  <printOptions horizontalCentered="1"/>
  <pageMargins left="0.25" right="0.25" top="0.75" bottom="0.75" header="0.3" footer="0.3"/>
  <pageSetup paperSize="9" scale="68" firstPageNumber="0" orientation="landscape"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FF00"/>
  </sheetPr>
  <dimension ref="A1:K95"/>
  <sheetViews>
    <sheetView zoomScaleNormal="100" workbookViewId="0">
      <selection activeCell="F18" sqref="F18"/>
    </sheetView>
  </sheetViews>
  <sheetFormatPr baseColWidth="10" defaultRowHeight="12.75" x14ac:dyDescent="0.2"/>
  <cols>
    <col min="1" max="1" width="12.7109375" style="139" customWidth="1"/>
    <col min="2" max="2" width="15.7109375" style="139" customWidth="1"/>
    <col min="3" max="4" width="15.7109375" style="137" customWidth="1"/>
    <col min="5" max="5" width="10.7109375" style="140" customWidth="1"/>
    <col min="6" max="6" width="10.7109375" style="136" customWidth="1"/>
    <col min="7" max="8" width="11.5703125" style="136" customWidth="1"/>
    <col min="9" max="9" width="14" style="136" customWidth="1"/>
    <col min="10" max="10" width="11.42578125" style="136"/>
    <col min="11" max="11" width="4.140625" style="136" bestFit="1" customWidth="1"/>
    <col min="12" max="256" width="11.42578125" style="136"/>
    <col min="257" max="257" width="12.7109375" style="136" customWidth="1"/>
    <col min="258" max="260" width="15.7109375" style="136" customWidth="1"/>
    <col min="261" max="262" width="10.7109375" style="136" customWidth="1"/>
    <col min="263" max="264" width="11.5703125" style="136" customWidth="1"/>
    <col min="265" max="265" width="14" style="136" customWidth="1"/>
    <col min="266" max="512" width="11.42578125" style="136"/>
    <col min="513" max="513" width="12.7109375" style="136" customWidth="1"/>
    <col min="514" max="516" width="15.7109375" style="136" customWidth="1"/>
    <col min="517" max="518" width="10.7109375" style="136" customWidth="1"/>
    <col min="519" max="520" width="11.5703125" style="136" customWidth="1"/>
    <col min="521" max="521" width="14" style="136" customWidth="1"/>
    <col min="522" max="768" width="11.42578125" style="136"/>
    <col min="769" max="769" width="12.7109375" style="136" customWidth="1"/>
    <col min="770" max="772" width="15.7109375" style="136" customWidth="1"/>
    <col min="773" max="774" width="10.7109375" style="136" customWidth="1"/>
    <col min="775" max="776" width="11.5703125" style="136" customWidth="1"/>
    <col min="777" max="777" width="14" style="136" customWidth="1"/>
    <col min="778" max="1024" width="11.42578125" style="136"/>
    <col min="1025" max="1025" width="12.7109375" style="136" customWidth="1"/>
    <col min="1026" max="1028" width="15.7109375" style="136" customWidth="1"/>
    <col min="1029" max="1030" width="10.7109375" style="136" customWidth="1"/>
    <col min="1031" max="1032" width="11.5703125" style="136" customWidth="1"/>
    <col min="1033" max="1033" width="14" style="136" customWidth="1"/>
    <col min="1034" max="1280" width="11.42578125" style="136"/>
    <col min="1281" max="1281" width="12.7109375" style="136" customWidth="1"/>
    <col min="1282" max="1284" width="15.7109375" style="136" customWidth="1"/>
    <col min="1285" max="1286" width="10.7109375" style="136" customWidth="1"/>
    <col min="1287" max="1288" width="11.5703125" style="136" customWidth="1"/>
    <col min="1289" max="1289" width="14" style="136" customWidth="1"/>
    <col min="1290" max="1536" width="11.42578125" style="136"/>
    <col min="1537" max="1537" width="12.7109375" style="136" customWidth="1"/>
    <col min="1538" max="1540" width="15.7109375" style="136" customWidth="1"/>
    <col min="1541" max="1542" width="10.7109375" style="136" customWidth="1"/>
    <col min="1543" max="1544" width="11.5703125" style="136" customWidth="1"/>
    <col min="1545" max="1545" width="14" style="136" customWidth="1"/>
    <col min="1546" max="1792" width="11.42578125" style="136"/>
    <col min="1793" max="1793" width="12.7109375" style="136" customWidth="1"/>
    <col min="1794" max="1796" width="15.7109375" style="136" customWidth="1"/>
    <col min="1797" max="1798" width="10.7109375" style="136" customWidth="1"/>
    <col min="1799" max="1800" width="11.5703125" style="136" customWidth="1"/>
    <col min="1801" max="1801" width="14" style="136" customWidth="1"/>
    <col min="1802" max="2048" width="11.42578125" style="136"/>
    <col min="2049" max="2049" width="12.7109375" style="136" customWidth="1"/>
    <col min="2050" max="2052" width="15.7109375" style="136" customWidth="1"/>
    <col min="2053" max="2054" width="10.7109375" style="136" customWidth="1"/>
    <col min="2055" max="2056" width="11.5703125" style="136" customWidth="1"/>
    <col min="2057" max="2057" width="14" style="136" customWidth="1"/>
    <col min="2058" max="2304" width="11.42578125" style="136"/>
    <col min="2305" max="2305" width="12.7109375" style="136" customWidth="1"/>
    <col min="2306" max="2308" width="15.7109375" style="136" customWidth="1"/>
    <col min="2309" max="2310" width="10.7109375" style="136" customWidth="1"/>
    <col min="2311" max="2312" width="11.5703125" style="136" customWidth="1"/>
    <col min="2313" max="2313" width="14" style="136" customWidth="1"/>
    <col min="2314" max="2560" width="11.42578125" style="136"/>
    <col min="2561" max="2561" width="12.7109375" style="136" customWidth="1"/>
    <col min="2562" max="2564" width="15.7109375" style="136" customWidth="1"/>
    <col min="2565" max="2566" width="10.7109375" style="136" customWidth="1"/>
    <col min="2567" max="2568" width="11.5703125" style="136" customWidth="1"/>
    <col min="2569" max="2569" width="14" style="136" customWidth="1"/>
    <col min="2570" max="2816" width="11.42578125" style="136"/>
    <col min="2817" max="2817" width="12.7109375" style="136" customWidth="1"/>
    <col min="2818" max="2820" width="15.7109375" style="136" customWidth="1"/>
    <col min="2821" max="2822" width="10.7109375" style="136" customWidth="1"/>
    <col min="2823" max="2824" width="11.5703125" style="136" customWidth="1"/>
    <col min="2825" max="2825" width="14" style="136" customWidth="1"/>
    <col min="2826" max="3072" width="11.42578125" style="136"/>
    <col min="3073" max="3073" width="12.7109375" style="136" customWidth="1"/>
    <col min="3074" max="3076" width="15.7109375" style="136" customWidth="1"/>
    <col min="3077" max="3078" width="10.7109375" style="136" customWidth="1"/>
    <col min="3079" max="3080" width="11.5703125" style="136" customWidth="1"/>
    <col min="3081" max="3081" width="14" style="136" customWidth="1"/>
    <col min="3082" max="3328" width="11.42578125" style="136"/>
    <col min="3329" max="3329" width="12.7109375" style="136" customWidth="1"/>
    <col min="3330" max="3332" width="15.7109375" style="136" customWidth="1"/>
    <col min="3333" max="3334" width="10.7109375" style="136" customWidth="1"/>
    <col min="3335" max="3336" width="11.5703125" style="136" customWidth="1"/>
    <col min="3337" max="3337" width="14" style="136" customWidth="1"/>
    <col min="3338" max="3584" width="11.42578125" style="136"/>
    <col min="3585" max="3585" width="12.7109375" style="136" customWidth="1"/>
    <col min="3586" max="3588" width="15.7109375" style="136" customWidth="1"/>
    <col min="3589" max="3590" width="10.7109375" style="136" customWidth="1"/>
    <col min="3591" max="3592" width="11.5703125" style="136" customWidth="1"/>
    <col min="3593" max="3593" width="14" style="136" customWidth="1"/>
    <col min="3594" max="3840" width="11.42578125" style="136"/>
    <col min="3841" max="3841" width="12.7109375" style="136" customWidth="1"/>
    <col min="3842" max="3844" width="15.7109375" style="136" customWidth="1"/>
    <col min="3845" max="3846" width="10.7109375" style="136" customWidth="1"/>
    <col min="3847" max="3848" width="11.5703125" style="136" customWidth="1"/>
    <col min="3849" max="3849" width="14" style="136" customWidth="1"/>
    <col min="3850" max="4096" width="11.42578125" style="136"/>
    <col min="4097" max="4097" width="12.7109375" style="136" customWidth="1"/>
    <col min="4098" max="4100" width="15.7109375" style="136" customWidth="1"/>
    <col min="4101" max="4102" width="10.7109375" style="136" customWidth="1"/>
    <col min="4103" max="4104" width="11.5703125" style="136" customWidth="1"/>
    <col min="4105" max="4105" width="14" style="136" customWidth="1"/>
    <col min="4106" max="4352" width="11.42578125" style="136"/>
    <col min="4353" max="4353" width="12.7109375" style="136" customWidth="1"/>
    <col min="4354" max="4356" width="15.7109375" style="136" customWidth="1"/>
    <col min="4357" max="4358" width="10.7109375" style="136" customWidth="1"/>
    <col min="4359" max="4360" width="11.5703125" style="136" customWidth="1"/>
    <col min="4361" max="4361" width="14" style="136" customWidth="1"/>
    <col min="4362" max="4608" width="11.42578125" style="136"/>
    <col min="4609" max="4609" width="12.7109375" style="136" customWidth="1"/>
    <col min="4610" max="4612" width="15.7109375" style="136" customWidth="1"/>
    <col min="4613" max="4614" width="10.7109375" style="136" customWidth="1"/>
    <col min="4615" max="4616" width="11.5703125" style="136" customWidth="1"/>
    <col min="4617" max="4617" width="14" style="136" customWidth="1"/>
    <col min="4618" max="4864" width="11.42578125" style="136"/>
    <col min="4865" max="4865" width="12.7109375" style="136" customWidth="1"/>
    <col min="4866" max="4868" width="15.7109375" style="136" customWidth="1"/>
    <col min="4869" max="4870" width="10.7109375" style="136" customWidth="1"/>
    <col min="4871" max="4872" width="11.5703125" style="136" customWidth="1"/>
    <col min="4873" max="4873" width="14" style="136" customWidth="1"/>
    <col min="4874" max="5120" width="11.42578125" style="136"/>
    <col min="5121" max="5121" width="12.7109375" style="136" customWidth="1"/>
    <col min="5122" max="5124" width="15.7109375" style="136" customWidth="1"/>
    <col min="5125" max="5126" width="10.7109375" style="136" customWidth="1"/>
    <col min="5127" max="5128" width="11.5703125" style="136" customWidth="1"/>
    <col min="5129" max="5129" width="14" style="136" customWidth="1"/>
    <col min="5130" max="5376" width="11.42578125" style="136"/>
    <col min="5377" max="5377" width="12.7109375" style="136" customWidth="1"/>
    <col min="5378" max="5380" width="15.7109375" style="136" customWidth="1"/>
    <col min="5381" max="5382" width="10.7109375" style="136" customWidth="1"/>
    <col min="5383" max="5384" width="11.5703125" style="136" customWidth="1"/>
    <col min="5385" max="5385" width="14" style="136" customWidth="1"/>
    <col min="5386" max="5632" width="11.42578125" style="136"/>
    <col min="5633" max="5633" width="12.7109375" style="136" customWidth="1"/>
    <col min="5634" max="5636" width="15.7109375" style="136" customWidth="1"/>
    <col min="5637" max="5638" width="10.7109375" style="136" customWidth="1"/>
    <col min="5639" max="5640" width="11.5703125" style="136" customWidth="1"/>
    <col min="5641" max="5641" width="14" style="136" customWidth="1"/>
    <col min="5642" max="5888" width="11.42578125" style="136"/>
    <col min="5889" max="5889" width="12.7109375" style="136" customWidth="1"/>
    <col min="5890" max="5892" width="15.7109375" style="136" customWidth="1"/>
    <col min="5893" max="5894" width="10.7109375" style="136" customWidth="1"/>
    <col min="5895" max="5896" width="11.5703125" style="136" customWidth="1"/>
    <col min="5897" max="5897" width="14" style="136" customWidth="1"/>
    <col min="5898" max="6144" width="11.42578125" style="136"/>
    <col min="6145" max="6145" width="12.7109375" style="136" customWidth="1"/>
    <col min="6146" max="6148" width="15.7109375" style="136" customWidth="1"/>
    <col min="6149" max="6150" width="10.7109375" style="136" customWidth="1"/>
    <col min="6151" max="6152" width="11.5703125" style="136" customWidth="1"/>
    <col min="6153" max="6153" width="14" style="136" customWidth="1"/>
    <col min="6154" max="6400" width="11.42578125" style="136"/>
    <col min="6401" max="6401" width="12.7109375" style="136" customWidth="1"/>
    <col min="6402" max="6404" width="15.7109375" style="136" customWidth="1"/>
    <col min="6405" max="6406" width="10.7109375" style="136" customWidth="1"/>
    <col min="6407" max="6408" width="11.5703125" style="136" customWidth="1"/>
    <col min="6409" max="6409" width="14" style="136" customWidth="1"/>
    <col min="6410" max="6656" width="11.42578125" style="136"/>
    <col min="6657" max="6657" width="12.7109375" style="136" customWidth="1"/>
    <col min="6658" max="6660" width="15.7109375" style="136" customWidth="1"/>
    <col min="6661" max="6662" width="10.7109375" style="136" customWidth="1"/>
    <col min="6663" max="6664" width="11.5703125" style="136" customWidth="1"/>
    <col min="6665" max="6665" width="14" style="136" customWidth="1"/>
    <col min="6666" max="6912" width="11.42578125" style="136"/>
    <col min="6913" max="6913" width="12.7109375" style="136" customWidth="1"/>
    <col min="6914" max="6916" width="15.7109375" style="136" customWidth="1"/>
    <col min="6917" max="6918" width="10.7109375" style="136" customWidth="1"/>
    <col min="6919" max="6920" width="11.5703125" style="136" customWidth="1"/>
    <col min="6921" max="6921" width="14" style="136" customWidth="1"/>
    <col min="6922" max="7168" width="11.42578125" style="136"/>
    <col min="7169" max="7169" width="12.7109375" style="136" customWidth="1"/>
    <col min="7170" max="7172" width="15.7109375" style="136" customWidth="1"/>
    <col min="7173" max="7174" width="10.7109375" style="136" customWidth="1"/>
    <col min="7175" max="7176" width="11.5703125" style="136" customWidth="1"/>
    <col min="7177" max="7177" width="14" style="136" customWidth="1"/>
    <col min="7178" max="7424" width="11.42578125" style="136"/>
    <col min="7425" max="7425" width="12.7109375" style="136" customWidth="1"/>
    <col min="7426" max="7428" width="15.7109375" style="136" customWidth="1"/>
    <col min="7429" max="7430" width="10.7109375" style="136" customWidth="1"/>
    <col min="7431" max="7432" width="11.5703125" style="136" customWidth="1"/>
    <col min="7433" max="7433" width="14" style="136" customWidth="1"/>
    <col min="7434" max="7680" width="11.42578125" style="136"/>
    <col min="7681" max="7681" width="12.7109375" style="136" customWidth="1"/>
    <col min="7682" max="7684" width="15.7109375" style="136" customWidth="1"/>
    <col min="7685" max="7686" width="10.7109375" style="136" customWidth="1"/>
    <col min="7687" max="7688" width="11.5703125" style="136" customWidth="1"/>
    <col min="7689" max="7689" width="14" style="136" customWidth="1"/>
    <col min="7690" max="7936" width="11.42578125" style="136"/>
    <col min="7937" max="7937" width="12.7109375" style="136" customWidth="1"/>
    <col min="7938" max="7940" width="15.7109375" style="136" customWidth="1"/>
    <col min="7941" max="7942" width="10.7109375" style="136" customWidth="1"/>
    <col min="7943" max="7944" width="11.5703125" style="136" customWidth="1"/>
    <col min="7945" max="7945" width="14" style="136" customWidth="1"/>
    <col min="7946" max="8192" width="11.42578125" style="136"/>
    <col min="8193" max="8193" width="12.7109375" style="136" customWidth="1"/>
    <col min="8194" max="8196" width="15.7109375" style="136" customWidth="1"/>
    <col min="8197" max="8198" width="10.7109375" style="136" customWidth="1"/>
    <col min="8199" max="8200" width="11.5703125" style="136" customWidth="1"/>
    <col min="8201" max="8201" width="14" style="136" customWidth="1"/>
    <col min="8202" max="8448" width="11.42578125" style="136"/>
    <col min="8449" max="8449" width="12.7109375" style="136" customWidth="1"/>
    <col min="8450" max="8452" width="15.7109375" style="136" customWidth="1"/>
    <col min="8453" max="8454" width="10.7109375" style="136" customWidth="1"/>
    <col min="8455" max="8456" width="11.5703125" style="136" customWidth="1"/>
    <col min="8457" max="8457" width="14" style="136" customWidth="1"/>
    <col min="8458" max="8704" width="11.42578125" style="136"/>
    <col min="8705" max="8705" width="12.7109375" style="136" customWidth="1"/>
    <col min="8706" max="8708" width="15.7109375" style="136" customWidth="1"/>
    <col min="8709" max="8710" width="10.7109375" style="136" customWidth="1"/>
    <col min="8711" max="8712" width="11.5703125" style="136" customWidth="1"/>
    <col min="8713" max="8713" width="14" style="136" customWidth="1"/>
    <col min="8714" max="8960" width="11.42578125" style="136"/>
    <col min="8961" max="8961" width="12.7109375" style="136" customWidth="1"/>
    <col min="8962" max="8964" width="15.7109375" style="136" customWidth="1"/>
    <col min="8965" max="8966" width="10.7109375" style="136" customWidth="1"/>
    <col min="8967" max="8968" width="11.5703125" style="136" customWidth="1"/>
    <col min="8969" max="8969" width="14" style="136" customWidth="1"/>
    <col min="8970" max="9216" width="11.42578125" style="136"/>
    <col min="9217" max="9217" width="12.7109375" style="136" customWidth="1"/>
    <col min="9218" max="9220" width="15.7109375" style="136" customWidth="1"/>
    <col min="9221" max="9222" width="10.7109375" style="136" customWidth="1"/>
    <col min="9223" max="9224" width="11.5703125" style="136" customWidth="1"/>
    <col min="9225" max="9225" width="14" style="136" customWidth="1"/>
    <col min="9226" max="9472" width="11.42578125" style="136"/>
    <col min="9473" max="9473" width="12.7109375" style="136" customWidth="1"/>
    <col min="9474" max="9476" width="15.7109375" style="136" customWidth="1"/>
    <col min="9477" max="9478" width="10.7109375" style="136" customWidth="1"/>
    <col min="9479" max="9480" width="11.5703125" style="136" customWidth="1"/>
    <col min="9481" max="9481" width="14" style="136" customWidth="1"/>
    <col min="9482" max="9728" width="11.42578125" style="136"/>
    <col min="9729" max="9729" width="12.7109375" style="136" customWidth="1"/>
    <col min="9730" max="9732" width="15.7109375" style="136" customWidth="1"/>
    <col min="9733" max="9734" width="10.7109375" style="136" customWidth="1"/>
    <col min="9735" max="9736" width="11.5703125" style="136" customWidth="1"/>
    <col min="9737" max="9737" width="14" style="136" customWidth="1"/>
    <col min="9738" max="9984" width="11.42578125" style="136"/>
    <col min="9985" max="9985" width="12.7109375" style="136" customWidth="1"/>
    <col min="9986" max="9988" width="15.7109375" style="136" customWidth="1"/>
    <col min="9989" max="9990" width="10.7109375" style="136" customWidth="1"/>
    <col min="9991" max="9992" width="11.5703125" style="136" customWidth="1"/>
    <col min="9993" max="9993" width="14" style="136" customWidth="1"/>
    <col min="9994" max="10240" width="11.42578125" style="136"/>
    <col min="10241" max="10241" width="12.7109375" style="136" customWidth="1"/>
    <col min="10242" max="10244" width="15.7109375" style="136" customWidth="1"/>
    <col min="10245" max="10246" width="10.7109375" style="136" customWidth="1"/>
    <col min="10247" max="10248" width="11.5703125" style="136" customWidth="1"/>
    <col min="10249" max="10249" width="14" style="136" customWidth="1"/>
    <col min="10250" max="10496" width="11.42578125" style="136"/>
    <col min="10497" max="10497" width="12.7109375" style="136" customWidth="1"/>
    <col min="10498" max="10500" width="15.7109375" style="136" customWidth="1"/>
    <col min="10501" max="10502" width="10.7109375" style="136" customWidth="1"/>
    <col min="10503" max="10504" width="11.5703125" style="136" customWidth="1"/>
    <col min="10505" max="10505" width="14" style="136" customWidth="1"/>
    <col min="10506" max="10752" width="11.42578125" style="136"/>
    <col min="10753" max="10753" width="12.7109375" style="136" customWidth="1"/>
    <col min="10754" max="10756" width="15.7109375" style="136" customWidth="1"/>
    <col min="10757" max="10758" width="10.7109375" style="136" customWidth="1"/>
    <col min="10759" max="10760" width="11.5703125" style="136" customWidth="1"/>
    <col min="10761" max="10761" width="14" style="136" customWidth="1"/>
    <col min="10762" max="11008" width="11.42578125" style="136"/>
    <col min="11009" max="11009" width="12.7109375" style="136" customWidth="1"/>
    <col min="11010" max="11012" width="15.7109375" style="136" customWidth="1"/>
    <col min="11013" max="11014" width="10.7109375" style="136" customWidth="1"/>
    <col min="11015" max="11016" width="11.5703125" style="136" customWidth="1"/>
    <col min="11017" max="11017" width="14" style="136" customWidth="1"/>
    <col min="11018" max="11264" width="11.42578125" style="136"/>
    <col min="11265" max="11265" width="12.7109375" style="136" customWidth="1"/>
    <col min="11266" max="11268" width="15.7109375" style="136" customWidth="1"/>
    <col min="11269" max="11270" width="10.7109375" style="136" customWidth="1"/>
    <col min="11271" max="11272" width="11.5703125" style="136" customWidth="1"/>
    <col min="11273" max="11273" width="14" style="136" customWidth="1"/>
    <col min="11274" max="11520" width="11.42578125" style="136"/>
    <col min="11521" max="11521" width="12.7109375" style="136" customWidth="1"/>
    <col min="11522" max="11524" width="15.7109375" style="136" customWidth="1"/>
    <col min="11525" max="11526" width="10.7109375" style="136" customWidth="1"/>
    <col min="11527" max="11528" width="11.5703125" style="136" customWidth="1"/>
    <col min="11529" max="11529" width="14" style="136" customWidth="1"/>
    <col min="11530" max="11776" width="11.42578125" style="136"/>
    <col min="11777" max="11777" width="12.7109375" style="136" customWidth="1"/>
    <col min="11778" max="11780" width="15.7109375" style="136" customWidth="1"/>
    <col min="11781" max="11782" width="10.7109375" style="136" customWidth="1"/>
    <col min="11783" max="11784" width="11.5703125" style="136" customWidth="1"/>
    <col min="11785" max="11785" width="14" style="136" customWidth="1"/>
    <col min="11786" max="12032" width="11.42578125" style="136"/>
    <col min="12033" max="12033" width="12.7109375" style="136" customWidth="1"/>
    <col min="12034" max="12036" width="15.7109375" style="136" customWidth="1"/>
    <col min="12037" max="12038" width="10.7109375" style="136" customWidth="1"/>
    <col min="12039" max="12040" width="11.5703125" style="136" customWidth="1"/>
    <col min="12041" max="12041" width="14" style="136" customWidth="1"/>
    <col min="12042" max="12288" width="11.42578125" style="136"/>
    <col min="12289" max="12289" width="12.7109375" style="136" customWidth="1"/>
    <col min="12290" max="12292" width="15.7109375" style="136" customWidth="1"/>
    <col min="12293" max="12294" width="10.7109375" style="136" customWidth="1"/>
    <col min="12295" max="12296" width="11.5703125" style="136" customWidth="1"/>
    <col min="12297" max="12297" width="14" style="136" customWidth="1"/>
    <col min="12298" max="12544" width="11.42578125" style="136"/>
    <col min="12545" max="12545" width="12.7109375" style="136" customWidth="1"/>
    <col min="12546" max="12548" width="15.7109375" style="136" customWidth="1"/>
    <col min="12549" max="12550" width="10.7109375" style="136" customWidth="1"/>
    <col min="12551" max="12552" width="11.5703125" style="136" customWidth="1"/>
    <col min="12553" max="12553" width="14" style="136" customWidth="1"/>
    <col min="12554" max="12800" width="11.42578125" style="136"/>
    <col min="12801" max="12801" width="12.7109375" style="136" customWidth="1"/>
    <col min="12802" max="12804" width="15.7109375" style="136" customWidth="1"/>
    <col min="12805" max="12806" width="10.7109375" style="136" customWidth="1"/>
    <col min="12807" max="12808" width="11.5703125" style="136" customWidth="1"/>
    <col min="12809" max="12809" width="14" style="136" customWidth="1"/>
    <col min="12810" max="13056" width="11.42578125" style="136"/>
    <col min="13057" max="13057" width="12.7109375" style="136" customWidth="1"/>
    <col min="13058" max="13060" width="15.7109375" style="136" customWidth="1"/>
    <col min="13061" max="13062" width="10.7109375" style="136" customWidth="1"/>
    <col min="13063" max="13064" width="11.5703125" style="136" customWidth="1"/>
    <col min="13065" max="13065" width="14" style="136" customWidth="1"/>
    <col min="13066" max="13312" width="11.42578125" style="136"/>
    <col min="13313" max="13313" width="12.7109375" style="136" customWidth="1"/>
    <col min="13314" max="13316" width="15.7109375" style="136" customWidth="1"/>
    <col min="13317" max="13318" width="10.7109375" style="136" customWidth="1"/>
    <col min="13319" max="13320" width="11.5703125" style="136" customWidth="1"/>
    <col min="13321" max="13321" width="14" style="136" customWidth="1"/>
    <col min="13322" max="13568" width="11.42578125" style="136"/>
    <col min="13569" max="13569" width="12.7109375" style="136" customWidth="1"/>
    <col min="13570" max="13572" width="15.7109375" style="136" customWidth="1"/>
    <col min="13573" max="13574" width="10.7109375" style="136" customWidth="1"/>
    <col min="13575" max="13576" width="11.5703125" style="136" customWidth="1"/>
    <col min="13577" max="13577" width="14" style="136" customWidth="1"/>
    <col min="13578" max="13824" width="11.42578125" style="136"/>
    <col min="13825" max="13825" width="12.7109375" style="136" customWidth="1"/>
    <col min="13826" max="13828" width="15.7109375" style="136" customWidth="1"/>
    <col min="13829" max="13830" width="10.7109375" style="136" customWidth="1"/>
    <col min="13831" max="13832" width="11.5703125" style="136" customWidth="1"/>
    <col min="13833" max="13833" width="14" style="136" customWidth="1"/>
    <col min="13834" max="14080" width="11.42578125" style="136"/>
    <col min="14081" max="14081" width="12.7109375" style="136" customWidth="1"/>
    <col min="14082" max="14084" width="15.7109375" style="136" customWidth="1"/>
    <col min="14085" max="14086" width="10.7109375" style="136" customWidth="1"/>
    <col min="14087" max="14088" width="11.5703125" style="136" customWidth="1"/>
    <col min="14089" max="14089" width="14" style="136" customWidth="1"/>
    <col min="14090" max="14336" width="11.42578125" style="136"/>
    <col min="14337" max="14337" width="12.7109375" style="136" customWidth="1"/>
    <col min="14338" max="14340" width="15.7109375" style="136" customWidth="1"/>
    <col min="14341" max="14342" width="10.7109375" style="136" customWidth="1"/>
    <col min="14343" max="14344" width="11.5703125" style="136" customWidth="1"/>
    <col min="14345" max="14345" width="14" style="136" customWidth="1"/>
    <col min="14346" max="14592" width="11.42578125" style="136"/>
    <col min="14593" max="14593" width="12.7109375" style="136" customWidth="1"/>
    <col min="14594" max="14596" width="15.7109375" style="136" customWidth="1"/>
    <col min="14597" max="14598" width="10.7109375" style="136" customWidth="1"/>
    <col min="14599" max="14600" width="11.5703125" style="136" customWidth="1"/>
    <col min="14601" max="14601" width="14" style="136" customWidth="1"/>
    <col min="14602" max="14848" width="11.42578125" style="136"/>
    <col min="14849" max="14849" width="12.7109375" style="136" customWidth="1"/>
    <col min="14850" max="14852" width="15.7109375" style="136" customWidth="1"/>
    <col min="14853" max="14854" width="10.7109375" style="136" customWidth="1"/>
    <col min="14855" max="14856" width="11.5703125" style="136" customWidth="1"/>
    <col min="14857" max="14857" width="14" style="136" customWidth="1"/>
    <col min="14858" max="15104" width="11.42578125" style="136"/>
    <col min="15105" max="15105" width="12.7109375" style="136" customWidth="1"/>
    <col min="15106" max="15108" width="15.7109375" style="136" customWidth="1"/>
    <col min="15109" max="15110" width="10.7109375" style="136" customWidth="1"/>
    <col min="15111" max="15112" width="11.5703125" style="136" customWidth="1"/>
    <col min="15113" max="15113" width="14" style="136" customWidth="1"/>
    <col min="15114" max="15360" width="11.42578125" style="136"/>
    <col min="15361" max="15361" width="12.7109375" style="136" customWidth="1"/>
    <col min="15362" max="15364" width="15.7109375" style="136" customWidth="1"/>
    <col min="15365" max="15366" width="10.7109375" style="136" customWidth="1"/>
    <col min="15367" max="15368" width="11.5703125" style="136" customWidth="1"/>
    <col min="15369" max="15369" width="14" style="136" customWidth="1"/>
    <col min="15370" max="15616" width="11.42578125" style="136"/>
    <col min="15617" max="15617" width="12.7109375" style="136" customWidth="1"/>
    <col min="15618" max="15620" width="15.7109375" style="136" customWidth="1"/>
    <col min="15621" max="15622" width="10.7109375" style="136" customWidth="1"/>
    <col min="15623" max="15624" width="11.5703125" style="136" customWidth="1"/>
    <col min="15625" max="15625" width="14" style="136" customWidth="1"/>
    <col min="15626" max="15872" width="11.42578125" style="136"/>
    <col min="15873" max="15873" width="12.7109375" style="136" customWidth="1"/>
    <col min="15874" max="15876" width="15.7109375" style="136" customWidth="1"/>
    <col min="15877" max="15878" width="10.7109375" style="136" customWidth="1"/>
    <col min="15879" max="15880" width="11.5703125" style="136" customWidth="1"/>
    <col min="15881" max="15881" width="14" style="136" customWidth="1"/>
    <col min="15882" max="16128" width="11.42578125" style="136"/>
    <col min="16129" max="16129" width="12.7109375" style="136" customWidth="1"/>
    <col min="16130" max="16132" width="15.7109375" style="136" customWidth="1"/>
    <col min="16133" max="16134" width="10.7109375" style="136" customWidth="1"/>
    <col min="16135" max="16136" width="11.5703125" style="136" customWidth="1"/>
    <col min="16137" max="16137" width="14" style="136" customWidth="1"/>
    <col min="16138" max="16384" width="11.42578125" style="136"/>
  </cols>
  <sheetData>
    <row r="1" spans="1:11" x14ac:dyDescent="0.2">
      <c r="A1" s="708" t="s">
        <v>224</v>
      </c>
      <c r="B1" s="708"/>
      <c r="C1" s="708"/>
      <c r="D1" s="708"/>
      <c r="E1" s="708"/>
      <c r="F1" s="708"/>
      <c r="G1" s="708"/>
      <c r="H1" s="708"/>
      <c r="I1" s="708"/>
      <c r="J1" s="708"/>
    </row>
    <row r="2" spans="1:11" x14ac:dyDescent="0.2">
      <c r="A2" s="344" t="s">
        <v>325</v>
      </c>
      <c r="B2" s="344" t="s">
        <v>327</v>
      </c>
      <c r="C2" s="344" t="s">
        <v>326</v>
      </c>
    </row>
    <row r="3" spans="1:11" ht="15" customHeight="1" x14ac:dyDescent="0.2">
      <c r="A3" s="730">
        <f>DONNEES!E13</f>
        <v>0</v>
      </c>
      <c r="B3" s="345">
        <f>DONNEES!G13</f>
        <v>0</v>
      </c>
      <c r="C3" s="442">
        <f>DONNEES!G14</f>
        <v>0</v>
      </c>
      <c r="D3" s="137" t="s">
        <v>225</v>
      </c>
      <c r="E3" s="138"/>
      <c r="F3" s="138"/>
    </row>
    <row r="4" spans="1:11" ht="9.75" customHeight="1" thickBot="1" x14ac:dyDescent="0.25"/>
    <row r="5" spans="1:11" ht="38.25" customHeight="1" thickBot="1" x14ac:dyDescent="0.25">
      <c r="A5" s="710" t="s">
        <v>226</v>
      </c>
      <c r="B5" s="141" t="s">
        <v>338</v>
      </c>
      <c r="C5" s="141" t="s">
        <v>338</v>
      </c>
      <c r="D5" s="710" t="s">
        <v>227</v>
      </c>
      <c r="E5" s="710" t="s">
        <v>228</v>
      </c>
      <c r="F5" s="712" t="s">
        <v>229</v>
      </c>
      <c r="G5" s="714" t="s">
        <v>230</v>
      </c>
      <c r="H5" s="714" t="s">
        <v>231</v>
      </c>
      <c r="I5" s="379" t="s">
        <v>339</v>
      </c>
      <c r="J5" s="381" t="s">
        <v>339</v>
      </c>
    </row>
    <row r="6" spans="1:11" ht="13.5" thickBot="1" x14ac:dyDescent="0.25">
      <c r="A6" s="711"/>
      <c r="B6" s="378">
        <f>DONNEES!C17</f>
        <v>0</v>
      </c>
      <c r="C6" s="378">
        <f>DONNEES!E17</f>
        <v>0</v>
      </c>
      <c r="D6" s="711"/>
      <c r="E6" s="711"/>
      <c r="F6" s="713"/>
      <c r="G6" s="715"/>
      <c r="H6" s="715"/>
      <c r="I6" s="380">
        <f>DONNEES!C17</f>
        <v>0</v>
      </c>
      <c r="J6" s="450">
        <f>DONNEES!E17</f>
        <v>0</v>
      </c>
      <c r="K6" s="452" t="s">
        <v>340</v>
      </c>
    </row>
    <row r="7" spans="1:11" ht="21.75" customHeight="1" x14ac:dyDescent="0.2">
      <c r="A7" s="142">
        <v>1</v>
      </c>
      <c r="B7" s="443"/>
      <c r="C7" s="444"/>
      <c r="D7" s="500"/>
      <c r="E7" s="143">
        <f>$C$3</f>
        <v>0</v>
      </c>
      <c r="F7" s="447">
        <v>119</v>
      </c>
      <c r="G7" s="144">
        <f>IFERROR(SUM(0.15+(0.85*F7/E7)),0)</f>
        <v>0</v>
      </c>
      <c r="H7" s="145">
        <f>ROUND(G7,3)</f>
        <v>0</v>
      </c>
      <c r="I7" s="146">
        <f>IF(K7="P","",(B7*(H7))-B7)</f>
        <v>0</v>
      </c>
      <c r="J7" s="451">
        <f>(C7*(H7))-C7</f>
        <v>0</v>
      </c>
      <c r="K7" s="453"/>
    </row>
    <row r="8" spans="1:11" ht="21.75" customHeight="1" x14ac:dyDescent="0.2">
      <c r="A8" s="142">
        <v>2</v>
      </c>
      <c r="B8" s="443"/>
      <c r="C8" s="444"/>
      <c r="D8" s="500"/>
      <c r="E8" s="143">
        <f t="shared" ref="E8:E15" si="0">$C$3</f>
        <v>0</v>
      </c>
      <c r="F8" s="447"/>
      <c r="G8" s="144">
        <f t="shared" ref="G8:G15" si="1">IFERROR(SUM(0.15+(0.85*F8/E8)),0)</f>
        <v>0</v>
      </c>
      <c r="H8" s="145">
        <f t="shared" ref="H8:H15" si="2">ROUND(G8,3)</f>
        <v>0</v>
      </c>
      <c r="I8" s="146">
        <f t="shared" ref="I8:I15" si="3">IF(K8="P","",(B8*(H8))-B8)</f>
        <v>0</v>
      </c>
      <c r="J8" s="451">
        <f t="shared" ref="J8:J15" si="4">(C8*(H8))-C8</f>
        <v>0</v>
      </c>
      <c r="K8" s="453"/>
    </row>
    <row r="9" spans="1:11" ht="21.75" customHeight="1" x14ac:dyDescent="0.2">
      <c r="A9" s="142">
        <v>3</v>
      </c>
      <c r="B9" s="443"/>
      <c r="C9" s="444"/>
      <c r="D9" s="500"/>
      <c r="E9" s="143">
        <f t="shared" si="0"/>
        <v>0</v>
      </c>
      <c r="F9" s="447"/>
      <c r="G9" s="144">
        <f t="shared" si="1"/>
        <v>0</v>
      </c>
      <c r="H9" s="145">
        <f t="shared" si="2"/>
        <v>0</v>
      </c>
      <c r="I9" s="146">
        <f t="shared" si="3"/>
        <v>0</v>
      </c>
      <c r="J9" s="451">
        <f t="shared" si="4"/>
        <v>0</v>
      </c>
      <c r="K9" s="453"/>
    </row>
    <row r="10" spans="1:11" ht="21.75" customHeight="1" x14ac:dyDescent="0.2">
      <c r="A10" s="142">
        <v>4</v>
      </c>
      <c r="B10" s="443"/>
      <c r="C10" s="444"/>
      <c r="D10" s="500"/>
      <c r="E10" s="143">
        <f t="shared" si="0"/>
        <v>0</v>
      </c>
      <c r="F10" s="447"/>
      <c r="G10" s="144">
        <f t="shared" si="1"/>
        <v>0</v>
      </c>
      <c r="H10" s="145">
        <f t="shared" si="2"/>
        <v>0</v>
      </c>
      <c r="I10" s="146">
        <f t="shared" si="3"/>
        <v>0</v>
      </c>
      <c r="J10" s="451">
        <f t="shared" si="4"/>
        <v>0</v>
      </c>
      <c r="K10" s="453"/>
    </row>
    <row r="11" spans="1:11" ht="21.75" customHeight="1" x14ac:dyDescent="0.2">
      <c r="A11" s="142">
        <v>5</v>
      </c>
      <c r="B11" s="443"/>
      <c r="C11" s="444"/>
      <c r="D11" s="500"/>
      <c r="E11" s="143">
        <f t="shared" si="0"/>
        <v>0</v>
      </c>
      <c r="F11" s="447"/>
      <c r="G11" s="144">
        <f t="shared" si="1"/>
        <v>0</v>
      </c>
      <c r="H11" s="145">
        <f t="shared" si="2"/>
        <v>0</v>
      </c>
      <c r="I11" s="146">
        <f t="shared" si="3"/>
        <v>0</v>
      </c>
      <c r="J11" s="451">
        <f t="shared" si="4"/>
        <v>0</v>
      </c>
      <c r="K11" s="453"/>
    </row>
    <row r="12" spans="1:11" ht="21.75" customHeight="1" x14ac:dyDescent="0.2">
      <c r="A12" s="142">
        <v>6</v>
      </c>
      <c r="B12" s="443"/>
      <c r="C12" s="444"/>
      <c r="D12" s="500"/>
      <c r="E12" s="143">
        <f t="shared" si="0"/>
        <v>0</v>
      </c>
      <c r="F12" s="447"/>
      <c r="G12" s="144">
        <f t="shared" si="1"/>
        <v>0</v>
      </c>
      <c r="H12" s="145">
        <f t="shared" si="2"/>
        <v>0</v>
      </c>
      <c r="I12" s="146">
        <f t="shared" si="3"/>
        <v>0</v>
      </c>
      <c r="J12" s="451">
        <f t="shared" si="4"/>
        <v>0</v>
      </c>
      <c r="K12" s="453"/>
    </row>
    <row r="13" spans="1:11" ht="21.75" customHeight="1" x14ac:dyDescent="0.2">
      <c r="A13" s="147">
        <v>7</v>
      </c>
      <c r="B13" s="445"/>
      <c r="C13" s="446"/>
      <c r="D13" s="501"/>
      <c r="E13" s="143">
        <f t="shared" si="0"/>
        <v>0</v>
      </c>
      <c r="F13" s="448"/>
      <c r="G13" s="144">
        <f t="shared" si="1"/>
        <v>0</v>
      </c>
      <c r="H13" s="145">
        <f t="shared" si="2"/>
        <v>0</v>
      </c>
      <c r="I13" s="146">
        <f t="shared" si="3"/>
        <v>0</v>
      </c>
      <c r="J13" s="451">
        <f t="shared" si="4"/>
        <v>0</v>
      </c>
      <c r="K13" s="453"/>
    </row>
    <row r="14" spans="1:11" ht="21.75" customHeight="1" x14ac:dyDescent="0.2">
      <c r="A14" s="147">
        <v>8</v>
      </c>
      <c r="B14" s="445"/>
      <c r="C14" s="446"/>
      <c r="D14" s="501"/>
      <c r="E14" s="143">
        <f t="shared" si="0"/>
        <v>0</v>
      </c>
      <c r="F14" s="448"/>
      <c r="G14" s="144">
        <f t="shared" si="1"/>
        <v>0</v>
      </c>
      <c r="H14" s="145">
        <f t="shared" si="2"/>
        <v>0</v>
      </c>
      <c r="I14" s="146">
        <f t="shared" si="3"/>
        <v>0</v>
      </c>
      <c r="J14" s="451">
        <f t="shared" si="4"/>
        <v>0</v>
      </c>
      <c r="K14" s="453"/>
    </row>
    <row r="15" spans="1:11" ht="21.75" customHeight="1" thickBot="1" x14ac:dyDescent="0.25">
      <c r="A15" s="142">
        <v>9</v>
      </c>
      <c r="B15" s="443"/>
      <c r="C15" s="444"/>
      <c r="D15" s="500"/>
      <c r="E15" s="143">
        <f t="shared" si="0"/>
        <v>0</v>
      </c>
      <c r="F15" s="447"/>
      <c r="G15" s="144">
        <f t="shared" si="1"/>
        <v>0</v>
      </c>
      <c r="H15" s="145">
        <f t="shared" si="2"/>
        <v>0</v>
      </c>
      <c r="I15" s="146">
        <f t="shared" si="3"/>
        <v>0</v>
      </c>
      <c r="J15" s="451">
        <f t="shared" si="4"/>
        <v>0</v>
      </c>
      <c r="K15" s="453"/>
    </row>
    <row r="16" spans="1:11" s="155" customFormat="1" ht="19.5" customHeight="1" thickBot="1" x14ac:dyDescent="0.25">
      <c r="A16" s="148" t="s">
        <v>234</v>
      </c>
      <c r="B16" s="149">
        <f>SUM(B7:B15)</f>
        <v>0</v>
      </c>
      <c r="C16" s="150">
        <f>SUM(C7:C15)</f>
        <v>0</v>
      </c>
      <c r="D16" s="151"/>
      <c r="E16" s="152"/>
      <c r="F16" s="153"/>
      <c r="G16" s="136"/>
      <c r="H16" s="148" t="s">
        <v>234</v>
      </c>
      <c r="I16" s="149">
        <f>SUM(I7:I15)</f>
        <v>0</v>
      </c>
      <c r="J16" s="154">
        <f>SUM(J7:J15)</f>
        <v>0</v>
      </c>
      <c r="K16" s="136"/>
    </row>
    <row r="17" spans="1:11" ht="18" customHeight="1" thickBot="1" x14ac:dyDescent="0.25">
      <c r="A17" s="156" t="s">
        <v>235</v>
      </c>
      <c r="B17" s="157">
        <f>B16*20/100</f>
        <v>0</v>
      </c>
      <c r="C17" s="158">
        <f>C16*10/100</f>
        <v>0</v>
      </c>
      <c r="E17" s="159"/>
      <c r="F17" s="160"/>
      <c r="H17" s="156" t="s">
        <v>235</v>
      </c>
      <c r="I17" s="161">
        <f>I16*20/100</f>
        <v>0</v>
      </c>
      <c r="J17" s="162">
        <f>J16*10/100</f>
        <v>0</v>
      </c>
    </row>
    <row r="18" spans="1:11" ht="18" customHeight="1" thickBot="1" x14ac:dyDescent="0.25">
      <c r="A18" s="156" t="s">
        <v>17</v>
      </c>
      <c r="B18" s="163">
        <f>B16+B17</f>
        <v>0</v>
      </c>
      <c r="C18" s="164">
        <f>SUM(C16:C17)</f>
        <v>0</v>
      </c>
      <c r="E18" s="159"/>
      <c r="F18" s="160"/>
      <c r="H18" s="156" t="s">
        <v>17</v>
      </c>
      <c r="I18" s="163">
        <f>SUM(I16:I17)</f>
        <v>0</v>
      </c>
      <c r="J18" s="165">
        <f>SUM(J16:J17)</f>
        <v>0</v>
      </c>
    </row>
    <row r="19" spans="1:11" ht="18" customHeight="1" x14ac:dyDescent="0.2">
      <c r="A19" s="166"/>
      <c r="B19" s="166"/>
      <c r="C19" s="160"/>
      <c r="E19" s="159"/>
      <c r="F19" s="160"/>
    </row>
    <row r="20" spans="1:11" ht="17.100000000000001" customHeight="1" x14ac:dyDescent="0.2">
      <c r="A20" s="167" t="s">
        <v>236</v>
      </c>
      <c r="B20" s="167"/>
      <c r="D20" s="168" t="s">
        <v>237</v>
      </c>
      <c r="E20" s="168"/>
    </row>
    <row r="21" spans="1:11" ht="17.100000000000001" customHeight="1" x14ac:dyDescent="0.2">
      <c r="A21" s="167"/>
      <c r="B21" s="167"/>
      <c r="D21" s="168"/>
      <c r="E21" s="168"/>
    </row>
    <row r="22" spans="1:11" ht="17.100000000000001" customHeight="1" x14ac:dyDescent="0.2">
      <c r="A22" s="167"/>
      <c r="B22" s="167"/>
      <c r="D22" s="168"/>
      <c r="E22" s="168"/>
    </row>
    <row r="23" spans="1:11" ht="17.100000000000001" customHeight="1" x14ac:dyDescent="0.2">
      <c r="A23" s="167"/>
      <c r="B23" s="167"/>
      <c r="D23" s="168"/>
      <c r="E23" s="168"/>
    </row>
    <row r="24" spans="1:11" ht="17.100000000000001" customHeight="1" x14ac:dyDescent="0.2">
      <c r="A24" s="167"/>
      <c r="B24" s="167"/>
      <c r="D24" s="168"/>
      <c r="E24" s="168"/>
    </row>
    <row r="25" spans="1:11" ht="17.100000000000001" customHeight="1" x14ac:dyDescent="0.2">
      <c r="A25" s="167"/>
      <c r="B25" s="167"/>
      <c r="D25" s="168"/>
      <c r="E25" s="168"/>
    </row>
    <row r="26" spans="1:11" ht="17.100000000000001" customHeight="1" x14ac:dyDescent="0.2">
      <c r="A26" s="167"/>
      <c r="B26" s="167"/>
      <c r="D26" s="168"/>
      <c r="E26" s="168"/>
    </row>
    <row r="27" spans="1:11" ht="20.25" customHeight="1" x14ac:dyDescent="0.2">
      <c r="C27" s="169"/>
      <c r="D27" s="170"/>
      <c r="E27" s="171"/>
    </row>
    <row r="28" spans="1:11" ht="19.5" customHeight="1" x14ac:dyDescent="0.2">
      <c r="A28" s="709" t="s">
        <v>238</v>
      </c>
      <c r="B28" s="709"/>
      <c r="C28" s="709"/>
      <c r="D28" s="709"/>
      <c r="E28" s="709"/>
      <c r="F28" s="709"/>
      <c r="G28" s="709"/>
      <c r="H28" s="709"/>
      <c r="I28" s="709"/>
      <c r="J28" s="709"/>
    </row>
    <row r="29" spans="1:11" ht="19.5" customHeight="1" thickBot="1" x14ac:dyDescent="0.25">
      <c r="A29" s="172"/>
      <c r="B29" s="171"/>
      <c r="C29" s="173"/>
      <c r="D29" s="174"/>
      <c r="E29" s="136"/>
    </row>
    <row r="30" spans="1:11" ht="45" customHeight="1" thickBot="1" x14ac:dyDescent="0.25">
      <c r="A30" s="710" t="s">
        <v>226</v>
      </c>
      <c r="B30" s="141" t="s">
        <v>338</v>
      </c>
      <c r="C30" s="141" t="s">
        <v>338</v>
      </c>
      <c r="D30" s="710" t="s">
        <v>227</v>
      </c>
      <c r="E30" s="710" t="s">
        <v>228</v>
      </c>
      <c r="F30" s="712" t="s">
        <v>229</v>
      </c>
      <c r="G30" s="714" t="s">
        <v>230</v>
      </c>
      <c r="H30" s="714" t="s">
        <v>231</v>
      </c>
      <c r="I30" s="379" t="s">
        <v>339</v>
      </c>
      <c r="J30" s="381" t="s">
        <v>339</v>
      </c>
    </row>
    <row r="31" spans="1:11" ht="19.5" customHeight="1" thickBot="1" x14ac:dyDescent="0.25">
      <c r="A31" s="711"/>
      <c r="B31" s="378">
        <f>DONNEES!C17</f>
        <v>0</v>
      </c>
      <c r="C31" s="378">
        <f>DONNEES!E17</f>
        <v>0</v>
      </c>
      <c r="D31" s="711"/>
      <c r="E31" s="711"/>
      <c r="F31" s="713"/>
      <c r="G31" s="715"/>
      <c r="H31" s="715"/>
      <c r="I31" s="380">
        <f>DONNEES!C17</f>
        <v>0</v>
      </c>
      <c r="J31" s="380">
        <f>DONNEES!E17</f>
        <v>0</v>
      </c>
      <c r="K31" s="452" t="s">
        <v>340</v>
      </c>
    </row>
    <row r="32" spans="1:11" ht="19.5" customHeight="1" x14ac:dyDescent="0.2">
      <c r="A32" s="142">
        <v>1</v>
      </c>
      <c r="B32" s="443"/>
      <c r="C32" s="444"/>
      <c r="D32" s="500"/>
      <c r="E32" s="143">
        <f>$C$3</f>
        <v>0</v>
      </c>
      <c r="F32" s="447"/>
      <c r="G32" s="144">
        <f>IFERROR(SUM(0.15+(0.85*F32/E32)),0)</f>
        <v>0</v>
      </c>
      <c r="H32" s="145">
        <f>ROUND(G32,3)</f>
        <v>0</v>
      </c>
      <c r="I32" s="146">
        <f>IF(K32="P","",(B32*(H32))-B32)</f>
        <v>0</v>
      </c>
      <c r="J32" s="146">
        <f>(C32*(H32))-C32</f>
        <v>0</v>
      </c>
      <c r="K32" s="453"/>
    </row>
    <row r="33" spans="1:11" ht="19.5" customHeight="1" x14ac:dyDescent="0.2">
      <c r="A33" s="142">
        <v>2</v>
      </c>
      <c r="B33" s="443"/>
      <c r="C33" s="444"/>
      <c r="D33" s="500"/>
      <c r="E33" s="143">
        <f t="shared" ref="E33:E40" si="5">$C$3</f>
        <v>0</v>
      </c>
      <c r="F33" s="447"/>
      <c r="G33" s="144">
        <f t="shared" ref="G33:G40" si="6">IFERROR(SUM(0.15+(0.85*F33/E33)),0)</f>
        <v>0</v>
      </c>
      <c r="H33" s="145">
        <f t="shared" ref="H33:H40" si="7">ROUND(G33,3)</f>
        <v>0</v>
      </c>
      <c r="I33" s="146">
        <f t="shared" ref="I33:I40" si="8">(B33*(H33))-B33</f>
        <v>0</v>
      </c>
      <c r="J33" s="146">
        <f t="shared" ref="J33:J40" si="9">(C33*(H33))-C33</f>
        <v>0</v>
      </c>
      <c r="K33" s="453"/>
    </row>
    <row r="34" spans="1:11" ht="19.5" customHeight="1" x14ac:dyDescent="0.2">
      <c r="A34" s="142">
        <v>3</v>
      </c>
      <c r="B34" s="443"/>
      <c r="C34" s="444"/>
      <c r="D34" s="500"/>
      <c r="E34" s="143">
        <f t="shared" si="5"/>
        <v>0</v>
      </c>
      <c r="F34" s="447"/>
      <c r="G34" s="144">
        <f t="shared" si="6"/>
        <v>0</v>
      </c>
      <c r="H34" s="145">
        <f t="shared" si="7"/>
        <v>0</v>
      </c>
      <c r="I34" s="146">
        <f t="shared" si="8"/>
        <v>0</v>
      </c>
      <c r="J34" s="146">
        <f t="shared" si="9"/>
        <v>0</v>
      </c>
      <c r="K34" s="453"/>
    </row>
    <row r="35" spans="1:11" ht="19.5" customHeight="1" x14ac:dyDescent="0.2">
      <c r="A35" s="142">
        <v>4</v>
      </c>
      <c r="B35" s="443"/>
      <c r="C35" s="444"/>
      <c r="D35" s="500"/>
      <c r="E35" s="143">
        <f t="shared" si="5"/>
        <v>0</v>
      </c>
      <c r="F35" s="447"/>
      <c r="G35" s="144">
        <f t="shared" si="6"/>
        <v>0</v>
      </c>
      <c r="H35" s="145">
        <f t="shared" si="7"/>
        <v>0</v>
      </c>
      <c r="I35" s="146">
        <f t="shared" si="8"/>
        <v>0</v>
      </c>
      <c r="J35" s="146">
        <f t="shared" si="9"/>
        <v>0</v>
      </c>
      <c r="K35" s="453"/>
    </row>
    <row r="36" spans="1:11" ht="19.5" customHeight="1" x14ac:dyDescent="0.2">
      <c r="A36" s="142">
        <v>5</v>
      </c>
      <c r="B36" s="443"/>
      <c r="C36" s="444"/>
      <c r="D36" s="500"/>
      <c r="E36" s="143">
        <f t="shared" si="5"/>
        <v>0</v>
      </c>
      <c r="F36" s="447"/>
      <c r="G36" s="144">
        <f t="shared" si="6"/>
        <v>0</v>
      </c>
      <c r="H36" s="145">
        <f t="shared" si="7"/>
        <v>0</v>
      </c>
      <c r="I36" s="146">
        <f t="shared" si="8"/>
        <v>0</v>
      </c>
      <c r="J36" s="146">
        <f t="shared" si="9"/>
        <v>0</v>
      </c>
      <c r="K36" s="453"/>
    </row>
    <row r="37" spans="1:11" ht="19.5" customHeight="1" x14ac:dyDescent="0.2">
      <c r="A37" s="142">
        <v>6</v>
      </c>
      <c r="B37" s="443"/>
      <c r="C37" s="444"/>
      <c r="D37" s="500"/>
      <c r="E37" s="143">
        <f t="shared" si="5"/>
        <v>0</v>
      </c>
      <c r="F37" s="447"/>
      <c r="G37" s="144">
        <f t="shared" si="6"/>
        <v>0</v>
      </c>
      <c r="H37" s="145">
        <f t="shared" si="7"/>
        <v>0</v>
      </c>
      <c r="I37" s="146">
        <f t="shared" si="8"/>
        <v>0</v>
      </c>
      <c r="J37" s="146">
        <f t="shared" si="9"/>
        <v>0</v>
      </c>
      <c r="K37" s="453"/>
    </row>
    <row r="38" spans="1:11" ht="19.5" customHeight="1" x14ac:dyDescent="0.2">
      <c r="A38" s="147">
        <v>7</v>
      </c>
      <c r="B38" s="445"/>
      <c r="C38" s="446"/>
      <c r="D38" s="501"/>
      <c r="E38" s="143">
        <f t="shared" si="5"/>
        <v>0</v>
      </c>
      <c r="F38" s="448"/>
      <c r="G38" s="144">
        <f t="shared" si="6"/>
        <v>0</v>
      </c>
      <c r="H38" s="145">
        <f t="shared" si="7"/>
        <v>0</v>
      </c>
      <c r="I38" s="146">
        <f t="shared" si="8"/>
        <v>0</v>
      </c>
      <c r="J38" s="146">
        <f t="shared" si="9"/>
        <v>0</v>
      </c>
      <c r="K38" s="453"/>
    </row>
    <row r="39" spans="1:11" ht="18.75" customHeight="1" x14ac:dyDescent="0.2">
      <c r="A39" s="147">
        <v>8</v>
      </c>
      <c r="B39" s="445"/>
      <c r="C39" s="446"/>
      <c r="D39" s="501"/>
      <c r="E39" s="143">
        <f t="shared" si="5"/>
        <v>0</v>
      </c>
      <c r="F39" s="448"/>
      <c r="G39" s="144">
        <f t="shared" si="6"/>
        <v>0</v>
      </c>
      <c r="H39" s="145">
        <f t="shared" si="7"/>
        <v>0</v>
      </c>
      <c r="I39" s="146">
        <f t="shared" si="8"/>
        <v>0</v>
      </c>
      <c r="J39" s="146">
        <f t="shared" si="9"/>
        <v>0</v>
      </c>
      <c r="K39" s="453"/>
    </row>
    <row r="40" spans="1:11" ht="24" customHeight="1" thickBot="1" x14ac:dyDescent="0.25">
      <c r="A40" s="142">
        <v>9</v>
      </c>
      <c r="B40" s="443"/>
      <c r="C40" s="444"/>
      <c r="D40" s="500"/>
      <c r="E40" s="143">
        <f t="shared" si="5"/>
        <v>0</v>
      </c>
      <c r="F40" s="447"/>
      <c r="G40" s="144">
        <f t="shared" si="6"/>
        <v>0</v>
      </c>
      <c r="H40" s="145">
        <f t="shared" si="7"/>
        <v>0</v>
      </c>
      <c r="I40" s="146">
        <f t="shared" si="8"/>
        <v>0</v>
      </c>
      <c r="J40" s="146">
        <f t="shared" si="9"/>
        <v>0</v>
      </c>
      <c r="K40" s="453"/>
    </row>
    <row r="41" spans="1:11" ht="13.5" thickBot="1" x14ac:dyDescent="0.25">
      <c r="A41" s="148" t="s">
        <v>234</v>
      </c>
      <c r="B41" s="149">
        <f>SUM(B32:B40)</f>
        <v>0</v>
      </c>
      <c r="C41" s="150">
        <f>SUM(C32:C40)</f>
        <v>0</v>
      </c>
      <c r="D41" s="151"/>
      <c r="E41" s="152"/>
      <c r="F41" s="153"/>
      <c r="H41" s="148" t="s">
        <v>234</v>
      </c>
      <c r="I41" s="149">
        <f>SUM(I32:I40)</f>
        <v>0</v>
      </c>
      <c r="J41" s="154">
        <f>SUM(J32:J40)</f>
        <v>0</v>
      </c>
    </row>
    <row r="42" spans="1:11" ht="13.5" thickBot="1" x14ac:dyDescent="0.25">
      <c r="A42" s="156" t="s">
        <v>235</v>
      </c>
      <c r="B42" s="157">
        <f>B41*20/100</f>
        <v>0</v>
      </c>
      <c r="C42" s="158">
        <f>C41*10/100</f>
        <v>0</v>
      </c>
      <c r="E42" s="159"/>
      <c r="F42" s="160"/>
      <c r="H42" s="156" t="s">
        <v>235</v>
      </c>
      <c r="I42" s="161">
        <f>I41*20/100</f>
        <v>0</v>
      </c>
      <c r="J42" s="162">
        <f>J41*10/100</f>
        <v>0</v>
      </c>
    </row>
    <row r="43" spans="1:11" ht="13.5" thickBot="1" x14ac:dyDescent="0.25">
      <c r="A43" s="156" t="s">
        <v>17</v>
      </c>
      <c r="B43" s="163">
        <f>B41+B42</f>
        <v>0</v>
      </c>
      <c r="C43" s="164">
        <f>SUM(C41:C42)</f>
        <v>0</v>
      </c>
      <c r="E43" s="159"/>
      <c r="F43" s="160"/>
      <c r="H43" s="156" t="s">
        <v>17</v>
      </c>
      <c r="I43" s="163">
        <f>SUM(I41:I42)</f>
        <v>0</v>
      </c>
      <c r="J43" s="165">
        <f>SUM(J41:J42)</f>
        <v>0</v>
      </c>
    </row>
    <row r="44" spans="1:11" x14ac:dyDescent="0.2">
      <c r="A44" s="175"/>
    </row>
    <row r="45" spans="1:11" x14ac:dyDescent="0.2">
      <c r="A45" s="167" t="s">
        <v>236</v>
      </c>
      <c r="B45" s="167"/>
      <c r="D45" s="168" t="s">
        <v>237</v>
      </c>
    </row>
    <row r="46" spans="1:11" x14ac:dyDescent="0.2">
      <c r="A46" s="175"/>
    </row>
    <row r="47" spans="1:11" x14ac:dyDescent="0.2">
      <c r="A47" s="175"/>
    </row>
    <row r="48" spans="1:11" x14ac:dyDescent="0.2">
      <c r="A48" s="175"/>
    </row>
    <row r="49" spans="1:1" x14ac:dyDescent="0.2">
      <c r="A49" s="175"/>
    </row>
    <row r="50" spans="1:1" x14ac:dyDescent="0.2">
      <c r="A50" s="175"/>
    </row>
    <row r="51" spans="1:1" x14ac:dyDescent="0.2">
      <c r="A51" s="175"/>
    </row>
    <row r="52" spans="1:1" x14ac:dyDescent="0.2">
      <c r="A52" s="175"/>
    </row>
    <row r="53" spans="1:1" x14ac:dyDescent="0.2">
      <c r="A53" s="175"/>
    </row>
    <row r="54" spans="1:1" x14ac:dyDescent="0.2">
      <c r="A54" s="175"/>
    </row>
    <row r="55" spans="1:1" x14ac:dyDescent="0.2">
      <c r="A55" s="175"/>
    </row>
    <row r="56" spans="1:1" x14ac:dyDescent="0.2">
      <c r="A56" s="175"/>
    </row>
    <row r="57" spans="1:1" x14ac:dyDescent="0.2">
      <c r="A57" s="175"/>
    </row>
    <row r="58" spans="1:1" x14ac:dyDescent="0.2">
      <c r="A58" s="175"/>
    </row>
    <row r="59" spans="1:1" x14ac:dyDescent="0.2">
      <c r="A59" s="175"/>
    </row>
    <row r="60" spans="1:1" x14ac:dyDescent="0.2">
      <c r="A60" s="175"/>
    </row>
    <row r="61" spans="1:1" x14ac:dyDescent="0.2">
      <c r="A61" s="175"/>
    </row>
    <row r="62" spans="1:1" x14ac:dyDescent="0.2">
      <c r="A62" s="175"/>
    </row>
    <row r="63" spans="1:1" x14ac:dyDescent="0.2">
      <c r="A63" s="175"/>
    </row>
    <row r="64" spans="1:1" x14ac:dyDescent="0.2">
      <c r="A64" s="175"/>
    </row>
    <row r="65" spans="1:1" x14ac:dyDescent="0.2">
      <c r="A65" s="175"/>
    </row>
    <row r="66" spans="1:1" x14ac:dyDescent="0.2">
      <c r="A66" s="175"/>
    </row>
    <row r="67" spans="1:1" x14ac:dyDescent="0.2">
      <c r="A67" s="175"/>
    </row>
    <row r="68" spans="1:1" x14ac:dyDescent="0.2">
      <c r="A68" s="175"/>
    </row>
    <row r="69" spans="1:1" x14ac:dyDescent="0.2">
      <c r="A69" s="175"/>
    </row>
    <row r="70" spans="1:1" x14ac:dyDescent="0.2">
      <c r="A70" s="175"/>
    </row>
    <row r="71" spans="1:1" x14ac:dyDescent="0.2">
      <c r="A71" s="175"/>
    </row>
    <row r="72" spans="1:1" x14ac:dyDescent="0.2">
      <c r="A72" s="175"/>
    </row>
    <row r="73" spans="1:1" x14ac:dyDescent="0.2">
      <c r="A73" s="175"/>
    </row>
    <row r="74" spans="1:1" x14ac:dyDescent="0.2">
      <c r="A74" s="175"/>
    </row>
    <row r="75" spans="1:1" x14ac:dyDescent="0.2">
      <c r="A75" s="175"/>
    </row>
    <row r="76" spans="1:1" x14ac:dyDescent="0.2">
      <c r="A76" s="175"/>
    </row>
    <row r="77" spans="1:1" x14ac:dyDescent="0.2">
      <c r="A77" s="175"/>
    </row>
    <row r="78" spans="1:1" x14ac:dyDescent="0.2">
      <c r="A78" s="175"/>
    </row>
    <row r="79" spans="1:1" x14ac:dyDescent="0.2">
      <c r="A79" s="175"/>
    </row>
    <row r="80" spans="1:1" x14ac:dyDescent="0.2">
      <c r="A80" s="175"/>
    </row>
    <row r="81" spans="1:1" x14ac:dyDescent="0.2">
      <c r="A81" s="175"/>
    </row>
    <row r="82" spans="1:1" x14ac:dyDescent="0.2">
      <c r="A82" s="175"/>
    </row>
    <row r="83" spans="1:1" x14ac:dyDescent="0.2">
      <c r="A83" s="175"/>
    </row>
    <row r="84" spans="1:1" x14ac:dyDescent="0.2">
      <c r="A84" s="175"/>
    </row>
    <row r="85" spans="1:1" x14ac:dyDescent="0.2">
      <c r="A85" s="175"/>
    </row>
    <row r="86" spans="1:1" x14ac:dyDescent="0.2">
      <c r="A86" s="175"/>
    </row>
    <row r="87" spans="1:1" x14ac:dyDescent="0.2">
      <c r="A87" s="175"/>
    </row>
    <row r="88" spans="1:1" x14ac:dyDescent="0.2">
      <c r="A88" s="175"/>
    </row>
    <row r="89" spans="1:1" x14ac:dyDescent="0.2">
      <c r="A89" s="175"/>
    </row>
    <row r="90" spans="1:1" x14ac:dyDescent="0.2">
      <c r="A90" s="175"/>
    </row>
    <row r="91" spans="1:1" x14ac:dyDescent="0.2">
      <c r="A91" s="175"/>
    </row>
    <row r="92" spans="1:1" x14ac:dyDescent="0.2">
      <c r="A92" s="175"/>
    </row>
    <row r="93" spans="1:1" x14ac:dyDescent="0.2">
      <c r="A93" s="175"/>
    </row>
    <row r="94" spans="1:1" x14ac:dyDescent="0.2">
      <c r="A94" s="175"/>
    </row>
    <row r="95" spans="1:1" x14ac:dyDescent="0.2">
      <c r="A95" s="175"/>
    </row>
  </sheetData>
  <sheetProtection algorithmName="SHA-512" hashValue="4qq9uClh82qCG0giFe0w2mnEGk/5ETfB6+mqNHUkC6UOX3ApWyCnPC65w/oSccZVntW+/PFq8bgUt0f/E9j0Xg==" saltValue="NMcso0pljUWmhXmDtsj9dw==" spinCount="100000" sheet="1" objects="1" scenarios="1" autoFilter="0"/>
  <mergeCells count="14">
    <mergeCell ref="H30:H31"/>
    <mergeCell ref="A30:A31"/>
    <mergeCell ref="D30:D31"/>
    <mergeCell ref="E30:E31"/>
    <mergeCell ref="F30:F31"/>
    <mergeCell ref="G30:G31"/>
    <mergeCell ref="A1:J1"/>
    <mergeCell ref="A28:J28"/>
    <mergeCell ref="A5:A6"/>
    <mergeCell ref="D5:D6"/>
    <mergeCell ref="E5:E6"/>
    <mergeCell ref="F5:F6"/>
    <mergeCell ref="G5:G6"/>
    <mergeCell ref="H5:H6"/>
  </mergeCells>
  <printOptions horizontalCentered="1"/>
  <pageMargins left="0.39374999999999999" right="0.31527777777777777" top="1.3402777777777779" bottom="0.39374999999999999" header="0.51180555555555562" footer="0.51180555555555562"/>
  <pageSetup paperSize="9" scale="94" firstPageNumber="0" orientation="landscape" horizontalDpi="300" verticalDpi="300" r:id="rId1"/>
  <headerFooter alignWithMargins="0">
    <oddHeader>&amp;CREVISIONS</oddHeader>
  </headerFooter>
  <rowBreaks count="1" manualBreakCount="1">
    <brk id="25" max="10"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LISTES!$I$1:$I$2</xm:f>
          </x14:formula1>
          <xm:sqref>K7:K15 K32:K40</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rgb="FF92D050"/>
    <pageSetUpPr fitToPage="1"/>
  </sheetPr>
  <dimension ref="A1:AL87"/>
  <sheetViews>
    <sheetView topLeftCell="A64" zoomScale="90" zoomScaleNormal="90" workbookViewId="0">
      <selection activeCell="I35" sqref="I35:J35"/>
    </sheetView>
  </sheetViews>
  <sheetFormatPr baseColWidth="10" defaultRowHeight="18" customHeight="1" x14ac:dyDescent="0.3"/>
  <cols>
    <col min="1" max="1" width="5.42578125" style="9" customWidth="1"/>
    <col min="2" max="2" width="43.42578125" style="10" customWidth="1"/>
    <col min="3" max="3" width="17.85546875" style="10" customWidth="1"/>
    <col min="4" max="4" width="19" style="10" customWidth="1"/>
    <col min="5" max="5" width="19.5703125" style="10" customWidth="1"/>
    <col min="6" max="6" width="21" style="10" customWidth="1"/>
    <col min="7" max="7" width="17.85546875" style="10" bestFit="1" customWidth="1"/>
    <col min="8" max="8" width="20.7109375" style="10" bestFit="1" customWidth="1"/>
    <col min="9" max="9" width="17.85546875" style="10" bestFit="1" customWidth="1"/>
    <col min="10" max="10" width="14.5703125" style="21" customWidth="1"/>
    <col min="11" max="11" width="11.85546875" style="21" bestFit="1" customWidth="1"/>
    <col min="12" max="12" width="6.140625" style="21" customWidth="1"/>
    <col min="13" max="38" width="11.42578125" style="21"/>
    <col min="39" max="16384" width="11.42578125" style="10"/>
  </cols>
  <sheetData>
    <row r="1" spans="1:9" ht="18" customHeight="1" x14ac:dyDescent="0.3">
      <c r="A1" s="21"/>
      <c r="B1" s="21"/>
      <c r="C1" s="11" t="s">
        <v>0</v>
      </c>
      <c r="D1" s="59"/>
      <c r="E1" s="386">
        <f>'CPP TITULAIRE-ST'!E1</f>
        <v>0</v>
      </c>
      <c r="F1" s="724"/>
      <c r="G1" s="725"/>
      <c r="H1" s="725"/>
      <c r="I1" s="725"/>
    </row>
    <row r="2" spans="1:9" ht="18" customHeight="1" x14ac:dyDescent="0.3">
      <c r="A2" s="21"/>
      <c r="B2" s="21"/>
      <c r="C2" s="11" t="s">
        <v>72</v>
      </c>
      <c r="D2" s="580">
        <f>DONNEES!C2</f>
        <v>0</v>
      </c>
      <c r="E2" s="580"/>
      <c r="F2" s="580"/>
      <c r="G2" s="580"/>
      <c r="H2" s="580"/>
      <c r="I2" s="580"/>
    </row>
    <row r="3" spans="1:9" ht="18" customHeight="1" x14ac:dyDescent="0.3">
      <c r="A3" s="21"/>
      <c r="B3" s="21"/>
      <c r="C3" s="11" t="s">
        <v>2</v>
      </c>
      <c r="D3" s="580">
        <f>DONNEES!C3</f>
        <v>0</v>
      </c>
      <c r="E3" s="580"/>
      <c r="F3" s="580"/>
      <c r="G3" s="580"/>
      <c r="H3" s="580"/>
      <c r="I3" s="580"/>
    </row>
    <row r="4" spans="1:9" ht="18" customHeight="1" x14ac:dyDescent="0.3">
      <c r="A4" s="21"/>
      <c r="B4" s="21"/>
      <c r="C4" s="11" t="s">
        <v>3</v>
      </c>
      <c r="D4" s="580">
        <f>DONNEES!C5</f>
        <v>0</v>
      </c>
      <c r="E4" s="580"/>
      <c r="F4" s="580"/>
      <c r="G4" s="580"/>
      <c r="H4" s="580"/>
      <c r="I4" s="580"/>
    </row>
    <row r="5" spans="1:9" ht="18" customHeight="1" x14ac:dyDescent="0.3">
      <c r="A5" s="21"/>
      <c r="B5" s="21"/>
      <c r="C5" s="11" t="s">
        <v>4</v>
      </c>
      <c r="D5" s="580">
        <f>DONNEES!C7</f>
        <v>0</v>
      </c>
      <c r="E5" s="580"/>
      <c r="F5" s="580"/>
      <c r="G5" s="580"/>
      <c r="H5" s="580"/>
      <c r="I5" s="580"/>
    </row>
    <row r="6" spans="1:9" ht="18" customHeight="1" x14ac:dyDescent="0.3">
      <c r="A6" s="21"/>
      <c r="B6" s="21"/>
      <c r="C6" s="11" t="s">
        <v>5</v>
      </c>
      <c r="D6" s="580">
        <f>DONNEES!C8</f>
        <v>0</v>
      </c>
      <c r="E6" s="580"/>
      <c r="F6" s="580"/>
      <c r="G6" s="580"/>
      <c r="H6" s="580"/>
      <c r="I6" s="580"/>
    </row>
    <row r="7" spans="1:9" ht="18" customHeight="1" x14ac:dyDescent="0.3">
      <c r="A7" s="21"/>
      <c r="B7" s="21"/>
      <c r="C7" s="11" t="s">
        <v>6</v>
      </c>
      <c r="D7" s="11"/>
      <c r="E7" s="235">
        <f>'CPP TITULAIRE-ST'!E7</f>
        <v>0</v>
      </c>
      <c r="F7" s="13" t="s">
        <v>49</v>
      </c>
      <c r="G7" s="235">
        <f>'CPP TITULAIRE-ST'!G7</f>
        <v>0</v>
      </c>
      <c r="H7" s="21"/>
      <c r="I7" s="60"/>
    </row>
    <row r="8" spans="1:9" ht="18" customHeight="1" x14ac:dyDescent="0.3">
      <c r="A8" s="21"/>
      <c r="B8" s="21"/>
      <c r="C8" s="21"/>
      <c r="D8" s="21"/>
      <c r="E8" s="21"/>
      <c r="F8" s="21"/>
      <c r="G8" s="21"/>
      <c r="H8" s="21"/>
      <c r="I8" s="21"/>
    </row>
    <row r="9" spans="1:9" ht="18" customHeight="1" x14ac:dyDescent="0.3">
      <c r="B9" s="691" t="s">
        <v>7</v>
      </c>
      <c r="C9" s="691"/>
      <c r="D9" s="691"/>
      <c r="E9" s="21"/>
      <c r="F9" s="21"/>
      <c r="G9" s="21"/>
      <c r="H9" s="21"/>
      <c r="I9" s="21"/>
    </row>
    <row r="10" spans="1:9" ht="18" customHeight="1" x14ac:dyDescent="0.3">
      <c r="A10" s="21"/>
      <c r="B10" s="11" t="s">
        <v>8</v>
      </c>
      <c r="C10" s="387">
        <v>0.2</v>
      </c>
      <c r="D10" s="387">
        <v>0.1</v>
      </c>
      <c r="E10" s="17" t="s">
        <v>65</v>
      </c>
      <c r="F10" s="21"/>
      <c r="G10" s="21"/>
      <c r="H10" s="21"/>
      <c r="I10" s="21"/>
    </row>
    <row r="11" spans="1:9" ht="18" customHeight="1" x14ac:dyDescent="0.3">
      <c r="A11" s="21"/>
      <c r="B11" s="11" t="s">
        <v>9</v>
      </c>
      <c r="C11" s="351">
        <f>'CPP TITULAIRE-ST'!C11+'CPP CO-TRAITANT-ST'!C11</f>
        <v>0</v>
      </c>
      <c r="D11" s="351">
        <f>'CPP TITULAIRE-ST'!D11+'CPP CO-TRAITANT-ST'!D11</f>
        <v>0</v>
      </c>
      <c r="E11" s="20">
        <f>C11+D11</f>
        <v>0</v>
      </c>
      <c r="F11" s="21"/>
      <c r="G11" s="21"/>
      <c r="H11" s="21"/>
      <c r="I11" s="21"/>
    </row>
    <row r="12" spans="1:9" ht="18" customHeight="1" x14ac:dyDescent="0.3">
      <c r="A12" s="21"/>
      <c r="B12" s="11" t="s">
        <v>10</v>
      </c>
      <c r="C12" s="351">
        <f>'CPP TITULAIRE-ST'!C12+'CPP CO-TRAITANT-ST'!C12</f>
        <v>0</v>
      </c>
      <c r="D12" s="351">
        <f>'CPP TITULAIRE-ST'!D12+'CPP CO-TRAITANT-ST'!D12</f>
        <v>0</v>
      </c>
      <c r="E12" s="20">
        <f t="shared" ref="E12:E16" si="0">C12+D12</f>
        <v>0</v>
      </c>
      <c r="F12" s="21"/>
      <c r="G12" s="21"/>
      <c r="H12" s="21"/>
      <c r="I12" s="21"/>
    </row>
    <row r="13" spans="1:9" ht="18" customHeight="1" x14ac:dyDescent="0.3">
      <c r="A13" s="21"/>
      <c r="B13" s="11" t="s">
        <v>11</v>
      </c>
      <c r="C13" s="351">
        <f>'CPP TITULAIRE-ST'!C13+'CPP CO-TRAITANT-ST'!C13</f>
        <v>0</v>
      </c>
      <c r="D13" s="351">
        <f>'CPP TITULAIRE-ST'!D13+'CPP CO-TRAITANT-ST'!D13</f>
        <v>0</v>
      </c>
      <c r="E13" s="20">
        <f t="shared" si="0"/>
        <v>0</v>
      </c>
      <c r="F13" s="21"/>
      <c r="G13" s="21"/>
      <c r="H13" s="21"/>
      <c r="I13" s="21"/>
    </row>
    <row r="14" spans="1:9" ht="18" customHeight="1" x14ac:dyDescent="0.3">
      <c r="A14" s="21"/>
      <c r="B14" s="11" t="s">
        <v>12</v>
      </c>
      <c r="C14" s="351">
        <f>'CPP TITULAIRE-ST'!C14+'CPP CO-TRAITANT-ST'!C14</f>
        <v>0</v>
      </c>
      <c r="D14" s="351">
        <f>'CPP TITULAIRE-ST'!D14+'CPP CO-TRAITANT-ST'!D14</f>
        <v>0</v>
      </c>
      <c r="E14" s="20">
        <f t="shared" si="0"/>
        <v>0</v>
      </c>
      <c r="F14" s="21"/>
      <c r="G14" s="21"/>
      <c r="H14" s="21"/>
      <c r="I14" s="21"/>
    </row>
    <row r="15" spans="1:9" ht="18" customHeight="1" x14ac:dyDescent="0.3">
      <c r="A15" s="21"/>
      <c r="B15" s="11" t="s">
        <v>13</v>
      </c>
      <c r="C15" s="351">
        <f>'CPP TITULAIRE-ST'!C15+'CPP CO-TRAITANT-ST'!C15</f>
        <v>0</v>
      </c>
      <c r="D15" s="351">
        <f>'CPP TITULAIRE-ST'!D15+'CPP CO-TRAITANT-ST'!D15</f>
        <v>0</v>
      </c>
      <c r="E15" s="20">
        <f t="shared" si="0"/>
        <v>0</v>
      </c>
      <c r="F15" s="21"/>
      <c r="G15" s="21"/>
      <c r="H15" s="21"/>
      <c r="I15" s="21"/>
    </row>
    <row r="16" spans="1:9" ht="18" customHeight="1" x14ac:dyDescent="0.3">
      <c r="A16" s="21"/>
      <c r="B16" s="11" t="s">
        <v>73</v>
      </c>
      <c r="C16" s="351">
        <f>'CPP TITULAIRE-ST'!C16+'CPP CO-TRAITANT-ST'!C16</f>
        <v>0</v>
      </c>
      <c r="D16" s="351">
        <f>'CPP TITULAIRE-ST'!D16+'CPP CO-TRAITANT-ST'!D16</f>
        <v>0</v>
      </c>
      <c r="E16" s="20">
        <f t="shared" si="0"/>
        <v>0</v>
      </c>
      <c r="F16" s="21"/>
      <c r="G16" s="21"/>
      <c r="H16" s="21"/>
      <c r="I16" s="21"/>
    </row>
    <row r="17" spans="1:9" ht="18" customHeight="1" x14ac:dyDescent="0.3">
      <c r="A17" s="21"/>
      <c r="B17" s="24" t="s">
        <v>14</v>
      </c>
      <c r="C17" s="25">
        <f>SUM(C11:C15)-C16</f>
        <v>0</v>
      </c>
      <c r="D17" s="25">
        <f>SUM(D11:D15)-D16</f>
        <v>0</v>
      </c>
      <c r="E17" s="20">
        <f>C17+D17</f>
        <v>0</v>
      </c>
      <c r="F17" s="21"/>
      <c r="G17" s="21"/>
      <c r="H17" s="21"/>
      <c r="I17" s="21"/>
    </row>
    <row r="18" spans="1:9" ht="18" customHeight="1" x14ac:dyDescent="0.3">
      <c r="A18" s="21"/>
      <c r="B18" s="24" t="s">
        <v>15</v>
      </c>
      <c r="C18" s="25">
        <f>C17*C10</f>
        <v>0</v>
      </c>
      <c r="D18" s="25">
        <f>D17*D10</f>
        <v>0</v>
      </c>
      <c r="E18" s="21"/>
      <c r="F18" s="21"/>
      <c r="G18" s="21"/>
      <c r="H18" s="21"/>
      <c r="I18" s="21"/>
    </row>
    <row r="19" spans="1:9" ht="18" customHeight="1" x14ac:dyDescent="0.3">
      <c r="A19" s="21"/>
      <c r="B19" s="24" t="s">
        <v>16</v>
      </c>
      <c r="C19" s="25">
        <f>C17+C18</f>
        <v>0</v>
      </c>
      <c r="D19" s="25">
        <f>D17+D18</f>
        <v>0</v>
      </c>
      <c r="E19" s="21"/>
      <c r="F19" s="21"/>
      <c r="G19" s="21"/>
      <c r="H19" s="21"/>
      <c r="I19" s="21"/>
    </row>
    <row r="20" spans="1:9" ht="18" customHeight="1" x14ac:dyDescent="0.3">
      <c r="A20" s="21"/>
      <c r="B20" s="24" t="s">
        <v>17</v>
      </c>
      <c r="C20" s="549">
        <f>C19+D19</f>
        <v>0</v>
      </c>
      <c r="D20" s="549"/>
      <c r="E20" s="21"/>
      <c r="F20" s="21"/>
      <c r="G20" s="21"/>
      <c r="H20" s="21"/>
      <c r="I20" s="21"/>
    </row>
    <row r="21" spans="1:9" ht="18" customHeight="1" x14ac:dyDescent="0.3">
      <c r="A21" s="21"/>
      <c r="B21" s="21"/>
      <c r="C21" s="21"/>
      <c r="D21" s="21"/>
      <c r="E21" s="21"/>
      <c r="F21" s="21"/>
      <c r="G21" s="21"/>
      <c r="H21" s="21"/>
      <c r="I21" s="21"/>
    </row>
    <row r="22" spans="1:9" ht="18" customHeight="1" x14ac:dyDescent="0.3">
      <c r="A22" s="21"/>
      <c r="B22" s="716" t="s">
        <v>33</v>
      </c>
      <c r="C22" s="716"/>
      <c r="D22" s="716"/>
      <c r="E22" s="596" t="s">
        <v>33</v>
      </c>
      <c r="F22" s="596"/>
      <c r="G22" s="596"/>
      <c r="H22" s="21"/>
      <c r="I22" s="21"/>
    </row>
    <row r="23" spans="1:9" ht="18" customHeight="1" x14ac:dyDescent="0.3">
      <c r="A23" s="21"/>
      <c r="B23" s="19" t="s">
        <v>34</v>
      </c>
      <c r="C23" s="19" t="s">
        <v>35</v>
      </c>
      <c r="D23" s="19" t="s">
        <v>36</v>
      </c>
      <c r="E23" s="19" t="s">
        <v>34</v>
      </c>
      <c r="F23" s="19" t="s">
        <v>35</v>
      </c>
      <c r="G23" s="19" t="s">
        <v>36</v>
      </c>
      <c r="H23" s="21"/>
      <c r="I23" s="21"/>
    </row>
    <row r="24" spans="1:9" ht="18" customHeight="1" x14ac:dyDescent="0.3">
      <c r="A24" s="21"/>
      <c r="B24" s="62" t="str">
        <f>'CPP TITULAIRE-ST'!G12</f>
        <v>Titulaire</v>
      </c>
      <c r="C24" s="235">
        <f>'CPP TITULAIRE-ST'!H12</f>
        <v>0</v>
      </c>
      <c r="D24" s="352">
        <f>'CPP TITULAIRE-ST'!I12</f>
        <v>0</v>
      </c>
      <c r="E24" s="235" t="str">
        <f>'CPP CO-TRAITANT-ST'!G12</f>
        <v>Cotraitant</v>
      </c>
      <c r="F24" s="235">
        <f>'CPP CO-TRAITANT-ST'!H12</f>
        <v>2</v>
      </c>
      <c r="G24" s="33">
        <f>'CPP CO-TRAITANT-ST'!I12+'CPP CO-TRAITANT-ST'!J12</f>
        <v>0</v>
      </c>
      <c r="H24" s="21"/>
      <c r="I24" s="21"/>
    </row>
    <row r="25" spans="1:9" ht="18" customHeight="1" x14ac:dyDescent="0.3">
      <c r="A25" s="21"/>
      <c r="B25" s="62">
        <f>'CPP TITULAIRE-ST'!G13</f>
        <v>0</v>
      </c>
      <c r="C25" s="235">
        <f>'CPP TITULAIRE-ST'!H13</f>
        <v>0</v>
      </c>
      <c r="D25" s="352">
        <f>'CPP TITULAIRE-ST'!I13</f>
        <v>0</v>
      </c>
      <c r="E25" s="235">
        <f>'CPP CO-TRAITANT-ST'!G13</f>
        <v>0</v>
      </c>
      <c r="F25" s="235">
        <f>'CPP CO-TRAITANT-ST'!H13</f>
        <v>0</v>
      </c>
      <c r="G25" s="33">
        <f>'CPP CO-TRAITANT-ST'!I13+'CPP CO-TRAITANT-ST'!J13</f>
        <v>0</v>
      </c>
      <c r="H25" s="21"/>
      <c r="I25" s="21"/>
    </row>
    <row r="26" spans="1:9" ht="18" customHeight="1" x14ac:dyDescent="0.3">
      <c r="A26" s="21"/>
      <c r="B26" s="62">
        <f>'CPP TITULAIRE-ST'!G14</f>
        <v>0</v>
      </c>
      <c r="C26" s="235">
        <f>'CPP TITULAIRE-ST'!H14</f>
        <v>0</v>
      </c>
      <c r="D26" s="352">
        <f>'CPP TITULAIRE-ST'!I14</f>
        <v>0</v>
      </c>
      <c r="E26" s="235">
        <f>'CPP CO-TRAITANT-ST'!G14</f>
        <v>0</v>
      </c>
      <c r="F26" s="235">
        <f>'CPP CO-TRAITANT-ST'!H14</f>
        <v>0</v>
      </c>
      <c r="G26" s="33">
        <f>'CPP CO-TRAITANT-ST'!I14+'CPP CO-TRAITANT-ST'!J14</f>
        <v>0</v>
      </c>
      <c r="H26" s="21"/>
      <c r="I26" s="21"/>
    </row>
    <row r="27" spans="1:9" ht="18" customHeight="1" x14ac:dyDescent="0.3">
      <c r="A27" s="21"/>
      <c r="B27" s="62">
        <f>'CPP TITULAIRE-ST'!G15</f>
        <v>0</v>
      </c>
      <c r="C27" s="235">
        <f>'CPP TITULAIRE-ST'!H15</f>
        <v>0</v>
      </c>
      <c r="D27" s="352">
        <f>'CPP TITULAIRE-ST'!I15</f>
        <v>0</v>
      </c>
      <c r="E27" s="235">
        <f>'CPP CO-TRAITANT-ST'!G15</f>
        <v>0</v>
      </c>
      <c r="F27" s="235">
        <f>'CPP CO-TRAITANT-ST'!H15</f>
        <v>0</v>
      </c>
      <c r="G27" s="33">
        <f>'CPP CO-TRAITANT-ST'!I15+'CPP CO-TRAITANT-ST'!J15</f>
        <v>0</v>
      </c>
      <c r="H27" s="21"/>
      <c r="I27" s="21"/>
    </row>
    <row r="28" spans="1:9" ht="18" customHeight="1" x14ac:dyDescent="0.3">
      <c r="A28" s="21"/>
      <c r="B28" s="62">
        <f>'CPP TITULAIRE-ST'!G16</f>
        <v>0</v>
      </c>
      <c r="C28" s="235">
        <f>'CPP TITULAIRE-ST'!H16</f>
        <v>0</v>
      </c>
      <c r="D28" s="352">
        <f>'CPP TITULAIRE-ST'!I16</f>
        <v>0</v>
      </c>
      <c r="E28" s="235">
        <f>'CPP CO-TRAITANT-ST'!G16</f>
        <v>0</v>
      </c>
      <c r="F28" s="235">
        <f>'CPP CO-TRAITANT-ST'!H16</f>
        <v>0</v>
      </c>
      <c r="G28" s="33">
        <f>'CPP CO-TRAITANT-ST'!I16+'CPP CO-TRAITANT-ST'!J16</f>
        <v>0</v>
      </c>
      <c r="H28" s="21"/>
      <c r="I28" s="21"/>
    </row>
    <row r="29" spans="1:9" ht="18" customHeight="1" x14ac:dyDescent="0.3">
      <c r="A29" s="21"/>
      <c r="B29" s="62">
        <f>'CPP TITULAIRE-ST'!G17</f>
        <v>0</v>
      </c>
      <c r="C29" s="235">
        <f>'CPP TITULAIRE-ST'!H17</f>
        <v>0</v>
      </c>
      <c r="D29" s="352">
        <f>'CPP TITULAIRE-ST'!I17</f>
        <v>0</v>
      </c>
      <c r="E29" s="235">
        <f>'CPP CO-TRAITANT-ST'!G17</f>
        <v>0</v>
      </c>
      <c r="F29" s="235">
        <f>'CPP CO-TRAITANT-ST'!H17</f>
        <v>0</v>
      </c>
      <c r="G29" s="33">
        <f>'CPP CO-TRAITANT-ST'!I17+'CPP CO-TRAITANT-ST'!J17</f>
        <v>0</v>
      </c>
      <c r="H29" s="21"/>
      <c r="I29" s="21"/>
    </row>
    <row r="30" spans="1:9" ht="18" customHeight="1" x14ac:dyDescent="0.3">
      <c r="A30" s="21"/>
      <c r="B30" s="62">
        <f>'CPP TITULAIRE-ST'!G18</f>
        <v>0</v>
      </c>
      <c r="C30" s="235">
        <f>'CPP TITULAIRE-ST'!H18</f>
        <v>0</v>
      </c>
      <c r="D30" s="352">
        <f>'CPP TITULAIRE-ST'!I18</f>
        <v>0</v>
      </c>
      <c r="E30" s="235">
        <f>'CPP CO-TRAITANT-ST'!G18</f>
        <v>0</v>
      </c>
      <c r="F30" s="235">
        <f>'CPP CO-TRAITANT-ST'!H18</f>
        <v>0</v>
      </c>
      <c r="G30" s="33">
        <f>'CPP CO-TRAITANT-ST'!I18+'CPP CO-TRAITANT-ST'!J18</f>
        <v>0</v>
      </c>
      <c r="H30" s="21"/>
      <c r="I30" s="21"/>
    </row>
    <row r="31" spans="1:9" ht="18" customHeight="1" x14ac:dyDescent="0.3">
      <c r="A31" s="21"/>
      <c r="H31" s="21"/>
      <c r="I31" s="21"/>
    </row>
    <row r="32" spans="1:9" ht="18" customHeight="1" x14ac:dyDescent="0.3">
      <c r="A32" s="21"/>
      <c r="B32" s="719" t="s">
        <v>18</v>
      </c>
      <c r="C32" s="719"/>
      <c r="D32" s="719"/>
      <c r="E32" s="592" t="s">
        <v>172</v>
      </c>
      <c r="F32" s="722" t="s">
        <v>172</v>
      </c>
      <c r="G32" s="594" t="s">
        <v>71</v>
      </c>
      <c r="H32" s="594" t="s">
        <v>31</v>
      </c>
      <c r="I32" s="21"/>
    </row>
    <row r="33" spans="1:9" ht="18" customHeight="1" x14ac:dyDescent="0.3">
      <c r="A33" s="21"/>
      <c r="B33" s="720" t="s">
        <v>32</v>
      </c>
      <c r="C33" s="720"/>
      <c r="D33" s="720"/>
      <c r="E33" s="592"/>
      <c r="F33" s="722"/>
      <c r="G33" s="594"/>
      <c r="H33" s="594"/>
      <c r="I33" s="21"/>
    </row>
    <row r="34" spans="1:9" ht="18" customHeight="1" x14ac:dyDescent="0.3">
      <c r="A34" s="21"/>
      <c r="B34" s="29"/>
      <c r="C34" s="721" t="s">
        <v>30</v>
      </c>
      <c r="D34" s="721"/>
      <c r="E34" s="63">
        <f>C10</f>
        <v>0.2</v>
      </c>
      <c r="F34" s="63">
        <f>D10</f>
        <v>0.1</v>
      </c>
      <c r="G34" s="594"/>
      <c r="H34" s="594"/>
      <c r="I34" s="21"/>
    </row>
    <row r="35" spans="1:9" ht="18" customHeight="1" x14ac:dyDescent="0.3">
      <c r="A35" s="67">
        <f>'CPP TITULAIRE-ST'!A25</f>
        <v>1</v>
      </c>
      <c r="B35" s="67" t="str">
        <f>'CPP TITULAIRE-ST'!B25</f>
        <v>Avance HT</v>
      </c>
      <c r="C35" s="31"/>
      <c r="D35" s="31"/>
      <c r="E35" s="33">
        <f>'CPP TITULAIRE-ST'!E25+'CPP CO-TRAITANT-ST'!E25</f>
        <v>0</v>
      </c>
      <c r="F35" s="33">
        <f>'CPP TITULAIRE-ST'!F25+'CPP CO-TRAITANT-ST'!F25</f>
        <v>0</v>
      </c>
      <c r="G35" s="33">
        <f>E35+F35</f>
        <v>0</v>
      </c>
      <c r="H35" s="34"/>
      <c r="I35" s="21"/>
    </row>
    <row r="36" spans="1:9" ht="18" customHeight="1" x14ac:dyDescent="0.3">
      <c r="A36" s="67" t="str">
        <f>'CPP TITULAIRE-ST'!A26</f>
        <v>1a</v>
      </c>
      <c r="B36" s="67" t="str">
        <f>'CPP TITULAIRE-ST'!B26</f>
        <v>restitution avance suite DC4 (pour info - non déduit des calculs)</v>
      </c>
      <c r="C36" s="33">
        <f>'CPP TITULAIRE-ST'!C26+'CPP CO-TRAITANT-ST'!C26</f>
        <v>0</v>
      </c>
      <c r="D36" s="33">
        <f>'CPP TITULAIRE-ST'!D26+'CPP CO-TRAITANT-ST'!D26</f>
        <v>0</v>
      </c>
      <c r="E36" s="33">
        <f>'CPP TITULAIRE-ST'!E26+'CPP CO-TRAITANT-ST'!E26</f>
        <v>0</v>
      </c>
      <c r="F36" s="33">
        <f>'CPP TITULAIRE-ST'!F26+'CPP CO-TRAITANT-ST'!F26</f>
        <v>0</v>
      </c>
      <c r="G36" s="33">
        <f>E36+F36</f>
        <v>0</v>
      </c>
      <c r="H36" s="34"/>
      <c r="I36" s="21"/>
    </row>
    <row r="37" spans="1:9" ht="39" customHeight="1" x14ac:dyDescent="0.3">
      <c r="A37" s="67" t="str">
        <f>'CPP TITULAIRE-ST'!A27</f>
        <v>1b</v>
      </c>
      <c r="B37" s="67" t="str">
        <f>'CPP TITULAIRE-ST'!B27</f>
        <v>Remboursement avance HT
(avancement travaux)</v>
      </c>
      <c r="C37" s="33">
        <f>'CPP TITULAIRE-ST'!C27+'CPP CO-TRAITANT-ST'!C27</f>
        <v>0</v>
      </c>
      <c r="D37" s="33">
        <f>'CPP TITULAIRE-ST'!D27+'CPP CO-TRAITANT-ST'!D27</f>
        <v>0</v>
      </c>
      <c r="E37" s="33">
        <f>'CPP TITULAIRE-ST'!E27+'CPP CO-TRAITANT-ST'!E27</f>
        <v>0</v>
      </c>
      <c r="F37" s="33">
        <f>'CPP TITULAIRE-ST'!F27+'CPP CO-TRAITANT-ST'!F27</f>
        <v>0</v>
      </c>
      <c r="G37" s="33">
        <f>E37+F37</f>
        <v>0</v>
      </c>
      <c r="H37" s="34"/>
      <c r="I37" s="21"/>
    </row>
    <row r="38" spans="1:9" ht="18" customHeight="1" x14ac:dyDescent="0.3">
      <c r="A38" s="67" t="str">
        <f>'CPP TITULAIRE-ST'!A28</f>
        <v>2a</v>
      </c>
      <c r="B38" s="67" t="str">
        <f>'CPP TITULAIRE-ST'!B28</f>
        <v>Tranche Ferme HT</v>
      </c>
      <c r="C38" s="33">
        <f>'CPP TITULAIRE-ST'!C28+'CPP CO-TRAITANT-ST'!C28</f>
        <v>0</v>
      </c>
      <c r="D38" s="33">
        <f>'CPP TITULAIRE-ST'!D28+'CPP CO-TRAITANT-ST'!D28</f>
        <v>0</v>
      </c>
      <c r="E38" s="33">
        <f>'CPP TITULAIRE-ST'!E28+'CPP CO-TRAITANT-ST'!E28</f>
        <v>0</v>
      </c>
      <c r="F38" s="33">
        <f>'CPP TITULAIRE-ST'!F28+'CPP CO-TRAITANT-ST'!F28</f>
        <v>0</v>
      </c>
      <c r="G38" s="33">
        <f>E38+C38+D38+F38</f>
        <v>0</v>
      </c>
      <c r="H38" s="35">
        <f>IFERROR((E38+C38+D38+F38)/E11,0)</f>
        <v>0</v>
      </c>
      <c r="I38" s="21"/>
    </row>
    <row r="39" spans="1:9" ht="18" customHeight="1" x14ac:dyDescent="0.3">
      <c r="A39" s="67" t="str">
        <f>'CPP TITULAIRE-ST'!A29</f>
        <v>2b</v>
      </c>
      <c r="B39" s="67" t="str">
        <f>'CPP TITULAIRE-ST'!B29</f>
        <v>TO 1 HT</v>
      </c>
      <c r="C39" s="33">
        <f>'CPP TITULAIRE-ST'!C29+'CPP CO-TRAITANT-ST'!C29</f>
        <v>0</v>
      </c>
      <c r="D39" s="33">
        <f>'CPP TITULAIRE-ST'!D29+'CPP CO-TRAITANT-ST'!D29</f>
        <v>0</v>
      </c>
      <c r="E39" s="33">
        <f>'CPP TITULAIRE-ST'!E29+'CPP CO-TRAITANT-ST'!E29</f>
        <v>0</v>
      </c>
      <c r="F39" s="33">
        <f>'CPP TITULAIRE-ST'!F29+'CPP CO-TRAITANT-ST'!F29</f>
        <v>0</v>
      </c>
      <c r="G39" s="33">
        <f>E39+C39+D39+F39</f>
        <v>0</v>
      </c>
      <c r="H39" s="35">
        <f>IFERROR((E39+C39+D39+F39)/E12,0)</f>
        <v>0</v>
      </c>
      <c r="I39" s="21"/>
    </row>
    <row r="40" spans="1:9" ht="18" customHeight="1" x14ac:dyDescent="0.3">
      <c r="A40" s="67" t="str">
        <f>'CPP TITULAIRE-ST'!A30</f>
        <v>2c</v>
      </c>
      <c r="B40" s="67" t="str">
        <f>'CPP TITULAIRE-ST'!B30</f>
        <v>TO 2 HT</v>
      </c>
      <c r="C40" s="33">
        <f>'CPP TITULAIRE-ST'!C30+'CPP CO-TRAITANT-ST'!C30</f>
        <v>0</v>
      </c>
      <c r="D40" s="33">
        <f>'CPP TITULAIRE-ST'!D30+'CPP CO-TRAITANT-ST'!D30</f>
        <v>0</v>
      </c>
      <c r="E40" s="33">
        <f>'CPP TITULAIRE-ST'!E30+'CPP CO-TRAITANT-ST'!E30</f>
        <v>0</v>
      </c>
      <c r="F40" s="33">
        <f>'CPP TITULAIRE-ST'!F30+'CPP CO-TRAITANT-ST'!F30</f>
        <v>0</v>
      </c>
      <c r="G40" s="33">
        <f>E40+C40+D40+F40</f>
        <v>0</v>
      </c>
      <c r="H40" s="35">
        <f>IFERROR((E40+C40+D40+F40)/E13,0)</f>
        <v>0</v>
      </c>
      <c r="I40" s="21"/>
    </row>
    <row r="41" spans="1:9" ht="18" customHeight="1" x14ac:dyDescent="0.3">
      <c r="A41" s="67" t="str">
        <f>'CPP TITULAIRE-ST'!A31</f>
        <v>2d</v>
      </c>
      <c r="B41" s="67" t="str">
        <f>'CPP TITULAIRE-ST'!B31</f>
        <v>TO 3 HT</v>
      </c>
      <c r="C41" s="33">
        <f>'CPP TITULAIRE-ST'!C31+'CPP CO-TRAITANT-ST'!C31</f>
        <v>0</v>
      </c>
      <c r="D41" s="33">
        <f>'CPP TITULAIRE-ST'!D31+'CPP CO-TRAITANT-ST'!D31</f>
        <v>0</v>
      </c>
      <c r="E41" s="33">
        <f>'CPP TITULAIRE-ST'!E31+'CPP CO-TRAITANT-ST'!E31</f>
        <v>0</v>
      </c>
      <c r="F41" s="33">
        <f>'CPP TITULAIRE-ST'!F31+'CPP CO-TRAITANT-ST'!F31</f>
        <v>0</v>
      </c>
      <c r="G41" s="33">
        <f>E41+C41+D41+F41</f>
        <v>0</v>
      </c>
      <c r="H41" s="35">
        <f>IFERROR((E41+C41+D41+F41)/E14,0)</f>
        <v>0</v>
      </c>
      <c r="I41" s="21"/>
    </row>
    <row r="42" spans="1:9" ht="18" customHeight="1" x14ac:dyDescent="0.3">
      <c r="A42" s="67" t="str">
        <f>'CPP TITULAIRE-ST'!A32</f>
        <v>2e</v>
      </c>
      <c r="B42" s="67" t="str">
        <f>'CPP TITULAIRE-ST'!B32</f>
        <v>avenants et OS</v>
      </c>
      <c r="C42" s="33">
        <f>'CPP TITULAIRE-ST'!C32+'CPP CO-TRAITANT-ST'!C32</f>
        <v>0</v>
      </c>
      <c r="D42" s="33">
        <f>'CPP TITULAIRE-ST'!D32+'CPP CO-TRAITANT-ST'!D32</f>
        <v>0</v>
      </c>
      <c r="E42" s="33">
        <f>'CPP TITULAIRE-ST'!E32+'CPP CO-TRAITANT-ST'!E32</f>
        <v>0</v>
      </c>
      <c r="F42" s="33">
        <f>'CPP TITULAIRE-ST'!F32+'CPP CO-TRAITANT-ST'!F32</f>
        <v>0</v>
      </c>
      <c r="G42" s="33">
        <f>E42+C42+D42+F42</f>
        <v>0</v>
      </c>
      <c r="H42" s="35">
        <f>IFERROR((E42+C42+D42+F42)/E15,0)</f>
        <v>0</v>
      </c>
      <c r="I42" s="21"/>
    </row>
    <row r="43" spans="1:9" ht="18" customHeight="1" x14ac:dyDescent="0.3">
      <c r="A43" s="384" t="str">
        <f>'CPP TITULAIRE-ST'!A33</f>
        <v>3a</v>
      </c>
      <c r="B43" s="384" t="str">
        <f>'CPP TITULAIRE-ST'!B33</f>
        <v>Sous-Total travaux (S2 HT)</v>
      </c>
      <c r="C43" s="33">
        <f>'CPP TITULAIRE-ST'!C33+'CPP CO-TRAITANT-ST'!C33</f>
        <v>0</v>
      </c>
      <c r="D43" s="33">
        <f>'CPP TITULAIRE-ST'!D33+'CPP CO-TRAITANT-ST'!D33</f>
        <v>0</v>
      </c>
      <c r="E43" s="33">
        <f>'CPP TITULAIRE-ST'!E33+'CPP CO-TRAITANT-ST'!E33</f>
        <v>0</v>
      </c>
      <c r="F43" s="33">
        <f>'CPP TITULAIRE-ST'!F33+'CPP CO-TRAITANT-ST'!F33</f>
        <v>0</v>
      </c>
      <c r="G43" s="33">
        <f t="shared" ref="G43:G44" si="1">E43+C43+D43+F43</f>
        <v>0</v>
      </c>
      <c r="H43" s="66">
        <f>IFERROR((E43+D43+C43)/(C17+D17),0)</f>
        <v>0</v>
      </c>
      <c r="I43" s="21"/>
    </row>
    <row r="44" spans="1:9" ht="40.5" customHeight="1" x14ac:dyDescent="0.3">
      <c r="A44" s="384" t="str">
        <f>'CPP TITULAIRE-ST'!A34</f>
        <v>3b</v>
      </c>
      <c r="B44" s="492" t="str">
        <f>'CPP TITULAIRE-ST'!B34</f>
        <v>Sous-Total avance +
travaux (somme 3a - 1 - 1b) HT</v>
      </c>
      <c r="C44" s="33">
        <f>'CPP TITULAIRE-ST'!C34+'CPP CO-TRAITANT-ST'!C34</f>
        <v>0</v>
      </c>
      <c r="D44" s="33">
        <f>'CPP TITULAIRE-ST'!D34+'CPP CO-TRAITANT-ST'!D34</f>
        <v>0</v>
      </c>
      <c r="E44" s="33">
        <f>'CPP TITULAIRE-ST'!E34+'CPP CO-TRAITANT-ST'!E34</f>
        <v>0</v>
      </c>
      <c r="F44" s="33">
        <f>'CPP TITULAIRE-ST'!F34+'CPP CO-TRAITANT-ST'!F34</f>
        <v>0</v>
      </c>
      <c r="G44" s="33">
        <f t="shared" si="1"/>
        <v>0</v>
      </c>
      <c r="H44" s="388"/>
      <c r="I44" s="21"/>
    </row>
    <row r="45" spans="1:9" ht="18" customHeight="1" x14ac:dyDescent="0.3">
      <c r="A45" s="67">
        <f>'CPP TITULAIRE-ST'!A35</f>
        <v>4</v>
      </c>
      <c r="B45" s="67">
        <f>'CPP TITULAIRE-ST'!B35</f>
        <v>0</v>
      </c>
      <c r="C45" s="33">
        <f>'CPP TITULAIRE-ST'!C35+'CPP CO-TRAITANT-ST'!C35</f>
        <v>0</v>
      </c>
      <c r="D45" s="33">
        <f>'CPP TITULAIRE-ST'!D35+'CPP CO-TRAITANT-ST'!D35</f>
        <v>0</v>
      </c>
      <c r="E45" s="33">
        <f>'CPP TITULAIRE-ST'!E35+'CPP CO-TRAITANT-ST'!E35</f>
        <v>0</v>
      </c>
      <c r="F45" s="33">
        <f>'CPP TITULAIRE-ST'!F35+'CPP CO-TRAITANT-ST'!F35</f>
        <v>0</v>
      </c>
      <c r="G45" s="33">
        <f t="shared" ref="G45:G57" si="2">E45+C45+D45+F45</f>
        <v>0</v>
      </c>
      <c r="H45" s="21"/>
      <c r="I45" s="21"/>
    </row>
    <row r="46" spans="1:9" ht="18" customHeight="1" x14ac:dyDescent="0.3">
      <c r="A46" s="67">
        <f>'CPP TITULAIRE-ST'!A36</f>
        <v>5</v>
      </c>
      <c r="B46" s="67" t="str">
        <f>'CPP TITULAIRE-ST'!B36</f>
        <v>TOTAL (3b + 4)</v>
      </c>
      <c r="C46" s="33">
        <f>'CPP TITULAIRE-ST'!C36+'CPP CO-TRAITANT-ST'!C36</f>
        <v>0</v>
      </c>
      <c r="D46" s="33">
        <f>'CPP TITULAIRE-ST'!D36+'CPP CO-TRAITANT-ST'!D36</f>
        <v>0</v>
      </c>
      <c r="E46" s="33">
        <f>'CPP TITULAIRE-ST'!E36+'CPP CO-TRAITANT-ST'!E36</f>
        <v>0</v>
      </c>
      <c r="F46" s="33">
        <f>'CPP TITULAIRE-ST'!F36+'CPP CO-TRAITANT-ST'!F36</f>
        <v>0</v>
      </c>
      <c r="G46" s="33">
        <f t="shared" si="2"/>
        <v>0</v>
      </c>
      <c r="H46" s="21"/>
      <c r="I46" s="21"/>
    </row>
    <row r="47" spans="1:9" ht="18" customHeight="1" x14ac:dyDescent="0.3">
      <c r="A47" s="67">
        <f>'CPP TITULAIRE-ST'!A37</f>
        <v>6</v>
      </c>
      <c r="B47" s="67" t="str">
        <f>'CPP TITULAIRE-ST'!B37</f>
        <v>TVA avance</v>
      </c>
      <c r="C47" s="33">
        <f>'CPP TITULAIRE-ST'!C37+'CPP CO-TRAITANT-ST'!C37</f>
        <v>0</v>
      </c>
      <c r="D47" s="33">
        <f>'CPP TITULAIRE-ST'!D37+'CPP CO-TRAITANT-ST'!D37</f>
        <v>0</v>
      </c>
      <c r="E47" s="33">
        <f>'CPP TITULAIRE-ST'!E37+'CPP CO-TRAITANT-ST'!E37</f>
        <v>0</v>
      </c>
      <c r="F47" s="33">
        <f>'CPP TITULAIRE-ST'!F37+'CPP CO-TRAITANT-ST'!F37</f>
        <v>0</v>
      </c>
      <c r="G47" s="33">
        <f t="shared" si="2"/>
        <v>0</v>
      </c>
      <c r="H47" s="21"/>
      <c r="I47" s="21"/>
    </row>
    <row r="48" spans="1:9" ht="18" customHeight="1" x14ac:dyDescent="0.3">
      <c r="A48" s="67" t="str">
        <f>'CPP TITULAIRE-ST'!A38</f>
        <v>6a</v>
      </c>
      <c r="B48" s="67" t="str">
        <f>'CPP TITULAIRE-ST'!B38</f>
        <v>TVA Tranche ferme</v>
      </c>
      <c r="C48" s="33">
        <f>'CPP TITULAIRE-ST'!C38+'CPP CO-TRAITANT-ST'!C38</f>
        <v>0</v>
      </c>
      <c r="D48" s="33">
        <f>'CPP TITULAIRE-ST'!D38+'CPP CO-TRAITANT-ST'!D38</f>
        <v>0</v>
      </c>
      <c r="E48" s="33">
        <f>'CPP TITULAIRE-ST'!E38+'CPP CO-TRAITANT-ST'!E38</f>
        <v>0</v>
      </c>
      <c r="F48" s="33">
        <f>'CPP TITULAIRE-ST'!F38+'CPP CO-TRAITANT-ST'!F38</f>
        <v>0</v>
      </c>
      <c r="G48" s="33">
        <f t="shared" si="2"/>
        <v>0</v>
      </c>
      <c r="H48" s="21"/>
      <c r="I48" s="21"/>
    </row>
    <row r="49" spans="1:9" ht="18" customHeight="1" x14ac:dyDescent="0.3">
      <c r="A49" s="67" t="str">
        <f>'CPP TITULAIRE-ST'!A39</f>
        <v>6b</v>
      </c>
      <c r="B49" s="67" t="str">
        <f>'CPP TITULAIRE-ST'!B39</f>
        <v>TVA TO 1</v>
      </c>
      <c r="C49" s="33">
        <f>'CPP TITULAIRE-ST'!C39+'CPP CO-TRAITANT-ST'!C39</f>
        <v>0</v>
      </c>
      <c r="D49" s="33">
        <f>'CPP TITULAIRE-ST'!D39+'CPP CO-TRAITANT-ST'!D39</f>
        <v>0</v>
      </c>
      <c r="E49" s="33">
        <f>'CPP TITULAIRE-ST'!E39+'CPP CO-TRAITANT-ST'!E39</f>
        <v>0</v>
      </c>
      <c r="F49" s="33">
        <f>'CPP TITULAIRE-ST'!F39+'CPP CO-TRAITANT-ST'!F39</f>
        <v>0</v>
      </c>
      <c r="G49" s="33">
        <f t="shared" si="2"/>
        <v>0</v>
      </c>
      <c r="H49" s="21"/>
      <c r="I49" s="21"/>
    </row>
    <row r="50" spans="1:9" ht="18" customHeight="1" x14ac:dyDescent="0.3">
      <c r="A50" s="67" t="str">
        <f>'CPP TITULAIRE-ST'!A40</f>
        <v>6c</v>
      </c>
      <c r="B50" s="67" t="str">
        <f>'CPP TITULAIRE-ST'!B40</f>
        <v>TVA TO 2</v>
      </c>
      <c r="C50" s="33">
        <f>'CPP TITULAIRE-ST'!C40+'CPP CO-TRAITANT-ST'!C40</f>
        <v>0</v>
      </c>
      <c r="D50" s="33">
        <f>'CPP TITULAIRE-ST'!D40+'CPP CO-TRAITANT-ST'!D40</f>
        <v>0</v>
      </c>
      <c r="E50" s="33">
        <f>'CPP TITULAIRE-ST'!E40+'CPP CO-TRAITANT-ST'!E40</f>
        <v>0</v>
      </c>
      <c r="F50" s="33">
        <f>'CPP TITULAIRE-ST'!F40+'CPP CO-TRAITANT-ST'!F40</f>
        <v>0</v>
      </c>
      <c r="G50" s="33">
        <f t="shared" si="2"/>
        <v>0</v>
      </c>
      <c r="H50" s="21"/>
      <c r="I50" s="21"/>
    </row>
    <row r="51" spans="1:9" ht="18" customHeight="1" x14ac:dyDescent="0.3">
      <c r="A51" s="67" t="str">
        <f>'CPP TITULAIRE-ST'!A41</f>
        <v>6d</v>
      </c>
      <c r="B51" s="67" t="str">
        <f>'CPP TITULAIRE-ST'!B41</f>
        <v>TVA TO 3</v>
      </c>
      <c r="C51" s="33">
        <f>'CPP TITULAIRE-ST'!C41+'CPP CO-TRAITANT-ST'!C41</f>
        <v>0</v>
      </c>
      <c r="D51" s="33">
        <f>'CPP TITULAIRE-ST'!D41+'CPP CO-TRAITANT-ST'!D41</f>
        <v>0</v>
      </c>
      <c r="E51" s="33">
        <f>'CPP TITULAIRE-ST'!E41+'CPP CO-TRAITANT-ST'!E41</f>
        <v>0</v>
      </c>
      <c r="F51" s="33">
        <f>'CPP TITULAIRE-ST'!F41+'CPP CO-TRAITANT-ST'!F41</f>
        <v>0</v>
      </c>
      <c r="G51" s="33">
        <f t="shared" si="2"/>
        <v>0</v>
      </c>
      <c r="H51" s="21"/>
      <c r="I51" s="21"/>
    </row>
    <row r="52" spans="1:9" ht="18" customHeight="1" x14ac:dyDescent="0.3">
      <c r="A52" s="67" t="str">
        <f>'CPP TITULAIRE-ST'!A42</f>
        <v>6e</v>
      </c>
      <c r="B52" s="67" t="str">
        <f>'CPP TITULAIRE-ST'!B42</f>
        <v>TVA avenants et OS</v>
      </c>
      <c r="C52" s="33">
        <f>'CPP TITULAIRE-ST'!C42+'CPP CO-TRAITANT-ST'!C42</f>
        <v>0</v>
      </c>
      <c r="D52" s="33">
        <f>'CPP TITULAIRE-ST'!D42+'CPP CO-TRAITANT-ST'!D42</f>
        <v>0</v>
      </c>
      <c r="E52" s="33">
        <f>'CPP TITULAIRE-ST'!E42+'CPP CO-TRAITANT-ST'!E42</f>
        <v>0</v>
      </c>
      <c r="F52" s="33">
        <f>'CPP TITULAIRE-ST'!F42+'CPP CO-TRAITANT-ST'!F42</f>
        <v>0</v>
      </c>
      <c r="G52" s="33">
        <f t="shared" si="2"/>
        <v>0</v>
      </c>
      <c r="H52" s="21"/>
      <c r="I52" s="21"/>
    </row>
    <row r="53" spans="1:9" ht="18" customHeight="1" x14ac:dyDescent="0.3">
      <c r="A53" s="67" t="str">
        <f>'CPP TITULAIRE-ST'!A43</f>
        <v>6f</v>
      </c>
      <c r="B53" s="67" t="b">
        <f>'CPP TITULAIRE-ST'!B43</f>
        <v>0</v>
      </c>
      <c r="C53" s="33">
        <f>'CPP TITULAIRE-ST'!C43+'CPP CO-TRAITANT-ST'!C43</f>
        <v>0</v>
      </c>
      <c r="D53" s="33">
        <f>'CPP TITULAIRE-ST'!D43+'CPP CO-TRAITANT-ST'!D43</f>
        <v>0</v>
      </c>
      <c r="E53" s="33">
        <f>'CPP TITULAIRE-ST'!E43+'CPP CO-TRAITANT-ST'!E43</f>
        <v>0</v>
      </c>
      <c r="F53" s="33">
        <f>'CPP TITULAIRE-ST'!F43+'CPP CO-TRAITANT-ST'!F43</f>
        <v>0</v>
      </c>
      <c r="G53" s="33">
        <f t="shared" si="2"/>
        <v>0</v>
      </c>
      <c r="H53" s="21"/>
      <c r="I53" s="21"/>
    </row>
    <row r="54" spans="1:9" ht="39" customHeight="1" x14ac:dyDescent="0.3">
      <c r="A54" s="67">
        <f>'CPP TITULAIRE-ST'!A44</f>
        <v>7</v>
      </c>
      <c r="B54" s="493" t="str">
        <f>'CPP TITULAIRE-ST'!B44</f>
        <v>TVA remboursement avance
(avancement travaux)</v>
      </c>
      <c r="C54" s="33">
        <f>'CPP TITULAIRE-ST'!C44+'CPP CO-TRAITANT-ST'!C44</f>
        <v>0</v>
      </c>
      <c r="D54" s="33">
        <f>'CPP TITULAIRE-ST'!D44+'CPP CO-TRAITANT-ST'!D44</f>
        <v>0</v>
      </c>
      <c r="E54" s="33">
        <f>'CPP TITULAIRE-ST'!E44+'CPP CO-TRAITANT-ST'!E44</f>
        <v>0</v>
      </c>
      <c r="F54" s="33">
        <f>'CPP TITULAIRE-ST'!F44+'CPP CO-TRAITANT-ST'!F44</f>
        <v>0</v>
      </c>
      <c r="G54" s="33">
        <f t="shared" si="2"/>
        <v>0</v>
      </c>
      <c r="H54" s="21"/>
      <c r="I54" s="21"/>
    </row>
    <row r="55" spans="1:9" ht="18" customHeight="1" x14ac:dyDescent="0.3">
      <c r="A55" s="67" t="str">
        <f>'CPP TITULAIRE-ST'!A45</f>
        <v>7a</v>
      </c>
      <c r="B55" s="493" t="str">
        <f>'CPP TITULAIRE-ST'!B45</f>
        <v>TVA restitution avance suite DC4 (pour info)</v>
      </c>
      <c r="C55" s="33">
        <f>'CPP TITULAIRE-ST'!C45+'CPP CO-TRAITANT-ST'!C45</f>
        <v>0</v>
      </c>
      <c r="D55" s="33">
        <f>'CPP TITULAIRE-ST'!D45+'CPP CO-TRAITANT-ST'!D45</f>
        <v>0</v>
      </c>
      <c r="E55" s="33">
        <f>'CPP TITULAIRE-ST'!E45+'CPP CO-TRAITANT-ST'!E45</f>
        <v>0</v>
      </c>
      <c r="F55" s="33">
        <f>'CPP TITULAIRE-ST'!F45+'CPP CO-TRAITANT-ST'!F45</f>
        <v>0</v>
      </c>
      <c r="G55" s="33">
        <f t="shared" si="2"/>
        <v>0</v>
      </c>
      <c r="H55" s="21"/>
      <c r="I55" s="21"/>
    </row>
    <row r="56" spans="1:9" ht="18" customHeight="1" x14ac:dyDescent="0.3">
      <c r="A56" s="384">
        <f>'CPP TITULAIRE-ST'!A46</f>
        <v>8</v>
      </c>
      <c r="B56" s="492" t="str">
        <f>'CPP TITULAIRE-ST'!B46</f>
        <v>Sous-Total TVA (S 6 - 7)</v>
      </c>
      <c r="C56" s="33">
        <f>'CPP TITULAIRE-ST'!C46+'CPP CO-TRAITANT-ST'!C46</f>
        <v>0</v>
      </c>
      <c r="D56" s="33">
        <f>'CPP TITULAIRE-ST'!D46+'CPP CO-TRAITANT-ST'!D46</f>
        <v>0</v>
      </c>
      <c r="E56" s="33">
        <f>'CPP TITULAIRE-ST'!E46+'CPP CO-TRAITANT-ST'!E46</f>
        <v>0</v>
      </c>
      <c r="F56" s="33">
        <f>'CPP TITULAIRE-ST'!F46+'CPP CO-TRAITANT-ST'!F46</f>
        <v>0</v>
      </c>
      <c r="G56" s="33">
        <f t="shared" si="2"/>
        <v>0</v>
      </c>
      <c r="H56" s="21"/>
      <c r="I56" s="21"/>
    </row>
    <row r="57" spans="1:9" ht="18.75" x14ac:dyDescent="0.3">
      <c r="A57" s="384">
        <f>'CPP TITULAIRE-ST'!A47</f>
        <v>9</v>
      </c>
      <c r="B57" s="492" t="str">
        <f>'CPP TITULAIRE-ST'!B47</f>
        <v>Sous-Total TTC 5 + 8</v>
      </c>
      <c r="C57" s="41">
        <f>'CPP TITULAIRE-ST'!C47+'CPP CO-TRAITANT-ST'!C47</f>
        <v>0</v>
      </c>
      <c r="D57" s="41">
        <f>'CPP TITULAIRE-ST'!D47+'CPP CO-TRAITANT-ST'!D47</f>
        <v>0</v>
      </c>
      <c r="E57" s="41">
        <f>'CPP TITULAIRE-ST'!E47+'CPP CO-TRAITANT-ST'!E47</f>
        <v>0</v>
      </c>
      <c r="F57" s="41">
        <f>'CPP TITULAIRE-ST'!F47+'CPP CO-TRAITANT-ST'!F47</f>
        <v>0</v>
      </c>
      <c r="G57" s="33">
        <f t="shared" si="2"/>
        <v>0</v>
      </c>
      <c r="H57" s="21"/>
      <c r="I57" s="21"/>
    </row>
    <row r="58" spans="1:9" ht="18" customHeight="1" x14ac:dyDescent="0.3">
      <c r="A58" s="384">
        <f>'CPP TITULAIRE-ST'!A48</f>
        <v>10</v>
      </c>
      <c r="B58" s="492" t="str">
        <f>'CPP TITULAIRE-ST'!B48</f>
        <v>TOTAL (S 9 mensuel + antérieur) TTC</v>
      </c>
      <c r="C58" s="717">
        <f>IFERROR('CPP TITULAIRE-ST'!C49+'CPP CO-TRAITANT-ST'!C49,0)</f>
        <v>0</v>
      </c>
      <c r="D58" s="718"/>
      <c r="E58" s="543"/>
      <c r="F58" s="723"/>
      <c r="G58" s="544"/>
      <c r="H58" s="44" t="str">
        <f>IF(B59="Retenue de Garantie (4a x 5%)","RG MAXI",IF(B59="SANS OBJET","0","0"))</f>
        <v>0</v>
      </c>
      <c r="I58" s="21"/>
    </row>
    <row r="59" spans="1:9" ht="18" customHeight="1" x14ac:dyDescent="0.3">
      <c r="A59" s="67">
        <f>'CPP TITULAIRE-ST'!A49</f>
        <v>11</v>
      </c>
      <c r="B59" s="493">
        <f>'CPP TITULAIRE-ST'!B49</f>
        <v>0</v>
      </c>
      <c r="C59" s="717">
        <f>IFERROR('CPP TITULAIRE-ST'!C49+'CPP TITULAIRE-ST'!D49+'CPP CO-TRAITANT-ST'!C49+'CPP CO-TRAITANT-ST'!D49,0)</f>
        <v>0</v>
      </c>
      <c r="D59" s="718"/>
      <c r="E59" s="717">
        <f>IFERROR('CPP TITULAIRE-ST'!E49+'CPP TITULAIRE-ST'!F49+'CPP CO-TRAITANT-ST'!E49+'CPP CO-TRAITANT-ST'!F49,0)</f>
        <v>0</v>
      </c>
      <c r="F59" s="718"/>
      <c r="G59" s="33">
        <f>C59+E59</f>
        <v>0</v>
      </c>
      <c r="H59" s="46" t="str">
        <f>IF(B58="Retenue de Garantie (4a x 5%)",(C20*0.05),IF(B58="SANS OBJET","0","0"))</f>
        <v>0</v>
      </c>
      <c r="I59" s="21"/>
    </row>
    <row r="60" spans="1:9" ht="18" customHeight="1" x14ac:dyDescent="0.3">
      <c r="A60" s="67">
        <f>'CPP TITULAIRE-ST'!A58</f>
        <v>12</v>
      </c>
      <c r="B60" s="493" t="str">
        <f>'CPP TITULAIRE-ST'!B58</f>
        <v>Retenue de pénalités provisoires TTC</v>
      </c>
      <c r="C60" s="717">
        <f>'CPP TITULAIRE-ST'!C58:D58+'CPP CO-TRAITANT-ST'!C50:D50</f>
        <v>0</v>
      </c>
      <c r="D60" s="718"/>
      <c r="E60" s="717">
        <f>'CPP TITULAIRE-ST'!E58:F58+'CPP CO-TRAITANT-ST'!E50:F50</f>
        <v>0</v>
      </c>
      <c r="F60" s="718"/>
      <c r="G60" s="33">
        <f>C60+E60</f>
        <v>0</v>
      </c>
      <c r="H60" s="21"/>
      <c r="I60" s="21"/>
    </row>
    <row r="61" spans="1:9" ht="18" customHeight="1" x14ac:dyDescent="0.3">
      <c r="A61" s="67">
        <f>'CPP TITULAIRE-ST'!A59</f>
        <v>13</v>
      </c>
      <c r="B61" s="493" t="str">
        <f>'CPP TITULAIRE-ST'!B59</f>
        <v>Autres retenues provisoires TTC</v>
      </c>
      <c r="C61" s="717">
        <f>'CPP TITULAIRE-ST'!C59:D59+'CPP CO-TRAITANT-ST'!C51:D51</f>
        <v>0</v>
      </c>
      <c r="D61" s="718"/>
      <c r="E61" s="717">
        <f>'CPP TITULAIRE-ST'!E59:F59+'CPP CO-TRAITANT-ST'!E51:F51</f>
        <v>0</v>
      </c>
      <c r="F61" s="718"/>
      <c r="G61" s="33">
        <f>C61+E61</f>
        <v>0</v>
      </c>
      <c r="H61" s="21"/>
      <c r="I61" s="21"/>
    </row>
    <row r="62" spans="1:9" ht="18" customHeight="1" x14ac:dyDescent="0.3">
      <c r="A62" s="67">
        <f>'CPP TITULAIRE-ST'!A60</f>
        <v>14</v>
      </c>
      <c r="B62" s="493" t="str">
        <f>'CPP TITULAIRE-ST'!B60</f>
        <v>Total des retenues TTC (S 12 13+14)</v>
      </c>
      <c r="C62" s="717">
        <f>'CPP TITULAIRE-ST'!C60:D60+'CPP CO-TRAITANT-ST'!C52:D52</f>
        <v>0</v>
      </c>
      <c r="D62" s="718"/>
      <c r="E62" s="21"/>
      <c r="F62" s="21"/>
      <c r="G62" s="21"/>
      <c r="H62" s="21"/>
      <c r="I62" s="21"/>
    </row>
    <row r="63" spans="1:9" ht="18" customHeight="1" x14ac:dyDescent="0.3">
      <c r="A63" s="67">
        <f>'CPP TITULAIRE-ST'!A61</f>
        <v>15</v>
      </c>
      <c r="B63" s="493" t="str">
        <f>'CPP TITULAIRE-ST'!B61</f>
        <v>Cumul général</v>
      </c>
      <c r="C63" s="717">
        <f>'CPP TITULAIRE-ST'!C61:D61+'CPP CO-TRAITANT-ST'!C53:D53</f>
        <v>0</v>
      </c>
      <c r="D63" s="718"/>
      <c r="E63" s="21"/>
      <c r="F63" s="21"/>
      <c r="G63" s="21"/>
      <c r="H63" s="21"/>
      <c r="I63" s="21"/>
    </row>
    <row r="64" spans="1:9" ht="18" customHeight="1" x14ac:dyDescent="0.3">
      <c r="A64" s="67">
        <f>'CPP TITULAIRE-ST'!A62</f>
        <v>16</v>
      </c>
      <c r="B64" s="493" t="str">
        <f>'CPP TITULAIRE-ST'!B62</f>
        <v>Mandats émis antérieurement</v>
      </c>
      <c r="C64" s="717">
        <f>'CPP TITULAIRE-ST'!C62:D62+'CPP CO-TRAITANT-ST'!C54:D54</f>
        <v>0</v>
      </c>
      <c r="D64" s="718"/>
      <c r="E64" s="21"/>
      <c r="F64" s="21"/>
      <c r="G64" s="21"/>
      <c r="H64" s="21"/>
      <c r="I64" s="21"/>
    </row>
    <row r="65" spans="1:9" ht="18" customHeight="1" x14ac:dyDescent="0.3">
      <c r="A65" s="385">
        <f>'CPP TITULAIRE-ST'!A63</f>
        <v>17</v>
      </c>
      <c r="B65" s="494" t="str">
        <f>'CPP TITULAIRE-ST'!B63</f>
        <v>Acompte à payer</v>
      </c>
      <c r="C65" s="717">
        <f>C63-C64</f>
        <v>0</v>
      </c>
      <c r="D65" s="718"/>
      <c r="E65" s="21"/>
      <c r="F65" s="21"/>
      <c r="G65" s="21"/>
      <c r="H65" s="21"/>
      <c r="I65" s="21"/>
    </row>
    <row r="66" spans="1:9" ht="18" customHeight="1" x14ac:dyDescent="0.3">
      <c r="A66" s="385">
        <f>'CPP TITULAIRE-ST'!A64</f>
        <v>18</v>
      </c>
      <c r="B66" s="494" t="str">
        <f>'CPP TITULAIRE-ST'!B64</f>
        <v>info RG à mandater en ligne 2</v>
      </c>
      <c r="C66" s="717">
        <f>IFERROR('CPP TITULAIRE-ST'!C64:D64+'CPP CO-TRAITANT-ST'!C56:D56,0)</f>
        <v>0</v>
      </c>
      <c r="D66" s="718"/>
      <c r="E66" s="21"/>
      <c r="F66" s="21"/>
      <c r="G66" s="21"/>
      <c r="H66" s="21"/>
      <c r="I66" s="21"/>
    </row>
    <row r="67" spans="1:9" ht="18" customHeight="1" x14ac:dyDescent="0.3">
      <c r="A67" s="385">
        <f>'CPP TITULAIRE-ST'!A65</f>
        <v>19</v>
      </c>
      <c r="B67" s="494" t="str">
        <f>'CPP TITULAIRE-ST'!B65</f>
        <v>info restitution suite DC4 TDR</v>
      </c>
      <c r="C67" s="567">
        <f>'CPP TITULAIRE-ST'!C65:D65+'CPP CO-TRAITANT-ST'!C57:D57</f>
        <v>0</v>
      </c>
      <c r="D67" s="567"/>
      <c r="E67" s="21"/>
      <c r="F67" s="21"/>
      <c r="G67" s="21"/>
      <c r="H67" s="21"/>
      <c r="I67" s="21"/>
    </row>
    <row r="68" spans="1:9" ht="18" customHeight="1" x14ac:dyDescent="0.3">
      <c r="A68" s="68"/>
      <c r="B68" s="69"/>
      <c r="C68" s="52"/>
      <c r="D68" s="52"/>
      <c r="E68" s="21"/>
      <c r="F68" s="21"/>
      <c r="G68" s="21"/>
      <c r="H68" s="21"/>
      <c r="I68" s="21"/>
    </row>
    <row r="69" spans="1:9" ht="18" customHeight="1" x14ac:dyDescent="0.3">
      <c r="A69" s="70"/>
      <c r="B69" s="71"/>
      <c r="C69" s="581" t="s">
        <v>74</v>
      </c>
      <c r="D69" s="581"/>
      <c r="E69" s="21"/>
      <c r="F69" s="21"/>
      <c r="G69" s="21"/>
      <c r="H69" s="21"/>
      <c r="I69" s="21"/>
    </row>
    <row r="70" spans="1:9" ht="18" customHeight="1" x14ac:dyDescent="0.3">
      <c r="A70" s="22">
        <v>20</v>
      </c>
      <c r="B70" s="40" t="str">
        <f>IF(E1="DGD","Refaction","Ne rien inscrire avant le DGD")</f>
        <v>Ne rien inscrire avant le DGD</v>
      </c>
      <c r="C70" s="726">
        <f>'CPP TITULAIRE-ST'!C69:D69+'CPP CO-TRAITANT-ST'!C60:D60</f>
        <v>0</v>
      </c>
      <c r="D70" s="726"/>
      <c r="E70" s="21"/>
      <c r="F70" s="21"/>
      <c r="G70" s="21"/>
      <c r="H70" s="21"/>
      <c r="I70" s="21"/>
    </row>
    <row r="71" spans="1:9" ht="18" customHeight="1" x14ac:dyDescent="0.3">
      <c r="A71" s="21"/>
      <c r="B71" s="21"/>
      <c r="C71" s="21"/>
      <c r="D71" s="21"/>
      <c r="E71" s="21"/>
      <c r="F71" s="21"/>
      <c r="G71" s="21"/>
      <c r="H71" s="21"/>
      <c r="I71" s="21"/>
    </row>
    <row r="72" spans="1:9" ht="37.5" x14ac:dyDescent="0.3">
      <c r="A72" s="21"/>
      <c r="B72" s="21"/>
      <c r="C72" s="53" t="s">
        <v>69</v>
      </c>
      <c r="D72" s="577" t="s">
        <v>75</v>
      </c>
      <c r="E72" s="577"/>
      <c r="F72" s="353" t="s">
        <v>76</v>
      </c>
      <c r="G72" s="54" t="s">
        <v>77</v>
      </c>
      <c r="H72" s="54" t="s">
        <v>78</v>
      </c>
      <c r="I72" s="22" t="s">
        <v>79</v>
      </c>
    </row>
    <row r="73" spans="1:9" ht="18" customHeight="1" x14ac:dyDescent="0.3">
      <c r="A73" s="21"/>
      <c r="B73" s="55" t="str">
        <f>B24</f>
        <v>Titulaire</v>
      </c>
      <c r="C73" s="56">
        <f>C24</f>
        <v>0</v>
      </c>
      <c r="D73" s="578">
        <f>'CPP TITULAIRE-ST'!D72:E72</f>
        <v>0</v>
      </c>
      <c r="E73" s="578"/>
      <c r="F73" s="45">
        <f>'CPP TITULAIRE-ST'!F72</f>
        <v>0</v>
      </c>
      <c r="G73" s="45">
        <f>'CPP TITULAIRE-ST'!G72</f>
        <v>0</v>
      </c>
      <c r="H73" s="45">
        <f>'CPP TITULAIRE-ST'!H72</f>
        <v>0</v>
      </c>
      <c r="I73" s="45">
        <f>'CPP TITULAIRE-ST'!I72</f>
        <v>0</v>
      </c>
    </row>
    <row r="74" spans="1:9" ht="18" customHeight="1" x14ac:dyDescent="0.3">
      <c r="A74" s="21"/>
      <c r="B74" s="55">
        <f t="shared" ref="B74:C74" si="3">B25</f>
        <v>0</v>
      </c>
      <c r="C74" s="56">
        <f t="shared" si="3"/>
        <v>0</v>
      </c>
      <c r="D74" s="578">
        <f>'CPP TITULAIRE-ST'!D73:E73</f>
        <v>0</v>
      </c>
      <c r="E74" s="578"/>
      <c r="F74" s="45" t="str">
        <f>'CPP TITULAIRE-ST'!F73</f>
        <v>0</v>
      </c>
      <c r="G74" s="45">
        <f>'CPP TITULAIRE-ST'!G73</f>
        <v>0</v>
      </c>
      <c r="H74" s="45">
        <f>'CPP TITULAIRE-ST'!H73</f>
        <v>0</v>
      </c>
      <c r="I74" s="45">
        <f>'CPP TITULAIRE-ST'!I73</f>
        <v>0</v>
      </c>
    </row>
    <row r="75" spans="1:9" ht="18" customHeight="1" x14ac:dyDescent="0.3">
      <c r="A75" s="21"/>
      <c r="B75" s="55">
        <f t="shared" ref="B75:C75" si="4">B26</f>
        <v>0</v>
      </c>
      <c r="C75" s="56">
        <f t="shared" si="4"/>
        <v>0</v>
      </c>
      <c r="D75" s="578">
        <f>'CPP TITULAIRE-ST'!D74:E74</f>
        <v>0</v>
      </c>
      <c r="E75" s="578"/>
      <c r="F75" s="45" t="str">
        <f>'CPP TITULAIRE-ST'!F74</f>
        <v>0</v>
      </c>
      <c r="G75" s="45">
        <f>'CPP TITULAIRE-ST'!G74</f>
        <v>0</v>
      </c>
      <c r="H75" s="45">
        <f>'CPP TITULAIRE-ST'!H74</f>
        <v>0</v>
      </c>
      <c r="I75" s="45">
        <f>'CPP TITULAIRE-ST'!I74</f>
        <v>0</v>
      </c>
    </row>
    <row r="76" spans="1:9" ht="18" customHeight="1" x14ac:dyDescent="0.3">
      <c r="A76" s="21"/>
      <c r="B76" s="55">
        <f t="shared" ref="B76:C76" si="5">B27</f>
        <v>0</v>
      </c>
      <c r="C76" s="56">
        <f t="shared" si="5"/>
        <v>0</v>
      </c>
      <c r="D76" s="578">
        <f>'CPP TITULAIRE-ST'!D75:E75</f>
        <v>0</v>
      </c>
      <c r="E76" s="578"/>
      <c r="F76" s="45" t="str">
        <f>'CPP TITULAIRE-ST'!F75</f>
        <v>0</v>
      </c>
      <c r="G76" s="45">
        <f>'CPP TITULAIRE-ST'!G75</f>
        <v>0</v>
      </c>
      <c r="H76" s="45">
        <f>'CPP TITULAIRE-ST'!H75</f>
        <v>0</v>
      </c>
      <c r="I76" s="45">
        <f>'CPP TITULAIRE-ST'!I75</f>
        <v>0</v>
      </c>
    </row>
    <row r="77" spans="1:9" ht="18" customHeight="1" x14ac:dyDescent="0.3">
      <c r="A77" s="21"/>
      <c r="B77" s="55">
        <f t="shared" ref="B77:C77" si="6">B28</f>
        <v>0</v>
      </c>
      <c r="C77" s="56">
        <f t="shared" si="6"/>
        <v>0</v>
      </c>
      <c r="D77" s="578">
        <f>'CPP TITULAIRE-ST'!D76:E76</f>
        <v>0</v>
      </c>
      <c r="E77" s="578"/>
      <c r="F77" s="45" t="str">
        <f>'CPP TITULAIRE-ST'!F76</f>
        <v>0</v>
      </c>
      <c r="G77" s="45">
        <f>'CPP TITULAIRE-ST'!G76</f>
        <v>0</v>
      </c>
      <c r="H77" s="45">
        <f>'CPP TITULAIRE-ST'!H76</f>
        <v>0</v>
      </c>
      <c r="I77" s="45">
        <f>'CPP TITULAIRE-ST'!I76</f>
        <v>0</v>
      </c>
    </row>
    <row r="78" spans="1:9" ht="18" customHeight="1" x14ac:dyDescent="0.3">
      <c r="A78" s="21"/>
      <c r="B78" s="55">
        <f t="shared" ref="B78:C78" si="7">B29</f>
        <v>0</v>
      </c>
      <c r="C78" s="56">
        <f t="shared" si="7"/>
        <v>0</v>
      </c>
      <c r="D78" s="578">
        <f>'CPP TITULAIRE-ST'!D77:E77</f>
        <v>0</v>
      </c>
      <c r="E78" s="578"/>
      <c r="F78" s="45" t="str">
        <f>'CPP TITULAIRE-ST'!F77</f>
        <v>0</v>
      </c>
      <c r="G78" s="45">
        <f>'CPP TITULAIRE-ST'!G77</f>
        <v>0</v>
      </c>
      <c r="H78" s="45">
        <f>'CPP TITULAIRE-ST'!H77</f>
        <v>0</v>
      </c>
      <c r="I78" s="45">
        <f>'CPP TITULAIRE-ST'!I77</f>
        <v>0</v>
      </c>
    </row>
    <row r="79" spans="1:9" ht="18" customHeight="1" x14ac:dyDescent="0.3">
      <c r="A79" s="21"/>
      <c r="B79" s="21"/>
      <c r="C79" s="21"/>
      <c r="D79" s="21"/>
      <c r="E79" s="21"/>
      <c r="F79" s="21"/>
      <c r="G79" s="21"/>
      <c r="H79" s="21"/>
      <c r="I79" s="21"/>
    </row>
    <row r="80" spans="1:9" ht="37.5" x14ac:dyDescent="0.3">
      <c r="A80" s="21"/>
      <c r="B80" s="21"/>
      <c r="C80" s="53" t="s">
        <v>69</v>
      </c>
      <c r="D80" s="577" t="s">
        <v>75</v>
      </c>
      <c r="E80" s="577"/>
      <c r="F80" s="54" t="s">
        <v>76</v>
      </c>
      <c r="G80" s="54" t="s">
        <v>77</v>
      </c>
      <c r="H80" s="54" t="s">
        <v>78</v>
      </c>
      <c r="I80" s="22" t="s">
        <v>79</v>
      </c>
    </row>
    <row r="81" spans="1:9" ht="18" customHeight="1" x14ac:dyDescent="0.3">
      <c r="A81" s="21"/>
      <c r="B81" s="55" t="str">
        <f>E24</f>
        <v>Cotraitant</v>
      </c>
      <c r="C81" s="56">
        <f>F24</f>
        <v>2</v>
      </c>
      <c r="D81" s="578">
        <f>'CPP CO-TRAITANT-ST'!D63:E63</f>
        <v>0</v>
      </c>
      <c r="E81" s="578"/>
      <c r="F81" s="46">
        <f>'CPP CO-TRAITANT-ST'!F63</f>
        <v>0</v>
      </c>
      <c r="G81" s="354">
        <f>'CPP CO-TRAITANT-ST'!G63</f>
        <v>0</v>
      </c>
      <c r="H81" s="354">
        <f>'CPP CO-TRAITANT-ST'!H63</f>
        <v>0</v>
      </c>
      <c r="I81" s="354">
        <f>'CPP CO-TRAITANT-ST'!I63</f>
        <v>0</v>
      </c>
    </row>
    <row r="82" spans="1:9" ht="18" customHeight="1" x14ac:dyDescent="0.3">
      <c r="A82" s="21"/>
      <c r="B82" s="55">
        <f t="shared" ref="B82:C82" si="8">E25</f>
        <v>0</v>
      </c>
      <c r="C82" s="56">
        <f t="shared" si="8"/>
        <v>0</v>
      </c>
      <c r="D82" s="578">
        <f>'CPP CO-TRAITANT-ST'!D64:E64</f>
        <v>0</v>
      </c>
      <c r="E82" s="578"/>
      <c r="F82" s="354" t="str">
        <f>'CPP CO-TRAITANT-ST'!F64</f>
        <v>0</v>
      </c>
      <c r="G82" s="354">
        <f>'CPP CO-TRAITANT-ST'!G64</f>
        <v>0</v>
      </c>
      <c r="H82" s="354">
        <f>'CPP CO-TRAITANT-ST'!H64</f>
        <v>0</v>
      </c>
      <c r="I82" s="354">
        <f>'CPP CO-TRAITANT-ST'!I64</f>
        <v>0</v>
      </c>
    </row>
    <row r="83" spans="1:9" ht="18" customHeight="1" x14ac:dyDescent="0.3">
      <c r="A83" s="21"/>
      <c r="B83" s="55">
        <f t="shared" ref="B83:C83" si="9">E26</f>
        <v>0</v>
      </c>
      <c r="C83" s="56">
        <f t="shared" si="9"/>
        <v>0</v>
      </c>
      <c r="D83" s="578">
        <f>'CPP CO-TRAITANT-ST'!D65:E65</f>
        <v>0</v>
      </c>
      <c r="E83" s="578"/>
      <c r="F83" s="354" t="str">
        <f>'CPP CO-TRAITANT-ST'!F65</f>
        <v>0</v>
      </c>
      <c r="G83" s="354">
        <f>'CPP CO-TRAITANT-ST'!G65</f>
        <v>0</v>
      </c>
      <c r="H83" s="354">
        <f>'CPP CO-TRAITANT-ST'!H65</f>
        <v>0</v>
      </c>
      <c r="I83" s="354">
        <f>'CPP CO-TRAITANT-ST'!I65</f>
        <v>0</v>
      </c>
    </row>
    <row r="84" spans="1:9" ht="18" customHeight="1" x14ac:dyDescent="0.3">
      <c r="A84" s="21"/>
      <c r="B84" s="55">
        <f t="shared" ref="B84:C84" si="10">E27</f>
        <v>0</v>
      </c>
      <c r="C84" s="56">
        <f t="shared" si="10"/>
        <v>0</v>
      </c>
      <c r="D84" s="578">
        <f>'CPP CO-TRAITANT-ST'!D66:E66</f>
        <v>0</v>
      </c>
      <c r="E84" s="578"/>
      <c r="F84" s="354" t="str">
        <f>'CPP CO-TRAITANT-ST'!F66</f>
        <v>0</v>
      </c>
      <c r="G84" s="354">
        <f>'CPP CO-TRAITANT-ST'!G66</f>
        <v>0</v>
      </c>
      <c r="H84" s="354">
        <f>'CPP CO-TRAITANT-ST'!H66</f>
        <v>0</v>
      </c>
      <c r="I84" s="354">
        <f>'CPP CO-TRAITANT-ST'!I66</f>
        <v>0</v>
      </c>
    </row>
    <row r="85" spans="1:9" ht="18" customHeight="1" x14ac:dyDescent="0.3">
      <c r="A85" s="21"/>
      <c r="B85" s="55">
        <f t="shared" ref="B85:C85" si="11">E28</f>
        <v>0</v>
      </c>
      <c r="C85" s="56">
        <f t="shared" si="11"/>
        <v>0</v>
      </c>
      <c r="D85" s="578">
        <f>'CPP CO-TRAITANT-ST'!D67:E67</f>
        <v>0</v>
      </c>
      <c r="E85" s="578"/>
      <c r="F85" s="354" t="str">
        <f>'CPP CO-TRAITANT-ST'!F67</f>
        <v>0</v>
      </c>
      <c r="G85" s="354">
        <f>'CPP CO-TRAITANT-ST'!G67</f>
        <v>0</v>
      </c>
      <c r="H85" s="354">
        <f>'CPP CO-TRAITANT-ST'!H67</f>
        <v>0</v>
      </c>
      <c r="I85" s="354">
        <f>'CPP CO-TRAITANT-ST'!I67</f>
        <v>0</v>
      </c>
    </row>
    <row r="86" spans="1:9" ht="18" customHeight="1" x14ac:dyDescent="0.3">
      <c r="A86" s="21"/>
      <c r="B86" s="55">
        <f t="shared" ref="B86:C86" si="12">E29</f>
        <v>0</v>
      </c>
      <c r="C86" s="56">
        <f t="shared" si="12"/>
        <v>0</v>
      </c>
      <c r="D86" s="578">
        <f>'CPP CO-TRAITANT-ST'!D68:E68</f>
        <v>0</v>
      </c>
      <c r="E86" s="578"/>
      <c r="F86" s="354" t="str">
        <f>'CPP CO-TRAITANT-ST'!F68</f>
        <v>0</v>
      </c>
      <c r="G86" s="354">
        <f>'CPP CO-TRAITANT-ST'!G68</f>
        <v>0</v>
      </c>
      <c r="H86" s="354">
        <f>'CPP CO-TRAITANT-ST'!H68</f>
        <v>0</v>
      </c>
      <c r="I86" s="354">
        <f>'CPP CO-TRAITANT-ST'!I68</f>
        <v>0</v>
      </c>
    </row>
    <row r="87" spans="1:9" ht="18" customHeight="1" x14ac:dyDescent="0.3">
      <c r="A87" s="21"/>
    </row>
  </sheetData>
  <sheetProtection algorithmName="SHA-512" hashValue="4SyyOV/m92YjT5BWv5oBQMBln8vYmdQW6h+WmPIhZV/7iXYsElaL+UueF/4EOIHXBN90Absjp/RwxGNc8r5giw==" saltValue="4R9nqcfF/lQoNBPyMK/0ew==" spinCount="100000" sheet="1" objects="1" scenarios="1" autoFilter="0"/>
  <mergeCells count="47">
    <mergeCell ref="D77:E77"/>
    <mergeCell ref="C65:D65"/>
    <mergeCell ref="C69:D69"/>
    <mergeCell ref="C70:D70"/>
    <mergeCell ref="D72:E72"/>
    <mergeCell ref="D73:E73"/>
    <mergeCell ref="D74:E74"/>
    <mergeCell ref="D75:E75"/>
    <mergeCell ref="D76:E76"/>
    <mergeCell ref="C67:D67"/>
    <mergeCell ref="D84:E84"/>
    <mergeCell ref="D85:E85"/>
    <mergeCell ref="D86:E86"/>
    <mergeCell ref="D78:E78"/>
    <mergeCell ref="D80:E80"/>
    <mergeCell ref="D81:E81"/>
    <mergeCell ref="D82:E82"/>
    <mergeCell ref="D83:E83"/>
    <mergeCell ref="H32:H34"/>
    <mergeCell ref="C64:D64"/>
    <mergeCell ref="C66:D66"/>
    <mergeCell ref="C59:D59"/>
    <mergeCell ref="C60:D60"/>
    <mergeCell ref="C61:D61"/>
    <mergeCell ref="C62:D62"/>
    <mergeCell ref="C63:D63"/>
    <mergeCell ref="E61:F61"/>
    <mergeCell ref="E60:F60"/>
    <mergeCell ref="C20:D20"/>
    <mergeCell ref="D6:I6"/>
    <mergeCell ref="F1:I1"/>
    <mergeCell ref="D2:I2"/>
    <mergeCell ref="D3:I3"/>
    <mergeCell ref="D4:I4"/>
    <mergeCell ref="D5:I5"/>
    <mergeCell ref="B9:D9"/>
    <mergeCell ref="B22:D22"/>
    <mergeCell ref="E22:G22"/>
    <mergeCell ref="G32:G34"/>
    <mergeCell ref="E59:F59"/>
    <mergeCell ref="B32:D32"/>
    <mergeCell ref="B33:D33"/>
    <mergeCell ref="C34:D34"/>
    <mergeCell ref="E32:E33"/>
    <mergeCell ref="F32:F33"/>
    <mergeCell ref="C58:D58"/>
    <mergeCell ref="E58:G58"/>
  </mergeCells>
  <pageMargins left="0.7" right="0.7" top="0.75" bottom="0.75" header="0.3" footer="0.3"/>
  <pageSetup paperSize="9" scale="4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LISTES!$G$1:$G$8</xm:f>
          </x14:formula1>
          <xm:sqref>G7</xm:sqref>
        </x14:dataValidation>
        <x14:dataValidation type="list" allowBlank="1" showInputMessage="1" showErrorMessage="1">
          <x14:formula1>
            <xm:f>LISTES!$F$1:$F$12</xm:f>
          </x14:formula1>
          <xm:sqref>E7</xm:sqref>
        </x14:dataValidation>
        <x14:dataValidation type="list" allowBlank="1" showInputMessage="1" showErrorMessage="1">
          <x14:formula1>
            <xm:f>LISTES!$A$1:$A$6</xm:f>
          </x14:formula1>
          <xm:sqref>C10:D10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19</vt:i4>
      </vt:variant>
    </vt:vector>
  </HeadingPairs>
  <TitlesOfParts>
    <vt:vector size="31" baseType="lpstr">
      <vt:lpstr>LISTES</vt:lpstr>
      <vt:lpstr>DONNEES</vt:lpstr>
      <vt:lpstr>CALCUL AVANCE TITULAIRE</vt:lpstr>
      <vt:lpstr>CALCUL AVANCE COTRAITANT</vt:lpstr>
      <vt:lpstr>CPP TITULAIRE-ST</vt:lpstr>
      <vt:lpstr>RECUP AVANCE TITULAIRE </vt:lpstr>
      <vt:lpstr>RESTITUTION AVANCE SUITE DC4</vt:lpstr>
      <vt:lpstr>CPP CO-TRAITANT-ST</vt:lpstr>
      <vt:lpstr>RECUP AVANCE O-TRAITANT</vt:lpstr>
      <vt:lpstr>ACTUALISATION</vt:lpstr>
      <vt:lpstr>REVISION</vt:lpstr>
      <vt:lpstr>RECAP CPP</vt:lpstr>
      <vt:lpstr>_16</vt:lpstr>
      <vt:lpstr>_17</vt:lpstr>
      <vt:lpstr>_19</vt:lpstr>
      <vt:lpstr>_23</vt:lpstr>
      <vt:lpstr>_79</vt:lpstr>
      <vt:lpstr>_86</vt:lpstr>
      <vt:lpstr>_87</vt:lpstr>
      <vt:lpstr>LYCEES</vt:lpstr>
      <vt:lpstr>LYCEES1</vt:lpstr>
      <vt:lpstr>'CALCUL AVANCE COTRAITANT'!Zone_d_impression</vt:lpstr>
      <vt:lpstr>'CALCUL AVANCE TITULAIRE'!Zone_d_impression</vt:lpstr>
      <vt:lpstr>'CPP CO-TRAITANT-ST'!Zone_d_impression</vt:lpstr>
      <vt:lpstr>'CPP TITULAIRE-ST'!Zone_d_impression</vt:lpstr>
      <vt:lpstr>DONNEES!Zone_d_impression</vt:lpstr>
      <vt:lpstr>'RECAP CPP'!Zone_d_impression</vt:lpstr>
      <vt:lpstr>'RECUP AVANCE O-TRAITANT'!Zone_d_impression</vt:lpstr>
      <vt:lpstr>'RECUP AVANCE TITULAIRE '!Zone_d_impression</vt:lpstr>
      <vt:lpstr>'RESTITUTION AVANCE SUITE DC4'!Zone_d_impression</vt:lpstr>
      <vt:lpstr>REVISION!Zone_d_impression</vt:lpstr>
    </vt:vector>
  </TitlesOfParts>
  <Company>Région Nouvelle-Aquitaine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SARRAZIN David</dc:creator>
  <cp:lastModifiedBy>SARRAZIN David</cp:lastModifiedBy>
  <cp:lastPrinted>2018-10-08T11:39:50Z</cp:lastPrinted>
  <dcterms:created xsi:type="dcterms:W3CDTF">2018-07-20T08:43:04Z</dcterms:created>
  <dcterms:modified xsi:type="dcterms:W3CDTF">2018-10-22T14:51:26Z</dcterms:modified>
</cp:coreProperties>
</file>